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faci\Downloads\"/>
    </mc:Choice>
  </mc:AlternateContent>
  <xr:revisionPtr revIDLastSave="0" documentId="13_ncr:1_{FA530654-40BA-49ED-B1DD-B4EFC5513AA6}" xr6:coauthVersionLast="47" xr6:coauthVersionMax="47" xr10:uidLastSave="{00000000-0000-0000-0000-000000000000}"/>
  <bookViews>
    <workbookView minimized="1" xWindow="2380" yWindow="2400" windowWidth="13900" windowHeight="11960" activeTab="5" xr2:uid="{98C569CB-5752-46F4-A796-EBAAAF85CA64}"/>
  </bookViews>
  <sheets>
    <sheet name="COVER" sheetId="4" r:id="rId1"/>
    <sheet name="REKAPITULASI" sheetId="14" r:id="rId2"/>
    <sheet name="BQ" sheetId="15" r:id="rId3"/>
    <sheet name="REKAP HSP" sheetId="8" r:id="rId4"/>
    <sheet name="ANALISA_FIX" sheetId="9" r:id="rId5"/>
    <sheet name="DAFTAR HARGA" sheetId="2" r:id="rId6"/>
    <sheet name="ANALISA" sheetId="5" state="hidden" r:id="rId7"/>
    <sheet name="HSD" sheetId="12" r:id="rId8"/>
    <sheet name="KODE_BPS" sheetId="3" r:id="rId9"/>
    <sheet name="ALAT" sheetId="16" r:id="rId10"/>
    <sheet name="Sheet2" sheetId="11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</externalReferences>
  <definedNames>
    <definedName name="_____________MDE01">'[1]ANLS ALAT'!$BP$27</definedName>
    <definedName name="_____________MDE02">'[1]ANLS ALAT'!$BP$47</definedName>
    <definedName name="_____________MDE03">'[1]ANLS ALAT'!$BP$67</definedName>
    <definedName name="_____________MDE04">'[1]ANLS ALAT'!$BP$87</definedName>
    <definedName name="_____________MDE05">'[1]ANLS ALAT'!$BP$107</definedName>
    <definedName name="_____________MDE06">'[1]ANLS ALAT'!$BP$127</definedName>
    <definedName name="_____________MDE07">'[1]ANLS ALAT'!$BP$147</definedName>
    <definedName name="_____________MDE09">'[1]ANLS ALAT'!$BP$187</definedName>
    <definedName name="_____________MDE11">'[1]ANLS ALAT'!$BP$227</definedName>
    <definedName name="_____________MDE12">'[1]ANLS ALAT'!$BP$247</definedName>
    <definedName name="_____________MDE14">'[1]ANLS ALAT'!$BP$287</definedName>
    <definedName name="_____________MDE16">'[1]ANLS ALAT'!$BP$327</definedName>
    <definedName name="_____________MDE17">'[1]ANLS ALAT'!$BP$347</definedName>
    <definedName name="_____________MDE22">'[1]ANLS ALAT'!$BP$447</definedName>
    <definedName name="_____________MDE24">'[1]ANLS ALAT'!$BP$487</definedName>
    <definedName name="_____________MDE25">'[1]ANLS ALAT'!$BP$507</definedName>
    <definedName name="_____________MDE26">'[1]ANLS ALAT'!$BP$527</definedName>
    <definedName name="_____________MDE27">'[1]ANLS ALAT'!$BP$547</definedName>
    <definedName name="_____________MDE28">'[1]ANLS ALAT'!$BP$567</definedName>
    <definedName name="_____________MDE29">'[1]ANLS ALAT'!$BP$587</definedName>
    <definedName name="_____________MDE31">'[1]ANLS ALAT'!$BP$627</definedName>
    <definedName name="_____________MDE32">'[1]ANLS ALAT'!$BP$647</definedName>
    <definedName name="_____________MDE33">'[1]ANLS ALAT'!$BP$667</definedName>
    <definedName name="_____________MDE34">'[1]ANLS ALAT'!$BP$698</definedName>
    <definedName name="_____________ME01">'[1]ANLS ALAT'!$BP$26</definedName>
    <definedName name="_____________ME02">'[1]ANLS ALAT'!$BP$46</definedName>
    <definedName name="_____________ME03">'[1]ANLS ALAT'!$BP$66</definedName>
    <definedName name="_____________ME04">'[1]ANLS ALAT'!$BP$86</definedName>
    <definedName name="_____________ME05">'[1]ANLS ALAT'!$BP$106</definedName>
    <definedName name="_____________ME07">'[1]ANLS ALAT'!$BP$146</definedName>
    <definedName name="_____________ME09">'[1]ANLS ALAT'!$BP$186</definedName>
    <definedName name="_____________ME11">'[1]ANLS ALAT'!$BP$226</definedName>
    <definedName name="_____________ME12">'[1]ANLS ALAT'!$BP$246</definedName>
    <definedName name="_____________ME14">'[1]ANLS ALAT'!$BP$286</definedName>
    <definedName name="_____________ME16">'[1]ANLS ALAT'!$BP$326</definedName>
    <definedName name="_____________ME17">'[1]ANLS ALAT'!$BP$346</definedName>
    <definedName name="_____________ME18">'[1]ANLS ALAT'!$BP$366</definedName>
    <definedName name="_____________ME21">'[1]ANLS ALAT'!$BP$426</definedName>
    <definedName name="_____________ME22">'[1]ANLS ALAT'!$BP$446</definedName>
    <definedName name="_____________ME24">'[1]ANLS ALAT'!$BP$486</definedName>
    <definedName name="_____________ME25">'[1]ANLS ALAT'!$BP$506</definedName>
    <definedName name="_____________ME26">'[1]ANLS ALAT'!$BP$526</definedName>
    <definedName name="_____________ME27">'[1]ANLS ALAT'!$BP$546</definedName>
    <definedName name="_____________ME28">'[1]ANLS ALAT'!$BP$566</definedName>
    <definedName name="_____________ME29">'[1]ANLS ALAT'!$BP$586</definedName>
    <definedName name="_____________ME30">'[1]ANLS ALAT'!$BP$606</definedName>
    <definedName name="_____________ME31">'[1]ANLS ALAT'!$BP$626</definedName>
    <definedName name="_____________ME32">'[1]ANLS ALAT'!$BP$646</definedName>
    <definedName name="_____________ME33">'[1]ANLS ALAT'!$BP$666</definedName>
    <definedName name="_____________ME34">'[1]ANLS ALAT'!$BP$697</definedName>
    <definedName name="____________MDE01">'[1]ANLS ALAT'!$BP$27</definedName>
    <definedName name="____________MDE02">'[1]ANLS ALAT'!$BP$47</definedName>
    <definedName name="____________MDE03">'[1]ANLS ALAT'!$BP$67</definedName>
    <definedName name="____________MDE04">'[1]ANLS ALAT'!$BP$87</definedName>
    <definedName name="____________MDE05">'[1]ANLS ALAT'!$BP$107</definedName>
    <definedName name="____________MDE06">'[1]ANLS ALAT'!$BP$127</definedName>
    <definedName name="____________MDE07">'[1]ANLS ALAT'!$BP$147</definedName>
    <definedName name="____________MDE09">'[1]ANLS ALAT'!$BP$187</definedName>
    <definedName name="____________MDE11">'[1]ANLS ALAT'!$BP$227</definedName>
    <definedName name="____________MDE12">'[1]ANLS ALAT'!$BP$247</definedName>
    <definedName name="____________MDE14">'[1]ANLS ALAT'!$BP$287</definedName>
    <definedName name="____________MDE16">'[1]ANLS ALAT'!$BP$327</definedName>
    <definedName name="____________MDE17">'[1]ANLS ALAT'!$BP$347</definedName>
    <definedName name="____________MDE22">'[1]ANLS ALAT'!$BP$447</definedName>
    <definedName name="____________MDE24">'[1]ANLS ALAT'!$BP$487</definedName>
    <definedName name="____________MDE25">'[1]ANLS ALAT'!$BP$507</definedName>
    <definedName name="____________MDE26">'[1]ANLS ALAT'!$BP$527</definedName>
    <definedName name="____________MDE27">'[1]ANLS ALAT'!$BP$547</definedName>
    <definedName name="____________MDE28">'[1]ANLS ALAT'!$BP$567</definedName>
    <definedName name="____________MDE29">'[1]ANLS ALAT'!$BP$587</definedName>
    <definedName name="____________MDE31">'[1]ANLS ALAT'!$BP$627</definedName>
    <definedName name="____________MDE32">'[1]ANLS ALAT'!$BP$647</definedName>
    <definedName name="____________MDE33">'[1]ANLS ALAT'!$BP$667</definedName>
    <definedName name="____________MDE34">'[1]ANLS ALAT'!$BP$698</definedName>
    <definedName name="____________ME01">'[1]ANLS ALAT'!$BP$26</definedName>
    <definedName name="____________ME02">'[1]ANLS ALAT'!$BP$46</definedName>
    <definedName name="____________ME03">'[1]ANLS ALAT'!$BP$66</definedName>
    <definedName name="____________ME04">'[1]ANLS ALAT'!$BP$86</definedName>
    <definedName name="____________ME05">'[1]ANLS ALAT'!$BP$106</definedName>
    <definedName name="____________ME07">'[1]ANLS ALAT'!$BP$146</definedName>
    <definedName name="____________ME09">'[1]ANLS ALAT'!$BP$186</definedName>
    <definedName name="____________ME11">'[1]ANLS ALAT'!$BP$226</definedName>
    <definedName name="____________ME12">'[1]ANLS ALAT'!$BP$246</definedName>
    <definedName name="____________ME14">'[1]ANLS ALAT'!$BP$286</definedName>
    <definedName name="____________ME16">'[1]ANLS ALAT'!$BP$326</definedName>
    <definedName name="____________ME17">'[1]ANLS ALAT'!$BP$346</definedName>
    <definedName name="____________ME18">'[1]ANLS ALAT'!$BP$366</definedName>
    <definedName name="____________ME21">'[1]ANLS ALAT'!$BP$426</definedName>
    <definedName name="____________ME22">'[1]ANLS ALAT'!$BP$446</definedName>
    <definedName name="____________ME24">'[1]ANLS ALAT'!$BP$486</definedName>
    <definedName name="____________ME25">'[1]ANLS ALAT'!$BP$506</definedName>
    <definedName name="____________ME26">'[1]ANLS ALAT'!$BP$526</definedName>
    <definedName name="____________ME27">'[1]ANLS ALAT'!$BP$546</definedName>
    <definedName name="____________ME28">'[1]ANLS ALAT'!$BP$566</definedName>
    <definedName name="____________ME29">'[1]ANLS ALAT'!$BP$586</definedName>
    <definedName name="____________ME30">'[1]ANLS ALAT'!$BP$606</definedName>
    <definedName name="____________ME31">'[1]ANLS ALAT'!$BP$626</definedName>
    <definedName name="____________ME32">'[1]ANLS ALAT'!$BP$646</definedName>
    <definedName name="____________ME33">'[1]ANLS ALAT'!$BP$666</definedName>
    <definedName name="____________ME34">'[1]ANLS ALAT'!$BP$697</definedName>
    <definedName name="___________MDE01">'[1]ANLS ALAT'!$BP$27</definedName>
    <definedName name="___________MDE02">'[1]ANLS ALAT'!$BP$47</definedName>
    <definedName name="___________MDE03">'[1]ANLS ALAT'!$BP$67</definedName>
    <definedName name="___________MDE04">'[1]ANLS ALAT'!$BP$87</definedName>
    <definedName name="___________MDE05">'[1]ANLS ALAT'!$BP$107</definedName>
    <definedName name="___________MDE06">'[1]ANLS ALAT'!$BP$127</definedName>
    <definedName name="___________MDE07">'[1]ANLS ALAT'!$BP$147</definedName>
    <definedName name="___________MDE09">'[1]ANLS ALAT'!$BP$187</definedName>
    <definedName name="___________MDE11">'[1]ANLS ALAT'!$BP$227</definedName>
    <definedName name="___________MDE12">'[1]ANLS ALAT'!$BP$247</definedName>
    <definedName name="___________MDE14">'[1]ANLS ALAT'!$BP$287</definedName>
    <definedName name="___________MDE16">'[1]ANLS ALAT'!$BP$327</definedName>
    <definedName name="___________MDE17">'[1]ANLS ALAT'!$BP$347</definedName>
    <definedName name="___________MDE22">'[1]ANLS ALAT'!$BP$447</definedName>
    <definedName name="___________MDE24">'[1]ANLS ALAT'!$BP$487</definedName>
    <definedName name="___________MDE25">'[1]ANLS ALAT'!$BP$507</definedName>
    <definedName name="___________MDE26">'[1]ANLS ALAT'!$BP$527</definedName>
    <definedName name="___________MDE27">'[1]ANLS ALAT'!$BP$547</definedName>
    <definedName name="___________MDE28">'[1]ANLS ALAT'!$BP$567</definedName>
    <definedName name="___________MDE29">'[1]ANLS ALAT'!$BP$587</definedName>
    <definedName name="___________MDE31">'[1]ANLS ALAT'!$BP$627</definedName>
    <definedName name="___________MDE32">'[1]ANLS ALAT'!$BP$647</definedName>
    <definedName name="___________MDE33">'[1]ANLS ALAT'!$BP$667</definedName>
    <definedName name="___________MDE34">'[1]ANLS ALAT'!$BP$698</definedName>
    <definedName name="___________ME01">'[1]ANLS ALAT'!$BP$26</definedName>
    <definedName name="___________ME02">'[1]ANLS ALAT'!$BP$46</definedName>
    <definedName name="___________ME03">'[1]ANLS ALAT'!$BP$66</definedName>
    <definedName name="___________ME04">'[1]ANLS ALAT'!$BP$86</definedName>
    <definedName name="___________ME05">'[1]ANLS ALAT'!$BP$106</definedName>
    <definedName name="___________ME07">'[1]ANLS ALAT'!$BP$146</definedName>
    <definedName name="___________ME09">'[1]ANLS ALAT'!$BP$186</definedName>
    <definedName name="___________ME11">'[1]ANLS ALAT'!$BP$226</definedName>
    <definedName name="___________ME12">'[1]ANLS ALAT'!$BP$246</definedName>
    <definedName name="___________ME14">'[1]ANLS ALAT'!$BP$286</definedName>
    <definedName name="___________ME16">'[1]ANLS ALAT'!$BP$326</definedName>
    <definedName name="___________ME17">'[1]ANLS ALAT'!$BP$346</definedName>
    <definedName name="___________ME18">'[1]ANLS ALAT'!$BP$366</definedName>
    <definedName name="___________ME21">'[1]ANLS ALAT'!$BP$426</definedName>
    <definedName name="___________ME22">'[1]ANLS ALAT'!$BP$446</definedName>
    <definedName name="___________ME24">'[1]ANLS ALAT'!$BP$486</definedName>
    <definedName name="___________ME25">'[1]ANLS ALAT'!$BP$506</definedName>
    <definedName name="___________ME26">'[1]ANLS ALAT'!$BP$526</definedName>
    <definedName name="___________ME27">'[1]ANLS ALAT'!$BP$546</definedName>
    <definedName name="___________ME28">'[1]ANLS ALAT'!$BP$566</definedName>
    <definedName name="___________ME29">'[1]ANLS ALAT'!$BP$586</definedName>
    <definedName name="___________ME30">'[1]ANLS ALAT'!$BP$606</definedName>
    <definedName name="___________ME31">'[1]ANLS ALAT'!$BP$626</definedName>
    <definedName name="___________ME32">'[1]ANLS ALAT'!$BP$646</definedName>
    <definedName name="___________ME33">'[1]ANLS ALAT'!$BP$666</definedName>
    <definedName name="___________ME34">'[1]ANLS ALAT'!$BP$697</definedName>
    <definedName name="__________DIV11">[2]DKH!#REF!</definedName>
    <definedName name="_________pvc1">[3]upah!#REF!</definedName>
    <definedName name="_________pvc12">[3]upah!#REF!</definedName>
    <definedName name="_________pvc34">[3]upah!#REF!</definedName>
    <definedName name="_________pvc4">[3]upah!#REF!</definedName>
    <definedName name="________DIV1">#REF!</definedName>
    <definedName name="________DIV10">#REF!</definedName>
    <definedName name="________DIV11">[2]DKH!#REF!</definedName>
    <definedName name="________DIV2">#REF!</definedName>
    <definedName name="________DIV3">#REF!</definedName>
    <definedName name="________DIV4">#REF!</definedName>
    <definedName name="________DIV5">#REF!</definedName>
    <definedName name="________DIV6">#REF!</definedName>
    <definedName name="________DIV7">#REF!</definedName>
    <definedName name="________DIV8">#REF!</definedName>
    <definedName name="________DIV9">#REF!</definedName>
    <definedName name="________EEE01">[4]A.Alat!$AW$8</definedName>
    <definedName name="________EEE02">[4]A.Alat!$AW$9</definedName>
    <definedName name="________EEE03">[4]A.Alat!$AW$10</definedName>
    <definedName name="________EEE04">[4]A.Alat!$AW$11</definedName>
    <definedName name="________EEE05">[4]A.Alat!$AW$12</definedName>
    <definedName name="________EEE06">[4]A.Alat!$AW$13</definedName>
    <definedName name="________EEE07">[4]A.Alat!$AW$14</definedName>
    <definedName name="________EEE08">[4]A.Alat!$AW$15</definedName>
    <definedName name="________EEE09">[4]A.Alat!$AW$16</definedName>
    <definedName name="________EEE10">[4]A.Alat!$AW$17</definedName>
    <definedName name="________EEE11">[4]A.Alat!$AW$18</definedName>
    <definedName name="________EEE12">[4]A.Alat!$AW$19</definedName>
    <definedName name="________EEE13">[4]A.Alat!$AW$20</definedName>
    <definedName name="________EEE14">[4]A.Alat!$AW$21</definedName>
    <definedName name="________EEE15">[4]A.Alat!$AW$22</definedName>
    <definedName name="________EEE16">[4]A.Alat!$AW$23</definedName>
    <definedName name="________EEE17">[4]A.Alat!$AW$24</definedName>
    <definedName name="________EEE18">[4]A.Alat!$AW$25</definedName>
    <definedName name="________EEE19">[4]A.Alat!$AW$26</definedName>
    <definedName name="________EEE20">[4]A.Alat!$AW$27</definedName>
    <definedName name="________EEE21">[4]A.Alat!$AW$28</definedName>
    <definedName name="________EEE22">[4]A.Alat!$AW$29</definedName>
    <definedName name="________EEE23">[4]A.Alat!$AW$30</definedName>
    <definedName name="________EEE24">[4]A.Alat!$AW$31</definedName>
    <definedName name="________EEE25">[4]A.Alat!$AW$32</definedName>
    <definedName name="________EEE26">[4]A.Alat!$AW$33</definedName>
    <definedName name="________EEE27">[4]A.Alat!$AW$34</definedName>
    <definedName name="________EEE28">[4]A.Alat!$AW$35</definedName>
    <definedName name="________EEE29">[4]A.Alat!$AW$36</definedName>
    <definedName name="________EEE30">[4]A.Alat!$AW$37</definedName>
    <definedName name="________EEE31">[4]A.Alat!$AW$38</definedName>
    <definedName name="________EEE32">[4]A.Alat!$AW$39</definedName>
    <definedName name="________EEE33">[4]A.Alat!$AW$40</definedName>
    <definedName name="________HAL1">#REF!</definedName>
    <definedName name="________HAL2">#REF!</definedName>
    <definedName name="________HAL3">#REF!</definedName>
    <definedName name="________HAL4">#REF!</definedName>
    <definedName name="________HAL5">#REF!</definedName>
    <definedName name="________HAL6">#REF!</definedName>
    <definedName name="________HAL7">#REF!</definedName>
    <definedName name="________HAL8">#REF!</definedName>
    <definedName name="________LLL01">#REF!</definedName>
    <definedName name="________LLL02">#REF!</definedName>
    <definedName name="________LLL03">#REF!</definedName>
    <definedName name="________LLL04">#REF!</definedName>
    <definedName name="________LLL05">#REF!</definedName>
    <definedName name="________LLL06">#REF!</definedName>
    <definedName name="________LLL07">#REF!</definedName>
    <definedName name="________LLL08">#REF!</definedName>
    <definedName name="________LLL09">#REF!</definedName>
    <definedName name="________LLL10">#REF!</definedName>
    <definedName name="________LLL11">#REF!</definedName>
    <definedName name="________MDE01">[4]A.Alat!$BO$27</definedName>
    <definedName name="________MDE02">[4]A.Alat!$BO$47</definedName>
    <definedName name="________MDE03">[4]A.Alat!$BO$68</definedName>
    <definedName name="________MDE04">[4]A.Alat!$BO$88</definedName>
    <definedName name="________MDE05">[4]A.Alat!$BO$108</definedName>
    <definedName name="________MDE06">[4]A.Alat!$BO$128</definedName>
    <definedName name="________MDE07">[4]A.Alat!$BO$148</definedName>
    <definedName name="________MDE08">[4]A.Alat!$BO$168</definedName>
    <definedName name="________MDE09">[4]A.Alat!$BO$188</definedName>
    <definedName name="________MDE10">[4]A.Alat!$BO$208</definedName>
    <definedName name="________MDE11">[4]A.Alat!$BO$228</definedName>
    <definedName name="________MDE12">[4]A.Alat!$BO$248</definedName>
    <definedName name="________MDE13">[4]A.Alat!$BO$268</definedName>
    <definedName name="________MDE14">[4]A.Alat!$BO$288</definedName>
    <definedName name="________MDE15">[4]A.Alat!$BO$308</definedName>
    <definedName name="________MDE16">[4]A.Alat!$BO$328</definedName>
    <definedName name="________MDE17">[4]A.Alat!$BO$348</definedName>
    <definedName name="________MDE18">[4]A.Alat!$BO$368</definedName>
    <definedName name="________MDE19">[4]A.Alat!$BO$388</definedName>
    <definedName name="________MDE20">[4]A.Alat!$BO$408</definedName>
    <definedName name="________MDE21">[4]A.Alat!$BO$428</definedName>
    <definedName name="________MDE22">[4]A.Alat!$BO$448</definedName>
    <definedName name="________MDE23">[4]A.Alat!$BO$468</definedName>
    <definedName name="________MDE24">[4]A.Alat!$BO$488</definedName>
    <definedName name="________MDE25">[4]A.Alat!$BO$508</definedName>
    <definedName name="________MDE26">[4]A.Alat!$BO$528</definedName>
    <definedName name="________MDE27">[4]A.Alat!$BO$548</definedName>
    <definedName name="________MDE28">[4]A.Alat!$BO$568</definedName>
    <definedName name="________MDE29">[4]A.Alat!$BO$588</definedName>
    <definedName name="________MDE30">[4]A.Alat!$BO$608</definedName>
    <definedName name="________MDE31">[4]A.Alat!$BO$628</definedName>
    <definedName name="________MDE32">[4]A.Alat!$BO$648</definedName>
    <definedName name="________MDE33">[4]A.Alat!$BO$668</definedName>
    <definedName name="________MDE34">[4]A.Alat!$BO$699</definedName>
    <definedName name="________ME01">[4]A.Alat!$BO$26</definedName>
    <definedName name="________ME02">[4]A.Alat!$BO$46</definedName>
    <definedName name="________ME03">[4]A.Alat!$BO$67</definedName>
    <definedName name="________ME04">[4]A.Alat!$BO$87</definedName>
    <definedName name="________ME05">[4]A.Alat!$BO$107</definedName>
    <definedName name="________ME06">[4]A.Alat!$BO$127</definedName>
    <definedName name="________ME07">[4]A.Alat!$BO$147</definedName>
    <definedName name="________ME08">[4]A.Alat!$BO$167</definedName>
    <definedName name="________ME09">[4]A.Alat!$BO$187</definedName>
    <definedName name="________ME10">[4]A.Alat!$BO$207</definedName>
    <definedName name="________ME11">[4]A.Alat!$BO$227</definedName>
    <definedName name="________ME12">[4]A.Alat!$BO$247</definedName>
    <definedName name="________ME13">[4]A.Alat!$BO$267</definedName>
    <definedName name="________ME14">[4]A.Alat!$BO$287</definedName>
    <definedName name="________ME15">[4]A.Alat!$BO$307</definedName>
    <definedName name="________ME16">[4]A.Alat!$BO$327</definedName>
    <definedName name="________ME17">[4]A.Alat!$BO$347</definedName>
    <definedName name="________ME18">[4]A.Alat!$BO$367</definedName>
    <definedName name="________ME19">[4]A.Alat!$BO$387</definedName>
    <definedName name="________ME20">[4]A.Alat!$BO$407</definedName>
    <definedName name="________ME21">[4]A.Alat!$BO$427</definedName>
    <definedName name="________ME22">[4]A.Alat!$BO$447</definedName>
    <definedName name="________ME23">[4]A.Alat!$BO$467</definedName>
    <definedName name="________ME24">[4]A.Alat!$BO$487</definedName>
    <definedName name="________ME25">[4]A.Alat!$BO$507</definedName>
    <definedName name="________ME26">[4]A.Alat!$BO$527</definedName>
    <definedName name="________ME27">[4]A.Alat!$BO$547</definedName>
    <definedName name="________ME28">[4]A.Alat!$BO$567</definedName>
    <definedName name="________ME29">[4]A.Alat!$BO$587</definedName>
    <definedName name="________ME30">[4]A.Alat!$BO$607</definedName>
    <definedName name="________ME31">[4]A.Alat!$BO$627</definedName>
    <definedName name="________ME32">[4]A.Alat!$BO$647</definedName>
    <definedName name="________ME33">[4]A.Alat!$BO$667</definedName>
    <definedName name="________ME34">[4]A.Alat!$BO$698</definedName>
    <definedName name="________MMM01">#REF!</definedName>
    <definedName name="________MMM02">#REF!</definedName>
    <definedName name="________MMM03">#REF!</definedName>
    <definedName name="________MMM04">#REF!</definedName>
    <definedName name="________MMM05">#REF!</definedName>
    <definedName name="________MMM06">#REF!</definedName>
    <definedName name="________MMM07">#REF!</definedName>
    <definedName name="________MMM08">#REF!</definedName>
    <definedName name="________MMM09">#REF!</definedName>
    <definedName name="________MMM10">#REF!</definedName>
    <definedName name="________MMM11">#REF!</definedName>
    <definedName name="________MMM12">#REF!</definedName>
    <definedName name="________MMM13">#REF!</definedName>
    <definedName name="________MMM14">#REF!</definedName>
    <definedName name="________MMM15">#REF!</definedName>
    <definedName name="________MMM16">#REF!</definedName>
    <definedName name="________MMM17">#REF!</definedName>
    <definedName name="________MMM18">#REF!</definedName>
    <definedName name="________MMM19">'[5]4-Basic Price'!$F$72</definedName>
    <definedName name="________MMM20">#REF!</definedName>
    <definedName name="________MMM21">#REF!</definedName>
    <definedName name="________MMM22">#REF!</definedName>
    <definedName name="________MMM23">#REF!</definedName>
    <definedName name="________MMM24">#REF!</definedName>
    <definedName name="________MMM25">#REF!</definedName>
    <definedName name="________MMM26">#REF!</definedName>
    <definedName name="________MMM27">#REF!</definedName>
    <definedName name="________MMM28">#REF!</definedName>
    <definedName name="________MMM29">#REF!</definedName>
    <definedName name="________MMM30">#REF!</definedName>
    <definedName name="________MMM31">#REF!</definedName>
    <definedName name="________MMM32">#REF!</definedName>
    <definedName name="________MMM33">#REF!</definedName>
    <definedName name="________MMM34">#REF!</definedName>
    <definedName name="________MMM35">#REF!</definedName>
    <definedName name="________MMM36">#REF!</definedName>
    <definedName name="________MMM37">#REF!</definedName>
    <definedName name="________MMM38">#REF!</definedName>
    <definedName name="________MMM39">#REF!</definedName>
    <definedName name="________MMM40">#REF!</definedName>
    <definedName name="________MMM41">#REF!</definedName>
    <definedName name="________MMM411">#REF!</definedName>
    <definedName name="________MMM42">#REF!</definedName>
    <definedName name="________MMM43">#REF!</definedName>
    <definedName name="________MMM44">#REF!</definedName>
    <definedName name="________MMM45">#REF!</definedName>
    <definedName name="________MMM46">#REF!</definedName>
    <definedName name="________MMM47">#REF!</definedName>
    <definedName name="________MMM48">#REF!</definedName>
    <definedName name="________MMM49">#REF!</definedName>
    <definedName name="________MMM50">#REF!</definedName>
    <definedName name="________MMM51">#REF!</definedName>
    <definedName name="________MMM52">#REF!</definedName>
    <definedName name="________MMM53">#REF!</definedName>
    <definedName name="________MMM54">#REF!</definedName>
    <definedName name="_______DIV1">#REF!</definedName>
    <definedName name="_______DIV10">#REF!</definedName>
    <definedName name="_______DIV11">[2]DKH!#REF!</definedName>
    <definedName name="_______DIV2">#REF!</definedName>
    <definedName name="_______DIV3">#REF!</definedName>
    <definedName name="_______DIV4">#REF!</definedName>
    <definedName name="_______DIV5">#REF!</definedName>
    <definedName name="_______DIV6">#REF!</definedName>
    <definedName name="_______DIV7">#REF!</definedName>
    <definedName name="_______DIV8">#REF!</definedName>
    <definedName name="_______DIV9">#REF!</definedName>
    <definedName name="_______EEE01">[4]A.Alat!$AW$8</definedName>
    <definedName name="_______EEE02">[4]A.Alat!$AW$9</definedName>
    <definedName name="_______EEE03">[4]A.Alat!$AW$10</definedName>
    <definedName name="_______EEE04">[4]A.Alat!$AW$11</definedName>
    <definedName name="_______EEE05">[4]A.Alat!$AW$12</definedName>
    <definedName name="_______EEE06">[4]A.Alat!$AW$13</definedName>
    <definedName name="_______EEE07">[4]A.Alat!$AW$14</definedName>
    <definedName name="_______EEE08">'[5]5-ALAT(1)'!$AW$15</definedName>
    <definedName name="_______EEE09">[4]A.Alat!$AW$16</definedName>
    <definedName name="_______EEE10">[4]A.Alat!$AW$17</definedName>
    <definedName name="_______EEE11">[4]A.Alat!$AW$18</definedName>
    <definedName name="_______EEE12">[4]A.Alat!$AW$19</definedName>
    <definedName name="_______EEE13">[4]A.Alat!$AW$20</definedName>
    <definedName name="_______EEE14">[4]A.Alat!$AW$21</definedName>
    <definedName name="_______EEE15">[4]A.Alat!$AW$22</definedName>
    <definedName name="_______EEE16">[4]A.Alat!$AW$23</definedName>
    <definedName name="_______EEE17">[4]A.Alat!$AW$24</definedName>
    <definedName name="_______EEE18">[4]A.Alat!$AW$25</definedName>
    <definedName name="_______EEE19">[4]A.Alat!$AW$26</definedName>
    <definedName name="_______EEE20">[4]A.Alat!$AW$27</definedName>
    <definedName name="_______EEE21">[4]A.Alat!$AW$28</definedName>
    <definedName name="_______EEE22">[4]A.Alat!$AW$29</definedName>
    <definedName name="_______EEE23">[4]A.Alat!$AW$30</definedName>
    <definedName name="_______EEE24">[4]A.Alat!$AW$31</definedName>
    <definedName name="_______EEE25">[4]A.Alat!$AW$32</definedName>
    <definedName name="_______EEE26">[4]A.Alat!$AW$33</definedName>
    <definedName name="_______EEE27">[4]A.Alat!$AW$34</definedName>
    <definedName name="_______EEE28">[4]A.Alat!$AW$35</definedName>
    <definedName name="_______EEE29">[4]A.Alat!$AW$36</definedName>
    <definedName name="_______EEE30">[4]A.Alat!$AW$37</definedName>
    <definedName name="_______EEE31">[4]A.Alat!$AW$38</definedName>
    <definedName name="_______EEE32">[4]A.Alat!$AW$39</definedName>
    <definedName name="_______EEE33">[4]A.Alat!$AW$40</definedName>
    <definedName name="_______HAL1">#REF!</definedName>
    <definedName name="_______HAL2">#REF!</definedName>
    <definedName name="_______HAL3">#REF!</definedName>
    <definedName name="_______HAL4">#REF!</definedName>
    <definedName name="_______HAL5">#REF!</definedName>
    <definedName name="_______HAL6">#REF!</definedName>
    <definedName name="_______HAL7">#REF!</definedName>
    <definedName name="_______HAL8">#REF!</definedName>
    <definedName name="_______LLL01">'[5]4-Basic Price'!$F$8</definedName>
    <definedName name="_______LLL02">#REF!</definedName>
    <definedName name="_______LLL03">'[5]4-Basic Price'!$F$10</definedName>
    <definedName name="_______LLL04">#REF!</definedName>
    <definedName name="_______LLL05">#REF!</definedName>
    <definedName name="_______LLL06">#REF!</definedName>
    <definedName name="_______LLL07">#REF!</definedName>
    <definedName name="_______LLL08">#REF!</definedName>
    <definedName name="_______LLL09">#REF!</definedName>
    <definedName name="_______LLL10">#REF!</definedName>
    <definedName name="_______LLL11">#REF!</definedName>
    <definedName name="_______MDE01">[4]A.Alat!$BO$27</definedName>
    <definedName name="_______MDE02">[4]A.Alat!$BO$47</definedName>
    <definedName name="_______MDE03">[4]A.Alat!$BO$68</definedName>
    <definedName name="_______MDE04">[4]A.Alat!$BO$88</definedName>
    <definedName name="_______MDE05">[4]A.Alat!$BO$108</definedName>
    <definedName name="_______MDE06">[4]A.Alat!$BO$128</definedName>
    <definedName name="_______MDE07">[4]A.Alat!$BO$148</definedName>
    <definedName name="_______MDE08">[4]A.Alat!$BO$168</definedName>
    <definedName name="_______MDE09">[4]A.Alat!$BO$188</definedName>
    <definedName name="_______MDE10">[4]A.Alat!$BO$208</definedName>
    <definedName name="_______MDE11">[4]A.Alat!$BO$228</definedName>
    <definedName name="_______MDE12">[4]A.Alat!$BO$248</definedName>
    <definedName name="_______MDE13">[4]A.Alat!$BO$268</definedName>
    <definedName name="_______MDE14">[4]A.Alat!$BO$288</definedName>
    <definedName name="_______MDE15">[4]A.Alat!$BO$308</definedName>
    <definedName name="_______MDE16">[4]A.Alat!$BO$328</definedName>
    <definedName name="_______MDE17">[4]A.Alat!$BO$348</definedName>
    <definedName name="_______MDE18">[4]A.Alat!$BO$368</definedName>
    <definedName name="_______MDE19">[4]A.Alat!$BO$388</definedName>
    <definedName name="_______MDE20">[4]A.Alat!$BO$408</definedName>
    <definedName name="_______MDE21">[4]A.Alat!$BO$428</definedName>
    <definedName name="_______MDE22">[4]A.Alat!$BO$448</definedName>
    <definedName name="_______MDE23">[4]A.Alat!$BO$468</definedName>
    <definedName name="_______MDE24">[4]A.Alat!$BO$488</definedName>
    <definedName name="_______MDE25">[4]A.Alat!$BO$508</definedName>
    <definedName name="_______MDE26">[4]A.Alat!$BO$528</definedName>
    <definedName name="_______MDE27">[4]A.Alat!$BO$548</definedName>
    <definedName name="_______MDE28">[4]A.Alat!$BO$568</definedName>
    <definedName name="_______MDE29">[4]A.Alat!$BO$588</definedName>
    <definedName name="_______MDE30">[4]A.Alat!$BO$608</definedName>
    <definedName name="_______MDE31">[4]A.Alat!$BO$628</definedName>
    <definedName name="_______MDE32">[4]A.Alat!$BO$648</definedName>
    <definedName name="_______MDE33">[4]A.Alat!$BO$668</definedName>
    <definedName name="_______MDE34">[4]A.Alat!$BO$699</definedName>
    <definedName name="_______ME01">[4]A.Alat!$BO$26</definedName>
    <definedName name="_______ME02">[4]A.Alat!$BO$46</definedName>
    <definedName name="_______ME03">[4]A.Alat!$BO$67</definedName>
    <definedName name="_______ME04">[4]A.Alat!$BO$87</definedName>
    <definedName name="_______ME05">[4]A.Alat!$BO$107</definedName>
    <definedName name="_______ME06">[4]A.Alat!$BO$127</definedName>
    <definedName name="_______ME07">[4]A.Alat!$BO$147</definedName>
    <definedName name="_______ME08">[4]A.Alat!$BO$167</definedName>
    <definedName name="_______ME09">[4]A.Alat!$BO$187</definedName>
    <definedName name="_______ME10">[4]A.Alat!$BO$207</definedName>
    <definedName name="_______ME11">[4]A.Alat!$BO$227</definedName>
    <definedName name="_______ME12">[4]A.Alat!$BO$247</definedName>
    <definedName name="_______ME13">[4]A.Alat!$BO$267</definedName>
    <definedName name="_______ME14">[4]A.Alat!$BO$287</definedName>
    <definedName name="_______ME15">[4]A.Alat!$BO$307</definedName>
    <definedName name="_______ME16">[4]A.Alat!$BO$327</definedName>
    <definedName name="_______ME17">[4]A.Alat!$BO$347</definedName>
    <definedName name="_______ME18">[4]A.Alat!$BO$367</definedName>
    <definedName name="_______ME19">[4]A.Alat!$BO$387</definedName>
    <definedName name="_______ME20">[4]A.Alat!$BO$407</definedName>
    <definedName name="_______ME21">[4]A.Alat!$BO$427</definedName>
    <definedName name="_______ME22">[4]A.Alat!$BO$447</definedName>
    <definedName name="_______ME23">[4]A.Alat!$BO$467</definedName>
    <definedName name="_______ME24">[4]A.Alat!$BO$487</definedName>
    <definedName name="_______ME25">[4]A.Alat!$BO$507</definedName>
    <definedName name="_______ME26">[4]A.Alat!$BO$527</definedName>
    <definedName name="_______ME27">[4]A.Alat!$BO$547</definedName>
    <definedName name="_______ME28">[4]A.Alat!$BO$567</definedName>
    <definedName name="_______ME29">[4]A.Alat!$BO$587</definedName>
    <definedName name="_______ME30">[4]A.Alat!$BO$607</definedName>
    <definedName name="_______ME31">[4]A.Alat!$BO$627</definedName>
    <definedName name="_______ME32">[4]A.Alat!$BO$647</definedName>
    <definedName name="_______ME33">[4]A.Alat!$BO$667</definedName>
    <definedName name="_______ME34">[4]A.Alat!$BO$698</definedName>
    <definedName name="_______MMM01">#REF!</definedName>
    <definedName name="_______MMM02">#REF!</definedName>
    <definedName name="_______MMM03">'[5]4-Basic Price'!$F$53</definedName>
    <definedName name="_______MMM04">#REF!</definedName>
    <definedName name="_______MMM05">#REF!</definedName>
    <definedName name="_______MMM06">#REF!</definedName>
    <definedName name="_______MMM07">#REF!</definedName>
    <definedName name="_______MMM08">#REF!</definedName>
    <definedName name="_______MMM09">#REF!</definedName>
    <definedName name="_______MMM10">#REF!</definedName>
    <definedName name="_______MMM11">#REF!</definedName>
    <definedName name="_______MMM12">#REF!</definedName>
    <definedName name="_______MMM13">#REF!</definedName>
    <definedName name="_______MMM14">#REF!</definedName>
    <definedName name="_______MMM15">#REF!</definedName>
    <definedName name="_______MMM16">#REF!</definedName>
    <definedName name="_______MMM17">#REF!</definedName>
    <definedName name="_______MMM18">'[5]4-Basic Price'!$F$71</definedName>
    <definedName name="_______MMM19">'[6]4-Basic Price'!$F$71</definedName>
    <definedName name="_______MMM20">#REF!</definedName>
    <definedName name="_______MMM21">#REF!</definedName>
    <definedName name="_______MMM22">#REF!</definedName>
    <definedName name="_______MMM23">#REF!</definedName>
    <definedName name="_______MMM24">#REF!</definedName>
    <definedName name="_______MMM25">#REF!</definedName>
    <definedName name="_______MMM26">#REF!</definedName>
    <definedName name="_______MMM27">#REF!</definedName>
    <definedName name="_______MMM28">#REF!</definedName>
    <definedName name="_______MMM29">#REF!</definedName>
    <definedName name="_______MMM30">#REF!</definedName>
    <definedName name="_______MMM31">#REF!</definedName>
    <definedName name="_______MMM32">#REF!</definedName>
    <definedName name="_______MMM33">#REF!</definedName>
    <definedName name="_______MMM34">#REF!</definedName>
    <definedName name="_______MMM35">#REF!</definedName>
    <definedName name="_______MMM36">#REF!</definedName>
    <definedName name="_______MMM37">#REF!</definedName>
    <definedName name="_______MMM38">#REF!</definedName>
    <definedName name="_______MMM39">'[5]4-Basic Price'!$F$92</definedName>
    <definedName name="_______MMM40">#REF!</definedName>
    <definedName name="_______MMM41">#REF!</definedName>
    <definedName name="_______MMM411">#REF!</definedName>
    <definedName name="_______MMM42">#REF!</definedName>
    <definedName name="_______MMM43">#REF!</definedName>
    <definedName name="_______MMM44">#REF!</definedName>
    <definedName name="_______MMM45">#REF!</definedName>
    <definedName name="_______MMM46">#REF!</definedName>
    <definedName name="_______MMM47">#REF!</definedName>
    <definedName name="_______MMM48">#REF!</definedName>
    <definedName name="_______MMM49">#REF!</definedName>
    <definedName name="_______MMM50">#REF!</definedName>
    <definedName name="_______MMM51">#REF!</definedName>
    <definedName name="_______MMM52">#REF!</definedName>
    <definedName name="_______MMM53">#REF!</definedName>
    <definedName name="_______MMM54">#REF!</definedName>
    <definedName name="_______pvc1">[3]upah!#REF!</definedName>
    <definedName name="_______pvc12">[3]upah!#REF!</definedName>
    <definedName name="_______pvc34">[3]upah!#REF!</definedName>
    <definedName name="_______pvc4">[3]upah!#REF!</definedName>
    <definedName name="______EEE06">'[5]5-ALAT(1)'!$AW$13</definedName>
    <definedName name="______EEE08">'[6]5-ALAT(1)'!$AW$15</definedName>
    <definedName name="______EEE10">'[5]5-ALAT(1)'!$AW$17</definedName>
    <definedName name="______EEE17">'[5]5-ALAT(1)'!$AW$24</definedName>
    <definedName name="______EEE23">'[5]5-ALAT(1)'!$AW$30</definedName>
    <definedName name="______LLL01">'[6]4-Basic Price'!$F$8</definedName>
    <definedName name="______LLL02">'[5]4-Basic Price'!$F$9</definedName>
    <definedName name="______LLL03">'[6]4-Basic Price'!$F$10</definedName>
    <definedName name="______MMM03">'[6]4-Basic Price'!$F$53</definedName>
    <definedName name="______MMM18">'[6]4-Basic Price'!$F$70</definedName>
    <definedName name="______MMM19">#REF!</definedName>
    <definedName name="______MMM27">'[5]4-Basic Price'!$F$80</definedName>
    <definedName name="______MMM37">'[5]4-Basic Price'!$F$91</definedName>
    <definedName name="______MMM39">'[6]4-Basic Price'!$F$91</definedName>
    <definedName name="_____DIV1">#REF!</definedName>
    <definedName name="_____DIV10">#REF!</definedName>
    <definedName name="_____DIV11">[2]DKH!#REF!</definedName>
    <definedName name="_____DIV2">#REF!</definedName>
    <definedName name="_____DIV3">#REF!</definedName>
    <definedName name="_____DIV4">#REF!</definedName>
    <definedName name="_____DIV5">#REF!</definedName>
    <definedName name="_____DIV6">#REF!</definedName>
    <definedName name="_____DIV7">#REF!</definedName>
    <definedName name="_____DIV8">#REF!</definedName>
    <definedName name="_____DIV9">#REF!</definedName>
    <definedName name="_____EEE01">[4]A.Alat!$AW$8</definedName>
    <definedName name="_____EEE02">'[5]5-ALAT(1)'!$AW$9</definedName>
    <definedName name="_____EEE03">[4]A.Alat!$AW$10</definedName>
    <definedName name="_____EEE04">[4]A.Alat!$AW$11</definedName>
    <definedName name="_____EEE05">[4]A.Alat!$AW$12</definedName>
    <definedName name="_____EEE06">'[6]5-ALAT(1)'!$AW$13</definedName>
    <definedName name="_____EEE07">'[5]5-ALAT(1)'!$AW$14</definedName>
    <definedName name="_____EEE08">'[5]5-ALAT(1)'!$AW$15</definedName>
    <definedName name="_____EEE09">[4]A.Alat!$AW$16</definedName>
    <definedName name="_____EEE10">'[6]5-ALAT(1)'!$AW$17</definedName>
    <definedName name="_____EEE11">[4]A.Alat!$AW$18</definedName>
    <definedName name="_____EEE12">[4]A.Alat!$AW$19</definedName>
    <definedName name="_____EEE13">'[5]5-ALAT(1)'!$AW$20</definedName>
    <definedName name="_____EEE14">[4]A.Alat!$AW$21</definedName>
    <definedName name="_____EEE15">[4]A.Alat!$AW$22</definedName>
    <definedName name="_____EEE16">[4]A.Alat!$AW$23</definedName>
    <definedName name="_____EEE17">'[6]5-ALAT(1)'!$AW$24</definedName>
    <definedName name="_____EEE18">[4]A.Alat!$AW$25</definedName>
    <definedName name="_____EEE19">'[5]5-ALAT(1)'!$AW$26</definedName>
    <definedName name="_____EEE20">[4]A.Alat!$AW$27</definedName>
    <definedName name="_____EEE21">[4]A.Alat!$AW$28</definedName>
    <definedName name="_____EEE22">[4]A.Alat!$AW$29</definedName>
    <definedName name="_____EEE23">'[6]5-ALAT(1)'!$AW$30</definedName>
    <definedName name="_____EEE24">[4]A.Alat!$AW$31</definedName>
    <definedName name="_____EEE25">[4]A.Alat!$AW$32</definedName>
    <definedName name="_____EEE26">[4]A.Alat!$AW$33</definedName>
    <definedName name="_____EEE27">[4]A.Alat!$AW$34</definedName>
    <definedName name="_____EEE28">[4]A.Alat!$AW$35</definedName>
    <definedName name="_____EEE29">[4]A.Alat!$AW$36</definedName>
    <definedName name="_____EEE30">[4]A.Alat!$AW$37</definedName>
    <definedName name="_____EEE31">[4]A.Alat!$AW$38</definedName>
    <definedName name="_____EEE32">[4]A.Alat!$AW$39</definedName>
    <definedName name="_____EEE33">[4]A.Alat!$AW$40</definedName>
    <definedName name="_____HAL1">#REF!</definedName>
    <definedName name="_____HAL2">#REF!</definedName>
    <definedName name="_____HAL3">#REF!</definedName>
    <definedName name="_____HAL4">#REF!</definedName>
    <definedName name="_____HAL5">#REF!</definedName>
    <definedName name="_____HAL6">#REF!</definedName>
    <definedName name="_____HAL7">#REF!</definedName>
    <definedName name="_____HAL8">#REF!</definedName>
    <definedName name="_____LLL01">#REF!</definedName>
    <definedName name="_____LLL02">'[6]4-Basic Price'!$F$9</definedName>
    <definedName name="_____LLL03">#REF!</definedName>
    <definedName name="_____LLL04">#REF!</definedName>
    <definedName name="_____LLL05">#REF!</definedName>
    <definedName name="_____LLL06">#REF!</definedName>
    <definedName name="_____LLL07">#REF!</definedName>
    <definedName name="_____LLL08">#REF!</definedName>
    <definedName name="_____LLL09">#REF!</definedName>
    <definedName name="_____LLL10">#REF!</definedName>
    <definedName name="_____LLL11">#REF!</definedName>
    <definedName name="_____MDE01">[4]A.Alat!$BO$27</definedName>
    <definedName name="_____MDE02">[4]A.Alat!$BO$47</definedName>
    <definedName name="_____MDE03">[4]A.Alat!$BO$68</definedName>
    <definedName name="_____MDE04">[4]A.Alat!$BO$88</definedName>
    <definedName name="_____MDE05">[4]A.Alat!$BO$108</definedName>
    <definedName name="_____MDE06">[4]A.Alat!$BO$128</definedName>
    <definedName name="_____MDE07">[4]A.Alat!$BO$148</definedName>
    <definedName name="_____MDE08">[4]A.Alat!$BO$168</definedName>
    <definedName name="_____MDE09">[4]A.Alat!$BO$188</definedName>
    <definedName name="_____MDE10">[4]A.Alat!$BO$208</definedName>
    <definedName name="_____MDE11">[4]A.Alat!$BO$228</definedName>
    <definedName name="_____MDE12">[4]A.Alat!$BO$248</definedName>
    <definedName name="_____MDE13">[4]A.Alat!$BO$268</definedName>
    <definedName name="_____MDE14">[4]A.Alat!$BO$288</definedName>
    <definedName name="_____MDE15">[4]A.Alat!$BO$308</definedName>
    <definedName name="_____MDE16">[4]A.Alat!$BO$328</definedName>
    <definedName name="_____MDE17">[4]A.Alat!$BO$348</definedName>
    <definedName name="_____MDE18">[4]A.Alat!$BO$368</definedName>
    <definedName name="_____MDE19">[4]A.Alat!$BO$388</definedName>
    <definedName name="_____MDE20">[4]A.Alat!$BO$408</definedName>
    <definedName name="_____MDE21">[4]A.Alat!$BO$428</definedName>
    <definedName name="_____MDE22">[4]A.Alat!$BO$448</definedName>
    <definedName name="_____MDE23">[4]A.Alat!$BO$468</definedName>
    <definedName name="_____MDE24">[4]A.Alat!$BO$488</definedName>
    <definedName name="_____MDE25">[4]A.Alat!$BO$508</definedName>
    <definedName name="_____MDE26">[4]A.Alat!$BO$528</definedName>
    <definedName name="_____MDE27">[4]A.Alat!$BO$548</definedName>
    <definedName name="_____MDE28">[4]A.Alat!$BO$568</definedName>
    <definedName name="_____MDE29">[4]A.Alat!$BO$588</definedName>
    <definedName name="_____MDE30">[4]A.Alat!$BO$608</definedName>
    <definedName name="_____MDE31">[4]A.Alat!$BO$628</definedName>
    <definedName name="_____MDE32">[4]A.Alat!$BO$648</definedName>
    <definedName name="_____MDE33">[4]A.Alat!$BO$668</definedName>
    <definedName name="_____MDE34">[4]A.Alat!$BO$699</definedName>
    <definedName name="_____ME01">[4]A.Alat!$BO$26</definedName>
    <definedName name="_____ME02">[4]A.Alat!$BO$46</definedName>
    <definedName name="_____ME03">[4]A.Alat!$BO$67</definedName>
    <definedName name="_____ME04">[4]A.Alat!$BO$87</definedName>
    <definedName name="_____ME05">[4]A.Alat!$BO$107</definedName>
    <definedName name="_____ME06">[4]A.Alat!$BO$127</definedName>
    <definedName name="_____ME07">[4]A.Alat!$BO$147</definedName>
    <definedName name="_____ME08">[4]A.Alat!$BO$167</definedName>
    <definedName name="_____ME09">[4]A.Alat!$BO$187</definedName>
    <definedName name="_____ME10">[4]A.Alat!$BO$207</definedName>
    <definedName name="_____ME11">[4]A.Alat!$BO$227</definedName>
    <definedName name="_____ME12">[4]A.Alat!$BO$247</definedName>
    <definedName name="_____ME13">[4]A.Alat!$BO$267</definedName>
    <definedName name="_____ME14">[4]A.Alat!$BO$287</definedName>
    <definedName name="_____ME15">[4]A.Alat!$BO$307</definedName>
    <definedName name="_____ME16">[4]A.Alat!$BO$327</definedName>
    <definedName name="_____ME17">[4]A.Alat!$BO$347</definedName>
    <definedName name="_____ME18">[4]A.Alat!$BO$367</definedName>
    <definedName name="_____ME19">[4]A.Alat!$BO$387</definedName>
    <definedName name="_____ME20">[4]A.Alat!$BO$407</definedName>
    <definedName name="_____ME21">[4]A.Alat!$BO$427</definedName>
    <definedName name="_____ME22">[4]A.Alat!$BO$447</definedName>
    <definedName name="_____ME23">[4]A.Alat!$BO$467</definedName>
    <definedName name="_____ME24">[4]A.Alat!$BO$487</definedName>
    <definedName name="_____ME25">[4]A.Alat!$BO$507</definedName>
    <definedName name="_____ME26">[4]A.Alat!$BO$527</definedName>
    <definedName name="_____ME27">[4]A.Alat!$BO$547</definedName>
    <definedName name="_____ME28">[4]A.Alat!$BO$567</definedName>
    <definedName name="_____ME29">[4]A.Alat!$BO$587</definedName>
    <definedName name="_____ME30">[4]A.Alat!$BO$607</definedName>
    <definedName name="_____ME31">[4]A.Alat!$BO$627</definedName>
    <definedName name="_____ME32">[4]A.Alat!$BO$647</definedName>
    <definedName name="_____ME33">[4]A.Alat!$BO$667</definedName>
    <definedName name="_____ME34">[4]A.Alat!$BO$698</definedName>
    <definedName name="_____MMM01">#REF!</definedName>
    <definedName name="_____MMM02">#REF!</definedName>
    <definedName name="_____MMM03">#REF!</definedName>
    <definedName name="_____MMM04">#REF!</definedName>
    <definedName name="_____MMM05">#REF!</definedName>
    <definedName name="_____MMM06">#REF!</definedName>
    <definedName name="_____MMM07">#REF!</definedName>
    <definedName name="_____MMM08">#REF!</definedName>
    <definedName name="_____MMM09">#REF!</definedName>
    <definedName name="_____MMM10">'[5]4-Basic Price'!$F$60</definedName>
    <definedName name="_____MMM11">'[5]4-Basic Price'!$F$62</definedName>
    <definedName name="_____MMM12">#REF!</definedName>
    <definedName name="_____MMM13">#REF!</definedName>
    <definedName name="_____MMM14">#REF!</definedName>
    <definedName name="_____MMM15">#REF!</definedName>
    <definedName name="_____MMM16">#REF!</definedName>
    <definedName name="_____MMM17">#REF!</definedName>
    <definedName name="_____MMM18">#REF!</definedName>
    <definedName name="_____MMM19">#REF!</definedName>
    <definedName name="_____MMM20">#REF!</definedName>
    <definedName name="_____MMM21">#REF!</definedName>
    <definedName name="_____MMM22">#REF!</definedName>
    <definedName name="_____MMM23">#REF!</definedName>
    <definedName name="_____MMM24">#REF!</definedName>
    <definedName name="_____MMM25">#REF!</definedName>
    <definedName name="_____MMM26">'[5]4-Basic Price'!$F$79</definedName>
    <definedName name="_____MMM27">'[6]4-Basic Price'!$F$79</definedName>
    <definedName name="_____MMM28">#REF!</definedName>
    <definedName name="_____MMM29">#REF!</definedName>
    <definedName name="_____MMM30">#REF!</definedName>
    <definedName name="_____MMM31">#REF!</definedName>
    <definedName name="_____MMM32">#REF!</definedName>
    <definedName name="_____MMM33">#REF!</definedName>
    <definedName name="_____MMM34">#REF!</definedName>
    <definedName name="_____MMM35">#REF!</definedName>
    <definedName name="_____MMM36">#REF!</definedName>
    <definedName name="_____MMM37">'[6]4-Basic Price'!$F$90</definedName>
    <definedName name="_____MMM38">#REF!</definedName>
    <definedName name="_____MMM39">#REF!</definedName>
    <definedName name="_____MMM40">#REF!</definedName>
    <definedName name="_____MMM41">#REF!</definedName>
    <definedName name="_____MMM411">#REF!</definedName>
    <definedName name="_____MMM42">#REF!</definedName>
    <definedName name="_____MMM43">#REF!</definedName>
    <definedName name="_____MMM44">'[5]4-Basic Price'!$F$99</definedName>
    <definedName name="_____MMM45">#REF!</definedName>
    <definedName name="_____MMM46">#REF!</definedName>
    <definedName name="_____MMM47">#REF!</definedName>
    <definedName name="_____MMM48">#REF!</definedName>
    <definedName name="_____MMM49">#REF!</definedName>
    <definedName name="_____MMM50">#REF!</definedName>
    <definedName name="_____MMM51">#REF!</definedName>
    <definedName name="_____MMM52">#REF!</definedName>
    <definedName name="_____MMM53">#REF!</definedName>
    <definedName name="_____MMM54">#REF!</definedName>
    <definedName name="_____pvc1">[3]upah!#REF!</definedName>
    <definedName name="_____pvc12">[3]upah!#REF!</definedName>
    <definedName name="_____pvc34">[3]upah!#REF!</definedName>
    <definedName name="_____pvc4">[3]upah!#REF!</definedName>
    <definedName name="____DIV1">[5]BOQ!$G$28</definedName>
    <definedName name="____DIV10">[5]BOQ!$G$378</definedName>
    <definedName name="____DIV11">#REF!</definedName>
    <definedName name="____DIV2">[5]BOQ!$G$53</definedName>
    <definedName name="____DIV3">[5]BOQ!$G$76</definedName>
    <definedName name="____DIV4">#REF!</definedName>
    <definedName name="____DIV5">[5]BOQ!$G$108</definedName>
    <definedName name="____DIV6">[5]BOQ!$G$158</definedName>
    <definedName name="____DIV7">[5]BOQ!$G$283</definedName>
    <definedName name="____DIV8">[5]BOQ!$G$341</definedName>
    <definedName name="____DIV9">[5]BOQ!$G$367</definedName>
    <definedName name="____EEE01">[4]A.Alat!$AW$8</definedName>
    <definedName name="____EEE02">'[6]5-ALAT(1)'!$AW$9</definedName>
    <definedName name="____EEE03">[4]A.Alat!$AW$10</definedName>
    <definedName name="____EEE04">[4]A.Alat!$AW$11</definedName>
    <definedName name="____EEE05">'[5]5-ALAT(1)'!$AW$12</definedName>
    <definedName name="____EEE06">'[5]5-ALAT(1)'!$AW$13</definedName>
    <definedName name="____EEE07">'[6]5-ALAT(1)'!$AW$14</definedName>
    <definedName name="____EEE08">#REF!</definedName>
    <definedName name="____EEE09">'[5]5-ALAT(1)'!$AW$16</definedName>
    <definedName name="____EEE10">'[5]5-ALAT(1)'!$AW$17</definedName>
    <definedName name="____EEE11">'[5]5-ALAT(1)'!$AW$18</definedName>
    <definedName name="____EEE12">[4]A.Alat!$AW$19</definedName>
    <definedName name="____EEE13">'[6]5-ALAT(1)'!$AW$20</definedName>
    <definedName name="____EEE14">[4]A.Alat!$AW$21</definedName>
    <definedName name="____EEE15">'[5]5-ALAT(1)'!$AW$22</definedName>
    <definedName name="____EEE16">'[5]5-ALAT(1)'!$AW$23</definedName>
    <definedName name="____EEE17">'[5]5-ALAT(1)'!$AW$24</definedName>
    <definedName name="____EEE18">[4]A.Alat!$AW$25</definedName>
    <definedName name="____EEE19">'[6]5-ALAT(1)'!$AW$26</definedName>
    <definedName name="____EEE20">[4]A.Alat!$AW$27</definedName>
    <definedName name="____EEE21">[4]A.Alat!$AW$28</definedName>
    <definedName name="____EEE22">#REF!</definedName>
    <definedName name="____EEE23">'[5]5-ALAT(1)'!$AW$30</definedName>
    <definedName name="____EEE24">[4]A.Alat!$AW$31</definedName>
    <definedName name="____EEE25">[4]A.Alat!$AW$32</definedName>
    <definedName name="____EEE26">[4]A.Alat!$AW$33</definedName>
    <definedName name="____EEE27">'[5]5-ALAT(1)'!$AW$34</definedName>
    <definedName name="____EEE28">[4]A.Alat!$AW$35</definedName>
    <definedName name="____EEE29">'[5]5-ALAT(1)'!$AW$36</definedName>
    <definedName name="____EEE30">[4]A.Alat!$AW$37</definedName>
    <definedName name="____EEE31">'[5]5-ALAT(1)'!$AW$38</definedName>
    <definedName name="____EEE32">[4]A.Alat!$AW$39</definedName>
    <definedName name="____EEE33">[4]A.Alat!$AW$40</definedName>
    <definedName name="____HAL1">#REF!</definedName>
    <definedName name="____HAL2">#REF!</definedName>
    <definedName name="____HAL3">#REF!</definedName>
    <definedName name="____HAL4">#REF!</definedName>
    <definedName name="____HAL5">#REF!</definedName>
    <definedName name="____HAL6">#REF!</definedName>
    <definedName name="____HAL7">#REF!</definedName>
    <definedName name="____HAL8">#REF!</definedName>
    <definedName name="____LLL01">#REF!</definedName>
    <definedName name="____LLL02">#REF!</definedName>
    <definedName name="____LLL03">#REF!</definedName>
    <definedName name="____LLL04">#REF!</definedName>
    <definedName name="____LLL05">#REF!</definedName>
    <definedName name="____LLL06">#REF!</definedName>
    <definedName name="____LLL07">#REF!</definedName>
    <definedName name="____LLL08">#REF!</definedName>
    <definedName name="____LLL09">#REF!</definedName>
    <definedName name="____LLL10">#REF!</definedName>
    <definedName name="____LLL11">#REF!</definedName>
    <definedName name="____MDE01">[4]A.Alat!$BO$27</definedName>
    <definedName name="____MDE02">[4]A.Alat!$BO$47</definedName>
    <definedName name="____MDE03">[4]A.Alat!$BO$68</definedName>
    <definedName name="____MDE04">[4]A.Alat!$BO$88</definedName>
    <definedName name="____MDE05">[4]A.Alat!$BO$108</definedName>
    <definedName name="____MDE06">[4]A.Alat!$BO$128</definedName>
    <definedName name="____MDE07">[4]A.Alat!$BO$148</definedName>
    <definedName name="____MDE08">[4]A.Alat!$BO$168</definedName>
    <definedName name="____MDE09">[4]A.Alat!$BO$188</definedName>
    <definedName name="____MDE10">[4]A.Alat!$BO$208</definedName>
    <definedName name="____MDE11">[4]A.Alat!$BO$228</definedName>
    <definedName name="____MDE12">[4]A.Alat!$BO$248</definedName>
    <definedName name="____MDE13">[4]A.Alat!$BO$268</definedName>
    <definedName name="____MDE14">[4]A.Alat!$BO$288</definedName>
    <definedName name="____MDE15">[4]A.Alat!$BO$308</definedName>
    <definedName name="____MDE16">[4]A.Alat!$BO$328</definedName>
    <definedName name="____MDE17">[4]A.Alat!$BO$348</definedName>
    <definedName name="____MDE18">[4]A.Alat!$BO$368</definedName>
    <definedName name="____MDE19">[4]A.Alat!$BO$388</definedName>
    <definedName name="____MDE20">[4]A.Alat!$BO$408</definedName>
    <definedName name="____MDE21">[4]A.Alat!$BO$428</definedName>
    <definedName name="____MDE22">[4]A.Alat!$BO$448</definedName>
    <definedName name="____MDE23">[4]A.Alat!$BO$468</definedName>
    <definedName name="____MDE24">[4]A.Alat!$BO$488</definedName>
    <definedName name="____MDE25">[4]A.Alat!$BO$508</definedName>
    <definedName name="____MDE26">[4]A.Alat!$BO$528</definedName>
    <definedName name="____MDE27">[4]A.Alat!$BO$548</definedName>
    <definedName name="____MDE28">[4]A.Alat!$BO$568</definedName>
    <definedName name="____MDE29">[4]A.Alat!$BO$588</definedName>
    <definedName name="____MDE30">[4]A.Alat!$BO$608</definedName>
    <definedName name="____MDE31">[4]A.Alat!$BO$628</definedName>
    <definedName name="____MDE32">[4]A.Alat!$BO$648</definedName>
    <definedName name="____MDE33">[4]A.Alat!$BO$668</definedName>
    <definedName name="____MDE34">[4]A.Alat!$BO$699</definedName>
    <definedName name="____ME01">[4]A.Alat!$BO$26</definedName>
    <definedName name="____ME02">[4]A.Alat!$BO$46</definedName>
    <definedName name="____ME03">[4]A.Alat!$BO$67</definedName>
    <definedName name="____ME04">[4]A.Alat!$BO$87</definedName>
    <definedName name="____ME05">[4]A.Alat!$BO$107</definedName>
    <definedName name="____ME06">[4]A.Alat!$BO$127</definedName>
    <definedName name="____ME07">[4]A.Alat!$BO$147</definedName>
    <definedName name="____ME08">[4]A.Alat!$BO$167</definedName>
    <definedName name="____ME09">[4]A.Alat!$BO$187</definedName>
    <definedName name="____ME10">[4]A.Alat!$BO$207</definedName>
    <definedName name="____ME11">[4]A.Alat!$BO$227</definedName>
    <definedName name="____ME12">[4]A.Alat!$BO$247</definedName>
    <definedName name="____ME13">[4]A.Alat!$BO$267</definedName>
    <definedName name="____ME14">[4]A.Alat!$BO$287</definedName>
    <definedName name="____ME15">[4]A.Alat!$BO$307</definedName>
    <definedName name="____ME16">[4]A.Alat!$BO$327</definedName>
    <definedName name="____ME17">[4]A.Alat!$BO$347</definedName>
    <definedName name="____ME18">[4]A.Alat!$BO$367</definedName>
    <definedName name="____ME19">[4]A.Alat!$BO$387</definedName>
    <definedName name="____ME20">[4]A.Alat!$BO$407</definedName>
    <definedName name="____ME21">[4]A.Alat!$BO$427</definedName>
    <definedName name="____ME22">[4]A.Alat!$BO$447</definedName>
    <definedName name="____ME23">[4]A.Alat!$BO$467</definedName>
    <definedName name="____ME24">[4]A.Alat!$BO$487</definedName>
    <definedName name="____ME25">[4]A.Alat!$BO$507</definedName>
    <definedName name="____ME26">[4]A.Alat!$BO$527</definedName>
    <definedName name="____ME27">[4]A.Alat!$BO$547</definedName>
    <definedName name="____ME28">[4]A.Alat!$BO$567</definedName>
    <definedName name="____ME29">[4]A.Alat!$BO$587</definedName>
    <definedName name="____ME30">[4]A.Alat!$BO$607</definedName>
    <definedName name="____ME31">[4]A.Alat!$BO$627</definedName>
    <definedName name="____ME32">[4]A.Alat!$BO$647</definedName>
    <definedName name="____ME33">[4]A.Alat!$BO$667</definedName>
    <definedName name="____ME34">[4]A.Alat!$BO$698</definedName>
    <definedName name="____MMM01">#REF!</definedName>
    <definedName name="____MMM02">#REF!</definedName>
    <definedName name="____MMM03">#REF!</definedName>
    <definedName name="____MMM04">'[5]4-Basic Price'!$F$54</definedName>
    <definedName name="____MMM05">#REF!</definedName>
    <definedName name="____MMM06">#REF!</definedName>
    <definedName name="____MMM07">#REF!</definedName>
    <definedName name="____MMM08">#REF!</definedName>
    <definedName name="____MMM09">#REF!</definedName>
    <definedName name="____MMM10">'[6]4-Basic Price'!$F$60</definedName>
    <definedName name="____MMM11">'[6]4-Basic Price'!$F$61</definedName>
    <definedName name="____MMM12">#REF!</definedName>
    <definedName name="____MMM13">#REF!</definedName>
    <definedName name="____MMM14">#REF!</definedName>
    <definedName name="____MMM15">#REF!</definedName>
    <definedName name="____MMM16">'[5]4-Basic Price'!$F$68</definedName>
    <definedName name="____MMM17">#REF!</definedName>
    <definedName name="____MMM18">#REF!</definedName>
    <definedName name="____MMM19">#REF!</definedName>
    <definedName name="____MMM20">#REF!</definedName>
    <definedName name="____MMM21">#REF!</definedName>
    <definedName name="____MMM22">#REF!</definedName>
    <definedName name="____MMM23">#REF!</definedName>
    <definedName name="____MMM24">#REF!</definedName>
    <definedName name="____MMM25">#REF!</definedName>
    <definedName name="____MMM26">'[6]4-Basic Price'!$F$78</definedName>
    <definedName name="____MMM27">#REF!</definedName>
    <definedName name="____MMM28">#REF!</definedName>
    <definedName name="____MMM29">#REF!</definedName>
    <definedName name="____MMM30">#REF!</definedName>
    <definedName name="____MMM31">#REF!</definedName>
    <definedName name="____MMM32">#REF!</definedName>
    <definedName name="____MMM33">#REF!</definedName>
    <definedName name="____MMM34">#REF!</definedName>
    <definedName name="____MMM35">#REF!</definedName>
    <definedName name="____MMM36">#REF!</definedName>
    <definedName name="____MMM37">#REF!</definedName>
    <definedName name="____MMM38">'[6]4-Basic Price'!#REF!</definedName>
    <definedName name="____MMM39">#REF!</definedName>
    <definedName name="____MMM40">#REF!</definedName>
    <definedName name="____MMM41">#REF!</definedName>
    <definedName name="____MMM411">#REF!</definedName>
    <definedName name="____MMM42">#REF!</definedName>
    <definedName name="____MMM43">#REF!</definedName>
    <definedName name="____MMM44">'[6]4-Basic Price'!$F$98</definedName>
    <definedName name="____MMM45">#REF!</definedName>
    <definedName name="____MMM46">#REF!</definedName>
    <definedName name="____MMM47">'[5]4-Basic Price'!$F$102</definedName>
    <definedName name="____MMM48">'[5]4-Basic Price'!$F$103</definedName>
    <definedName name="____MMM49">#REF!</definedName>
    <definedName name="____MMM50">#REF!</definedName>
    <definedName name="____MMM51">#REF!</definedName>
    <definedName name="____MMM52">#REF!</definedName>
    <definedName name="____MMM53">#REF!</definedName>
    <definedName name="____MMM54">#REF!</definedName>
    <definedName name="____pvc1">[3]upah!#REF!</definedName>
    <definedName name="____pvc12">[3]upah!#REF!</definedName>
    <definedName name="____pvc34">[3]upah!#REF!</definedName>
    <definedName name="____pvc4">[3]upah!#REF!</definedName>
    <definedName name="___ahu100">#REF!</definedName>
    <definedName name="___ahu150">#REF!</definedName>
    <definedName name="___DIV1">[6]BOQ!$G$19</definedName>
    <definedName name="___DIV10">[6]BOQ!$G$312</definedName>
    <definedName name="___DIV11">#REF!</definedName>
    <definedName name="___DIV2">[6]BOQ!$G$37</definedName>
    <definedName name="___DIV3">[6]BOQ!$G$60</definedName>
    <definedName name="___DIV4">[6]BOQ!$G$73</definedName>
    <definedName name="___DIV5">[6]BOQ!$G$86</definedName>
    <definedName name="___DIV6">[6]BOQ!$G$124</definedName>
    <definedName name="___DIV7">[6]BOQ!$G$225</definedName>
    <definedName name="___DIV8">[6]BOQ!$G$275</definedName>
    <definedName name="___DIV9">[6]BOQ!$G$301</definedName>
    <definedName name="___EEE01">[4]A.Alat!$AW$8</definedName>
    <definedName name="___EEE02">'[5]5-ALAT(1)'!$AW$9</definedName>
    <definedName name="___EEE03">[4]A.Alat!$AW$10</definedName>
    <definedName name="___EEE04">[4]A.Alat!$AW$11</definedName>
    <definedName name="___EEE05">'[6]5-ALAT(1)'!$AW$12</definedName>
    <definedName name="___EEE06">#REF!</definedName>
    <definedName name="___EEE07">'[5]5-ALAT(1)'!$AW$14</definedName>
    <definedName name="___EEE08">#REF!</definedName>
    <definedName name="___EEE09">'[6]5-ALAT(1)'!$AW$16</definedName>
    <definedName name="___EEE10">#REF!</definedName>
    <definedName name="___EEE11">'[6]5-ALAT(1)'!$AW$18</definedName>
    <definedName name="___EEE12">[4]A.Alat!$AW$19</definedName>
    <definedName name="___EEE13">'[5]5-ALAT(1)'!$AW$20</definedName>
    <definedName name="___EEE14">[4]A.Alat!$AW$21</definedName>
    <definedName name="___EEE15">'[6]5-ALAT(1)'!$AW$22</definedName>
    <definedName name="___EEE16">'[6]5-ALAT(1)'!$AW$23</definedName>
    <definedName name="___EEE17">#REF!</definedName>
    <definedName name="___EEE18">[4]A.Alat!$AW$25</definedName>
    <definedName name="___EEE19">'[5]5-ALAT(1)'!$AW$26</definedName>
    <definedName name="___EEE20">[4]A.Alat!$AW$27</definedName>
    <definedName name="___EEE21">[4]A.Alat!$AW$28</definedName>
    <definedName name="___EEE22">'[5]5-ALAT(1)'!$AW$29</definedName>
    <definedName name="___EEE23">#REF!</definedName>
    <definedName name="___EEE24">[4]A.Alat!$AW$31</definedName>
    <definedName name="___EEE25">[4]A.Alat!$AW$32</definedName>
    <definedName name="___EEE26">[4]A.Alat!$AW$33</definedName>
    <definedName name="___EEE27">'[6]5-ALAT(1)'!$AW$34</definedName>
    <definedName name="___EEE28">[4]A.Alat!$AW$35</definedName>
    <definedName name="___EEE29">'[6]5-ALAT(1)'!$AW$36</definedName>
    <definedName name="___EEE30">[4]A.Alat!$AW$37</definedName>
    <definedName name="___EEE31">'[6]5-ALAT(1)'!$AW$38</definedName>
    <definedName name="___EEE32">[4]A.Alat!$AW$39</definedName>
    <definedName name="___EEE33">[4]A.Alat!$AW$40</definedName>
    <definedName name="___grc1">#REF!</definedName>
    <definedName name="___HAL1">#REF!</definedName>
    <definedName name="___HAL2">#REF!</definedName>
    <definedName name="___HAL3">#REF!</definedName>
    <definedName name="___HAL4">#REF!</definedName>
    <definedName name="___HAL5">#REF!</definedName>
    <definedName name="___HAL6">#REF!</definedName>
    <definedName name="___HAL7">#REF!</definedName>
    <definedName name="___HAL8">#REF!</definedName>
    <definedName name="___LLL01">#REF!</definedName>
    <definedName name="___LLL02">#REF!</definedName>
    <definedName name="___LLL03">#REF!</definedName>
    <definedName name="___LLL04">#REF!</definedName>
    <definedName name="___LLL05">#REF!</definedName>
    <definedName name="___LLL06">#REF!</definedName>
    <definedName name="___LLL07">#REF!</definedName>
    <definedName name="___LLL08">#REF!</definedName>
    <definedName name="___LLL09">#REF!</definedName>
    <definedName name="___LLL10">#REF!</definedName>
    <definedName name="___LLL11">#REF!</definedName>
    <definedName name="___MDE01">[4]A.Alat!$BO$27</definedName>
    <definedName name="___MDE02">[4]A.Alat!$BO$47</definedName>
    <definedName name="___MDE03">[4]A.Alat!$BO$68</definedName>
    <definedName name="___MDE04">[4]A.Alat!$BO$88</definedName>
    <definedName name="___MDE05">[4]A.Alat!$BO$108</definedName>
    <definedName name="___MDE06">[4]A.Alat!$BO$128</definedName>
    <definedName name="___MDE07">[4]A.Alat!$BO$148</definedName>
    <definedName name="___MDE08">[4]A.Alat!$BO$168</definedName>
    <definedName name="___MDE09">[4]A.Alat!$BO$188</definedName>
    <definedName name="___MDE10">[4]A.Alat!$BO$208</definedName>
    <definedName name="___MDE11">[4]A.Alat!$BO$228</definedName>
    <definedName name="___MDE12">[4]A.Alat!$BO$248</definedName>
    <definedName name="___MDE13">[4]A.Alat!$BO$268</definedName>
    <definedName name="___MDE14">[4]A.Alat!$BO$288</definedName>
    <definedName name="___MDE15">[4]A.Alat!$BO$308</definedName>
    <definedName name="___MDE16">[4]A.Alat!$BO$328</definedName>
    <definedName name="___MDE17">[4]A.Alat!$BO$348</definedName>
    <definedName name="___MDE18">[4]A.Alat!$BO$368</definedName>
    <definedName name="___MDE19">[4]A.Alat!$BO$388</definedName>
    <definedName name="___MDE20">[4]A.Alat!$BO$408</definedName>
    <definedName name="___MDE21">[4]A.Alat!$BO$428</definedName>
    <definedName name="___MDE22">[4]A.Alat!$BO$448</definedName>
    <definedName name="___MDE23">[4]A.Alat!$BO$468</definedName>
    <definedName name="___MDE24">[4]A.Alat!$BO$488</definedName>
    <definedName name="___MDE25">[4]A.Alat!$BO$508</definedName>
    <definedName name="___MDE26">[4]A.Alat!$BO$528</definedName>
    <definedName name="___MDE27">[4]A.Alat!$BO$548</definedName>
    <definedName name="___MDE28">[4]A.Alat!$BO$568</definedName>
    <definedName name="___MDE29">[4]A.Alat!$BO$588</definedName>
    <definedName name="___MDE30">[4]A.Alat!$BO$608</definedName>
    <definedName name="___MDE31">[4]A.Alat!$BO$628</definedName>
    <definedName name="___MDE32">[4]A.Alat!$BO$648</definedName>
    <definedName name="___MDE33">[4]A.Alat!$BO$668</definedName>
    <definedName name="___MDE34">[4]A.Alat!$BO$699</definedName>
    <definedName name="___ME01">[4]A.Alat!$BO$26</definedName>
    <definedName name="___ME02">[4]A.Alat!$BO$46</definedName>
    <definedName name="___ME03">[4]A.Alat!$BO$67</definedName>
    <definedName name="___ME04">[4]A.Alat!$BO$87</definedName>
    <definedName name="___ME05">[4]A.Alat!$BO$107</definedName>
    <definedName name="___ME06">[4]A.Alat!$BO$127</definedName>
    <definedName name="___ME07">[4]A.Alat!$BO$147</definedName>
    <definedName name="___ME08">[4]A.Alat!$BO$167</definedName>
    <definedName name="___ME09">[4]A.Alat!$BO$187</definedName>
    <definedName name="___ME10">[4]A.Alat!$BO$207</definedName>
    <definedName name="___ME11">[4]A.Alat!$BO$227</definedName>
    <definedName name="___ME12">[4]A.Alat!$BO$247</definedName>
    <definedName name="___ME13">[4]A.Alat!$BO$267</definedName>
    <definedName name="___ME14">[4]A.Alat!$BO$287</definedName>
    <definedName name="___ME15">[4]A.Alat!$BO$307</definedName>
    <definedName name="___ME16">[4]A.Alat!$BO$327</definedName>
    <definedName name="___ME17">[4]A.Alat!$BO$347</definedName>
    <definedName name="___ME18">[4]A.Alat!$BO$367</definedName>
    <definedName name="___ME19">[4]A.Alat!$BO$387</definedName>
    <definedName name="___ME20">[4]A.Alat!$BO$407</definedName>
    <definedName name="___ME21">[4]A.Alat!$BO$427</definedName>
    <definedName name="___ME22">[4]A.Alat!$BO$447</definedName>
    <definedName name="___ME23">[4]A.Alat!$BO$467</definedName>
    <definedName name="___ME24">[4]A.Alat!$BO$487</definedName>
    <definedName name="___ME25">[4]A.Alat!$BO$507</definedName>
    <definedName name="___ME26">[4]A.Alat!$BO$527</definedName>
    <definedName name="___ME27">[4]A.Alat!$BO$547</definedName>
    <definedName name="___ME28">[4]A.Alat!$BO$567</definedName>
    <definedName name="___ME29">[4]A.Alat!$BO$587</definedName>
    <definedName name="___ME30">[4]A.Alat!$BO$607</definedName>
    <definedName name="___ME31">[4]A.Alat!$BO$627</definedName>
    <definedName name="___ME32">[4]A.Alat!$BO$647</definedName>
    <definedName name="___ME33">[4]A.Alat!$BO$667</definedName>
    <definedName name="___ME34">[4]A.Alat!$BO$698</definedName>
    <definedName name="___MMM01">#REF!</definedName>
    <definedName name="___MMM02">#REF!</definedName>
    <definedName name="___MMM03">#REF!</definedName>
    <definedName name="___MMM04">'[6]4-Basic Price'!$F$54</definedName>
    <definedName name="___MMM05">#REF!</definedName>
    <definedName name="___MMM06">#REF!</definedName>
    <definedName name="___MMM07">#REF!</definedName>
    <definedName name="___MMM08">#REF!</definedName>
    <definedName name="___MMM09">#REF!</definedName>
    <definedName name="___MMM10">#REF!</definedName>
    <definedName name="___MMM11">#REF!</definedName>
    <definedName name="___MMM12">'[5]4-Basic Price'!$F$63</definedName>
    <definedName name="___MMM13">#REF!</definedName>
    <definedName name="___MMM14">#REF!</definedName>
    <definedName name="___MMM15">#REF!</definedName>
    <definedName name="___MMM16">'[6]4-Basic Price'!$F$67</definedName>
    <definedName name="___MMM17">#REF!</definedName>
    <definedName name="___MMM18">#REF!</definedName>
    <definedName name="___MMM19">#REF!</definedName>
    <definedName name="___MMM20">#REF!</definedName>
    <definedName name="___MMM21">#REF!</definedName>
    <definedName name="___MMM22">#REF!</definedName>
    <definedName name="___MMM23">#REF!</definedName>
    <definedName name="___MMM24">#REF!</definedName>
    <definedName name="___MMM25">#REF!</definedName>
    <definedName name="___MMM26">#REF!</definedName>
    <definedName name="___MMM27">#REF!</definedName>
    <definedName name="___MMM28">#REF!</definedName>
    <definedName name="___MMM29">#REF!</definedName>
    <definedName name="___MMM30">#REF!</definedName>
    <definedName name="___MMM31">#REF!</definedName>
    <definedName name="___MMM32">#REF!</definedName>
    <definedName name="___MMM33">#REF!</definedName>
    <definedName name="___MMM34">#REF!</definedName>
    <definedName name="___MMM35">#REF!</definedName>
    <definedName name="___MMM36">#REF!</definedName>
    <definedName name="___MMM37">#REF!</definedName>
    <definedName name="___MMM38">'[5]4-Basic Price'!#REF!</definedName>
    <definedName name="___MMM39">#REF!</definedName>
    <definedName name="___MMM40">#REF!</definedName>
    <definedName name="___MMM41">#REF!</definedName>
    <definedName name="___MMM411">#REF!</definedName>
    <definedName name="___MMM42">#REF!</definedName>
    <definedName name="___MMM43">#REF!</definedName>
    <definedName name="___MMM44">#REF!</definedName>
    <definedName name="___MMM45">#REF!</definedName>
    <definedName name="___MMM46">#REF!</definedName>
    <definedName name="___MMM47">'[6]4-Basic Price'!$F$101</definedName>
    <definedName name="___MMM48">'[6]4-Basic Price'!$F$102</definedName>
    <definedName name="___MMM49">#REF!</definedName>
    <definedName name="___MMM50">#REF!</definedName>
    <definedName name="___MMM51">#REF!</definedName>
    <definedName name="___MMM52">#REF!</definedName>
    <definedName name="___MMM53">#REF!</definedName>
    <definedName name="___MMM54">#REF!</definedName>
    <definedName name="___pah150">#REF!</definedName>
    <definedName name="___ph100">#REF!</definedName>
    <definedName name="___ph150">#REF!</definedName>
    <definedName name="___phf100">#REF!</definedName>
    <definedName name="___phf150">#REF!</definedName>
    <definedName name="___pv100">#REF!</definedName>
    <definedName name="___pv50">#REF!</definedName>
    <definedName name="___pv80">#REF!</definedName>
    <definedName name="___pvc1">[3]upah!#REF!</definedName>
    <definedName name="___pvc12">[3]upah!#REF!</definedName>
    <definedName name="___pvc34">[3]upah!#REF!</definedName>
    <definedName name="___pvc4">[3]upah!#REF!</definedName>
    <definedName name="___pvf100">#REF!</definedName>
    <definedName name="___pvf80">#REF!</definedName>
    <definedName name="___vnt100">#REF!</definedName>
    <definedName name="___vnt50">#REF!</definedName>
    <definedName name="___vnt80">#REF!</definedName>
    <definedName name="__123Graph_A">#REF!</definedName>
    <definedName name="__123Graph_AChart1">[7]AGGR!$H$12:$H$20</definedName>
    <definedName name="__123Graph_AChart2">[7]AGGR!$H$12:$H$20</definedName>
    <definedName name="__123Graph_AChart3">[7]AGGR!$H$12:$H$20</definedName>
    <definedName name="__123Graph_AChart4">[7]AGGR!$H$12:$H$20</definedName>
    <definedName name="__123Graph_AChart5">[7]AGGR!$H$12:$H$20</definedName>
    <definedName name="__123Graph_ACurrent">[7]AGGR!$H$12:$H$20</definedName>
    <definedName name="__123Graph_B">#REF!</definedName>
    <definedName name="__123Graph_BChart1">[7]AGGR!$I$12:$I$20</definedName>
    <definedName name="__123Graph_BChart2">[7]AGGR!$I$12:$I$20</definedName>
    <definedName name="__123Graph_BChart3">[7]AGGR!$I$12:$I$20</definedName>
    <definedName name="__123Graph_BChart4">[7]AGGR!$I$12:$I$20</definedName>
    <definedName name="__123Graph_BChart5">[7]AGGR!$I$12:$I$20</definedName>
    <definedName name="__123Graph_BCurrent">[7]AGGR!$I$12:$I$20</definedName>
    <definedName name="__123Graph_X">#REF!</definedName>
    <definedName name="__123Graph_XChart1">[7]AGGR!$G$12:$G$20</definedName>
    <definedName name="__123Graph_XChart2">[7]AGGR!$G$12:$G$20</definedName>
    <definedName name="__123Graph_XChart3">[7]AGGR!$G$12:$G$20</definedName>
    <definedName name="__123Graph_XChart4">[7]AGGR!$G$12:$G$20</definedName>
    <definedName name="__123Graph_XChart5">[7]AGGR!$G$12:$G$20</definedName>
    <definedName name="__123Graph_XCurrent">[7]AGGR!$G$12:$G$20</definedName>
    <definedName name="__abs100">#REF!</definedName>
    <definedName name="__ako100">#REF!</definedName>
    <definedName name="__ako150">#REF!</definedName>
    <definedName name="__ako50">#REF!</definedName>
    <definedName name="__ako80">#REF!</definedName>
    <definedName name="__aku100">#REF!</definedName>
    <definedName name="__aku150">#REF!</definedName>
    <definedName name="__bcv100">#REF!</definedName>
    <definedName name="__bcv125">#REF!</definedName>
    <definedName name="__bcv150">#REF!</definedName>
    <definedName name="__cas80">#REF!</definedName>
    <definedName name="__cvd100">#REF!</definedName>
    <definedName name="__cvd15">#REF!</definedName>
    <definedName name="__cvd150">#REF!</definedName>
    <definedName name="__cvd50">#REF!</definedName>
    <definedName name="__cvd65">#REF!</definedName>
    <definedName name="__dcd021">[8]BOQ!#REF!</definedName>
    <definedName name="__dia6">#REF!</definedName>
    <definedName name="__DIV1">[5]BOQ!$G$28</definedName>
    <definedName name="__DIV10">[5]BOQ!$G$378</definedName>
    <definedName name="__DIV11">#REF!</definedName>
    <definedName name="__DIV2">[5]BOQ!$G$53</definedName>
    <definedName name="__DIV3">[5]BOQ!$G$76</definedName>
    <definedName name="__DIV4">#REF!</definedName>
    <definedName name="__DIV5">[5]BOQ!$G$108</definedName>
    <definedName name="__DIV6">[5]BOQ!$G$158</definedName>
    <definedName name="__DIV7">[5]BOQ!$G$283</definedName>
    <definedName name="__DIV8">[5]BOQ!$G$341</definedName>
    <definedName name="__DIV9">[5]BOQ!$G$367</definedName>
    <definedName name="__EEE01">#REF!</definedName>
    <definedName name="__EEE02">#REF!</definedName>
    <definedName name="__EEE03">#REF!</definedName>
    <definedName name="__EEE04">#REF!</definedName>
    <definedName name="__EEE05">'[5]5-ALAT(1)'!$AW$12</definedName>
    <definedName name="__EEE06">#REF!</definedName>
    <definedName name="__EEE07">#REF!</definedName>
    <definedName name="__EEE08">#REF!</definedName>
    <definedName name="__EEE09">'[5]5-ALAT(1)'!$AW$16</definedName>
    <definedName name="__EEE10">#REF!</definedName>
    <definedName name="__EEE11">'[5]5-ALAT(1)'!$AW$18</definedName>
    <definedName name="__EEE12">#REF!</definedName>
    <definedName name="__EEE13">#REF!</definedName>
    <definedName name="__EEE14">#REF!</definedName>
    <definedName name="__EEE15">'[5]5-ALAT(1)'!$AW$22</definedName>
    <definedName name="__EEE16">'[5]5-ALAT(1)'!$AW$23</definedName>
    <definedName name="__EEE17">#REF!</definedName>
    <definedName name="__EEE18">#REF!</definedName>
    <definedName name="__EEE19">#REF!</definedName>
    <definedName name="__EEE20">#REF!</definedName>
    <definedName name="__EEE21">#REF!</definedName>
    <definedName name="__EEE22">'[5]5-ALAT(1)'!$AW$29</definedName>
    <definedName name="__EEE23">#REF!</definedName>
    <definedName name="__EEE24">#REF!</definedName>
    <definedName name="__EEE25">#REF!</definedName>
    <definedName name="__EEE26">#REF!</definedName>
    <definedName name="__EEE27">'[5]5-ALAT(1)'!$AW$34</definedName>
    <definedName name="__EEE28">#REF!</definedName>
    <definedName name="__EEE29">'[5]5-ALAT(1)'!$AW$36</definedName>
    <definedName name="__EEE30">#REF!</definedName>
    <definedName name="__EEE31">#REF!</definedName>
    <definedName name="__EEE32">#REF!</definedName>
    <definedName name="__EEE33">#REF!</definedName>
    <definedName name="__fjd100">#REF!</definedName>
    <definedName name="__fjd150">#REF!</definedName>
    <definedName name="__fjd50">#REF!</definedName>
    <definedName name="__fmd150">#REF!</definedName>
    <definedName name="__gvd100">#REF!</definedName>
    <definedName name="__gvd15">#REF!</definedName>
    <definedName name="__gvd150">#REF!</definedName>
    <definedName name="__gvd25">#REF!</definedName>
    <definedName name="__gvd50">#REF!</definedName>
    <definedName name="__gvd65">#REF!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HAL7">#REF!</definedName>
    <definedName name="__HAL8">#REF!</definedName>
    <definedName name="__hdw1">#REF!</definedName>
    <definedName name="__KM1">[9]CH!$C$9</definedName>
    <definedName name="__KM2">[9]CH!$C$11</definedName>
    <definedName name="__kof1">[10]Analisa!$AB$17</definedName>
    <definedName name="__LLL01">#REF!</definedName>
    <definedName name="__LLL02">#REF!</definedName>
    <definedName name="__LLL03">#REF!</definedName>
    <definedName name="__LLL04">'[11]4-Basic Price'!$F$11</definedName>
    <definedName name="__LLL05">'[11]4-Basic Price'!$F$12</definedName>
    <definedName name="__LLL06">'[11]4-Basic Price'!$F$13</definedName>
    <definedName name="__LLL07">'[11]4-Basic Price'!$F$14</definedName>
    <definedName name="__LLL08">'[11]4-Basic Price'!$F$15</definedName>
    <definedName name="__LLL09">'[11]4-Basic Price'!$F$16</definedName>
    <definedName name="__LLL10">'[11]4-Basic Price'!$F$17</definedName>
    <definedName name="__LLL11">#REF!</definedName>
    <definedName name="__MDE01">#REF!</definedName>
    <definedName name="__MDE02">#REF!</definedName>
    <definedName name="__MDE03">#REF!</definedName>
    <definedName name="__MDE04">#REF!</definedName>
    <definedName name="__MDE05">#REF!</definedName>
    <definedName name="__MDE06">#REF!</definedName>
    <definedName name="__MDE07">#REF!</definedName>
    <definedName name="__MDE08">#REF!</definedName>
    <definedName name="__MDE09">#REF!</definedName>
    <definedName name="__MDE10">#REF!</definedName>
    <definedName name="__MDE11">#REF!</definedName>
    <definedName name="__MDE12">#REF!</definedName>
    <definedName name="__MDE13">#REF!</definedName>
    <definedName name="__MDE14">#REF!</definedName>
    <definedName name="__MDE15">#REF!</definedName>
    <definedName name="__MDE16">#REF!</definedName>
    <definedName name="__MDE17">#REF!</definedName>
    <definedName name="__MDE18">#REF!</definedName>
    <definedName name="__MDE19">#REF!</definedName>
    <definedName name="__MDE20">#REF!</definedName>
    <definedName name="__MDE21">#REF!</definedName>
    <definedName name="__MDE22">#REF!</definedName>
    <definedName name="__MDE23">#REF!</definedName>
    <definedName name="__MDE24">#REF!</definedName>
    <definedName name="__MDE25">#REF!</definedName>
    <definedName name="__MDE26">#REF!</definedName>
    <definedName name="__MDE27">#REF!</definedName>
    <definedName name="__MDE28">#REF!</definedName>
    <definedName name="__MDE29">#REF!</definedName>
    <definedName name="__MDE30">#REF!</definedName>
    <definedName name="__MDE31">#REF!</definedName>
    <definedName name="__MDE32">#REF!</definedName>
    <definedName name="__MDE33">#REF!</definedName>
    <definedName name="__MDE34">#REF!</definedName>
    <definedName name="__MDE35">#REF!</definedName>
    <definedName name="__MDE36">#REF!</definedName>
    <definedName name="__MDE37">#REF!</definedName>
    <definedName name="__MDE38">#REF!</definedName>
    <definedName name="__MDE39">#REF!</definedName>
    <definedName name="__MDE40">#REF!</definedName>
    <definedName name="__MDE41">#REF!</definedName>
    <definedName name="__MDE42">#REF!</definedName>
    <definedName name="__MDE43">#REF!</definedName>
    <definedName name="__MDE44">#REF!</definedName>
    <definedName name="__MDE45">#REF!</definedName>
    <definedName name="__MDE46">#REF!</definedName>
    <definedName name="__MDE47">#REF!</definedName>
    <definedName name="__MDE48">#REF!</definedName>
    <definedName name="__MDE49">#REF!</definedName>
    <definedName name="__MDE50">#REF!</definedName>
    <definedName name="__MDE51">#REF!</definedName>
    <definedName name="__MDE52">#REF!</definedName>
    <definedName name="__MDE53">#REF!</definedName>
    <definedName name="__MDE54">#REF!</definedName>
    <definedName name="__MDE55">#REF!</definedName>
    <definedName name="__MDE56">#REF!</definedName>
    <definedName name="__MDE57">#REF!</definedName>
    <definedName name="__MDE58">#REF!</definedName>
    <definedName name="__MDE59">#REF!</definedName>
    <definedName name="__MDE60">#REF!</definedName>
    <definedName name="__MDE61">#REF!</definedName>
    <definedName name="__MDE62">#REF!</definedName>
    <definedName name="__MDE63">#REF!</definedName>
    <definedName name="__MDE64">#REF!</definedName>
    <definedName name="__MDE65">#REF!</definedName>
    <definedName name="__MDE66">#REF!</definedName>
    <definedName name="__MDE67">#REF!</definedName>
    <definedName name="__MDE68">#REF!</definedName>
    <definedName name="__ME01">#REF!</definedName>
    <definedName name="__ME02">#REF!</definedName>
    <definedName name="__ME03">#REF!</definedName>
    <definedName name="__ME04">#REF!</definedName>
    <definedName name="__ME05">#REF!</definedName>
    <definedName name="__ME06">#REF!</definedName>
    <definedName name="__ME07">#REF!</definedName>
    <definedName name="__ME08">#REF!</definedName>
    <definedName name="__ME09">#REF!</definedName>
    <definedName name="__ME10">#REF!</definedName>
    <definedName name="__ME11">#REF!</definedName>
    <definedName name="__ME12">#REF!</definedName>
    <definedName name="__ME13">#REF!</definedName>
    <definedName name="__ME14">#REF!</definedName>
    <definedName name="__ME15">#REF!</definedName>
    <definedName name="__ME16">#REF!</definedName>
    <definedName name="__ME17">#REF!</definedName>
    <definedName name="__ME18">#REF!</definedName>
    <definedName name="__ME19">#REF!</definedName>
    <definedName name="__ME20">#REF!</definedName>
    <definedName name="__ME21">#REF!</definedName>
    <definedName name="__ME22">#REF!</definedName>
    <definedName name="__ME23">#REF!</definedName>
    <definedName name="__ME24">#REF!</definedName>
    <definedName name="__ME25">#REF!</definedName>
    <definedName name="__ME26">#REF!</definedName>
    <definedName name="__ME27">#REF!</definedName>
    <definedName name="__ME28">#REF!</definedName>
    <definedName name="__ME29">#REF!</definedName>
    <definedName name="__ME30">#REF!</definedName>
    <definedName name="__ME31">#REF!</definedName>
    <definedName name="__ME32">#REF!</definedName>
    <definedName name="__ME33">#REF!</definedName>
    <definedName name="__ME34">#REF!</definedName>
    <definedName name="__ME35">#REF!</definedName>
    <definedName name="__ME36">#REF!</definedName>
    <definedName name="__ME37">#REF!</definedName>
    <definedName name="__ME38">#REF!</definedName>
    <definedName name="__ME39">#REF!</definedName>
    <definedName name="__ME40">#REF!</definedName>
    <definedName name="__ME41">#REF!</definedName>
    <definedName name="__ME42">#REF!</definedName>
    <definedName name="__ME43">#REF!</definedName>
    <definedName name="__ME44">#REF!</definedName>
    <definedName name="__ME45">#REF!</definedName>
    <definedName name="__ME46">#REF!</definedName>
    <definedName name="__ME47">#REF!</definedName>
    <definedName name="__ME48">#REF!</definedName>
    <definedName name="__ME49">#REF!</definedName>
    <definedName name="__ME50">#REF!</definedName>
    <definedName name="__ME51">#REF!</definedName>
    <definedName name="__ME52">#REF!</definedName>
    <definedName name="__ME53">#REF!</definedName>
    <definedName name="__ME54">#REF!</definedName>
    <definedName name="__ME55">#REF!</definedName>
    <definedName name="__ME56">#REF!</definedName>
    <definedName name="__ME57">#REF!</definedName>
    <definedName name="__ME58">#REF!</definedName>
    <definedName name="__ME59">#REF!</definedName>
    <definedName name="__ME60">#REF!</definedName>
    <definedName name="__ME61">#REF!</definedName>
    <definedName name="__ME62">#REF!</definedName>
    <definedName name="__ME63">#REF!</definedName>
    <definedName name="__ME64">#REF!</definedName>
    <definedName name="__ME65">#REF!</definedName>
    <definedName name="__ME66">#REF!</definedName>
    <definedName name="__ME67">#REF!</definedName>
    <definedName name="__ME68">#REF!</definedName>
    <definedName name="__MMM01">#REF!</definedName>
    <definedName name="__MMM02">#REF!</definedName>
    <definedName name="__MMM03">#REF!</definedName>
    <definedName name="__MMM04">#REF!</definedName>
    <definedName name="__MMM05">'[5]4-Basic Price'!$F$55</definedName>
    <definedName name="__MMM06">#REF!</definedName>
    <definedName name="__MMM07">#REF!</definedName>
    <definedName name="__MMM08">#REF!</definedName>
    <definedName name="__MMM09">#REF!</definedName>
    <definedName name="__MMM10">#REF!</definedName>
    <definedName name="__MMM11">#REF!</definedName>
    <definedName name="__MMM12">#REF!</definedName>
    <definedName name="__MMM13">#REF!</definedName>
    <definedName name="__MMM14">#REF!</definedName>
    <definedName name="__MMM15">#REF!</definedName>
    <definedName name="__MMM16">#REF!</definedName>
    <definedName name="__MMM17">#REF!</definedName>
    <definedName name="__MMM18">#REF!</definedName>
    <definedName name="__MMM19">#REF!</definedName>
    <definedName name="__MMM20">#REF!</definedName>
    <definedName name="__MMM21">#REF!</definedName>
    <definedName name="__MMM22">#REF!</definedName>
    <definedName name="__MMM23">#REF!</definedName>
    <definedName name="__MMM24">#REF!</definedName>
    <definedName name="__MMM25">#REF!</definedName>
    <definedName name="__MMM26">#REF!</definedName>
    <definedName name="__MMM27">#REF!</definedName>
    <definedName name="__MMM28">#REF!</definedName>
    <definedName name="__MMM29">#REF!</definedName>
    <definedName name="__MMM30">#REF!</definedName>
    <definedName name="__MMM31">#REF!</definedName>
    <definedName name="__MMM32">#REF!</definedName>
    <definedName name="__MMM33">'[6]4-Basic Price'!$F$85</definedName>
    <definedName name="__MMM34">#REF!</definedName>
    <definedName name="__MMM35">#REF!</definedName>
    <definedName name="__MMM36">#REF!</definedName>
    <definedName name="__MMM37">#REF!</definedName>
    <definedName name="__MMM38">'[12]4-Basic Price'!#REF!</definedName>
    <definedName name="__MMM39">#REF!</definedName>
    <definedName name="__MMM40">#REF!</definedName>
    <definedName name="__MMM41">#REF!</definedName>
    <definedName name="__MMM411">#REF!</definedName>
    <definedName name="__MMM42">#REF!</definedName>
    <definedName name="__MMM43">#REF!</definedName>
    <definedName name="__MMM44">'[13]4-Basic Price'!$F$98</definedName>
    <definedName name="__MMM45">#REF!</definedName>
    <definedName name="__MMM46">#REF!</definedName>
    <definedName name="__MMM47">#REF!</definedName>
    <definedName name="__MMM48">#REF!</definedName>
    <definedName name="__MMM49">#REF!</definedName>
    <definedName name="__MMM50">#REF!</definedName>
    <definedName name="__MMM51">#REF!</definedName>
    <definedName name="__MMM52">#REF!</definedName>
    <definedName name="__MMM53">#REF!</definedName>
    <definedName name="__MMM54">#REF!</definedName>
    <definedName name="__pab100">#REF!</definedName>
    <definedName name="__pab125">#REF!</definedName>
    <definedName name="__pab15">#REF!</definedName>
    <definedName name="__pab150">#REF!</definedName>
    <definedName name="__pab2">#REF!</definedName>
    <definedName name="__pab20">#REF!</definedName>
    <definedName name="__pab25">#REF!</definedName>
    <definedName name="__pab32">#REF!</definedName>
    <definedName name="__pab4">#REF!</definedName>
    <definedName name="__pab40">#REF!</definedName>
    <definedName name="__pab50">#REF!</definedName>
    <definedName name="__pab6">#REF!</definedName>
    <definedName name="__pab65">#REF!</definedName>
    <definedName name="__pab80">#REF!</definedName>
    <definedName name="__pak100">#REF!</definedName>
    <definedName name="__pak150">#REF!</definedName>
    <definedName name="__pak50">#REF!</definedName>
    <definedName name="__pak80">#REF!</definedName>
    <definedName name="__pbs100">#REF!</definedName>
    <definedName name="__pbs15">#REF!</definedName>
    <definedName name="__pbs150">#REF!</definedName>
    <definedName name="__pbs40">#REF!</definedName>
    <definedName name="__pbs50">#REF!</definedName>
    <definedName name="__pbs65">#REF!</definedName>
    <definedName name="__pbs80">#REF!</definedName>
    <definedName name="__PC450">#REF!</definedName>
    <definedName name="__pc50">#REF!</definedName>
    <definedName name="__PC600">#REF!</definedName>
    <definedName name="__pc80">#REF!</definedName>
    <definedName name="__pcf80">#REF!</definedName>
    <definedName name="__pv40">#REF!</definedName>
    <definedName name="__pvc1">[3]upah!#REF!</definedName>
    <definedName name="__pvc12">[3]upah!#REF!</definedName>
    <definedName name="__pvc34">[3]upah!#REF!</definedName>
    <definedName name="__pvc4">[3]upah!#REF!</definedName>
    <definedName name="__sfv150">#REF!</definedName>
    <definedName name="__std100">#REF!</definedName>
    <definedName name="__std150">#REF!</definedName>
    <definedName name="__std50">#REF!</definedName>
    <definedName name="__std65">#REF!</definedName>
    <definedName name="__tgl2">[14]Ch!$A$16</definedName>
    <definedName name="__tsv25">#REF!</definedName>
    <definedName name="__vnt40">#REF!</definedName>
    <definedName name="_1.2A">[15]ANALISA!#REF!</definedName>
    <definedName name="_10">[16]RAB!$J$238:$P$263</definedName>
    <definedName name="_12">[16]RAB!$J$30:$P$68</definedName>
    <definedName name="_123Graph_X">'[17]Urai _Resap pengikat'!$G$12:$G$20</definedName>
    <definedName name="_1P">#REF!</definedName>
    <definedName name="_2.02">#REF!</definedName>
    <definedName name="_2.1">[15]ANALISA!#REF!</definedName>
    <definedName name="_2.2">[18]ANALISA!$A$148:$K$202</definedName>
    <definedName name="_2.3.3">[15]ANALISA!#REF!</definedName>
    <definedName name="_2__123Graph_ACHART_1">[16]RAB!#REF!</definedName>
    <definedName name="_2Excel_BuiltIn_Print_Titles_1_1">#REF!</definedName>
    <definedName name="_2P">#REF!</definedName>
    <definedName name="_3.08_1_">#REF!</definedName>
    <definedName name="_3.08_8_">#REF!</definedName>
    <definedName name="_3.2.2">[15]ANALISA!#REF!</definedName>
    <definedName name="_3.3">[15]ANALISA!#REF!</definedName>
    <definedName name="_3__123Graph_ACHART_1">[19]SKEDULmaterial!#REF!</definedName>
    <definedName name="_345">[16]RAB!$J$69:$P$112</definedName>
    <definedName name="_4__123Graph_ACHART_2">[20]SKEDULmaterial!#REF!</definedName>
    <definedName name="_4__123Graph_XCHART_1">[21]RAB!#REF!</definedName>
    <definedName name="_5.01">#REF!</definedName>
    <definedName name="_5.1">[18]ANALISA!$B$1198:$K$1310</definedName>
    <definedName name="_5.1.2">[15]ANALISA!#REF!</definedName>
    <definedName name="_6.02_1_">#REF!</definedName>
    <definedName name="_6.02_2_">#REF!</definedName>
    <definedName name="_6.05">#REF!</definedName>
    <definedName name="_6.1.1">[15]ANALISA!#REF!</definedName>
    <definedName name="_6__123Graph_ACHART_2">[19]SKEDULmaterial!#REF!</definedName>
    <definedName name="_6__123Graph_ACHART_3">[20]SKEDULmaterial!#REF!</definedName>
    <definedName name="_67">[16]RAB!$J$113:$P$155</definedName>
    <definedName name="_7.07_2_">#REF!</definedName>
    <definedName name="_7.08_2_">#REF!</definedName>
    <definedName name="_7.08_3_">#REF!</definedName>
    <definedName name="_7.09">#REF!</definedName>
    <definedName name="_7.1__2">'[5]D7(1)'!#REF!</definedName>
    <definedName name="_7.10_2_">#REF!</definedName>
    <definedName name="_7.4">[15]ANALISA!#REF!</definedName>
    <definedName name="_8">[16]RAB!$J$156:$P$202</definedName>
    <definedName name="_8.01_9_">#REF!</definedName>
    <definedName name="_8.02_13_">#REF!</definedName>
    <definedName name="_8.02_21_A">#REF!</definedName>
    <definedName name="_8.02_4_">#REF!</definedName>
    <definedName name="_8.03_1_">#REF!</definedName>
    <definedName name="_8.03_2_A">#REF!</definedName>
    <definedName name="_8.03_4_A">#REF!</definedName>
    <definedName name="_8.05_2_">#REF!</definedName>
    <definedName name="_8.1.7">[15]ANALISA!#REF!</definedName>
    <definedName name="_8.1__1">#REF!</definedName>
    <definedName name="_818FA">#REF!</definedName>
    <definedName name="_818PK">#REF!</definedName>
    <definedName name="_9">[16]RAB!$J$203:$P$237</definedName>
    <definedName name="_9.02">#REF!</definedName>
    <definedName name="_9.05_1_">#REF!</definedName>
    <definedName name="_9.09_1_">#REF!</definedName>
    <definedName name="_9__123Graph_ACHART_3">[19]SKEDULmaterial!#REF!</definedName>
    <definedName name="_A16500">#REF!</definedName>
    <definedName name="_abs100">#REF!</definedName>
    <definedName name="_ahu100">#REF!</definedName>
    <definedName name="_ahu150">#REF!</definedName>
    <definedName name="_ako100">#REF!</definedName>
    <definedName name="_ako150">#REF!</definedName>
    <definedName name="_ako50">#REF!</definedName>
    <definedName name="_ako80">#REF!</definedName>
    <definedName name="_aku100">#REF!</definedName>
    <definedName name="_aku150">#REF!</definedName>
    <definedName name="_ANA1">#REF!</definedName>
    <definedName name="_ANA2">#REF!</definedName>
    <definedName name="_bcv100">#REF!</definedName>
    <definedName name="_bcv125">#REF!</definedName>
    <definedName name="_bcv150">#REF!</definedName>
    <definedName name="_BOQ1">#REF!</definedName>
    <definedName name="_BOQ2">#REF!</definedName>
    <definedName name="_cas80">#REF!</definedName>
    <definedName name="_CON1">#REF!</definedName>
    <definedName name="_CON2">#REF!</definedName>
    <definedName name="_cvd100">#REF!</definedName>
    <definedName name="_cvd15">#REF!</definedName>
    <definedName name="_cvd150">#REF!</definedName>
    <definedName name="_cvd50">#REF!</definedName>
    <definedName name="_cvd65">#REF!</definedName>
    <definedName name="_dia6">#REF!</definedName>
    <definedName name="_Dist_Bin">[22]H.Satuan!#REF!</definedName>
    <definedName name="_Dist_Values">[22]H.Satuan!$C$106:$Q$187</definedName>
    <definedName name="_DIV1">#REF!</definedName>
    <definedName name="_DIV10">#REF!</definedName>
    <definedName name="_DIV11">#REF!</definedName>
    <definedName name="_DIV2">#REF!</definedName>
    <definedName name="_DIV3">#REF!</definedName>
    <definedName name="_DIV4">#REF!</definedName>
    <definedName name="_DIV5">#REF!</definedName>
    <definedName name="_DIV6">#REF!</definedName>
    <definedName name="_DIV7">#REF!</definedName>
    <definedName name="_DIV8">#REF!</definedName>
    <definedName name="_DIV9">#REF!</definedName>
    <definedName name="_EEE01">#REF!</definedName>
    <definedName name="_EEE02">#REF!</definedName>
    <definedName name="_EEE03">#REF!</definedName>
    <definedName name="_EEE04">#REF!</definedName>
    <definedName name="_EEE05">#REF!</definedName>
    <definedName name="_EEE06">#REF!</definedName>
    <definedName name="_EEE07">#REF!</definedName>
    <definedName name="_EEE08">#REF!</definedName>
    <definedName name="_EEE09">#REF!</definedName>
    <definedName name="_EEE10">#REF!</definedName>
    <definedName name="_EEE11">#REF!</definedName>
    <definedName name="_EEE12">#REF!</definedName>
    <definedName name="_EEE13">#REF!</definedName>
    <definedName name="_EEE14">#REF!</definedName>
    <definedName name="_EEE15">#REF!</definedName>
    <definedName name="_EEE16">#REF!</definedName>
    <definedName name="_EEE17">#REF!</definedName>
    <definedName name="_EEE18">#REF!</definedName>
    <definedName name="_EEE19">#REF!</definedName>
    <definedName name="_EEE20">#REF!</definedName>
    <definedName name="_EEE21">#REF!</definedName>
    <definedName name="_EEE22">#REF!</definedName>
    <definedName name="_EEE23">#REF!</definedName>
    <definedName name="_EEE24">#REF!</definedName>
    <definedName name="_EEE25">#REF!</definedName>
    <definedName name="_EEE26">#REF!</definedName>
    <definedName name="_EEE27">#REF!</definedName>
    <definedName name="_EEE28">#REF!</definedName>
    <definedName name="_EEE29">#REF!</definedName>
    <definedName name="_EEE30">#REF!</definedName>
    <definedName name="_EEE31">#REF!</definedName>
    <definedName name="_EEE32">#REF!</definedName>
    <definedName name="_EEE33">#REF!</definedName>
    <definedName name="_EST1">#REF!</definedName>
    <definedName name="_EST2">#REF!</definedName>
    <definedName name="_Fill">#REF!</definedName>
    <definedName name="_xlnm._FilterDatabase" localSheetId="4" hidden="1">ANALISA_FIX!$A$1:$R$1</definedName>
    <definedName name="_fjd100">#REF!</definedName>
    <definedName name="_fjd150">#REF!</definedName>
    <definedName name="_fjd50">#REF!</definedName>
    <definedName name="_fjd65">#REF!</definedName>
    <definedName name="_fmd150">#REF!</definedName>
    <definedName name="_grc1">#REF!</definedName>
    <definedName name="_gvd100">#REF!</definedName>
    <definedName name="_gvd15">#REF!</definedName>
    <definedName name="_gvd150">#REF!</definedName>
    <definedName name="_gvd25">#REF!</definedName>
    <definedName name="_gvd50">#REF!</definedName>
    <definedName name="_gvd65">#REF!</definedName>
    <definedName name="_HAL1">#REF!</definedName>
    <definedName name="_HAL2">#REF!</definedName>
    <definedName name="_HAL3">#REF!</definedName>
    <definedName name="_HAL4">#REF!</definedName>
    <definedName name="_HAL5">#REF!</definedName>
    <definedName name="_HAL6">#REF!</definedName>
    <definedName name="_HAL7">#REF!</definedName>
    <definedName name="_HAL8">#REF!</definedName>
    <definedName name="_hdw1">#REF!</definedName>
    <definedName name="_k250">[23]NP!#REF!</definedName>
    <definedName name="_Key1">'[18]UPAH&amp;BHN'!$G$94:$G$114</definedName>
    <definedName name="_Key2">#REF!</definedName>
    <definedName name="_kof1">[10]Analisa!$AB$17</definedName>
    <definedName name="_LBP1">#REF!</definedName>
    <definedName name="_LBP2">#REF!</definedName>
    <definedName name="_LLL01">#REF!</definedName>
    <definedName name="_LLL02">#REF!</definedName>
    <definedName name="_LLL03">#REF!</definedName>
    <definedName name="_LLL04">#REF!</definedName>
    <definedName name="_LLL05">#REF!</definedName>
    <definedName name="_LLL06">#REF!</definedName>
    <definedName name="_LLL07">#REF!</definedName>
    <definedName name="_LLL08">#REF!</definedName>
    <definedName name="_LLL09">#REF!</definedName>
    <definedName name="_LLL10">#REF!</definedName>
    <definedName name="_LLL11">#REF!</definedName>
    <definedName name="_MatInverse_In">#REF!</definedName>
    <definedName name="_MatInverse_Out">#REF!</definedName>
    <definedName name="_MDE01">#REF!</definedName>
    <definedName name="_MDE02">#REF!</definedName>
    <definedName name="_MDE03">#REF!</definedName>
    <definedName name="_MDE04">#REF!</definedName>
    <definedName name="_MDE05">#REF!</definedName>
    <definedName name="_MDE06">#REF!</definedName>
    <definedName name="_MDE07">#REF!</definedName>
    <definedName name="_MDE08">#REF!</definedName>
    <definedName name="_MDE09">#REF!</definedName>
    <definedName name="_MDE10">#REF!</definedName>
    <definedName name="_MDE11">#REF!</definedName>
    <definedName name="_MDE12">#REF!</definedName>
    <definedName name="_MDE13">#REF!</definedName>
    <definedName name="_MDE14">#REF!</definedName>
    <definedName name="_MDE15">#REF!</definedName>
    <definedName name="_MDE16">#REF!</definedName>
    <definedName name="_MDE17">#REF!</definedName>
    <definedName name="_MDE18">#REF!</definedName>
    <definedName name="_MDE19">#REF!</definedName>
    <definedName name="_MDE20">#REF!</definedName>
    <definedName name="_MDE21">#REF!</definedName>
    <definedName name="_MDE22">#REF!</definedName>
    <definedName name="_MDE23">#REF!</definedName>
    <definedName name="_MDE24">#REF!</definedName>
    <definedName name="_MDE25">#REF!</definedName>
    <definedName name="_MDE26">#REF!</definedName>
    <definedName name="_MDE27">#REF!</definedName>
    <definedName name="_MDE28">#REF!</definedName>
    <definedName name="_MDE29">#REF!</definedName>
    <definedName name="_MDE30">#REF!</definedName>
    <definedName name="_MDE31">#REF!</definedName>
    <definedName name="_MDE32">#REF!</definedName>
    <definedName name="_MDE33">#REF!</definedName>
    <definedName name="_MDE34">#REF!</definedName>
    <definedName name="_MDE35">#REF!</definedName>
    <definedName name="_MDE36">#REF!</definedName>
    <definedName name="_MDE37">#REF!</definedName>
    <definedName name="_MDE38">#REF!</definedName>
    <definedName name="_MDE39">#REF!</definedName>
    <definedName name="_MDE40">#REF!</definedName>
    <definedName name="_MDE41">#REF!</definedName>
    <definedName name="_MDE42">#REF!</definedName>
    <definedName name="_MDE43">#REF!</definedName>
    <definedName name="_MDE44">#REF!</definedName>
    <definedName name="_MDE45">#REF!</definedName>
    <definedName name="_MDE46">#REF!</definedName>
    <definedName name="_MDE47">#REF!</definedName>
    <definedName name="_MDE48">#REF!</definedName>
    <definedName name="_MDE49">#REF!</definedName>
    <definedName name="_MDE50">#REF!</definedName>
    <definedName name="_MDE51">#REF!</definedName>
    <definedName name="_MDE52">#REF!</definedName>
    <definedName name="_MDE53">#REF!</definedName>
    <definedName name="_MDE54">#REF!</definedName>
    <definedName name="_MDE55">#REF!</definedName>
    <definedName name="_MDE56">#REF!</definedName>
    <definedName name="_MDE57">#REF!</definedName>
    <definedName name="_MDE58">#REF!</definedName>
    <definedName name="_MDE59">#REF!</definedName>
    <definedName name="_MDE60">#REF!</definedName>
    <definedName name="_MDE61">#REF!</definedName>
    <definedName name="_MDE62">#REF!</definedName>
    <definedName name="_MDE63">#REF!</definedName>
    <definedName name="_MDE64">#REF!</definedName>
    <definedName name="_MDE65">#REF!</definedName>
    <definedName name="_MDE66">#REF!</definedName>
    <definedName name="_MDE67">#REF!</definedName>
    <definedName name="_MDE68">#REF!</definedName>
    <definedName name="_ME01">#REF!</definedName>
    <definedName name="_ME02">#REF!</definedName>
    <definedName name="_ME03">#REF!</definedName>
    <definedName name="_ME04">#REF!</definedName>
    <definedName name="_ME05">#REF!</definedName>
    <definedName name="_ME06">#REF!</definedName>
    <definedName name="_ME07">#REF!</definedName>
    <definedName name="_ME08">#REF!</definedName>
    <definedName name="_ME09">#REF!</definedName>
    <definedName name="_ME10">#REF!</definedName>
    <definedName name="_ME11">#REF!</definedName>
    <definedName name="_ME12">#REF!</definedName>
    <definedName name="_ME13">#REF!</definedName>
    <definedName name="_ME14">#REF!</definedName>
    <definedName name="_ME15">#REF!</definedName>
    <definedName name="_ME16">#REF!</definedName>
    <definedName name="_ME17">#REF!</definedName>
    <definedName name="_ME18">#REF!</definedName>
    <definedName name="_ME19">#REF!</definedName>
    <definedName name="_ME20">#REF!</definedName>
    <definedName name="_ME21">#REF!</definedName>
    <definedName name="_ME22">#REF!</definedName>
    <definedName name="_ME23">#REF!</definedName>
    <definedName name="_ME24">#REF!</definedName>
    <definedName name="_ME25">#REF!</definedName>
    <definedName name="_ME26">#REF!</definedName>
    <definedName name="_ME27">#REF!</definedName>
    <definedName name="_ME28">#REF!</definedName>
    <definedName name="_ME29">#REF!</definedName>
    <definedName name="_ME30">#REF!</definedName>
    <definedName name="_ME31">#REF!</definedName>
    <definedName name="_ME32">#REF!</definedName>
    <definedName name="_ME33">#REF!</definedName>
    <definedName name="_ME34">#REF!</definedName>
    <definedName name="_ME35">#REF!</definedName>
    <definedName name="_ME36">#REF!</definedName>
    <definedName name="_ME37">#REF!</definedName>
    <definedName name="_ME38">#REF!</definedName>
    <definedName name="_ME39">#REF!</definedName>
    <definedName name="_ME40">#REF!</definedName>
    <definedName name="_ME41">#REF!</definedName>
    <definedName name="_ME42">#REF!</definedName>
    <definedName name="_ME43">#REF!</definedName>
    <definedName name="_ME44">#REF!</definedName>
    <definedName name="_ME45">#REF!</definedName>
    <definedName name="_ME46">#REF!</definedName>
    <definedName name="_ME47">#REF!</definedName>
    <definedName name="_ME48">#REF!</definedName>
    <definedName name="_ME49">#REF!</definedName>
    <definedName name="_ME50">#REF!</definedName>
    <definedName name="_ME51">#REF!</definedName>
    <definedName name="_ME52">#REF!</definedName>
    <definedName name="_ME53">#REF!</definedName>
    <definedName name="_ME54">#REF!</definedName>
    <definedName name="_ME55">#REF!</definedName>
    <definedName name="_ME56">#REF!</definedName>
    <definedName name="_ME57">#REF!</definedName>
    <definedName name="_ME58">#REF!</definedName>
    <definedName name="_ME59">#REF!</definedName>
    <definedName name="_ME60">#REF!</definedName>
    <definedName name="_ME61">#REF!</definedName>
    <definedName name="_ME62">#REF!</definedName>
    <definedName name="_ME63">#REF!</definedName>
    <definedName name="_ME64">#REF!</definedName>
    <definedName name="_ME65">#REF!</definedName>
    <definedName name="_ME66">#REF!</definedName>
    <definedName name="_ME67">#REF!</definedName>
    <definedName name="_ME68">#REF!</definedName>
    <definedName name="_MEN1">#REF!</definedName>
    <definedName name="_MET1">#REF!</definedName>
    <definedName name="_MET2">#REF!</definedName>
    <definedName name="_MJ1">#REF!</definedName>
    <definedName name="_MJ2">#REF!</definedName>
    <definedName name="_MMM01">#REF!</definedName>
    <definedName name="_MMM02">#REF!</definedName>
    <definedName name="_MMM03">#REF!</definedName>
    <definedName name="_MMM04">#REF!</definedName>
    <definedName name="_MMM05">#REF!</definedName>
    <definedName name="_MMM06">#REF!</definedName>
    <definedName name="_MMM07">#REF!</definedName>
    <definedName name="_MMM08">#REF!</definedName>
    <definedName name="_MMM09">#REF!</definedName>
    <definedName name="_MMM10">#REF!</definedName>
    <definedName name="_MMM11">#REF!</definedName>
    <definedName name="_MMM12">#REF!</definedName>
    <definedName name="_MMM13">#REF!</definedName>
    <definedName name="_MMM14">#REF!</definedName>
    <definedName name="_MMM15">#REF!</definedName>
    <definedName name="_MMM16">#REF!</definedName>
    <definedName name="_MMM17">#REF!</definedName>
    <definedName name="_MMM18">#REF!</definedName>
    <definedName name="_MMM19">'[24]Data basic price jgan diprint'!#REF!</definedName>
    <definedName name="_MMM20">#REF!</definedName>
    <definedName name="_MMM21">#REF!</definedName>
    <definedName name="_MMM22">#REF!</definedName>
    <definedName name="_MMM23">#REF!</definedName>
    <definedName name="_MMM24">#REF!</definedName>
    <definedName name="_MMM25">#REF!</definedName>
    <definedName name="_MMM26">#REF!</definedName>
    <definedName name="_MMM27">#REF!</definedName>
    <definedName name="_MMM28">#REF!</definedName>
    <definedName name="_MMM29">#REF!</definedName>
    <definedName name="_MMM30">#REF!</definedName>
    <definedName name="_MMM31">#REF!</definedName>
    <definedName name="_MMM32">#REF!</definedName>
    <definedName name="_MMM33">#REF!</definedName>
    <definedName name="_MMM34">#REF!</definedName>
    <definedName name="_MMM35">#REF!</definedName>
    <definedName name="_MMM36">#REF!</definedName>
    <definedName name="_MMM37">#REF!</definedName>
    <definedName name="_MMM38">#REF!</definedName>
    <definedName name="_MMM39">#REF!</definedName>
    <definedName name="_MMM40">#REF!</definedName>
    <definedName name="_MMM41">#REF!</definedName>
    <definedName name="_MMM411">#REF!</definedName>
    <definedName name="_MMM42">#REF!</definedName>
    <definedName name="_MMM43">#REF!</definedName>
    <definedName name="_MMM44">#REF!</definedName>
    <definedName name="_MMM45">#REF!</definedName>
    <definedName name="_MMM46">#REF!</definedName>
    <definedName name="_MMM47">#REF!</definedName>
    <definedName name="_MMM48">#REF!</definedName>
    <definedName name="_MMM49">#REF!</definedName>
    <definedName name="_MMM50">#REF!</definedName>
    <definedName name="_MMM51">#REF!</definedName>
    <definedName name="_MMM52">#REF!</definedName>
    <definedName name="_MMM53">#REF!</definedName>
    <definedName name="_MMM54">#REF!</definedName>
    <definedName name="_MOB1">#REF!</definedName>
    <definedName name="_MOB2">#REF!</definedName>
    <definedName name="_MS1">#REF!</definedName>
    <definedName name="_MS2">#REF!</definedName>
    <definedName name="_Order1">255</definedName>
    <definedName name="_Order2">255</definedName>
    <definedName name="_pab100">#REF!</definedName>
    <definedName name="_pab125">#REF!</definedName>
    <definedName name="_pab15">#REF!</definedName>
    <definedName name="_pab150">#REF!</definedName>
    <definedName name="_pab2">#REF!</definedName>
    <definedName name="_pab20">#REF!</definedName>
    <definedName name="_pab25">#REF!</definedName>
    <definedName name="_pab32">#REF!</definedName>
    <definedName name="_pab4">#REF!</definedName>
    <definedName name="_pab40">#REF!</definedName>
    <definedName name="_pab50">#REF!</definedName>
    <definedName name="_pab6">#REF!</definedName>
    <definedName name="_pab65">#REF!</definedName>
    <definedName name="_pab80">#REF!</definedName>
    <definedName name="_pah150">#REF!</definedName>
    <definedName name="_pak100">#REF!</definedName>
    <definedName name="_pak150">#REF!</definedName>
    <definedName name="_pak50">#REF!</definedName>
    <definedName name="_pak80">#REF!</definedName>
    <definedName name="_pbs100">#REF!</definedName>
    <definedName name="_pbs15">#REF!</definedName>
    <definedName name="_pbs150">#REF!</definedName>
    <definedName name="_pbs40">#REF!</definedName>
    <definedName name="_pbs50">#REF!</definedName>
    <definedName name="_pbs65">#REF!</definedName>
    <definedName name="_pbs80">#REF!</definedName>
    <definedName name="_PC450">#REF!</definedName>
    <definedName name="_pc50">#REF!</definedName>
    <definedName name="_PC600">#REF!</definedName>
    <definedName name="_pc80">#REF!</definedName>
    <definedName name="_pcf80">#REF!</definedName>
    <definedName name="_ph100">#REF!</definedName>
    <definedName name="_ph150">#REF!</definedName>
    <definedName name="_phf100">#REF!</definedName>
    <definedName name="_phf150">#REF!</definedName>
    <definedName name="_pv100">#REF!</definedName>
    <definedName name="_pv40">#REF!</definedName>
    <definedName name="_pv50">#REF!</definedName>
    <definedName name="_pv80">#REF!</definedName>
    <definedName name="_pvc1">[3]upah!#REF!</definedName>
    <definedName name="_pvc12">[3]upah!#REF!</definedName>
    <definedName name="_pvc34">[3]upah!#REF!</definedName>
    <definedName name="_pvc4">[3]upah!#REF!</definedName>
    <definedName name="_pvf100">#REF!</definedName>
    <definedName name="_pvf80">#REF!</definedName>
    <definedName name="_Regression_Int">1</definedName>
    <definedName name="_Regression_Out">#REF!</definedName>
    <definedName name="_sfv150">#REF!</definedName>
    <definedName name="_Sort">'[18]UPAH&amp;BHN'!$D$94:$G$114</definedName>
    <definedName name="_std100">#REF!</definedName>
    <definedName name="_std150">#REF!</definedName>
    <definedName name="_std50">#REF!</definedName>
    <definedName name="_std65">#REF!</definedName>
    <definedName name="_Table1_In1">[22]H.Satuan!#REF!</definedName>
    <definedName name="_Table1_Out">[22]H.Satuan!#REF!</definedName>
    <definedName name="_Table2_In1">[22]H.Satuan!#REF!</definedName>
    <definedName name="_Table2_Out">[22]H.Satuan!#REF!</definedName>
    <definedName name="_TBL1">#REF!</definedName>
    <definedName name="_tsv25">#REF!</definedName>
    <definedName name="_TUL24">#REF!</definedName>
    <definedName name="_vnt100">#REF!</definedName>
    <definedName name="_vnt40">#REF!</definedName>
    <definedName name="_vnt50">#REF!</definedName>
    <definedName name="_vnt80">#REF!</definedName>
    <definedName name="a">[25]D3!#REF!</definedName>
    <definedName name="A.1.01.a1">ANALISA_FIX!$H$25</definedName>
    <definedName name="A.1.01.b1.1">ANALISA_FIX!$H$47</definedName>
    <definedName name="A.1.01.b1.2">ANALISA_FIX!$H$69</definedName>
    <definedName name="A.1.01.b1.3">ANALISA_FIX!$H$91</definedName>
    <definedName name="A.1.01.b2.1">ANALISA_FIX!$H$113</definedName>
    <definedName name="A.1.02.1a.1">ANALISA_FIX!$H$1552</definedName>
    <definedName name="A.1.02.1a.6">ANALISA_FIX!$H$1577</definedName>
    <definedName name="A.1.02.1b.1">ANALISA_FIX!$H$1652</definedName>
    <definedName name="A.1.02.1b.6">ANALISA_FIX!$H$1677</definedName>
    <definedName name="A.1.02.1c.1">ANALISA_FIX!$H$1752</definedName>
    <definedName name="A.1.02.1e.1">ANALISA_FIX!$H$1803</definedName>
    <definedName name="A.1.02.2a.1">ANALISA_FIX!$H$1828</definedName>
    <definedName name="A.1.02.2a.6">ANALISA_FIX!$H$1853</definedName>
    <definedName name="A.1.02.2b.1">ANALISA_FIX!$H$1928</definedName>
    <definedName name="A.1.02.2c.1">ANALISA_FIX!$H$1978</definedName>
    <definedName name="A.1.02.2e.1">ANALISA_FIX!$H$2028</definedName>
    <definedName name="A.1.02.3a.1">ANALISA_FIX!$H$2053</definedName>
    <definedName name="A.1.02.3a.2">ANALISA_FIX!$H$2078</definedName>
    <definedName name="A.1.02.3b.1">ANALISA_FIX!$H$2103</definedName>
    <definedName name="A.1.02.3b.2">ANALISA_FIX!$H$2128</definedName>
    <definedName name="A.1.02.3b.5">ANALISA_FIX!$H$2153</definedName>
    <definedName name="A.1.02.3b.7">ANALISA_FIX!$H$2178</definedName>
    <definedName name="A.1.02.3b.8">ANALISA_FIX!$H$2203</definedName>
    <definedName name="A.1.02.3b.9">ANALISA_FIX!$H$2228</definedName>
    <definedName name="A.1.02.3c">ANALISA_FIX!$H$2252</definedName>
    <definedName name="A.1.02.4a.1.a">ANALISA_FIX!$H$2277</definedName>
    <definedName name="A.1.02.4a.1.d">ANALISA_FIX!$H$2302</definedName>
    <definedName name="A.1.02.4a.2.a">ANALISA_FIX!$H$2327</definedName>
    <definedName name="A.1.02.4a.2.d">ANALISA_FIX!$H$2352</definedName>
    <definedName name="A.1.02.4b.2.a">ANALISA_FIX!$H$2377</definedName>
    <definedName name="A.1.02.4b.2.d">ANALISA_FIX!$H$2404</definedName>
    <definedName name="A.1.02.5a.1">ANALISA_FIX!$H$2432</definedName>
    <definedName name="A.1.02.5a.2">ANALISA_FIX!$H$2458</definedName>
    <definedName name="A.1.02.5b.1">ANALISA_FIX!$H$2483</definedName>
    <definedName name="A.1.02.5b.2">ANALISA_FIX!$H$2508</definedName>
    <definedName name="A.1.02.5b.4a">ANALISA_FIX!$H$2533</definedName>
    <definedName name="A.1.02.5b.4b">ANALISA_FIX!$H$2558</definedName>
    <definedName name="A.1.02.5c.1">ANALISA_FIX!$H$2642</definedName>
    <definedName name="A.1.03.1a.1">ANALISA_FIX!$H$2694</definedName>
    <definedName name="A.1.03.1a.2">ANALISA_FIX!$H$2720</definedName>
    <definedName name="A.1.03.1b.1">ANALISA_FIX!$H$2746</definedName>
    <definedName name="A.1.03.1b.2">ANALISA_FIX!$H$2772</definedName>
    <definedName name="A.1.03.1c.1">ANALISA_FIX!$H$2825</definedName>
    <definedName name="A.1.03.2b.1">ANALISA_FIX!$H$2878</definedName>
    <definedName name="A.1.03.2b.2">ANALISA_FIX!$H$2905</definedName>
    <definedName name="A.1.03.2b.4">ANALISA_FIX!$H$2932</definedName>
    <definedName name="A.1.03.2b.5">ANALISA_FIX!$H$2958</definedName>
    <definedName name="A.1.03.2b.6">ANALISA_FIX!$H$2984</definedName>
    <definedName name="A.1.03.2d.1">ANALISA_FIX!$H$3011</definedName>
    <definedName name="A.1.03.2d.2">ANALISA_FIX!$H$3038</definedName>
    <definedName name="A.1.03.2d.4">ANALISA_FIX!$H$3064</definedName>
    <definedName name="A.1.03.2d.5">ANALISA_FIX!$H$3090</definedName>
    <definedName name="A.1.03.2d.6">ANALISA_FIX!$H$3116</definedName>
    <definedName name="A.1.03.2e.1">ANALISA_FIX!$H$3143</definedName>
    <definedName name="A.1.03.2e.2">ANALISA_FIX!$H$3170</definedName>
    <definedName name="A.1.03.2e.4">ANALISA_FIX!$H$3196</definedName>
    <definedName name="A.1.03.2e.5">ANALISA_FIX!$H$3222</definedName>
    <definedName name="A.1.03.2e.6">ANALISA_FIX!$H$3248</definedName>
    <definedName name="A.1.03.2f.1">ANALISA_FIX!$H$3275</definedName>
    <definedName name="A.1.03.2f.2">ANALISA_FIX!$H$3302</definedName>
    <definedName name="A.1.03.2f.4">ANALISA_FIX!$H$3328</definedName>
    <definedName name="A.1.03.2g.1">ANALISA_FIX!$H$3381</definedName>
    <definedName name="A.1.03.2g.3">ANALISA_FIX!$H$3407</definedName>
    <definedName name="A.1.03.2i.1">ANALISA_FIX!$H$3431</definedName>
    <definedName name="A.1.03.2i.2">ANALISA_FIX!$H$3454</definedName>
    <definedName name="A.1.04.1a">ANALISA_FIX!$H$3500</definedName>
    <definedName name="A.1.04.2">ANALISA_FIX!$H$3525</definedName>
    <definedName name="A.1.04.3">ANALISA_FIX!$H$3551</definedName>
    <definedName name="A.1.07.7a">ANALISA_FIX!$H$3658</definedName>
    <definedName name="A.1.08.1a">ANALISA_FIX!$H$3685</definedName>
    <definedName name="A.1.08.1b">ANALISA_FIX!$H$3713</definedName>
    <definedName name="A.1.08.2a">ANALISA_FIX!$H$3739</definedName>
    <definedName name="A.1.08.2b">ANALISA_FIX!$H$3763</definedName>
    <definedName name="A.1.08.3a">ANALISA_FIX!$H$3783</definedName>
    <definedName name="A.1.08.4a">ANALISA_FIX!$H$3803</definedName>
    <definedName name="A.2.01.b1.1">ANALISA_FIX!$H$137</definedName>
    <definedName name="A.2.01.b1.2">ANALISA_FIX!$H$161</definedName>
    <definedName name="A.2.01.b1.3">ANALISA_FIX!$H$185</definedName>
    <definedName name="A.2.01.c1.1">ANALISA_FIX!$H$209</definedName>
    <definedName name="A.2.01.c1.2">ANALISA_FIX!$H$233</definedName>
    <definedName name="A.2.02.1a.1">ANALISA_FIX!$H$1602</definedName>
    <definedName name="A.2.02.1a.6">ANALISA_FIX!$H$1627</definedName>
    <definedName name="A.2.02.1b.1">ANALISA_FIX!$H$1702</definedName>
    <definedName name="A.2.02.1b.6">ANALISA_FIX!$H$1727</definedName>
    <definedName name="A.2.02.1c.2">ANALISA_FIX!$H$1777</definedName>
    <definedName name="A.2.02.2a.1">ANALISA_FIX!$H$1878</definedName>
    <definedName name="A.2.02.2a.6">ANALISA_FIX!$H$1903</definedName>
    <definedName name="A.2.02.2b.1">ANALISA_FIX!$H$1953</definedName>
    <definedName name="A.2.02.2c.1">ANALISA_FIX!$H$2003</definedName>
    <definedName name="A.2.02.5c.1">ANALISA_FIX!$H$2586</definedName>
    <definedName name="A.2.02.5c.2">ANALISA_FIX!$H$2614</definedName>
    <definedName name="A.2.02.5d.3">ANALISA_FIX!$H$2668</definedName>
    <definedName name="A.2.03.1b.1">ANALISA_FIX!$H$2800</definedName>
    <definedName name="A.2.03.1c.1">ANALISA_FIX!$H$2851</definedName>
    <definedName name="A.2.03.2j.2">ANALISA_FIX!$H$3477</definedName>
    <definedName name="A.2.06.1">ANALISA_FIX!$H$3580</definedName>
    <definedName name="A.2.06.2">ANALISA_FIX!$H$3607</definedName>
    <definedName name="A.2.06.3">ANALISA_FIX!$H$3635</definedName>
    <definedName name="A.2.08.4a">ANALISA_FIX!$H$3824</definedName>
    <definedName name="A.2.08.6a">ANALISA_FIX!$H$3848</definedName>
    <definedName name="A.3.01.1a.2">ANALISA_FIX!$H$257</definedName>
    <definedName name="A.3.01.1b.1">ANALISA_FIX!$H$281</definedName>
    <definedName name="A.3.01.1b.2">ANALISA_FIX!$H$305</definedName>
    <definedName name="A.3.01.1b.3">ANALISA_FIX!$H$329</definedName>
    <definedName name="A.3.01.1b.4">ANALISA_FIX!$H$353</definedName>
    <definedName name="A.3.01.1b.5">ANALISA_FIX!$H$377</definedName>
    <definedName name="A.3.01.1b.6">ANALISA_FIX!$H$401</definedName>
    <definedName name="A.3.01.1b.7">ANALISA_FIX!$H$425</definedName>
    <definedName name="A.3.01.1c.1">ANALISA_FIX!$H$449</definedName>
    <definedName name="A.3.01.1c.2">ANALISA_FIX!$H$473</definedName>
    <definedName name="A.3.01.1c.3">ANALISA_FIX!$H$497</definedName>
    <definedName name="A.3.01.1c.4">ANALISA_FIX!$H$521</definedName>
    <definedName name="A.3.01.1c.5">ANALISA_FIX!$H$545</definedName>
    <definedName name="A.3.01.1c.6">ANALISA_FIX!$H$569</definedName>
    <definedName name="A.3.01.1d.1">ANALISA_FIX!$H$593</definedName>
    <definedName name="A.3.01.1d.2">ANALISA_FIX!$H$617</definedName>
    <definedName name="A.3.01.1d.3">ANALISA_FIX!$H$641</definedName>
    <definedName name="A.3.01.1d.4">ANALISA_FIX!$H$665</definedName>
    <definedName name="A.3.01.1d.5">ANALISA_FIX!$H$689</definedName>
    <definedName name="A.3.01.1d.6">ANALISA_FIX!$H$713</definedName>
    <definedName name="A.3.01.1e.1">ANALISA_FIX!$H$737</definedName>
    <definedName name="A.3.01.1e.2">ANALISA_FIX!$H$761</definedName>
    <definedName name="A.3.01.1e.3">ANALISA_FIX!$H$785</definedName>
    <definedName name="A.3.01.1f.1">ANALISA_FIX!$H$809</definedName>
    <definedName name="A.3.01.1f.2">ANALISA_FIX!$H$833</definedName>
    <definedName name="A.3.01.1f.3">ANALISA_FIX!$H$857</definedName>
    <definedName name="A.3.01.1g.1.a">ANALISA_FIX!$H$881</definedName>
    <definedName name="A.3.01.1g.1.b">ANALISA_FIX!$H$905</definedName>
    <definedName name="A.3.01.1g.2.a">ANALISA_FIX!$H$929</definedName>
    <definedName name="A.3.01.1g.2.b">ANALISA_FIX!$H$953</definedName>
    <definedName name="A.3.01.1g.3.a">ANALISA_FIX!$H$977</definedName>
    <definedName name="A.3.01.1g.3.b">ANALISA_FIX!$H$1001</definedName>
    <definedName name="A.3.01.2b.1">ANALISA_FIX!$H$1025</definedName>
    <definedName name="A.3.01.2b.2">ANALISA_FIX!$H$1049</definedName>
    <definedName name="A.3.01.2b.3">ANALISA_FIX!$H$1073</definedName>
    <definedName name="A.3.01.2d.2">ANALISA_FIX!$H$1097</definedName>
    <definedName name="A.3.01.2d.3">ANALISA_FIX!$H$1121</definedName>
    <definedName name="A.3.01.2d.5">ANALISA_FIX!$H$1145</definedName>
    <definedName name="A.3.02.1a">ANALISA_FIX!$H$1170</definedName>
    <definedName name="A.3.02.1b">ANALISA_FIX!$H$1195</definedName>
    <definedName name="A.3.02.1c">ANALISA_FIX!$H$1220</definedName>
    <definedName name="A.3.02.1d.1">ANALISA_FIX!$H$1245</definedName>
    <definedName name="A.3.02.1d.2">ANALISA_FIX!$H$1270</definedName>
    <definedName name="A.3.02.1d.3">ANALISA_FIX!$H$1297</definedName>
    <definedName name="A.3.02.1e.1">ANALISA_FIX!$H$1322</definedName>
    <definedName name="A.3.02.2a.1">ANALISA_FIX!$H$1347</definedName>
    <definedName name="A.3.02.2b.1">ANALISA_FIX!$H$1397</definedName>
    <definedName name="A.3.02.2b.3">ANALISA_FIX!$H$1422</definedName>
    <definedName name="A.3.02.3a">ANALISA_FIX!$H$1447</definedName>
    <definedName name="A.3.02.3b">ANALISA_FIX!$H$1472</definedName>
    <definedName name="A.3.03.2c">ANALISA_FIX!$H$1501</definedName>
    <definedName name="A.3.03.4a">ANALISA_FIX!$H$1527</definedName>
    <definedName name="A.3.05.3a.1.b">ANALISA_FIX!$H$4002</definedName>
    <definedName name="A.3.05.3a.1.c">ANALISA_FIX!$H$4023</definedName>
    <definedName name="A.3.09.2a.1.a">ANALISA_FIX!$H$3876</definedName>
    <definedName name="A.3.09.2a.2.a">ANALISA_FIX!$H$3903</definedName>
    <definedName name="A.3.09.2b.1.a">ANALISA_FIX!$H$3929</definedName>
    <definedName name="A.3.09.2b.2.a">ANALISA_FIX!$H$3955</definedName>
    <definedName name="A.3.09.2b.3.a">ANALISA_FIX!$H$3981</definedName>
    <definedName name="A_1">#REF!</definedName>
    <definedName name="A_2">#REF!</definedName>
    <definedName name="a1..2349">#REF!</definedName>
    <definedName name="aa">[26]DIV.1!$A$69:$I$112</definedName>
    <definedName name="aaa">#REF!</definedName>
    <definedName name="aaaaa">'[27]Harga S Dasar'!$H$6:$L$46</definedName>
    <definedName name="aax">#REF!</definedName>
    <definedName name="ABC">#REF!</definedName>
    <definedName name="abcd">'[28]rab lt 2 bo'!#REF!</definedName>
    <definedName name="abch100">#REF!</definedName>
    <definedName name="aber100">#REF!</definedName>
    <definedName name="aber15">#REF!</definedName>
    <definedName name="Aber150">#REF!</definedName>
    <definedName name="aber2">#REF!</definedName>
    <definedName name="aber20">#REF!</definedName>
    <definedName name="aber25">#REF!</definedName>
    <definedName name="aber32">#REF!</definedName>
    <definedName name="aber4">#REF!</definedName>
    <definedName name="aber40">#REF!</definedName>
    <definedName name="aber50">#REF!</definedName>
    <definedName name="Aber6">#REF!</definedName>
    <definedName name="aber80">#REF!</definedName>
    <definedName name="aberf100">#REF!</definedName>
    <definedName name="aberf150">#REF!</definedName>
    <definedName name="aberf4">#REF!</definedName>
    <definedName name="aberf6">#REF!</definedName>
    <definedName name="aberf80">#REF!</definedName>
    <definedName name="abfj100">#REF!</definedName>
    <definedName name="abfj150">#REF!</definedName>
    <definedName name="abfj40">#REF!</definedName>
    <definedName name="abfj50">#REF!</definedName>
    <definedName name="abfl40">#REF!</definedName>
    <definedName name="abft100">#REF!</definedName>
    <definedName name="abft150">#REF!</definedName>
    <definedName name="abft50">#REF!</definedName>
    <definedName name="abfv100">#REF!</definedName>
    <definedName name="abfv150">#REF!</definedName>
    <definedName name="abfv50">#REF!</definedName>
    <definedName name="abfv80">#REF!</definedName>
    <definedName name="abgv100">#REF!</definedName>
    <definedName name="abgv150">#REF!</definedName>
    <definedName name="abgv20">#REF!</definedName>
    <definedName name="abgv32">#REF!</definedName>
    <definedName name="abgv40">#REF!</definedName>
    <definedName name="abgv50">#REF!</definedName>
    <definedName name="ABJ">#REF!</definedName>
    <definedName name="abka15">#REF!</definedName>
    <definedName name="abpg">#REF!</definedName>
    <definedName name="abwl">#REF!</definedName>
    <definedName name="ABX">#REF!</definedName>
    <definedName name="AC">#REF!</definedName>
    <definedName name="accpipagalv">[3]upah!#REF!</definedName>
    <definedName name="ACX">#REF!</definedName>
    <definedName name="ADDE">#REF!</definedName>
    <definedName name="addendum">[29]NP!#REF!</definedName>
    <definedName name="adi">[30]NP!#REF!</definedName>
    <definedName name="adukan">#REF!</definedName>
    <definedName name="adukan1">[31]H.Satuan!#REF!</definedName>
    <definedName name="ADX">#REF!</definedName>
    <definedName name="AGAR">[32]NP!#REF!</definedName>
    <definedName name="AGG">[9]CH!$C$28</definedName>
    <definedName name="AGREGAT">#REF!</definedName>
    <definedName name="Agregat_Halus">#REF!</definedName>
    <definedName name="Agregat_Halus___Sub_Base">#REF!</definedName>
    <definedName name="Agregat_halus__Cor">#REF!</definedName>
    <definedName name="Agregat_Kasar">#REF!</definedName>
    <definedName name="Agregat_Kasar___Sub_Base">#REF!</definedName>
    <definedName name="AGREGATA">#REF!</definedName>
    <definedName name="AGREGATB">#REF!</definedName>
    <definedName name="AGREGATC">#REF!</definedName>
    <definedName name="agregathalus">[33]upahbahan!$G$111</definedName>
    <definedName name="agregatkasar">[33]upahbahan!$G$112</definedName>
    <definedName name="AGREGATS">#REF!</definedName>
    <definedName name="agrt.a">'[34]Agregat Halus &amp; Kasar'!$H$12:$H$20</definedName>
    <definedName name="ahrd100">#REF!</definedName>
    <definedName name="ahrd150">#REF!</definedName>
    <definedName name="AHS">#REF!</definedName>
    <definedName name="ahuf100">#REF!</definedName>
    <definedName name="ahuf150">#REF!</definedName>
    <definedName name="ahuf150ahuf150">#REF!</definedName>
    <definedName name="aibon">[35]HARGA!$E$91</definedName>
    <definedName name="air">[33]upahbahan!$G$115</definedName>
    <definedName name="Air_Compresor">#REF!</definedName>
    <definedName name="akco100">#REF!</definedName>
    <definedName name="akco150">#REF!</definedName>
    <definedName name="akco80">#REF!</definedName>
    <definedName name="akfd50">#REF!</definedName>
    <definedName name="akfj100">#REF!</definedName>
    <definedName name="akgv100">#REF!</definedName>
    <definedName name="akgv80">#REF!</definedName>
    <definedName name="akof100">#REF!</definedName>
    <definedName name="akof150">#REF!</definedName>
    <definedName name="akof4">#REF!</definedName>
    <definedName name="akof6">#REF!</definedName>
    <definedName name="akof80">#REF!</definedName>
    <definedName name="akofl80">#REF!</definedName>
    <definedName name="akogv100">#REF!</definedName>
    <definedName name="akogv80">#REF!</definedName>
    <definedName name="al">'[36]Bangunan Utama'!$AL$17</definedName>
    <definedName name="ALAT">#REF!</definedName>
    <definedName name="alat.dukung">[37]Meto!#REF!</definedName>
    <definedName name="Alat_Pancang">#REF!</definedName>
    <definedName name="ALAT1">'[38]Analisa 2'!$B$1459:$J$1665</definedName>
    <definedName name="alatbantu">[33]upahbahan!$G$78</definedName>
    <definedName name="ALATUTAMA">#REF!</definedName>
    <definedName name="alber">#REF!</definedName>
    <definedName name="ALT">[15]ANALISA!#REF!</definedName>
    <definedName name="amp">'[39]meth hsl nego'!#REF!</definedName>
    <definedName name="ampelas">[35]HARGA!$E$82</definedName>
    <definedName name="ANAK">[40]NP!#REF!</definedName>
    <definedName name="ANALAT">#REF!</definedName>
    <definedName name="ANALISA">#REF!</definedName>
    <definedName name="Analisa101A">#REF!</definedName>
    <definedName name="Analisa101B">'[41]Analisa HSP'!$U$231</definedName>
    <definedName name="Analisa101C">'[41]Analisa HSP'!$U$410</definedName>
    <definedName name="Analisa101D">'[41]Analisa HSP'!$U$589</definedName>
    <definedName name="Analisa101E">'[41]Analisa HSP'!$U$768</definedName>
    <definedName name="Analisa21">[42]Div2!$B$2:$L$67</definedName>
    <definedName name="Analisa22Man">[42]Div2!$B$68:$L$133</definedName>
    <definedName name="Analisa22Mek">[42]Div2!$B$134:$L$199</definedName>
    <definedName name="Analisa311">[42]Div3!$B$2:$L$68</definedName>
    <definedName name="Analisa313">[42]Div3!$B$69:$L$199</definedName>
    <definedName name="Analisa314">[42]Div3!$B$200:$L$267</definedName>
    <definedName name="Analisa321">[43]Div3!#REF!</definedName>
    <definedName name="Analisa421">[42]Div4!$B$2:$L$67</definedName>
    <definedName name="Analisa422">[42]Div4!$B$68:$L$133</definedName>
    <definedName name="Analisa511">#REF!</definedName>
    <definedName name="Analisa512">#REF!</definedName>
    <definedName name="Analisa55">#REF!</definedName>
    <definedName name="Analisa611">#REF!</definedName>
    <definedName name="Analisa612">#REF!</definedName>
    <definedName name="Analisa631">#REF!</definedName>
    <definedName name="Analisa633">#REF!</definedName>
    <definedName name="Analisa634">#REF!</definedName>
    <definedName name="Analisa661">#REF!</definedName>
    <definedName name="Analisa70105">#REF!</definedName>
    <definedName name="Analisa70107">#REF!</definedName>
    <definedName name="Analisa70108">#REF!</definedName>
    <definedName name="Analisa70301">#REF!</definedName>
    <definedName name="Analisa70608">#REF!</definedName>
    <definedName name="Analisa70614">#REF!</definedName>
    <definedName name="Analisa70702">#REF!</definedName>
    <definedName name="Analisa70703">#REF!</definedName>
    <definedName name="Analisa70706">#REF!</definedName>
    <definedName name="Analisa70707">#REF!</definedName>
    <definedName name="Analisa709">#REF!</definedName>
    <definedName name="Analisa71003">#REF!</definedName>
    <definedName name="Analisa71106">#REF!</definedName>
    <definedName name="Analisa71202">#REF!</definedName>
    <definedName name="Analisa713">#REF!</definedName>
    <definedName name="Analisa71511">#REF!</definedName>
    <definedName name="Analisa8405">#REF!</definedName>
    <definedName name="ANI">[44]CH!$C$29</definedName>
    <definedName name="ANT">[26]DIV.1!$A$69:$I$112</definedName>
    <definedName name="ANU">[45]NP!#REF!</definedName>
    <definedName name="AP">#REF!</definedName>
    <definedName name="apa">[46]NP!#REF!</definedName>
    <definedName name="API">[47]NP!#REF!</definedName>
    <definedName name="ARBU">[48]NP!#REF!</definedName>
    <definedName name="AS">#REF!</definedName>
    <definedName name="ASAB">'[49]Rekap Biaya'!$A$1:$J$46</definedName>
    <definedName name="asal">'[28]rab lt 2 bo'!#REF!</definedName>
    <definedName name="ashan">[50]ANALISA!#REF!</definedName>
    <definedName name="ASPAL">#REF!</definedName>
    <definedName name="aspalelmusi">[33]upahbahan!$G$114</definedName>
    <definedName name="asphaltfiniseher">[33]upahbahan!#REF!</definedName>
    <definedName name="asphaltfinisher">[33]upahbahan!#REF!</definedName>
    <definedName name="asphaltmixingplant">[33]upahbahan!#REF!</definedName>
    <definedName name="asphaltsprayer">[33]upahbahan!$G$75</definedName>
    <definedName name="ASU">#REF!</definedName>
    <definedName name="ATB">[15]ANALISA!#REF!</definedName>
    <definedName name="ayah">#REF!</definedName>
    <definedName name="b">[25]D3!#REF!</definedName>
    <definedName name="B_1">#REF!</definedName>
    <definedName name="BABI">[46]NP!#REF!</definedName>
    <definedName name="BACK">#REF!</definedName>
    <definedName name="BAGIAN_1">'[51]Daf 1'!$K$423</definedName>
    <definedName name="BAHAN">#REF!</definedName>
    <definedName name="BAHU">#REF!</definedName>
    <definedName name="Baja">#REF!</definedName>
    <definedName name="bajaringan">[3]upah!#REF!</definedName>
    <definedName name="bajatulangan">[33]upahbahan!#REF!</definedName>
    <definedName name="balok616cempaka">[3]upah!$H$66</definedName>
    <definedName name="balokkyklasiii">[52]upah!$H$62</definedName>
    <definedName name="baloklanan">[35]HARGA!$E$25</definedName>
    <definedName name="BALT">#REF!</definedName>
    <definedName name="bambu">[3]upah!#REF!</definedName>
    <definedName name="BANGSAT">[53]NP!#REF!</definedName>
    <definedName name="BARU">[54]NP!#REF!</definedName>
    <definedName name="base">[45]NP!#REF!</definedName>
    <definedName name="BaseA">#REF!</definedName>
    <definedName name="BaseB">#REF!</definedName>
    <definedName name="BaseC">#REF!</definedName>
    <definedName name="BASECAMP">[9]CH!$C$23</definedName>
    <definedName name="basepanitia">[46]NP!#REF!</definedName>
    <definedName name="BASIC">#REF!</definedName>
    <definedName name="BASICHD">#REF!</definedName>
    <definedName name="bata1">[35]HARGA!$E$15</definedName>
    <definedName name="BATAS">#REF!</definedName>
    <definedName name="BATU">#REF!</definedName>
    <definedName name="Batu_Gunung">#REF!</definedName>
    <definedName name="batualam">[3]upah!#REF!</definedName>
    <definedName name="batubata">[3]upah!$H$56</definedName>
    <definedName name="Batubelah">#REF!</definedName>
    <definedName name="batukali">[3]upah!$H$52</definedName>
    <definedName name="batupecah13">[33]upahbahan!$G$119</definedName>
    <definedName name="batupecah35">[33]upahbahan!$G$118</definedName>
    <definedName name="batupecah57">[33]upahbahan!$G$117</definedName>
    <definedName name="batutempel">[3]upah!#REF!</definedName>
    <definedName name="BAX">#REF!</definedName>
    <definedName name="bb">[55]CH!$C$30</definedName>
    <definedName name="BBASE">#REF!</definedName>
    <definedName name="bbb">[56]RAB!#REF!</definedName>
    <definedName name="bbkr">[57]H.Satuan!#REF!</definedName>
    <definedName name="BBX">#REF!</definedName>
    <definedName name="BC">#REF!</definedName>
    <definedName name="BC_PR">#REF!</definedName>
    <definedName name="BCX">#REF!</definedName>
    <definedName name="bdg">[58]CH!$A$1</definedName>
    <definedName name="bdia6">#REF!</definedName>
    <definedName name="BEA">[29]NP!#REF!</definedName>
    <definedName name="beinraad">#REF!</definedName>
    <definedName name="BEK.BALOK">#REF!</definedName>
    <definedName name="BEK.KOLOM">#REF!</definedName>
    <definedName name="BEK.PAPAN">#REF!</definedName>
    <definedName name="BEK.PELAT">#REF!</definedName>
    <definedName name="BEK.TANGGA">#REF!</definedName>
    <definedName name="BEN">#REF!</definedName>
    <definedName name="Benang">#REF!</definedName>
    <definedName name="Bender">#REF!</definedName>
    <definedName name="BENLAMP">[59]REKAPMC!#REF!</definedName>
    <definedName name="Besi">#REF!</definedName>
    <definedName name="Besi.8">#REF!</definedName>
    <definedName name="Besi_beton">#REF!</definedName>
    <definedName name="Besi_IWF_200">#REF!</definedName>
    <definedName name="Besi_Siku_100_x_100_x_10_mm">#REF!</definedName>
    <definedName name="Besi12">#REF!</definedName>
    <definedName name="besibeton">[3]upah!$H$59</definedName>
    <definedName name="besibetonpolos">[35]HARGA!$E$37</definedName>
    <definedName name="besibetonulir">[33]upahbahan!#REF!</definedName>
    <definedName name="BESIPOLOS">#REF!</definedName>
    <definedName name="besistrip">[3]upah!$H$61</definedName>
    <definedName name="BesiUlir">#REF!</definedName>
    <definedName name="BETON125">#REF!</definedName>
    <definedName name="BETON135">#REF!</definedName>
    <definedName name="Beton225">#REF!</definedName>
    <definedName name="BETON250">#REF!</definedName>
    <definedName name="Beton300">#REF!</definedName>
    <definedName name="Beton400">#REF!</definedName>
    <definedName name="BetonBO">#REF!</definedName>
    <definedName name="betonk125">[33]analisa!$K$4578</definedName>
    <definedName name="betonk175">[33]analisa!$K$4461</definedName>
    <definedName name="BETONK250">#REF!</definedName>
    <definedName name="betonk300">[33]analisa!$K$4400</definedName>
    <definedName name="betonk350">[33]analisa!$K$4339</definedName>
    <definedName name="betonk400">[33]analisa!$K$4278</definedName>
    <definedName name="betonk500">[33]analisa!$K$4217</definedName>
    <definedName name="betonsiklopk175">[33]analisa!$K$4520</definedName>
    <definedName name="beugel">[35]HARGA!$E$38</definedName>
    <definedName name="BH">#REF!</definedName>
    <definedName name="BHN">[60]BHN!$B$24:$F$31</definedName>
    <definedName name="bilalang">[33]upahbahan!#REF!</definedName>
    <definedName name="BIMA">[46]NP!#REF!</definedName>
    <definedName name="BINDER">#REF!</definedName>
    <definedName name="bindrat">[35]HARGA!$E$36</definedName>
    <definedName name="BINGUYNG">#REF!</definedName>
    <definedName name="binjai">#REF!</definedName>
    <definedName name="binjai.xls">[61]H.Satuan!#REF!</definedName>
    <definedName name="BJ">#REF!</definedName>
    <definedName name="bjls30">[35]HARGA!$E$39</definedName>
    <definedName name="Bkst.bal.kol">[62]ANALISA!$J$291</definedName>
    <definedName name="Bkst.BATACO">[62]ANALISA!$J$280</definedName>
    <definedName name="Bkst.plat">[62]ANALISA!$J$302</definedName>
    <definedName name="bm">[55]CH!$C$28</definedName>
    <definedName name="bongkar1">[57]H.Satuan!#REF!</definedName>
    <definedName name="bOQ">[8]BOQ!$B$16:$I$279</definedName>
    <definedName name="BOS">#REF!</definedName>
    <definedName name="BOSS">[63]CH!$C$41</definedName>
    <definedName name="BOSS1">[44]CH!$C$31</definedName>
    <definedName name="bp">[64]ch!$E$15</definedName>
    <definedName name="BPS">#REF!</definedName>
    <definedName name="BQ">#REF!</definedName>
    <definedName name="BQ_1">[15]ANALISA!#REF!</definedName>
    <definedName name="BQHEADER">#REF!</definedName>
    <definedName name="BR">#REF!</definedName>
    <definedName name="BRASIL">#REF!</definedName>
    <definedName name="BRONJONG">#REF!</definedName>
    <definedName name="BS">#REF!</definedName>
    <definedName name="Bstng.Bata">[62]ANALISA!$J$227</definedName>
    <definedName name="bu">[65]FINISHING!#REF!</definedName>
    <definedName name="BUANGAN">[9]CH!$C$26</definedName>
    <definedName name="BUAT">[66]NP!#REF!</definedName>
    <definedName name="budi">[33]upahbahan!#REF!</definedName>
    <definedName name="bulan">[9]CH!$C$16</definedName>
    <definedName name="BULLDOZER">#REF!</definedName>
    <definedName name="BUNDA">'[49]Kuantitas &amp; Harga'!#REF!</definedName>
    <definedName name="BUSA">[46]NP!#REF!</definedName>
    <definedName name="BUTIR">#REF!</definedName>
    <definedName name="C_">[18]ANALISA!$B$129:$J$136</definedName>
    <definedName name="C_1">#REF!</definedName>
    <definedName name="C_2">#REF!</definedName>
    <definedName name="Cabutsheet">#REF!</definedName>
    <definedName name="car">#REF!</definedName>
    <definedName name="casf80">#REF!</definedName>
    <definedName name="CASHFLOW2">[26]DIV.1!$A$69:$I$112</definedName>
    <definedName name="Cat_Coaltar_Epoxy_Coating">#REF!</definedName>
    <definedName name="Cat_Thermoplastic">'[67]HARGA SATUAN'!$K$74</definedName>
    <definedName name="catdasar">[3]upah!$H$105</definedName>
    <definedName name="catkilap">[35]HARGA!$E$83</definedName>
    <definedName name="catlalatex">[3]upah!$H$106</definedName>
    <definedName name="catmenie">[35]HARGA!$E$85</definedName>
    <definedName name="catmenieseng">[3]upah!#REF!</definedName>
    <definedName name="cattbk">[68]Harga!$H$190</definedName>
    <definedName name="cc">[26]DIV.1!$A$69:$I$112</definedName>
    <definedName name="CCd">#REF!</definedName>
    <definedName name="cco">[69]NP!#REF!</definedName>
    <definedName name="cd">[25]D3!#REF!</definedName>
    <definedName name="cek">[70]Rekap!$H$25</definedName>
    <definedName name="cepat">[71]ch!$E$19</definedName>
    <definedName name="chipping">[33]upahbahan!#REF!</definedName>
    <definedName name="chopper">#REF!</definedName>
    <definedName name="CLEARFOOT">#REF!</definedName>
    <definedName name="CLEARHEAD">#REF!</definedName>
    <definedName name="CO">#REF!</definedName>
    <definedName name="COAT">#REF!</definedName>
    <definedName name="COBA">[72]NP!#REF!</definedName>
    <definedName name="Coef">[73]Analisa!#REF!</definedName>
    <definedName name="COMBO">#REF!</definedName>
    <definedName name="COMPRESSOR">#REF!</definedName>
    <definedName name="CON">#REF!</definedName>
    <definedName name="Concrete_Mixer">#REF!</definedName>
    <definedName name="Concrete_Pump">#REF!</definedName>
    <definedName name="Concrete_Vibrator">#REF!</definedName>
    <definedName name="CONCRETEMIXER">#REF!</definedName>
    <definedName name="Concretepump">#REF!</definedName>
    <definedName name="concretevibrator">[33]upahbahan!#REF!</definedName>
    <definedName name="CONCRETEVIBRO">#REF!</definedName>
    <definedName name="CONFIR">#REF!</definedName>
    <definedName name="Consrate">[74]Consumable!$AE$33</definedName>
    <definedName name="CONTRACT">#REF!</definedName>
    <definedName name="Crane">#REF!</definedName>
    <definedName name="Crane35">#REF!</definedName>
    <definedName name="CROSS">#REF!</definedName>
    <definedName name="CROSSS">#REF!</definedName>
    <definedName name="CS">#REF!</definedName>
    <definedName name="CSSSSSS">#REF!</definedName>
    <definedName name="CUK">#REF!</definedName>
    <definedName name="Currency">#REF!</definedName>
    <definedName name="Cutter">#REF!</definedName>
    <definedName name="Cv">[16]RAB!#REF!</definedName>
    <definedName name="cvb">[21]RAB!#REF!</definedName>
    <definedName name="D">#REF!</definedName>
    <definedName name="D_1">#REF!</definedName>
    <definedName name="DA">#REF!</definedName>
    <definedName name="DAF.ALAT">[14]Ch!$A$9</definedName>
    <definedName name="DAFA">#REF!</definedName>
    <definedName name="DAFTARSEWA">#REF!</definedName>
    <definedName name="dapat">#REF!</definedName>
    <definedName name="DASAR">'[75]Rekap Biaya'!$A$1:$J$46</definedName>
    <definedName name="DAT_BQ">#REF!</definedName>
    <definedName name="DATA">[76]NP!#REF!</definedName>
    <definedName name="DATACOPY">#REF!</definedName>
    <definedName name="DATAUPAH">#REF!</definedName>
    <definedName name="DAX">#REF!</definedName>
    <definedName name="DAYWORKS">#REF!</definedName>
    <definedName name="DBX">#REF!</definedName>
    <definedName name="DCX">#REF!</definedName>
    <definedName name="DD">[77]NP!#REF!</definedName>
    <definedName name="DDD">[78]ANS!#REF!</definedName>
    <definedName name="dddddd">{"'A'!$A$1:$W$63"}</definedName>
    <definedName name="DDX">#REF!</definedName>
    <definedName name="dea">[79]NP!#REF!</definedName>
    <definedName name="DEAQ">#REF!</definedName>
    <definedName name="DEAZ">#REF!</definedName>
    <definedName name="Deckslab316">#REF!</definedName>
    <definedName name="Deckslab400">#REF!</definedName>
    <definedName name="DEDE">[78]ANS!#REF!</definedName>
    <definedName name="DEHA">#REF!</definedName>
    <definedName name="deosa">[66]NP!#REF!</definedName>
    <definedName name="DERA">[80]NP!#REF!</definedName>
    <definedName name="des">#REF!</definedName>
    <definedName name="DESA">[81]NP!#REF!</definedName>
    <definedName name="DESEMBER">#REF!</definedName>
    <definedName name="desi">[79]NP!#REF!</definedName>
    <definedName name="detib2100">#REF!</definedName>
    <definedName name="detib2120">#REF!</definedName>
    <definedName name="detib250">#REF!</definedName>
    <definedName name="detib260">#REF!</definedName>
    <definedName name="detib280">#REF!</definedName>
    <definedName name="devisi1">[33]rab1!$I$28</definedName>
    <definedName name="devisi2">[33]rab1!$I$48</definedName>
    <definedName name="devisi3">[33]rab1!$I$68</definedName>
    <definedName name="devisi4">[33]rab1!$I$94</definedName>
    <definedName name="devisi5">[33]rab1!$I$108</definedName>
    <definedName name="devisi6">[33]rab1!$I$139</definedName>
    <definedName name="devisi7">[33]rab1!$I$306</definedName>
    <definedName name="devisi8">[33]rab1!$I$364</definedName>
    <definedName name="Diapragma316">#REF!</definedName>
    <definedName name="Diapragma400">#REF!</definedName>
    <definedName name="diapragma405">#REF!</definedName>
    <definedName name="dibuat">[3]rab!$B$170</definedName>
    <definedName name="Diesel_Hammer">#REF!</definedName>
    <definedName name="dir">[14]Ch!$A$12</definedName>
    <definedName name="direktur">[82]inst.pemrintah!#REF!</definedName>
    <definedName name="DIRUT">[63]CH!$C$42</definedName>
    <definedName name="DITA">#REF!</definedName>
    <definedName name="DIVISI">[16]RAB!$J$30:$P$263</definedName>
    <definedName name="DO">#REF!</definedName>
    <definedName name="dolken">#REF!</definedName>
    <definedName name="DORA">[45]NP!#REF!</definedName>
    <definedName name="DORCE">[66]NP!#REF!</definedName>
    <definedName name="DOSA">[83]NP!#REF!</definedName>
    <definedName name="Dozzer">#REF!</definedName>
    <definedName name="DRA">'[49]Rekap Biaya'!$A$1:$J$46</definedName>
    <definedName name="DRAINASE">#REF!</definedName>
    <definedName name="drilb2100">#REF!</definedName>
    <definedName name="drilb2120">#REF!</definedName>
    <definedName name="drilb250">#REF!</definedName>
    <definedName name="drilb260">#REF!</definedName>
    <definedName name="drilb280">#REF!</definedName>
    <definedName name="drildl3a100">#REF!</definedName>
    <definedName name="drildl3a120">#REF!</definedName>
    <definedName name="drildl3a50">#REF!</definedName>
    <definedName name="drildl3a60">#REF!</definedName>
    <definedName name="drildl3a80">#REF!</definedName>
    <definedName name="drill1100">#REF!</definedName>
    <definedName name="drill1120">#REF!</definedName>
    <definedName name="drill150">#REF!</definedName>
    <definedName name="drill160">#REF!</definedName>
    <definedName name="drill180">#REF!</definedName>
    <definedName name="drill3100">#REF!</definedName>
    <definedName name="drill3120">#REF!</definedName>
    <definedName name="drill350">#REF!</definedName>
    <definedName name="drill360">#REF!</definedName>
    <definedName name="drill380">#REF!</definedName>
    <definedName name="drill5100">#REF!</definedName>
    <definedName name="drill5120">#REF!</definedName>
    <definedName name="drill550">#REF!</definedName>
    <definedName name="drill560">#REF!</definedName>
    <definedName name="drill580">#REF!</definedName>
    <definedName name="drill5a100">#REF!</definedName>
    <definedName name="drill5a120">#REF!</definedName>
    <definedName name="drill5a50">#REF!</definedName>
    <definedName name="drill5a60">#REF!</definedName>
    <definedName name="drill5a80">#REF!</definedName>
    <definedName name="drill6a100">#REF!</definedName>
    <definedName name="drill6a120">#REF!</definedName>
    <definedName name="drill6a50">#REF!</definedName>
    <definedName name="drill6a60">#REF!</definedName>
    <definedName name="drill6a80">#REF!</definedName>
    <definedName name="drillug100">#REF!</definedName>
    <definedName name="drillug120">#REF!</definedName>
    <definedName name="drillug50">#REF!</definedName>
    <definedName name="drillug60">#REF!</definedName>
    <definedName name="drillug80">#REF!</definedName>
    <definedName name="DRS">'[49]Rekap Biaya'!$A$1:$J$46</definedName>
    <definedName name="DSA">[84]NP!#REF!</definedName>
    <definedName name="dsgf">[16]RAB!#REF!</definedName>
    <definedName name="DSHP">[15]ANALISA!#REF!</definedName>
    <definedName name="dsilb2100">#REF!</definedName>
    <definedName name="dsilb2120">#REF!</definedName>
    <definedName name="dsilb250">#REF!</definedName>
    <definedName name="dsilb260">#REF!</definedName>
    <definedName name="dsilb280">#REF!</definedName>
    <definedName name="dsildb2100">#REF!</definedName>
    <definedName name="dsildb2120">#REF!</definedName>
    <definedName name="dsildb250">#REF!</definedName>
    <definedName name="dsildb260">#REF!</definedName>
    <definedName name="dsildb280">#REF!</definedName>
    <definedName name="dsildl1100">#REF!</definedName>
    <definedName name="dsildl1120">#REF!</definedName>
    <definedName name="dsildl150">#REF!</definedName>
    <definedName name="dsildl160">#REF!</definedName>
    <definedName name="dsildl180">#REF!</definedName>
    <definedName name="dsildl3100">#REF!</definedName>
    <definedName name="dsildl3120">#REF!</definedName>
    <definedName name="dsildl350">#REF!</definedName>
    <definedName name="dsildl360">#REF!</definedName>
    <definedName name="dsildl380">#REF!</definedName>
    <definedName name="dsildl3a100">#REF!</definedName>
    <definedName name="dsildl3a120">#REF!</definedName>
    <definedName name="dsildl3a50">#REF!</definedName>
    <definedName name="dsildl3a60">#REF!</definedName>
    <definedName name="dsildl3a80">#REF!</definedName>
    <definedName name="dsildl5100">#REF!</definedName>
    <definedName name="dsildl5120">#REF!</definedName>
    <definedName name="dsildl550">#REF!</definedName>
    <definedName name="dsildl560">#REF!</definedName>
    <definedName name="dsildl580">#REF!</definedName>
    <definedName name="dsildl5a100">#REF!</definedName>
    <definedName name="dsildl5a120">#REF!</definedName>
    <definedName name="dsildl5a50">#REF!</definedName>
    <definedName name="dsildl5a60">#REF!</definedName>
    <definedName name="dsildl5a80">#REF!</definedName>
    <definedName name="dsildl6a100">#REF!</definedName>
    <definedName name="dsildl6a120">#REF!</definedName>
    <definedName name="dsildl6a50">#REF!</definedName>
    <definedName name="dsildl6a60">#REF!</definedName>
    <definedName name="dsildl6a80">#REF!</definedName>
    <definedName name="dsildlug100">#REF!</definedName>
    <definedName name="dsildlug120">#REF!</definedName>
    <definedName name="dsildlug50">#REF!</definedName>
    <definedName name="dsildlug60">#REF!</definedName>
    <definedName name="dsildlug80">#REF!</definedName>
    <definedName name="dsill1100">#REF!</definedName>
    <definedName name="dsill1120">#REF!</definedName>
    <definedName name="dsill150">#REF!</definedName>
    <definedName name="dsill160">#REF!</definedName>
    <definedName name="dsill180">#REF!</definedName>
    <definedName name="dsill3100">#REF!</definedName>
    <definedName name="dsill3120">#REF!</definedName>
    <definedName name="dsill350">#REF!</definedName>
    <definedName name="dsill360">#REF!</definedName>
    <definedName name="dsill380">#REF!</definedName>
    <definedName name="dsill3a100">#REF!</definedName>
    <definedName name="dsill3a120">#REF!</definedName>
    <definedName name="dsill3a50">#REF!</definedName>
    <definedName name="dsill3a60">#REF!</definedName>
    <definedName name="dsill3a80">#REF!</definedName>
    <definedName name="dsill5100">#REF!</definedName>
    <definedName name="dsill5120">#REF!</definedName>
    <definedName name="dsill550">#REF!</definedName>
    <definedName name="dsill560">#REF!</definedName>
    <definedName name="dsill580">#REF!</definedName>
    <definedName name="dsill5a100">#REF!</definedName>
    <definedName name="dsill5a120">#REF!</definedName>
    <definedName name="dsill5a50">#REF!</definedName>
    <definedName name="dsill5a60">#REF!</definedName>
    <definedName name="dsill5a80">#REF!</definedName>
    <definedName name="dsill6a100">#REF!</definedName>
    <definedName name="dsill6a120">#REF!</definedName>
    <definedName name="dsill6a50">#REF!</definedName>
    <definedName name="dsill6a60">#REF!</definedName>
    <definedName name="dsill6a80">#REF!</definedName>
    <definedName name="dsillug100">#REF!</definedName>
    <definedName name="dsillug120">#REF!</definedName>
    <definedName name="dsillug50">#REF!</definedName>
    <definedName name="dsillug60">#REF!</definedName>
    <definedName name="dsillug80">#REF!</definedName>
    <definedName name="dstib2100">#REF!</definedName>
    <definedName name="dstib2120">#REF!</definedName>
    <definedName name="dstib250">#REF!</definedName>
    <definedName name="dstib260">#REF!</definedName>
    <definedName name="dstib280">#REF!</definedName>
    <definedName name="dt">#REF!</definedName>
    <definedName name="DTengkel">#REF!</definedName>
    <definedName name="DTtronton">#REF!</definedName>
    <definedName name="du">#REF!</definedName>
    <definedName name="dua">#REF!</definedName>
    <definedName name="DUKUN">[85]NP!#REF!</definedName>
    <definedName name="dukung">[37]Meto!#REF!</definedName>
    <definedName name="Dump_Truck">#REF!</definedName>
    <definedName name="dumptruck">[33]upahbahan!$G$67</definedName>
    <definedName name="DUMPTRUCK1">#REF!</definedName>
    <definedName name="DUMPTRUCK2">#REF!</definedName>
    <definedName name="dumptruck34">[33]upahbahan!$G$68</definedName>
    <definedName name="DUNIA">'[49]Kuantitas &amp; Harga'!#REF!</definedName>
    <definedName name="E">#REF!</definedName>
    <definedName name="E_1">#REF!</definedName>
    <definedName name="EDAN">[46]NP!#REF!</definedName>
    <definedName name="EDAV">[40]NP!#REF!</definedName>
    <definedName name="EEE06REV">'[86]5-Peralatan'!$AW$13</definedName>
    <definedName name="EEE09REV1">'[86]5-Peralatan'!$AW$16</definedName>
    <definedName name="EEE17REV">'[86]5-Peralatan'!$AW$24</definedName>
    <definedName name="EEE17REV1">'[86]5-Peralatan'!$AW$24</definedName>
    <definedName name="eeee">'[28]rab lt 2 bo'!#REF!</definedName>
    <definedName name="EEX">#REF!</definedName>
    <definedName name="eff">'[39]meth hsl nego'!#REF!</definedName>
    <definedName name="EFX">#REF!</definedName>
    <definedName name="EGX">#REF!</definedName>
    <definedName name="EHX">#REF!</definedName>
    <definedName name="EJX">#REF!</definedName>
    <definedName name="EKX">#REF!</definedName>
    <definedName name="El">#REF!</definedName>
    <definedName name="ElastomericA">#REF!</definedName>
    <definedName name="ElastomericB">#REF!</definedName>
    <definedName name="elek">#REF!</definedName>
    <definedName name="Elpigi">#REF!</definedName>
    <definedName name="ELX">#REF!</definedName>
    <definedName name="embankment">#REF!</definedName>
    <definedName name="ENTRANCE">#REF!</definedName>
    <definedName name="eqoff">#REF!</definedName>
    <definedName name="eqoffsh">#REF!</definedName>
    <definedName name="eqon">#REF!</definedName>
    <definedName name="EQrate">[74]Equipment!$AA$42</definedName>
    <definedName name="equipoff">#REF!</definedName>
    <definedName name="erection">#REF!</definedName>
    <definedName name="erwwq">[87]H.Satuan!#REF!</definedName>
    <definedName name="EST">#REF!</definedName>
    <definedName name="ESTIMATE">#REF!</definedName>
    <definedName name="Exa">#REF!</definedName>
    <definedName name="EXCAVATOR">#REF!</definedName>
    <definedName name="Excel_BuiltIn_Print_Area_0">[26]DIV_1!$A$69:$I$112</definedName>
    <definedName name="Excel_BuiltIn_Print_Area_1_1">#REF!</definedName>
    <definedName name="Excel_BuiltIn_Print_Area_1_1_1">#REF!</definedName>
    <definedName name="Excel_BuiltIn_Print_Area_1_1_1_1">#REF!</definedName>
    <definedName name="Excel_BuiltIn_Print_Area_10">#REF!</definedName>
    <definedName name="Excel_BuiltIn_Print_Area_10_1">#REF!</definedName>
    <definedName name="Excel_BuiltIn_Print_Area_11">#REF!</definedName>
    <definedName name="Excel_BuiltIn_Print_Area_11_1">#REF!</definedName>
    <definedName name="Excel_BuiltIn_Print_Area_11_1_1">#REF!</definedName>
    <definedName name="Excel_BuiltIn_Print_Area_12">#REF!</definedName>
    <definedName name="Excel_BuiltIn_Print_Area_13">#REF!</definedName>
    <definedName name="Excel_BuiltIn_Print_Area_14">#REF!</definedName>
    <definedName name="Excel_BuiltIn_Print_Area_2_1">#REF!</definedName>
    <definedName name="Excel_BuiltIn_Print_Area_2_1_1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3_1_1_1">#REF!</definedName>
    <definedName name="Excel_BuiltIn_Print_Area_4_1">#REF!</definedName>
    <definedName name="Excel_BuiltIn_Print_Area_5">#REF!</definedName>
    <definedName name="Excel_BuiltIn_Print_Area_6">#REF!</definedName>
    <definedName name="Excel_BuiltIn_Print_Area_6_1">#REF!</definedName>
    <definedName name="Excel_BuiltIn_Print_Area_6_1_1">#REF!</definedName>
    <definedName name="Excel_BuiltIn_Print_Area_7">#REF!</definedName>
    <definedName name="Excel_BuiltIn_Print_Area_7_1">#REF!</definedName>
    <definedName name="Excel_BuiltIn_Print_Area_7_1_5">#REF!</definedName>
    <definedName name="Excel_BuiltIn_Print_Area_7_1_6">#REF!</definedName>
    <definedName name="Excel_BuiltIn_Print_Area_7_1_7">#REF!</definedName>
    <definedName name="Excel_BuiltIn_Print_Area_7_1_8">#REF!</definedName>
    <definedName name="Excel_BuiltIn_Print_Area_8">#REF!</definedName>
    <definedName name="Excel_BuiltIn_Print_Area_8_1">#REF!</definedName>
    <definedName name="Excel_BuiltIn_Print_Area_8_1_5">#REF!</definedName>
    <definedName name="Excel_BuiltIn_Print_Area_8_1_6">#REF!</definedName>
    <definedName name="Excel_BuiltIn_Print_Area_8_1_7">#REF!</definedName>
    <definedName name="Excel_BuiltIn_Print_Area_8_1_8">#REF!</definedName>
    <definedName name="Excel_BuiltIn_Print_Area_9">#REF!</definedName>
    <definedName name="Excel_BuiltIn_Print_Area_9_1">#REF!</definedName>
    <definedName name="Excel_BuiltIn_Print_Titles_1_1">#REF!</definedName>
    <definedName name="Excel_BuiltIn_Print_Titles_1_1_1">#REF!</definedName>
    <definedName name="Excel_BuiltIn_Print_Titles_10">#REF!</definedName>
    <definedName name="Excel_BuiltIn_Print_Titles_11">#REF!</definedName>
    <definedName name="Excel_BuiltIn_Print_Titles_2">#REF!</definedName>
    <definedName name="Excel_BuiltIn_Print_Titles_2_1">#REF!</definedName>
    <definedName name="Excel_BuiltIn_Print_Titles_3">#REF!</definedName>
    <definedName name="Excel_BuiltIn_Print_Titles_3_1">#REF!</definedName>
    <definedName name="Excel_BuiltIn_Print_Titles_4_1">#REF!</definedName>
    <definedName name="Excel_BuiltIn_Print_Titles_5">#REF!</definedName>
    <definedName name="Excel_BuiltIn_Print_Titles_6">#REF!</definedName>
    <definedName name="Excel_BuiltIn_Print_Titles_6_1">#REF!</definedName>
    <definedName name="Excel_BuiltIn_Print_Titles_7">#REF!</definedName>
    <definedName name="Excel_BuiltIn_Print_Titles_8">#REF!</definedName>
    <definedName name="Excel_BuiltIn_Print_Titles_9">#REF!</definedName>
    <definedName name="Expantion">#REF!</definedName>
    <definedName name="expanyolet">[3]upah!#REF!</definedName>
    <definedName name="EXTRA">#REF!</definedName>
    <definedName name="FADILAH">'[75]Kuantitas &amp; Harga'!#REF!</definedName>
    <definedName name="Fak">#REF!</definedName>
    <definedName name="Faktor">#REF!</definedName>
    <definedName name="Faktorial">#REF!</definedName>
    <definedName name="Farmasi">[16]RAB!#REF!</definedName>
    <definedName name="fd">#REF!</definedName>
    <definedName name="fdr">#REF!</definedName>
    <definedName name="feco25">#REF!</definedName>
    <definedName name="fedc2">#REF!</definedName>
    <definedName name="fedc35">#REF!</definedName>
    <definedName name="FEE">[88]ANA!$H$33</definedName>
    <definedName name="fere">[87]H.Satuan!#REF!</definedName>
    <definedName name="FEX">#REF!</definedName>
    <definedName name="ff">[26]DIV.1!$A$69:$I$112</definedName>
    <definedName name="FFX">#REF!</definedName>
    <definedName name="FGX">#REF!</definedName>
    <definedName name="FHX">#REF!</definedName>
    <definedName name="filler">[33]upahbahan!#REF!</definedName>
    <definedName name="filterplastik">[33]upahbahan!#REF!</definedName>
    <definedName name="final">#REF!</definedName>
    <definedName name="FINISHER">#REF!</definedName>
    <definedName name="FIRST_FLOOR">#REF!</definedName>
    <definedName name="FJX">#REF!</definedName>
    <definedName name="fkieifi">[87]H.Satuan!$C$106:$P$132</definedName>
    <definedName name="fkoiieifd">[87]H.Satuan!#REF!</definedName>
    <definedName name="fkx">#REF!</definedName>
    <definedName name="Flat_Bed_Truck">#REF!</definedName>
    <definedName name="FLATBEDTRUCK">#REF!</definedName>
    <definedName name="floieodjf">[87]H.Satuan!#REF!</definedName>
    <definedName name="floioidife">[87]H.Satuan!#REF!</definedName>
    <definedName name="floordrain">[3]upah!#REF!</definedName>
    <definedName name="floordrainplastik">[3]upah!#REF!</definedName>
    <definedName name="flx">#REF!</definedName>
    <definedName name="FO">#REF!</definedName>
    <definedName name="FOEA">[89]NP!#REF!</definedName>
    <definedName name="FOOT">#REF!</definedName>
    <definedName name="FOOTER">#REF!</definedName>
    <definedName name="FOR">#REF!</definedName>
    <definedName name="Forklif">#REF!</definedName>
    <definedName name="form">[2]A.Div3!#REF!</definedName>
    <definedName name="FORM101">'[90]Urai _ Guide Post'!#REF!</definedName>
    <definedName name="FORM1011">#REF!</definedName>
    <definedName name="FORM1012">#REF!</definedName>
    <definedName name="FORM1013">#REF!</definedName>
    <definedName name="FORM1014">#REF!</definedName>
    <definedName name="FORM1015">#REF!</definedName>
    <definedName name="FORM1021">'[90]Urai _ Guide Post'!#REF!</definedName>
    <definedName name="FORM1022">'[90]Urai _ Guide Post'!#REF!</definedName>
    <definedName name="FORM1031">'[90]Urai _ Guide Post'!#REF!</definedName>
    <definedName name="FORM1032">'[90]Urai _ Guide Post'!#REF!</definedName>
    <definedName name="FORM1041">'[90]Urai _ Guide Post'!#REF!</definedName>
    <definedName name="FORM1042">'[90]Urai _ Guide Post'!#REF!</definedName>
    <definedName name="FORM21">'[91]3-DIV2'!$L$1:$V$61</definedName>
    <definedName name="FORM22E">'[91]3-DIV2'!#REF!</definedName>
    <definedName name="FORM22L">'[91]3-DIV2'!$L$121:$V$121</definedName>
    <definedName name="FORM230">'[92]Met_Pas Batu'!#REF!</definedName>
    <definedName name="FORM231">'[91]3-DIV2'!$L$123:$V$183</definedName>
    <definedName name="FORM232">'[91]3-DIV2'!$L$243:$V$303</definedName>
    <definedName name="FORM233">'[91]3-DIV2'!$L$363:$V$423</definedName>
    <definedName name="Form234">'[91]3-DIV2'!$L$483:$V$543</definedName>
    <definedName name="Form235">'[91]3-DIV2'!$L$603:$V$663</definedName>
    <definedName name="Form236">'[91]3-DIV2'!$L$854:$V$914</definedName>
    <definedName name="FORM241">'[91]3-DIV2'!#REF!</definedName>
    <definedName name="FORM242">'[91]3-DIV2'!$L$978:$V$1038</definedName>
    <definedName name="FORM243">'[91]3-DIV2'!$L$1039:$V$1100</definedName>
    <definedName name="FORM311">'[93]3-DIV3'!$L$1:$V$61</definedName>
    <definedName name="FORM312">'[93]3-DIV3'!$L$121:$V$181</definedName>
    <definedName name="FORM313">'[93]3-DIV3'!$L$255:$V$315</definedName>
    <definedName name="FORM314">'[93]3-DIV3'!$L$375:$V$435</definedName>
    <definedName name="FORM315">'[93]3-DIV3'!$L$1766:$V$1826</definedName>
    <definedName name="FORM316">'[90]Urai_Galian Tanah'!#REF!</definedName>
    <definedName name="FORM319">'[93]3-DIV3'!$L$1886:$V$1946</definedName>
    <definedName name="FORM321">'[90]Urai_Galian Tanah'!#REF!</definedName>
    <definedName name="FORM322">'[93]3-DIV3'!$L$1947:$V$2007</definedName>
    <definedName name="FORM323">'[93]3-DIV3'!$L$2126:$V$2186</definedName>
    <definedName name="FORM323L">#REF!</definedName>
    <definedName name="FORM324">'[93]3-DIV3'!$L$2305:$V$2365</definedName>
    <definedName name="FORM33">'[90]Urai_Galian Tanah'!#REF!</definedName>
    <definedName name="FORM331">'[93]3-DIV3'!$L$2427:$V$2487</definedName>
    <definedName name="FORM346">'[93]3-DIV3'!$L$2547:$V$2607</definedName>
    <definedName name="FORM421">'[94]3-DIV4'!$L$1:$V$61</definedName>
    <definedName name="FORM422">'[94]3-DIV4'!$L$180:$V$240</definedName>
    <definedName name="FORM423">'[94]3-DIV4'!$L$479:$V$539</definedName>
    <definedName name="FORM424">'[94]3-DIV4'!$L$359:$V$419</definedName>
    <definedName name="FORM425">'[94]3-DIV4'!$L$718:$V$778</definedName>
    <definedName name="FORM426">'[94]3-DIV4'!$L$897:$V$957</definedName>
    <definedName name="FORM427">'[94]3-DIV4'!$L$1017:$V$1077</definedName>
    <definedName name="FORM511">'[95]3-DIV5'!$L$1:$V$61</definedName>
    <definedName name="FORM512">'[95]3-DIV5'!$L$180:$V$240</definedName>
    <definedName name="FORM521">'[95]3-DIV5'!$L$359:$V$419</definedName>
    <definedName name="FORM522">'[95]3-DIV5'!$L$3075:$V$3135</definedName>
    <definedName name="FORM541">'[95]3-DIV5'!$L$3254:$V$3314</definedName>
    <definedName name="FORM542">'[95]3-DIV5'!$L$3374:$V$3434</definedName>
    <definedName name="FORM611">#REF!</definedName>
    <definedName name="FORM612">#REF!</definedName>
    <definedName name="FORM621">#REF!</definedName>
    <definedName name="FORM622">#REF!</definedName>
    <definedName name="FORM623">#REF!</definedName>
    <definedName name="FORM624">#REF!</definedName>
    <definedName name="FORM631">#REF!</definedName>
    <definedName name="FORM632">#REF!</definedName>
    <definedName name="FORM633">#REF!</definedName>
    <definedName name="FORM634">#REF!</definedName>
    <definedName name="FORM635">#REF!</definedName>
    <definedName name="FORM635A">#REF!</definedName>
    <definedName name="FORM636">#REF!</definedName>
    <definedName name="FORM641L">#REF!</definedName>
    <definedName name="FORM642">#REF!</definedName>
    <definedName name="FORM65">#REF!</definedName>
    <definedName name="FORM651">#REF!</definedName>
    <definedName name="FORM66">#REF!</definedName>
    <definedName name="FORM661">#REF!</definedName>
    <definedName name="FORM662">#REF!</definedName>
    <definedName name="FORM66PERATA">#REF!</definedName>
    <definedName name="FORM66PERMUKAAN">#REF!</definedName>
    <definedName name="FORM7101">#REF!</definedName>
    <definedName name="FORM7102">#REF!</definedName>
    <definedName name="FORM7103">#REF!</definedName>
    <definedName name="FORM711">#REF!</definedName>
    <definedName name="FORM712">#REF!</definedName>
    <definedName name="FORM713">#REF!</definedName>
    <definedName name="FORM714">#REF!</definedName>
    <definedName name="FORM715">#REF!</definedName>
    <definedName name="FORM716">#REF!</definedName>
    <definedName name="FORM717">#REF!</definedName>
    <definedName name="FORM718">#REF!</definedName>
    <definedName name="FORM721">#REF!</definedName>
    <definedName name="FORM731">#REF!</definedName>
    <definedName name="FORM732">#REF!</definedName>
    <definedName name="FORM733">#REF!</definedName>
    <definedName name="FORM734">#REF!</definedName>
    <definedName name="FORM735">#REF!</definedName>
    <definedName name="FORM73PL">#REF!</definedName>
    <definedName name="FORM73UL">#REF!</definedName>
    <definedName name="FORM744">#REF!</definedName>
    <definedName name="FORM745">#REF!</definedName>
    <definedName name="FORM751">#REF!</definedName>
    <definedName name="FORM752">#REF!</definedName>
    <definedName name="FORM7610">#REF!</definedName>
    <definedName name="FORM7611">#REF!</definedName>
    <definedName name="FORM7612">#REF!</definedName>
    <definedName name="FORM7612a">#REF!</definedName>
    <definedName name="FORM7612b">#REF!</definedName>
    <definedName name="FORM7612c">#REF!</definedName>
    <definedName name="FORM7613">#REF!</definedName>
    <definedName name="FORM7613a">#REF!</definedName>
    <definedName name="FORM7613b">#REF!</definedName>
    <definedName name="FORM7613c">#REF!</definedName>
    <definedName name="FORM7614">#REF!</definedName>
    <definedName name="FORM7614a">#REF!</definedName>
    <definedName name="FORM7614b">#REF!</definedName>
    <definedName name="FORM7614c">#REF!</definedName>
    <definedName name="FORM7614d">#REF!</definedName>
    <definedName name="FORM7614e">#REF!</definedName>
    <definedName name="FORM7615">#REF!</definedName>
    <definedName name="FORM7616">#REF!</definedName>
    <definedName name="FORM7617">#REF!</definedName>
    <definedName name="FORM7618">#REF!</definedName>
    <definedName name="FORM7619">#REF!</definedName>
    <definedName name="FORM7620">#REF!</definedName>
    <definedName name="FORM7621">#REF!</definedName>
    <definedName name="FORM7625">#REF!</definedName>
    <definedName name="FORM7626">#REF!</definedName>
    <definedName name="FORM767">#REF!</definedName>
    <definedName name="FORM768">#REF!</definedName>
    <definedName name="FORM769">#REF!</definedName>
    <definedName name="FORM76X">#REF!</definedName>
    <definedName name="FORM771">#REF!</definedName>
    <definedName name="FORM771a">#REF!</definedName>
    <definedName name="FORM771b">#REF!</definedName>
    <definedName name="FORM771c">#REF!</definedName>
    <definedName name="FORM771d">#REF!</definedName>
    <definedName name="FORM772a">#REF!</definedName>
    <definedName name="FORM772b">#REF!</definedName>
    <definedName name="FORM772c">#REF!</definedName>
    <definedName name="FORM772d">#REF!</definedName>
    <definedName name="FORM775">#REF!</definedName>
    <definedName name="FORM79">#REF!</definedName>
    <definedName name="FORM79L">#REF!</definedName>
    <definedName name="FORM79manual">#REF!</definedName>
    <definedName name="FORM79mekanis">#REF!</definedName>
    <definedName name="FORM811">#REF!</definedName>
    <definedName name="FORM812">#REF!</definedName>
    <definedName name="FORM813">#REF!</definedName>
    <definedName name="FORM814">#REF!</definedName>
    <definedName name="FORM815">#REF!</definedName>
    <definedName name="FORM817">#REF!</definedName>
    <definedName name="FORM818">#REF!</definedName>
    <definedName name="FORM819">#REF!</definedName>
    <definedName name="FORM82">#REF!</definedName>
    <definedName name="FORM83">'[92]Met_ Minor'!#REF!</definedName>
    <definedName name="FORM841">#REF!</definedName>
    <definedName name="FORM8410">#REF!</definedName>
    <definedName name="FORM842">#REF!</definedName>
    <definedName name="FORM844">#REF!</definedName>
    <definedName name="FORM845">#REF!</definedName>
    <definedName name="FORM846">#REF!</definedName>
    <definedName name="FORM847">#REF!</definedName>
    <definedName name="FORM910">#REF!</definedName>
    <definedName name="FORM911">#REF!</definedName>
    <definedName name="FORM912">#REF!</definedName>
    <definedName name="FORM913">#REF!</definedName>
    <definedName name="FORM914">#REF!</definedName>
    <definedName name="FORM915">#REF!</definedName>
    <definedName name="FORM916">#REF!</definedName>
    <definedName name="FORM917">#REF!</definedName>
    <definedName name="FORM918">#REF!</definedName>
    <definedName name="FORM919">#REF!</definedName>
    <definedName name="FORM920">#REF!</definedName>
    <definedName name="FORM94">#REF!</definedName>
    <definedName name="FORM95">#REF!</definedName>
    <definedName name="FORM96">#REF!</definedName>
    <definedName name="FORM97">#REF!</definedName>
    <definedName name="FORM98">#REF!</definedName>
    <definedName name="FORM99">#REF!</definedName>
    <definedName name="FORMGEOTEKSTIL">#REF!</definedName>
    <definedName name="FORMLatasirK">#REF!</definedName>
    <definedName name="FORMLatasirKL">#REF!</definedName>
    <definedName name="FR">#REF!</definedName>
    <definedName name="FRA">#REF!</definedName>
    <definedName name="FRRDS">#REF!</definedName>
    <definedName name="frsk">#REF!</definedName>
    <definedName name="fsvd100">#REF!</definedName>
    <definedName name="fsvd150">#REF!</definedName>
    <definedName name="fsvd65">#REF!</definedName>
    <definedName name="FULVIMIXER">#REF!</definedName>
    <definedName name="FURNITURE__FURNISHING">#REF!</definedName>
    <definedName name="gal.biasa">#REF!</definedName>
    <definedName name="Gal.Sal">#REF!</definedName>
    <definedName name="GALBIASA">#REF!</definedName>
    <definedName name="GALDRAINASE">#REF!</definedName>
    <definedName name="GALI">#REF!</definedName>
    <definedName name="GALIAN">'[96]Analisa &amp; Upah'!$I$410</definedName>
    <definedName name="galiandrainase">[33]analisa!$K$96</definedName>
    <definedName name="GALIANSUMUR">#REF!</definedName>
    <definedName name="GALKON">#REF!</definedName>
    <definedName name="generatorset">[33]upahbahan!#REF!</definedName>
    <definedName name="GENSET">#REF!</definedName>
    <definedName name="gentengsakuraroof">[3]upah!#REF!</definedName>
    <definedName name="gentengsuryaroof">[3]upah!#REF!</definedName>
    <definedName name="Geotextile">#REF!</definedName>
    <definedName name="gewn">[87]H.Satuan!#REF!</definedName>
    <definedName name="gf">[97]H.Satuan!$CF$82</definedName>
    <definedName name="gg">#REF!</definedName>
    <definedName name="gipsum">[3]upah!#REF!</definedName>
    <definedName name="Girder316">#REF!</definedName>
    <definedName name="Girder400">#REF!</definedName>
    <definedName name="Girder405">#REF!</definedName>
    <definedName name="GL">#REF!</definedName>
    <definedName name="Glass_Bit">'[67]HARGA SATUAN'!$K$75</definedName>
    <definedName name="GOHONG">[98]NP!#REF!</definedName>
    <definedName name="govpd15">#REF!</definedName>
    <definedName name="GRADER">#REF!</definedName>
    <definedName name="GRAND_PALEMBANG_HOTEL___PALEMBANG">#REF!</definedName>
    <definedName name="GRAVEL">#REF!</definedName>
    <definedName name="grc">#REF!</definedName>
    <definedName name="grendeljendela">[3]upah!$H$82</definedName>
    <definedName name="grendelpintu">[3]upah!$H$91</definedName>
    <definedName name="GROUND_FLOOR">#REF!</definedName>
    <definedName name="Guidepost">#REF!</definedName>
    <definedName name="Guidesign">#REF!</definedName>
    <definedName name="h">[37]Meto!#REF!</definedName>
    <definedName name="h.keptukang">#REF!</definedName>
    <definedName name="h.mandor">#REF!</definedName>
    <definedName name="h.pekerja">#REF!</definedName>
    <definedName name="h.tukang">#REF!</definedName>
    <definedName name="H285_">[18]ANALISA!$H$142</definedName>
    <definedName name="hagis">[87]H.Satuan!#REF!</definedName>
    <definedName name="HAGO">#REF!</definedName>
    <definedName name="HANCUR">[76]NP!#REF!</definedName>
    <definedName name="hantru">#REF!</definedName>
    <definedName name="HANTU">#REF!</definedName>
    <definedName name="HANUT">[83]NP!#REF!</definedName>
    <definedName name="HARGA">#REF!</definedName>
    <definedName name="harga_satuan">'[99]Harga Satuan'!$F$7:$F$127</definedName>
    <definedName name="hari">[100]DIV.1!$A$69:$I$112</definedName>
    <definedName name="harikerja">[101]CH!$C$26</definedName>
    <definedName name="HARSAT">'[38]Analisa 2'!$B$1459:$J$1665</definedName>
    <definedName name="haul">'[39]meth hsl nego'!#REF!</definedName>
    <definedName name="hdw">#REF!</definedName>
    <definedName name="HEAD">#REF!</definedName>
    <definedName name="HEADER">#REF!</definedName>
    <definedName name="HEADFOOT">#REF!</definedName>
    <definedName name="hengseljendela">[3]upah!$H$80</definedName>
    <definedName name="hengselpintu">[3]upah!$H$79</definedName>
    <definedName name="hh">#REF!</definedName>
    <definedName name="hhhhhhhhh">[102]HARGA!$E$38</definedName>
    <definedName name="hil">#REF!</definedName>
    <definedName name="hitung">#REF!</definedName>
    <definedName name="HITUNGAN">#REF!</definedName>
    <definedName name="hj">#REF!</definedName>
    <definedName name="hkerja">[103]CH!$A$12</definedName>
    <definedName name="hkh">[87]H.Satuan!#REF!</definedName>
    <definedName name="HM">[104]CH!$C$28</definedName>
    <definedName name="hnacur">#REF!</definedName>
    <definedName name="horrybeam">#REF!</definedName>
    <definedName name="hotmix">[105]Meth!#REF!</definedName>
    <definedName name="hrkj">[55]CH!$C$26</definedName>
    <definedName name="hrs">'[49]Kuantitas &amp; Harga'!#REF!</definedName>
    <definedName name="HRSBASE">#REF!</definedName>
    <definedName name="hrswc">#REF!</definedName>
    <definedName name="HSD">[15]ANALISA!#REF!</definedName>
    <definedName name="hspt">#REF!</definedName>
    <definedName name="hsut">#REF!</definedName>
    <definedName name="hswt">#REF!</definedName>
    <definedName name="HTML_CodePage">1252</definedName>
    <definedName name="HTML_Control">{"'A'!$A$1:$W$63"}</definedName>
    <definedName name="HTML_Description">""</definedName>
    <definedName name="HTML_Email">""</definedName>
    <definedName name="HTML_Header">"A"</definedName>
    <definedName name="HTML_LastUpdate">"3/29/00"</definedName>
    <definedName name="HTML_LineAfter">FALSE</definedName>
    <definedName name="HTML_LineBefore">FALSE</definedName>
    <definedName name="HTML_Name">"Windows 97"</definedName>
    <definedName name="HTML_OBDlg2">TRUE</definedName>
    <definedName name="HTML_OBDlg4">TRUE</definedName>
    <definedName name="HTML_OS">0</definedName>
    <definedName name="HTML_PathFile">"C:\Data Bahilang\Smsn\QP-R1\STRUK.htm"</definedName>
    <definedName name="HTML_Title">"Struk"</definedName>
    <definedName name="HUBA">[46]NP!#REF!</definedName>
    <definedName name="I">'[39]meth hsl nego'!#REF!</definedName>
    <definedName name="iblis">#REF!</definedName>
    <definedName name="ica">[106]Indirect_Const!$F$11</definedName>
    <definedName name="ID">#REF!</definedName>
    <definedName name="ID_AHS">#REF!</definedName>
    <definedName name="ID_PEKERJAAN">#REF!</definedName>
    <definedName name="id_vol_rab">#REF!</definedName>
    <definedName name="IDSatuan">#REF!</definedName>
    <definedName name="ihb">#REF!</definedName>
    <definedName name="ihbl">#REF!</definedName>
    <definedName name="ii">[3]rab!#REF!</definedName>
    <definedName name="iii">[3]rab!#REF!</definedName>
    <definedName name="ijuk">[3]upah!#REF!</definedName>
    <definedName name="im">#REF!</definedName>
    <definedName name="IMAN">[107]NP!#REF!</definedName>
    <definedName name="INI">[107]NP!#REF!</definedName>
    <definedName name="iones">'[34]Agregat Halus &amp; Kasar'!$H$12:$H$20</definedName>
    <definedName name="Item">[108]Budget!$D$131:$D$192</definedName>
    <definedName name="ITEM_PEMBAYARAN_No.">#REF!</definedName>
    <definedName name="ITIL">[109]NP!#REF!</definedName>
    <definedName name="iv">[3]rab!#REF!</definedName>
    <definedName name="IWAN">'[75]Rekap Biaya'!$A$1:$J$46</definedName>
    <definedName name="ix">[3]rab!#REF!</definedName>
    <definedName name="j">[110]CH!$C$43</definedName>
    <definedName name="JAB">[111]Analisa!#REF!</definedName>
    <definedName name="jabatan">[112]ch!$B$7</definedName>
    <definedName name="JACKHAMMER">#REF!</definedName>
    <definedName name="jadi">[102]HARGA!$E$22</definedName>
    <definedName name="JADWAL_BAR">[16]RAB!#REF!</definedName>
    <definedName name="JADWAL_S">[16]RAB!#REF!</definedName>
    <definedName name="JAKARTA">#REF!</definedName>
    <definedName name="jaminan">[9]CH!$C$19</definedName>
    <definedName name="jamkerja">[104]CH!$C$25</definedName>
    <definedName name="JANCIOK">[113]NP!#REF!</definedName>
    <definedName name="JANCOK">#REF!</definedName>
    <definedName name="jangan">[114]H.Satuan!#REF!</definedName>
    <definedName name="JANPUT">[115]NP!#REF!</definedName>
    <definedName name="JASA">#REF!</definedName>
    <definedName name="JASD">#REF!</definedName>
    <definedName name="JEFTA">#REF!</definedName>
    <definedName name="JEMBUT">[116]NP!#REF!</definedName>
    <definedName name="JIAK">[30]NP!#REF!</definedName>
    <definedName name="JJ">#REF!</definedName>
    <definedName name="JL_NAS">#REF!</definedName>
    <definedName name="Jobs">[108]Budget!$D$131:$D$192</definedName>
    <definedName name="JPEMBA">[16]RAB!#REF!</definedName>
    <definedName name="JPENING">[16]RAB!#REF!</definedName>
    <definedName name="jumlah">[33]rekap!$G$51</definedName>
    <definedName name="jy">#REF!</definedName>
    <definedName name="K_350">#REF!</definedName>
    <definedName name="kacapolos">[3]upah!$H$94</definedName>
    <definedName name="KADIS">#REF!</definedName>
    <definedName name="kaitangin">[3]upah!$H$93</definedName>
    <definedName name="kalsel">[117]Hal.010MUKAMC!$E$9</definedName>
    <definedName name="kantor">#REF!</definedName>
    <definedName name="kap">[97]H.Satuan!$CC$84:$CD$84</definedName>
    <definedName name="kap_tamp">[118]H.Satuan!#REF!</definedName>
    <definedName name="kapembongkaran">[119]REKAPMC!#REF!</definedName>
    <definedName name="kapur">[3]upah!$H$102</definedName>
    <definedName name="karawang">[35]HARGA!$E$16</definedName>
    <definedName name="karung">#REF!</definedName>
    <definedName name="karyawan">#REF!</definedName>
    <definedName name="KASARHALUS">#REF!</definedName>
    <definedName name="Kawat">#REF!</definedName>
    <definedName name="Kawat_bendrat">#REF!</definedName>
    <definedName name="Kawat_las">#REF!</definedName>
    <definedName name="kawatbeton">[3]upah!$H$60</definedName>
    <definedName name="kawatbronjong">[33]upahbahan!#REF!</definedName>
    <definedName name="Kayu">#REF!</definedName>
    <definedName name="Kayu_Bekisting">#REF!</definedName>
    <definedName name="Kayu_Ulin">#REF!</definedName>
    <definedName name="kayubakar">[33]upahbahan!#REF!</definedName>
    <definedName name="kayubesi">[3]upah!#REF!</definedName>
    <definedName name="kayubulat">[35]HARGA!$E$23</definedName>
    <definedName name="kayukelasiii">[33]upahbahan!#REF!</definedName>
    <definedName name="kayuklasiii">[3]upah!$H$62</definedName>
    <definedName name="kayuklasiii57">[3]upah!#REF!</definedName>
    <definedName name="kayuklsii57">[3]upah!#REF!</definedName>
    <definedName name="kayuprofilsp1">[3]upah!#REF!</definedName>
    <definedName name="kayuprofilsp3">[3]upah!$H$77</definedName>
    <definedName name="kayuprofilsp7">[3]upah!#REF!</definedName>
    <definedName name="kd">#REF!</definedName>
    <definedName name="kebaktian">#REF!</definedName>
    <definedName name="KECIL">[120]CH!$C$34</definedName>
    <definedName name="kegiatan">[71]ch!$E$2</definedName>
    <definedName name="Kenek">#REF!</definedName>
    <definedName name="KEPALA">[16]RAB!$A$30:$H$33</definedName>
    <definedName name="kepalatukang">[3]upah!$H$25</definedName>
    <definedName name="keramik20">[35]HARGA!$E$21</definedName>
    <definedName name="keramik30">[35]HARGA!$E$22</definedName>
    <definedName name="Keramik40">[68]Harga!$H$82</definedName>
    <definedName name="kerikil">[35]HARGA!$E$12</definedName>
    <definedName name="kerosene">#REF!</definedName>
    <definedName name="kharmonika">[68]Harga!$H$199</definedName>
    <definedName name="KHUSUS">#REF!</definedName>
    <definedName name="kickers">#REF!</definedName>
    <definedName name="KITA">#REF!</definedName>
    <definedName name="kjjsdfiie">[87]H.Satuan!#REF!</definedName>
    <definedName name="kkk">#REF!</definedName>
    <definedName name="kl">#REF!</definedName>
    <definedName name="kloset">[3]upah!#REF!</definedName>
    <definedName name="klosetduduk">[3]upah!#REF!</definedName>
    <definedName name="klosettoto">[3]upah!#REF!</definedName>
    <definedName name="km">'[121]Meth '!#REF!</definedName>
    <definedName name="KMpost">#REF!</definedName>
    <definedName name="know">#REF!</definedName>
    <definedName name="KODE">#REF!</definedName>
    <definedName name="KOEF">[122]Analisa!$L$10</definedName>
    <definedName name="koef1">#REF!</definedName>
    <definedName name="koeflingg">#REF!</definedName>
    <definedName name="koeflingk">#REF!</definedName>
    <definedName name="kof">#REF!</definedName>
    <definedName name="koling">#REF!</definedName>
    <definedName name="konfir">[14]Ch!$A$12</definedName>
    <definedName name="KONTOL">'[123]Rekap Biaya'!$A$1:$J$46</definedName>
    <definedName name="KONTRA">[124]NP!#REF!</definedName>
    <definedName name="Kontrak">[100]DIV.1!$A$69:$I$112</definedName>
    <definedName name="KONTRAKTOR">#REF!</definedName>
    <definedName name="KORA">[125]NP!#REF!</definedName>
    <definedName name="KOTA">[98]NP!#REF!</definedName>
    <definedName name="KPKN">[80]NP!#REF!</definedName>
    <definedName name="kppembongkaran">[119]REKAPMC!#REF!</definedName>
    <definedName name="KPTTUKANG">[126]HARGA!$E$64</definedName>
    <definedName name="KPTUKANG">[126]HARGA!$E$64</definedName>
    <definedName name="kranair">[3]upah!#REF!</definedName>
    <definedName name="ktk">[68]Harga!$H$15</definedName>
    <definedName name="KUANTITAS">#REF!</definedName>
    <definedName name="KUAS">[127]Material!$F$55</definedName>
    <definedName name="kunci">[3]upah!$H$78</definedName>
    <definedName name="kuncisedang">[3]upah!#REF!</definedName>
    <definedName name="kurs">'[74]Basic Price'!$Y$4</definedName>
    <definedName name="kurva">[18]ANALISA!#REF!</definedName>
    <definedName name="KUSEN__PINTU__JENDELA__ALAT_ALAT_PENGGANTUNG_DAN_CURTAIN_WALL">#REF!</definedName>
    <definedName name="ky">#REF!</definedName>
    <definedName name="kyklasii35">[3]upah!#REF!</definedName>
    <definedName name="l">[128]CH!$C$39</definedName>
    <definedName name="LAINLAIN">#REF!</definedName>
    <definedName name="LAKMIRAV">#REF!</definedName>
    <definedName name="LAMPANG">[129]NP!#REF!</definedName>
    <definedName name="lampiran">[115]NP!#REF!</definedName>
    <definedName name="lampupijar">[3]upah!#REF!</definedName>
    <definedName name="lamputl">[3]upah!#REF!</definedName>
    <definedName name="lampuxl">[3]upah!#REF!</definedName>
    <definedName name="LANTAI_P3">#REF!</definedName>
    <definedName name="LAPIS">#REF!</definedName>
    <definedName name="LaunchingBox">#REF!</definedName>
    <definedName name="LBP">#REF!</definedName>
    <definedName name="LE">#REF!</definedName>
    <definedName name="lem">[35]HARGA!$E$91</definedName>
    <definedName name="lembarsering">[3]upah!#REF!</definedName>
    <definedName name="lemgipsum">[3]upah!#REF!</definedName>
    <definedName name="lemkayu">[3]upah!#REF!</definedName>
    <definedName name="linda">[114]H.Satuan!#REF!</definedName>
    <definedName name="listplafond">[3]upah!#REF!</definedName>
    <definedName name="listprofil">[35]HARGA!$E$93</definedName>
    <definedName name="living">#REF!</definedName>
    <definedName name="ll">[26]DIV.1!$A$69:$I$112</definedName>
    <definedName name="llfoeo">[87]H.Satuan!#REF!</definedName>
    <definedName name="LMAJOR">#REF!</definedName>
    <definedName name="LOBBY">#REF!</definedName>
    <definedName name="LOKASI">[9]CH!$C$12</definedName>
    <definedName name="LONG">[53]NP!#REF!</definedName>
    <definedName name="LOPA">[116]NP!#REF!</definedName>
    <definedName name="lp">[37]Meto!#REF!</definedName>
    <definedName name="Luas_Bangunan">#REF!</definedName>
    <definedName name="M">[130]Koefisien!$J$8</definedName>
    <definedName name="M.2">[131]ANS!#REF!</definedName>
    <definedName name="M.3">#REF!</definedName>
    <definedName name="M1.18">#REF!</definedName>
    <definedName name="M2.02">#REF!</definedName>
    <definedName name="M3.08_1_">#REF!</definedName>
    <definedName name="M3.08_8_">#REF!</definedName>
    <definedName name="M5.01">#REF!</definedName>
    <definedName name="M6.02_1_">#REF!</definedName>
    <definedName name="M6.02_2_">#REF!</definedName>
    <definedName name="M6.05">#REF!</definedName>
    <definedName name="M7.07_2_">#REF!</definedName>
    <definedName name="M7.08_2_">#REF!</definedName>
    <definedName name="M7.08_3_">#REF!</definedName>
    <definedName name="M7.09">#REF!</definedName>
    <definedName name="M7.10_2_">#REF!</definedName>
    <definedName name="M8.01_9_">#REF!</definedName>
    <definedName name="M8.02_13_">#REF!</definedName>
    <definedName name="M8.02_21_A">#REF!</definedName>
    <definedName name="M8.02_4_">#REF!</definedName>
    <definedName name="M8.03_1_">#REF!</definedName>
    <definedName name="M8.03_2_A">#REF!</definedName>
    <definedName name="M8.03_4_A">#REF!</definedName>
    <definedName name="M8.05_2_">#REF!</definedName>
    <definedName name="M9.02">#REF!</definedName>
    <definedName name="M9.05_1_">#REF!</definedName>
    <definedName name="M9.09_1_">#REF!</definedName>
    <definedName name="MAI">[132]NP!#REF!</definedName>
    <definedName name="MAJOR">#REF!</definedName>
    <definedName name="MAJU">'[133]Kuantitas &amp; Harga'!#REF!</definedName>
    <definedName name="man">#REF!</definedName>
    <definedName name="Mandor">#REF!</definedName>
    <definedName name="manhole">#REF!</definedName>
    <definedName name="MANI">[107]NP!#REF!</definedName>
    <definedName name="manoff">#REF!</definedName>
    <definedName name="manoffsh">#REF!</definedName>
    <definedName name="mark_up">#REF!</definedName>
    <definedName name="MARKA">#REF!</definedName>
    <definedName name="MARKUP">#REF!</definedName>
    <definedName name="mart">[134]NP!#REF!</definedName>
    <definedName name="MASI">[109]NP!#REF!</definedName>
    <definedName name="MASTER">#REF!</definedName>
    <definedName name="mat">#REF!</definedName>
    <definedName name="MATANE">#REF!</definedName>
    <definedName name="matek">[35]HARGA!$E$84</definedName>
    <definedName name="MATERIAL">#REF!</definedName>
    <definedName name="Material_Rangka_Baja">#REF!</definedName>
    <definedName name="materialpilihan">[33]upahbahan!$G$120</definedName>
    <definedName name="MATI">#REF!</definedName>
    <definedName name="matk">[135]Subcont!$B$3:$K$45</definedName>
    <definedName name="MAU">[107]NP!#REF!</definedName>
    <definedName name="MAUK">#REF!</definedName>
    <definedName name="MBOH">[116]NP!#REF!</definedName>
    <definedName name="MBOT">#REF!</definedName>
    <definedName name="MC">[136]NP!#REF!</definedName>
    <definedName name="ME">#REF!</definedName>
    <definedName name="mekanik">[33]upahbahan!$G$31</definedName>
    <definedName name="MEN">[124]NP!#REF!</definedName>
    <definedName name="meng">[3]rab!$B$166</definedName>
    <definedName name="MENU">#REF!</definedName>
    <definedName name="MENUBOQ">[16]RAB!#REF!</definedName>
    <definedName name="MERA">#REF!</definedName>
    <definedName name="merdeka">[115]NP!#REF!</definedName>
    <definedName name="Mesin_Las">#REF!</definedName>
    <definedName name="Mesin_Marka_Applicator">'[67]HARGA SATUAN'!$K$120</definedName>
    <definedName name="MESUM">[77]NP!#REF!</definedName>
    <definedName name="met">[137]BOQ!$A$14:$G$212</definedName>
    <definedName name="metalbiasa">[35]HARGA!$E$42</definedName>
    <definedName name="metang">[77]NP!#REF!</definedName>
    <definedName name="METODA">#REF!</definedName>
    <definedName name="MetodeHrs">[138]STAF!#REF!</definedName>
    <definedName name="metrolite">[3]upah!$H$104</definedName>
    <definedName name="MHrate">[74]Labor!$U$25</definedName>
    <definedName name="MINGGU">[109]NP!#REF!</definedName>
    <definedName name="Minivibro">#REF!</definedName>
    <definedName name="MINOR">#REF!</definedName>
    <definedName name="MINTA">#REF!</definedName>
    <definedName name="minyakbekisting">[3]upah!$H$109</definedName>
    <definedName name="minyakcat">[3]upah!$H$108</definedName>
    <definedName name="minyaktanah">[33]upahbahan!#REF!</definedName>
    <definedName name="Mixer">#REF!</definedName>
    <definedName name="MJ">#REF!</definedName>
    <definedName name="MLEFT">#REF!</definedName>
    <definedName name="MMM17A">#REF!</definedName>
    <definedName name="MMM35A">#REF!</definedName>
    <definedName name="MO">[139]NP!#REF!</definedName>
    <definedName name="MOB">#REF!</definedName>
    <definedName name="MOB.1">#REF!</definedName>
    <definedName name="MOBIL">#REF!</definedName>
    <definedName name="MOBILISASI">#REF!</definedName>
    <definedName name="Mobilization">#REF!</definedName>
    <definedName name="MOEN">[140]NP!#REF!</definedName>
    <definedName name="MOER">#REF!</definedName>
    <definedName name="mon">#REF!</definedName>
    <definedName name="mont">[139]NP!#REF!</definedName>
    <definedName name="MONTA">[76]NP!#REF!</definedName>
    <definedName name="MONTER">[141]NP!#REF!</definedName>
    <definedName name="month">[142]Indirect_Const!$F$11</definedName>
    <definedName name="MONYEK">[109]NP!#REF!</definedName>
    <definedName name="MONYET">#REF!</definedName>
    <definedName name="MOS">#REF!</definedName>
    <definedName name="Motor_Grader">#REF!</definedName>
    <definedName name="motorgrader">[33]upahbahan!$G$72</definedName>
    <definedName name="mouldingramin">[35]HARGA!$E$87</definedName>
    <definedName name="mp">#REF!</definedName>
    <definedName name="MP_21">#REF!</definedName>
    <definedName name="MP_221">#REF!</definedName>
    <definedName name="MP_222">#REF!</definedName>
    <definedName name="MP_311">#REF!</definedName>
    <definedName name="MP_311a">[143]D3!#REF!</definedName>
    <definedName name="MP_312">[143]D3!#REF!</definedName>
    <definedName name="MP_312b">#REF!</definedName>
    <definedName name="MP_321">[143]D3!#REF!</definedName>
    <definedName name="MP_322">#REF!</definedName>
    <definedName name="MP_33">[143]D3!#REF!</definedName>
    <definedName name="MP_421">[143]D4!#REF!</definedName>
    <definedName name="MP_422">[143]D4!#REF!</definedName>
    <definedName name="MP_423">[144]D4!#REF!</definedName>
    <definedName name="MP_424">[145]D4!#REF!</definedName>
    <definedName name="MP_511">#REF!</definedName>
    <definedName name="MP_512">#REF!</definedName>
    <definedName name="MP_513">#REF!</definedName>
    <definedName name="MP_52">#REF!</definedName>
    <definedName name="MP_55">#REF!</definedName>
    <definedName name="MP_611">[143]D6!#REF!</definedName>
    <definedName name="MP_612">[25]D6!#REF!</definedName>
    <definedName name="MP_621">[143]D6!#REF!</definedName>
    <definedName name="MP_622">[143]D6!#REF!</definedName>
    <definedName name="MP_623">[143]D6!#REF!</definedName>
    <definedName name="MP_632">[25]D6!#REF!</definedName>
    <definedName name="MP_633">[143]D6!#REF!</definedName>
    <definedName name="MP_634a">[143]D6!#REF!</definedName>
    <definedName name="MP_635">[143]D6!#REF!</definedName>
    <definedName name="MP_66">[143]D6!#REF!</definedName>
    <definedName name="MP_7121">[145]D7!#REF!</definedName>
    <definedName name="MP_7122">[145]D7!#REF!</definedName>
    <definedName name="MP_7123">[145]D7!#REF!</definedName>
    <definedName name="MP_714">[145]D7!#REF!</definedName>
    <definedName name="MP_715">[145]D7!#REF!</definedName>
    <definedName name="MP_716">[144]D7!#REF!</definedName>
    <definedName name="MP_717">[146]D7!#REF!</definedName>
    <definedName name="MP_718">[143]D7!#REF!</definedName>
    <definedName name="MP_7212">[144]D7!#REF!</definedName>
    <definedName name="MP_725">[144]D7!#REF!</definedName>
    <definedName name="MP_731">[145]D7!#REF!</definedName>
    <definedName name="MP_734">[145]D7!#REF!</definedName>
    <definedName name="MP_762">[144]D7!#REF!</definedName>
    <definedName name="MP_781a">[144]D7!#REF!</definedName>
    <definedName name="MP_782">[144]D7!#REF!</definedName>
    <definedName name="MP_783">[144]D7!#REF!</definedName>
    <definedName name="MP_811">[143]D8!#REF!</definedName>
    <definedName name="MP_8110">[144]D8!#REF!</definedName>
    <definedName name="MP_8111">[143]D8!#REF!</definedName>
    <definedName name="MP_812">[143]D8!#REF!</definedName>
    <definedName name="MP_813">[143]D8!#REF!</definedName>
    <definedName name="MP_814">[144]D8!#REF!</definedName>
    <definedName name="MP_815">[143]D8!#REF!</definedName>
    <definedName name="MP_817">[143]D8!#REF!</definedName>
    <definedName name="MP_818">[143]D8!#REF!</definedName>
    <definedName name="MP_819">[143]D8!#REF!</definedName>
    <definedName name="MP_831">[145]D8!#REF!</definedName>
    <definedName name="MP_841">[143]D8!#REF!</definedName>
    <definedName name="MP_843">[145]D8!#REF!</definedName>
    <definedName name="MP_844a">[143]D8!#REF!</definedName>
    <definedName name="MP_844b">[145]D8!#REF!</definedName>
    <definedName name="MP_845">[145]D8!#REF!</definedName>
    <definedName name="mpoff">#REF!</definedName>
    <definedName name="mpon">#REF!</definedName>
    <definedName name="mpons">#REF!</definedName>
    <definedName name="MRIGHT">#REF!</definedName>
    <definedName name="ms">[37]Meto!#REF!</definedName>
    <definedName name="MSS">#REF!</definedName>
    <definedName name="MSS_3.11">#REF!</definedName>
    <definedName name="MSS_8.01_1_">#REF!</definedName>
    <definedName name="MSS_8.01_11_A">#REF!</definedName>
    <definedName name="MSS_8.01_2_">#REF!</definedName>
    <definedName name="MSS_8.01_3_">#REF!</definedName>
    <definedName name="MSS_8.04_1_A">#REF!</definedName>
    <definedName name="MSS_9.05_3_">#REF!</definedName>
    <definedName name="mster">[89]NP!#REF!</definedName>
    <definedName name="MTOP">#REF!</definedName>
    <definedName name="MU">#REF!</definedName>
    <definedName name="MUSA">[147]NP!#REF!</definedName>
    <definedName name="musik">[89]NP!#REF!</definedName>
    <definedName name="n">[148]Rekap!$S$13</definedName>
    <definedName name="NA">#REF!</definedName>
    <definedName name="nama">#REF!</definedName>
    <definedName name="nama_bahan">#REF!</definedName>
    <definedName name="nama_upah">#REF!</definedName>
    <definedName name="namadirektur">[33]OUTPUT!$A$5</definedName>
    <definedName name="namapaket">[71]ch!$E$3</definedName>
    <definedName name="namateknik">[52]RAB!$F$90</definedName>
    <definedName name="nanadirektur">[33]OUTPUT!$A$5</definedName>
    <definedName name="NESA">#REF!</definedName>
    <definedName name="nh">#REF!</definedName>
    <definedName name="NIDA">[129]NP!#REF!</definedName>
    <definedName name="nkontrak">[117]Hal.010MUKAMC!$M$6</definedName>
    <definedName name="nm">[14]Ch!$A$11</definedName>
    <definedName name="nm.">'[14]Perhitungan RAB'!$A$11</definedName>
    <definedName name="NMPAKET">[101]CH!$C$9</definedName>
    <definedName name="nmpaket.">[149]CH!$C$8</definedName>
    <definedName name="nmpek">[150]CH!$A$6</definedName>
    <definedName name="nmpkt">[151]CH!$C$8</definedName>
    <definedName name="nnkonsul">[117]Hal.010MUKAMC!$E$10</definedName>
    <definedName name="nnkontraktor">[117]Hal.010MUKAMC!$E$11</definedName>
    <definedName name="NO">[152]NP!#REF!</definedName>
    <definedName name="NOA">[153]NP!#REF!</definedName>
    <definedName name="nokgentangsuryaroof">[3]upah!#REF!</definedName>
    <definedName name="nokgenteng">[3]upah!#REF!</definedName>
    <definedName name="nokon">[117]Hal.010MUKAMC!$M$7</definedName>
    <definedName name="NONTON">[109]NP!#REF!</definedName>
    <definedName name="NOPAKET">[101]CH!$C$8</definedName>
    <definedName name="NOSEKSI">#REF!</definedName>
    <definedName name="noser">[117]Hal.010MUKAMC!$M$10</definedName>
    <definedName name="nosurat">[9]CH!$C$38</definedName>
    <definedName name="npaket">[117]Hal.010MUKAMC!$E$6</definedName>
    <definedName name="nyan">#REF!</definedName>
    <definedName name="OFF">#REF!</definedName>
    <definedName name="office">#REF!</definedName>
    <definedName name="offsh">#REF!</definedName>
    <definedName name="offshore">#REF!</definedName>
    <definedName name="ok">[154]CH!$C$43</definedName>
    <definedName name="Oksigen">#REF!</definedName>
    <definedName name="OLD">[45]NP!#REF!</definedName>
    <definedName name="oli">#REF!</definedName>
    <definedName name="ON">#REF!</definedName>
    <definedName name="OP">COVER!$G$13</definedName>
    <definedName name="OPERATING_EQUIPMENT">#REF!</definedName>
    <definedName name="Operator">'[155]DAFTAR HARGA'!$K$45</definedName>
    <definedName name="org.hari">#REF!</definedName>
    <definedName name="ot">#REF!</definedName>
    <definedName name="ou">'[39]meth hsl nego'!#REF!</definedName>
    <definedName name="p">'[112]Perhitungan RAB'!$D$6</definedName>
    <definedName name="P.pengarah">#REF!</definedName>
    <definedName name="pabf100">#REF!</definedName>
    <definedName name="pabf125">#REF!</definedName>
    <definedName name="pabf150">#REF!</definedName>
    <definedName name="pabf4">#REF!</definedName>
    <definedName name="pabf6">#REF!</definedName>
    <definedName name="pabf65">#REF!</definedName>
    <definedName name="pabf80">#REF!</definedName>
    <definedName name="pakailah">[115]NP!#REF!</definedName>
    <definedName name="paket">#REF!</definedName>
    <definedName name="pakf100">#REF!</definedName>
    <definedName name="pakf150">#REF!</definedName>
    <definedName name="pakf80">#REF!</definedName>
    <definedName name="Paku">#REF!</definedName>
    <definedName name="pakuantikarat">[68]Harga!$H$130</definedName>
    <definedName name="pakugenteng">[3]upah!#REF!</definedName>
    <definedName name="pakugipsum">[3]upah!#REF!</definedName>
    <definedName name="pakuseng">[35]HARGA!$E$48</definedName>
    <definedName name="pakusirap">[35]HARGA!$E$45</definedName>
    <definedName name="pakutripleks">[3]upah!$H$64</definedName>
    <definedName name="Pakuulin">[68]Harga!$H$123</definedName>
    <definedName name="pancang450">#REF!</definedName>
    <definedName name="pancang600">#REF!</definedName>
    <definedName name="Pancangsheet">#REF!</definedName>
    <definedName name="panelgipsum">[3]upah!#REF!</definedName>
    <definedName name="PANITIA">[30]NP!#REF!</definedName>
    <definedName name="PANJANG">[9]CH!$C$13</definedName>
    <definedName name="Papan_proyek">ANALISA_FIX!$H$4049</definedName>
    <definedName name="papanbekisting">[35]HARGA!$E$24</definedName>
    <definedName name="papancempaka">[3]upah!$H$70</definedName>
    <definedName name="papankyklsiii">[52]upah!$H$63</definedName>
    <definedName name="papanlanan">[35]HARGA!$E$26</definedName>
    <definedName name="papanlinggua">[3]upah!#REF!</definedName>
    <definedName name="PAS.BATU">#REF!</definedName>
    <definedName name="pasanganbatu">[33]analisa!$K$155</definedName>
    <definedName name="PASBATU">#REF!</definedName>
    <definedName name="PASBTMORTAR">#REF!</definedName>
    <definedName name="PASIR">#REF!</definedName>
    <definedName name="PASIR_BETON">[156]HARGA!$F$41</definedName>
    <definedName name="Pasir_Pasang">#REF!</definedName>
    <definedName name="pasirkasar">[33]upahbahan!$G$122</definedName>
    <definedName name="PASIRPADAT">#REF!</definedName>
    <definedName name="pasirpasang">[3]upah!$H$53</definedName>
    <definedName name="PASIRURUG">#REF!</definedName>
    <definedName name="pavingblock">#REF!</definedName>
    <definedName name="pavingstone">[35]HARGA!$E$96</definedName>
    <definedName name="PB">#REF!</definedName>
    <definedName name="PBJ">#REF!</definedName>
    <definedName name="pbsf100">#REF!</definedName>
    <definedName name="pbsf150">#REF!</definedName>
    <definedName name="pbsf65">#REF!</definedName>
    <definedName name="pbsf80">#REF!</definedName>
    <definedName name="PC450B">#REF!</definedName>
    <definedName name="PC450U">#REF!</definedName>
    <definedName name="PC600B">#REF!</definedName>
    <definedName name="PC600U">#REF!</definedName>
    <definedName name="PCcurb">#REF!</definedName>
    <definedName name="PE">[157]CH!$C$40</definedName>
    <definedName name="pedestarianroller">[33]upahbahan!$G$77</definedName>
    <definedName name="PEDESTRIANROLLER">#REF!</definedName>
    <definedName name="Pek">#REF!</definedName>
    <definedName name="PEKE">[127]Upah!$F$33</definedName>
    <definedName name="Pekerja">#REF!</definedName>
    <definedName name="Pekerja_Terlatih___Tukang">#REF!</definedName>
    <definedName name="PEKERJAAN">#REF!</definedName>
    <definedName name="PEKERJAAN__A_C">#REF!</definedName>
    <definedName name="PEKERJAAN_CAT">#REF!</definedName>
    <definedName name="PEKERJAAN_CCTV__SOUND_SYSTEM____MATV">#REF!</definedName>
    <definedName name="PEKERJAAN_DINDING_DAN_FINISHING_DINDING">#REF!</definedName>
    <definedName name="PEKERJAAN_FINISHING_LANTAI">#REF!</definedName>
    <definedName name="PEKERJAAN_GONDOLA">#REF!</definedName>
    <definedName name="PEKERJAAN_LIFT_ex_KOREA">#REF!</definedName>
    <definedName name="PEKERJAAN_LISTRIK___GENSET">#REF!</definedName>
    <definedName name="PEKERJAAN_LUAR">#REF!</definedName>
    <definedName name="PEKERJAAN_PLAFOND">#REF!</definedName>
    <definedName name="PEKERJAAN_PLUMBING___SANITARY">#REF!</definedName>
    <definedName name="PEKERJAAN_PONDASI">#REF!</definedName>
    <definedName name="PEKERJAAN_RAILING_DAN_LAIN___LAIN">#REF!</definedName>
    <definedName name="PEKERJAAN_SPRINKLER___FIRE_FIGHTING">#REF!</definedName>
    <definedName name="PEKERJAAN_STRUKTUR_ATAS_DAN_ATAP">#REF!</definedName>
    <definedName name="PEKERJAAN_SUB_STRUKTUR">#REF!</definedName>
    <definedName name="PEKERJAAN_TANAH">#REF!</definedName>
    <definedName name="PEKERJAAN_TELEPON">#REF!</definedName>
    <definedName name="Pelamir">[68]Harga!$H$191</definedName>
    <definedName name="PELIHARA">[9]CH!$C$17</definedName>
    <definedName name="pembantumekanik">[33]upahbahan!$G$32</definedName>
    <definedName name="pembantuoperator">[33]upahbahan!$G$29</definedName>
    <definedName name="Pembongkaran">[158]NP!$L$841:$V$901</definedName>
    <definedName name="penawar">[112]ch!$D$6</definedName>
    <definedName name="PENAWARAN">#REF!</definedName>
    <definedName name="penguk2">'[159]ANAL-'!#REF!</definedName>
    <definedName name="PERALATAN">#REF!</definedName>
    <definedName name="perhitungan">[115]NP!#REF!</definedName>
    <definedName name="Perletakan_Strip">#REF!</definedName>
    <definedName name="personpgn">#REF!</definedName>
    <definedName name="Perusahaan">[160]CH!$C$29</definedName>
    <definedName name="petenglampu">[3]upah!$H$98</definedName>
    <definedName name="pgc">#REF!</definedName>
    <definedName name="pi">#REF!</definedName>
    <definedName name="Pick_Up_Truck">'[67]HARGA SATUAN'!$K$124</definedName>
    <definedName name="PILMEN1">#REF!</definedName>
    <definedName name="PILMEN2">#REF!</definedName>
    <definedName name="pintufiber">[3]upah!#REF!</definedName>
    <definedName name="Pipa_dia_273_mm">#REF!</definedName>
    <definedName name="Pipa_galvanized_2.5">#REF!</definedName>
    <definedName name="Pipa_Galvanized_dia._2.5">#REF!</definedName>
    <definedName name="pipabajabergelombang">[33]upahbahan!#REF!</definedName>
    <definedName name="pipagalv">[3]upah!#REF!</definedName>
    <definedName name="pipagalv112m1">[3]upah!#REF!</definedName>
    <definedName name="pipagalv1m1">[3]upah!#REF!</definedName>
    <definedName name="pipagalv34m1">[3]upah!#REF!</definedName>
    <definedName name="pipagalv4m1">[3]upah!#REF!</definedName>
    <definedName name="pipagalvm1">[3]upah!#REF!</definedName>
    <definedName name="pipaporous">[33]upahbahan!#REF!</definedName>
    <definedName name="pipapvc">[3]upah!$H$97</definedName>
    <definedName name="pipapvc12">[3]upah!#REF!</definedName>
    <definedName name="PIUTANGHOTMIX">#REF!</definedName>
    <definedName name="PJBA">#REF!</definedName>
    <definedName name="PL">#REF!</definedName>
    <definedName name="plamur">[3]upah!#REF!</definedName>
    <definedName name="plantshurb">#REF!</definedName>
    <definedName name="planttree">#REF!</definedName>
    <definedName name="Plat_Baja">#REF!</definedName>
    <definedName name="plkywood">[3]upah!#REF!</definedName>
    <definedName name="plum">#REF!</definedName>
    <definedName name="plywood">[3]upah!#REF!</definedName>
    <definedName name="Plywood15">#REF!</definedName>
    <definedName name="plywood3">[35]HARGA!$E$29</definedName>
    <definedName name="PNITIA">[132]NP!#REF!</definedName>
    <definedName name="po">#REF!</definedName>
    <definedName name="POLI">[89]NP!#REF!</definedName>
    <definedName name="politur">[3]upah!$H$110</definedName>
    <definedName name="polos">[62]ANALISA!$J$208</definedName>
    <definedName name="pompaair">[3]upah!#REF!</definedName>
    <definedName name="Ponton">#REF!</definedName>
    <definedName name="potongtiang">#REF!</definedName>
    <definedName name="pph">#REF!</definedName>
    <definedName name="ppn">#REF!</definedName>
    <definedName name="PPO">'[38]Analisa 2'!$B$1459:$J$1665</definedName>
    <definedName name="pr">[26]DIV.1!$A$69:$I$112</definedName>
    <definedName name="PREDI">[53]NP!#REF!</definedName>
    <definedName name="PRESI">'[49]Kuantitas &amp; Harga'!#REF!</definedName>
    <definedName name="Primecoat">#REF!</definedName>
    <definedName name="PRINT">#REF!</definedName>
    <definedName name="PRINT_AREA_MI">#REF!</definedName>
    <definedName name="Print_Area1">[26]DIV.1!$A$69:$I$112</definedName>
    <definedName name="Print_Titles_MI">#REF!</definedName>
    <definedName name="PRO">#REF!</definedName>
    <definedName name="profilgipsum12cm">[3]upah!#REF!</definedName>
    <definedName name="profilgipsum17cm">[3]upah!#REF!</definedName>
    <definedName name="profilgipsum3cm">[3]upah!#REF!</definedName>
    <definedName name="progres">{"'A'!$A$1:$W$63"}</definedName>
    <definedName name="PROGRESS">[136]NP!#REF!</definedName>
    <definedName name="PROPINSI">[9]CH!$C$18</definedName>
    <definedName name="proses">#REF!</definedName>
    <definedName name="PROYEK">[9]CH!$C$6</definedName>
    <definedName name="proyks">#REF!</definedName>
    <definedName name="prs">#REF!</definedName>
    <definedName name="Ps.beton">#REF!</definedName>
    <definedName name="Ps.cor">#REF!</definedName>
    <definedName name="Ps.pasang">#REF!</definedName>
    <definedName name="Ps.Urug">#REF!</definedName>
    <definedName name="pt">[14]Ch!$A$10</definedName>
    <definedName name="PTJW">#REF!</definedName>
    <definedName name="pu">#REF!</definedName>
    <definedName name="PUSAT">#REF!</definedName>
    <definedName name="PVCconduit">#REF!</definedName>
    <definedName name="Q">[55]BOQ!$A$16:$G$332</definedName>
    <definedName name="QR_BC">#REF!</definedName>
    <definedName name="RA">#REF!</definedName>
    <definedName name="RAB">#REF!</definedName>
    <definedName name="RANGERTANAH">[120]CH!$C$33</definedName>
    <definedName name="RAP">#REF!</definedName>
    <definedName name="rdi">[77]NP!#REF!</definedName>
    <definedName name="REAL">#REF!</definedName>
    <definedName name="RECAP">#REF!</definedName>
    <definedName name="REKAP">#REF!</definedName>
    <definedName name="REKAPITULASI">#REF!</definedName>
    <definedName name="RENCANA">#REF!</definedName>
    <definedName name="RENCANA02">#REF!</definedName>
    <definedName name="res">'[105]AN-E'!#REF!</definedName>
    <definedName name="ret">'[39]meth hsl nego'!#REF!</definedName>
    <definedName name="revisi">[161]NP!#REF!</definedName>
    <definedName name="revisis">[161]NP!#REF!</definedName>
    <definedName name="rigid">[162]H.Satuan!#REF!</definedName>
    <definedName name="RINCIAN">#REF!</definedName>
    <definedName name="RINCIANSEWA">#REF!</definedName>
    <definedName name="RINCIANSEWA2">#REF!</definedName>
    <definedName name="RIRI">[46]NP!#REF!</definedName>
    <definedName name="RM">#REF!</definedName>
    <definedName name="room">#REF!</definedName>
    <definedName name="rosa">'[163]Basic Price'!$Y$4</definedName>
    <definedName name="round">#REF!</definedName>
    <definedName name="ROWpost">#REF!</definedName>
    <definedName name="rt">[37]Meto!#REF!</definedName>
    <definedName name="RUAS">[9]CH!$C$14</definedName>
    <definedName name="Rubber_Joint">#REF!</definedName>
    <definedName name="Rucika_Wavin">#REF!</definedName>
    <definedName name="rudi">#REF!</definedName>
    <definedName name="rukan_a">[164]TOWN!#REF!</definedName>
    <definedName name="rukan_aa">[164]TOWN!#REF!</definedName>
    <definedName name="rukan_b">[164]TOWN!#REF!</definedName>
    <definedName name="rukan_c">[164]TOWN!#REF!</definedName>
    <definedName name="rukan_cc">[164]TOWN!#REF!</definedName>
    <definedName name="rukan_d">[164]TOWN!#REF!</definedName>
    <definedName name="rukan_dd">[164]TOWN!#REF!</definedName>
    <definedName name="rukan_e">[164]TOWN!#REF!</definedName>
    <definedName name="rukan_ee">[164]TOWN!#REF!</definedName>
    <definedName name="RUMAH">#REF!</definedName>
    <definedName name="RUTIN">#REF!</definedName>
    <definedName name="Rutin_1b">'[143]10.1 (1)'!#REF!</definedName>
    <definedName name="Rutin_1c">'[25]10.1 (1)'!#REF!</definedName>
    <definedName name="Rutin_1d">'[143]10.1 (1)'!#REF!</definedName>
    <definedName name="Rutin_1e">'[143]10.1 (1)'!#REF!</definedName>
    <definedName name="Rutin_2c">'[143]10.1 (2)'!#REF!</definedName>
    <definedName name="Rutin_2d">'[25]10.1 (2)'!#REF!</definedName>
    <definedName name="Rutin_3d">'[143]10.1 (3)'!#REF!</definedName>
    <definedName name="Rutin_3e">'[143]10.1 (3)'!#REF!</definedName>
    <definedName name="Rutin_3f">'[25]10.1 (3)'!#REF!</definedName>
    <definedName name="Rutin_4a">'[143]10.1 (4)'!#REF!</definedName>
    <definedName name="Rutin_4b">'[143]10.1 (4)'!#REF!</definedName>
    <definedName name="Rutin_4c">'[25]10.1 (4)'!#REF!</definedName>
    <definedName name="Rutin_4d">'[143]10.1 (4)'!#REF!</definedName>
    <definedName name="Rutin_5c">'[25]10.1 (5)'!#REF!</definedName>
    <definedName name="Rutin_5f">'[143]10.1 (5)'!#REF!</definedName>
    <definedName name="Rutin_5g">'[143]10.1 (5)'!#REF!</definedName>
    <definedName name="s">[65]FINISHING!#REF!</definedName>
    <definedName name="sa">[165]NP!#REF!</definedName>
    <definedName name="SABA">[129]NP!#REF!</definedName>
    <definedName name="SABTU">#REF!</definedName>
    <definedName name="SAERA">[30]NP!#REF!</definedName>
    <definedName name="SAH">[16]RAB!$A$62:$H$68</definedName>
    <definedName name="SAKIT">[141]NP!#REF!</definedName>
    <definedName name="saklardoubleinbow">[3]upah!$H$99</definedName>
    <definedName name="saklartunggalinbow">[3]upah!$H$100</definedName>
    <definedName name="sambung450">#REF!</definedName>
    <definedName name="sambung600">#REF!</definedName>
    <definedName name="SAPI">#REF!</definedName>
    <definedName name="SATR">#REF!</definedName>
    <definedName name="SATU">[166]NP!#REF!</definedName>
    <definedName name="Satuan">#REF!</definedName>
    <definedName name="SAYUTI">[166]NP!#REF!</definedName>
    <definedName name="SBASE">#REF!</definedName>
    <definedName name="SBOQ">#REF!</definedName>
    <definedName name="SBOQ1">#REF!</definedName>
    <definedName name="SBOQ2">#REF!</definedName>
    <definedName name="SBQ">#REF!</definedName>
    <definedName name="sby">#REF!</definedName>
    <definedName name="sc">#REF!</definedName>
    <definedName name="scafolding">#REF!</definedName>
    <definedName name="scc">#REF!</definedName>
    <definedName name="scedu">#REF!</definedName>
    <definedName name="SCEDULE">[167]NP!#REF!</definedName>
    <definedName name="SCEDULLE">#REF!</definedName>
    <definedName name="SCHEDULE">[26]DIV.1!$A$69:$I$112</definedName>
    <definedName name="sd">[149]CH!$C$39</definedName>
    <definedName name="sdana">[117]Hal.010MUKAMC!$E$7</definedName>
    <definedName name="sde">{"'A'!$A$1:$W$63"}</definedName>
    <definedName name="SE">[168]NP!#REF!</definedName>
    <definedName name="SEA">'[133]Rekap Biaya'!$A$1:$J$46</definedName>
    <definedName name="seda">[85]NP!#REF!</definedName>
    <definedName name="sedia">#REF!</definedName>
    <definedName name="SEGA">[53]NP!#REF!</definedName>
    <definedName name="sekring">[3]upah!#REF!</definedName>
    <definedName name="sekrup">[35]HARGA!$E$95</definedName>
    <definedName name="Semen">#REF!</definedName>
    <definedName name="semen1">[3]upah!$H$54</definedName>
    <definedName name="semenpc">[35]HARGA!$E$18</definedName>
    <definedName name="Semenputih">[68]Harga!$H$64</definedName>
    <definedName name="SEMIN">'[123]Kuantitas &amp; Harga'!#REF!</definedName>
    <definedName name="sen">[169]CH!$B$28</definedName>
    <definedName name="sengbjls20">[3]upah!$H$75</definedName>
    <definedName name="senggelombang27">[35]HARGA!$E$40</definedName>
    <definedName name="sengplat">[3]upah!$H$76</definedName>
    <definedName name="sengplatbjls30">[3]upah!#REF!</definedName>
    <definedName name="SERA">[129]NP!#REF!</definedName>
    <definedName name="serah">[23]NP!#REF!</definedName>
    <definedName name="SERLI">#REF!</definedName>
    <definedName name="SETA">#REF!</definedName>
    <definedName name="SETAN">#REF!</definedName>
    <definedName name="SETFOOT">#REF!</definedName>
    <definedName name="SETHEAD">#REF!</definedName>
    <definedName name="SEWA">[76]NP!#REF!</definedName>
    <definedName name="SEWAALAT">#REF!</definedName>
    <definedName name="sfvd100">#REF!</definedName>
    <definedName name="Sheetpile">#REF!</definedName>
    <definedName name="SIKAT">[23]NP!#REF!</definedName>
    <definedName name="sirap">[35]HARGA!$E$41</definedName>
    <definedName name="SIRTU">#REF!</definedName>
    <definedName name="SITA">[153]NP!#REF!</definedName>
    <definedName name="SITI">[53]NP!#REF!</definedName>
    <definedName name="SK">#REF!</definedName>
    <definedName name="SKERA">[132]NP!#REF!</definedName>
    <definedName name="sket">#REF!</definedName>
    <definedName name="SKETSA">[132]NP!#REF!</definedName>
    <definedName name="SKTESA">[113]NP!#REF!</definedName>
    <definedName name="SLH">[16]RAB!#REF!</definedName>
    <definedName name="sn">[14]Ch!$A$16</definedName>
    <definedName name="SNC">[63]CH!$C$39</definedName>
    <definedName name="snipgr">[102]HARGA!$E$91</definedName>
    <definedName name="SO">#REF!</definedName>
    <definedName name="Solar">#REF!</definedName>
    <definedName name="SOLAT">#REF!</definedName>
    <definedName name="sopir">[33]upahbahan!$G$30</definedName>
    <definedName name="SPEMBA">[21]RAB!#REF!</definedName>
    <definedName name="SPENING">[16]RAB!#REF!</definedName>
    <definedName name="Split">#REF!</definedName>
    <definedName name="SPRAYER">#REF!</definedName>
    <definedName name="sqdqadw">'[170]Basic Price2'!#REF!</definedName>
    <definedName name="SREHAB">[16]RAB!#REF!</definedName>
    <definedName name="ss">[102]HARGA!$E$95</definedName>
    <definedName name="SS_3.11">#REF!</definedName>
    <definedName name="SS_8.01_1_">#REF!</definedName>
    <definedName name="SS_8.01_11_A">#REF!</definedName>
    <definedName name="SS_8.01_2_">#REF!</definedName>
    <definedName name="SS_8.01_3_">#REF!</definedName>
    <definedName name="SS_8.04_1_A">#REF!</definedName>
    <definedName name="SS_9.05_3_">#REF!</definedName>
    <definedName name="sss">#REF!</definedName>
    <definedName name="ssss">{"'A'!$A$1:$W$63"}</definedName>
    <definedName name="ST">#REF!</definedName>
    <definedName name="Stamper">#REF!</definedName>
    <definedName name="Status">#REF!</definedName>
    <definedName name="Steel_Plat_Girder">#REF!</definedName>
    <definedName name="steelformwork">#REF!</definedName>
    <definedName name="steelrailing">#REF!</definedName>
    <definedName name="STONECRUSHER">#REF!</definedName>
    <definedName name="Stonework">#REF!</definedName>
    <definedName name="STOOTWERK">#REF!</definedName>
    <definedName name="stopkontak">[3]upah!$H$101</definedName>
    <definedName name="Stressing316">#REF!</definedName>
    <definedName name="stressing400">#REF!</definedName>
    <definedName name="stressing405">#REF!</definedName>
    <definedName name="stressingdia316">#REF!</definedName>
    <definedName name="stressingdia400">#REF!</definedName>
    <definedName name="stressingdia405">#REF!</definedName>
    <definedName name="STRUKTUR">#REF!</definedName>
    <definedName name="sub">[50]ANALISA!#REF!</definedName>
    <definedName name="subkon">[33]OUTPUT!$A$9</definedName>
    <definedName name="SUM_G52_G83">#REF!</definedName>
    <definedName name="sumboq1">#REF!</definedName>
    <definedName name="sumboq2">#REF!</definedName>
    <definedName name="sumbq">#REF!</definedName>
    <definedName name="sumbq1">#REF!</definedName>
    <definedName name="sumbq2">#REF!</definedName>
    <definedName name="supvab">#REF!</definedName>
    <definedName name="supvau">#REF!</definedName>
    <definedName name="supvbu">#REF!</definedName>
    <definedName name="supvcb">#REF!</definedName>
    <definedName name="supvcu">#REF!</definedName>
    <definedName name="supvdb">#REF!</definedName>
    <definedName name="supvdu">#REF!</definedName>
    <definedName name="survey">[66]NP!#REF!</definedName>
    <definedName name="SWA">#REF!</definedName>
    <definedName name="T">[77]NP!#REF!</definedName>
    <definedName name="T_BATU">[171]Harga!#REF!</definedName>
    <definedName name="ta">[117]Hal.010MUKAMC!$E$8</definedName>
    <definedName name="tabel">#REF!</definedName>
    <definedName name="table">[87]H.Satuan!#REF!</definedName>
    <definedName name="Tackcoat">#REF!</definedName>
    <definedName name="takon">[117]Hal.010MUKAMC!$M$8</definedName>
    <definedName name="taliijuk">[3]upah!#REF!</definedName>
    <definedName name="TAMPER">#REF!</definedName>
    <definedName name="TANAH">#REF!</definedName>
    <definedName name="TANAH_URUG">[156]HARGA!$F$35</definedName>
    <definedName name="Tanah_Urugan_Pilihan">#REF!</definedName>
    <definedName name="tanahbiasa">[35]HARGA!$E$10</definedName>
    <definedName name="tanahpilihan">[35]HARGA!$E$11</definedName>
    <definedName name="tanahurug">[3]upah!$H$50</definedName>
    <definedName name="TANDEMROLLER">#REF!</definedName>
    <definedName name="TANGGAL">[63]CH!$C$40</definedName>
    <definedName name="tanjd">[87]H.Satuan!#REF!</definedName>
    <definedName name="tarikanjendela">[3]upah!$H$96</definedName>
    <definedName name="tarikanpintu">[3]upah!$H$95</definedName>
    <definedName name="taser">[117]Hal.010MUKAMC!$M$11</definedName>
    <definedName name="tasirtu">[33]upahbahan!#REF!</definedName>
    <definedName name="TBL">[104]CH!$C$30</definedName>
    <definedName name="tc">[68]Harga!$H$22</definedName>
    <definedName name="tcco">[117]Hal.010MUKAMC!$M$9</definedName>
    <definedName name="TDK">#REF!</definedName>
    <definedName name="teen">#REF!</definedName>
    <definedName name="tegel20x20">[3]upah!#REF!</definedName>
    <definedName name="tegel20x25">[3]upah!#REF!</definedName>
    <definedName name="tegel40x40">[3]upah!#REF!</definedName>
    <definedName name="tegelkeramik20x25">[3]upah!#REF!</definedName>
    <definedName name="tegelkeramik30x30">[3]upah!#REF!</definedName>
    <definedName name="tegelkeramik30x30warna">[3]upah!#REF!</definedName>
    <definedName name="tegelkeramik40x40">[3]upah!#REF!</definedName>
    <definedName name="tegelkeramik40x40warna">[3]upah!#REF!</definedName>
    <definedName name="tegelplint">[3]upah!#REF!</definedName>
    <definedName name="tegelplint10x30">[3]upah!#REF!</definedName>
    <definedName name="tegelplint10x30warna">[3]upah!#REF!</definedName>
    <definedName name="tegelplint10x40warna">[3]upah!#REF!</definedName>
    <definedName name="tegelporselin11">[35]HARGA!$E$20</definedName>
    <definedName name="tegelwafel">[3]upah!#REF!</definedName>
    <definedName name="TELAKEN">'[133]Kuantitas &amp; Harga'!#REF!</definedName>
    <definedName name="TENAGA_KERJA">#REF!</definedName>
    <definedName name="ter">[162]H.Satuan!#REF!</definedName>
    <definedName name="TERA">[147]NP!#REF!</definedName>
    <definedName name="terbilang">#REF!</definedName>
    <definedName name="testpile">#REF!</definedName>
    <definedName name="tgl">[14]Ch!$A$9</definedName>
    <definedName name="TGL_UND">[9]CH!$C$34</definedName>
    <definedName name="TGLUND">[150]CH!$A$8</definedName>
    <definedName name="THREEWHEELROLLER">#REF!</definedName>
    <definedName name="threewhellroller">[33]upahbahan!$G$76</definedName>
    <definedName name="TI">#REF!</definedName>
    <definedName name="Tiang_Pancang_Beton_Pracetak_Dia.400_mm">#REF!</definedName>
    <definedName name="Tiang_Pancang_Pipa_dia_500_mm">#REF!</definedName>
    <definedName name="tiga">#REF!</definedName>
    <definedName name="TIMB.BIASA">#REF!</definedName>
    <definedName name="TIMBUN">#REF!</definedName>
    <definedName name="time">[105]Meth!#REF!</definedName>
    <definedName name="TIREROLLER">#REF!</definedName>
    <definedName name="tk">[37]Meto!#REF!</definedName>
    <definedName name="Tk.Batu">#REF!</definedName>
    <definedName name="Tk.Gali">#REF!</definedName>
    <definedName name="Tk.Kayu">#REF!</definedName>
    <definedName name="TOTAL">#REF!</definedName>
    <definedName name="total_uang">#REF!</definedName>
    <definedName name="town_a">#REF!</definedName>
    <definedName name="town_b">#REF!</definedName>
    <definedName name="town_c">#REF!</definedName>
    <definedName name="town_d">#REF!</definedName>
    <definedName name="town_e">#REF!</definedName>
    <definedName name="TPILIHAN">#REF!</definedName>
    <definedName name="TRACKLOADER">#REF!</definedName>
    <definedName name="TRAILLER">#REF!</definedName>
    <definedName name="transport">#REF!</definedName>
    <definedName name="trip">#REF!</definedName>
    <definedName name="tripleks">[3]upah!$H$74</definedName>
    <definedName name="TRIX">#REF!</definedName>
    <definedName name="tuk">#REF!</definedName>
    <definedName name="tukang">[3]upah!$H$24</definedName>
    <definedName name="tukangbatu">[172]HARGA!$E$110</definedName>
    <definedName name="tukangbesi">[172]HARGA!$E$112</definedName>
    <definedName name="tukangcat">[172]HARGA!$E$113</definedName>
    <definedName name="tukanggali">[172]HARGA!$E$109</definedName>
    <definedName name="tukangkayu">[172]HARGA!$E$111</definedName>
    <definedName name="tv">[37]Meto!#REF!</definedName>
    <definedName name="ty">#REF!</definedName>
    <definedName name="tyk">'[14]Perhitungan RAB'!$A$10</definedName>
    <definedName name="TYPE">#REF!</definedName>
    <definedName name="TYPICAL_FLOOR___7_LEVEL">#REF!</definedName>
    <definedName name="tyreroller">[33]upahbahan!#REF!</definedName>
    <definedName name="u">[65]FINISHING!#REF!</definedName>
    <definedName name="U.Angkutbesi">#REF!</definedName>
    <definedName name="U.Batu">#REF!</definedName>
    <definedName name="U.Bekisting">#REF!</definedName>
    <definedName name="U.BongkarBkst">#REF!</definedName>
    <definedName name="U.Conduit">#REF!</definedName>
    <definedName name="U.Cor1">#REF!</definedName>
    <definedName name="U.Cor2">#REF!</definedName>
    <definedName name="U.Curing">#REF!</definedName>
    <definedName name="U.Gelarbase">#REF!</definedName>
    <definedName name="U.Gelarps">#REF!</definedName>
    <definedName name="U.pabrikasibesi">#REF!</definedName>
    <definedName name="U.Siapcor">#REF!</definedName>
    <definedName name="U.Stelbesi">#REF!</definedName>
    <definedName name="ui">'[105]AN-E'!#REF!</definedName>
    <definedName name="umum">#REF!</definedName>
    <definedName name="UND">[150]CH!$A$7</definedName>
    <definedName name="UNDANGAN">[9]CH!$C$33</definedName>
    <definedName name="Underwater_Welder">#REF!</definedName>
    <definedName name="UPAH">#REF!</definedName>
    <definedName name="uraan">[138]STAF!#REF!</definedName>
    <definedName name="URAIAN">'[91]3-DIV2'!$A$1:$J$1101</definedName>
    <definedName name="URAIAN101">'[90]Urai _ Guide Post'!#REF!</definedName>
    <definedName name="URAIAN1022">'[90]Urai _ Guide Post'!#REF!</definedName>
    <definedName name="URAIAN1031">'[90]Urai _ Guide Post'!#REF!</definedName>
    <definedName name="URAIAN1032">'[90]Urai _ Guide Post'!#REF!</definedName>
    <definedName name="URAIAN1041">'[90]Urai _ Guide Post'!#REF!</definedName>
    <definedName name="URAIAN1042">'[90]Urai _ Guide Post'!#REF!</definedName>
    <definedName name="URAIAN21">'[91]3-DIV2'!$A$1:$J$121</definedName>
    <definedName name="URAIAN22E">'[91]3-DIV2'!$A$122:$J$123</definedName>
    <definedName name="URAIAN22L">'[91]3-DIV2'!#REF!</definedName>
    <definedName name="URAIAN231">'[91]3-DIV2'!$A$124:$J$243</definedName>
    <definedName name="URAIAN232">'[91]3-DIV2'!$A$244:$J$363</definedName>
    <definedName name="URAIAN233">'[91]3-DIV2'!$A$364:$J$483</definedName>
    <definedName name="Uraian234">'[91]3-DIV2'!$A$484:$J$603</definedName>
    <definedName name="URAIAN234L">#REF!</definedName>
    <definedName name="Uraian235">'[91]3-DIV2'!$A$604:$J$854</definedName>
    <definedName name="Uraian236">'[91]3-DIV2'!$A$855:$J$973</definedName>
    <definedName name="URAIAN241">'[91]3-DIV2'!$A$974:$J$978</definedName>
    <definedName name="URAIAN242">'[91]3-DIV2'!$A$979:$J$1039</definedName>
    <definedName name="URAIAN243">'[91]3-DIV2'!$A$1040:$J$1101</definedName>
    <definedName name="Uraian311">'[93]3-DIV3'!$A$1:$J$120</definedName>
    <definedName name="Uraian312">'[93]3-DIV3'!$A$121:$J$240</definedName>
    <definedName name="Uraian313">'[93]3-DIV3'!$A$255:$J$374</definedName>
    <definedName name="Uraian314">'[93]3-DIV3'!$A$375:$J$494</definedName>
    <definedName name="Uraian315">'[93]3-DIV3'!$A$1766:$J$1885</definedName>
    <definedName name="URAIAN316">'[90]Urai_Galian Tanah'!#REF!</definedName>
    <definedName name="Uraian319">'[93]3-DIV3'!$A$1886:$J$1946</definedName>
    <definedName name="URAIAN321">'[90]Urai_Galian Tanah'!#REF!</definedName>
    <definedName name="Uraian322">'[93]3-DIV3'!$A$1947:$J$2127</definedName>
    <definedName name="Uraian323">'[93]3-DIV3'!$A$2128:$J$2306</definedName>
    <definedName name="URAIAN323L">#REF!</definedName>
    <definedName name="Uraian324">'[93]3-DIV3'!$A$2307:$J$2428</definedName>
    <definedName name="URAIAN33">'[90]Urai_Galian Tanah'!#REF!</definedName>
    <definedName name="Uraian331">'[93]3-DIV3'!$A$2429:$J$2548</definedName>
    <definedName name="Uraian346">'[93]3-DIV3'!$A$2549:$J$2609</definedName>
    <definedName name="URAIAN421">'[94]3-DIV4'!$A$1:$J$179</definedName>
    <definedName name="URAIAN422">'[94]3-DIV4'!$A$180:$J$358</definedName>
    <definedName name="URAIAN423">'[94]3-DIV4'!$A$479:$J$717</definedName>
    <definedName name="URAIAN424">'[94]3-DIV4'!$A$359:$J$478</definedName>
    <definedName name="URAIAN425">'[94]3-DIV4'!$A$718:$J$896</definedName>
    <definedName name="URAIAN426">'[94]3-DIV4'!$A$897:$J$1016</definedName>
    <definedName name="URAIAN427">'[94]3-DIV4'!$A$1017:$J$1136</definedName>
    <definedName name="URAIAN511">'[95]3-DIV5'!$A$1:$J$179</definedName>
    <definedName name="URAIAN512">'[95]3-DIV5'!$A$180:$J$358</definedName>
    <definedName name="URAIAN521">'[95]3-DIV5'!$A$359:$J$537</definedName>
    <definedName name="URAIAN522">'[95]3-DIV5'!$A$3075:$J$3253</definedName>
    <definedName name="URAIAN541">'[95]3-DIV5'!$A$3254:$J$3373</definedName>
    <definedName name="URAIAN542">'[95]3-DIV5'!$A$3374:$J$3612</definedName>
    <definedName name="URAIAN611">#REF!</definedName>
    <definedName name="URAIAN612">#REF!</definedName>
    <definedName name="URAIAN621">#REF!</definedName>
    <definedName name="URAIAN622">#REF!</definedName>
    <definedName name="URAIAN623">#REF!</definedName>
    <definedName name="URAIAN624">#REF!</definedName>
    <definedName name="URAIAN631">#REF!</definedName>
    <definedName name="URAIAN632">#REF!</definedName>
    <definedName name="URAIAN633">#REF!</definedName>
    <definedName name="URAIAN634">#REF!</definedName>
    <definedName name="URAIAN635">#REF!</definedName>
    <definedName name="URAIAN635A">#REF!</definedName>
    <definedName name="URAIAN636">#REF!</definedName>
    <definedName name="URAIAN641L">#REF!</definedName>
    <definedName name="URAIAN642">#REF!</definedName>
    <definedName name="URAIAN65">#REF!</definedName>
    <definedName name="URAIAN651">#REF!</definedName>
    <definedName name="URAIAN66">#REF!</definedName>
    <definedName name="URAIAN661">#REF!</definedName>
    <definedName name="URAIAN662">#REF!</definedName>
    <definedName name="URAIAN66PERATA">#REF!</definedName>
    <definedName name="URAIAN66PERMUKAAN">#REF!</definedName>
    <definedName name="URAIAN7101">#REF!</definedName>
    <definedName name="URAIAN7102">#REF!</definedName>
    <definedName name="URAIAN7103">#REF!</definedName>
    <definedName name="URAIAN711">#REF!</definedName>
    <definedName name="URAIAN712">#REF!</definedName>
    <definedName name="URAIAN713">#REF!</definedName>
    <definedName name="URAIAN714">#REF!</definedName>
    <definedName name="URAIAN715">#REF!</definedName>
    <definedName name="URAIAN716">#REF!</definedName>
    <definedName name="URAIAN717">#REF!</definedName>
    <definedName name="URAIAN718">#REF!</definedName>
    <definedName name="URAIAN721">#REF!</definedName>
    <definedName name="URAIAN731">#REF!</definedName>
    <definedName name="URAIAN732">#REF!</definedName>
    <definedName name="URAIAN733">#REF!</definedName>
    <definedName name="URAIAN734">#REF!</definedName>
    <definedName name="URAIAN735">#REF!</definedName>
    <definedName name="URAIAN73PL">#REF!</definedName>
    <definedName name="URAIAN73UL">#REF!</definedName>
    <definedName name="URAIAN744">#REF!</definedName>
    <definedName name="URAIAN745">#REF!</definedName>
    <definedName name="URAIAN751">#REF!</definedName>
    <definedName name="URAIAN752">#REF!</definedName>
    <definedName name="URAIAN7610">#REF!</definedName>
    <definedName name="URAIAN7611">#REF!</definedName>
    <definedName name="URAIAN7612">#REF!</definedName>
    <definedName name="URAIAN7612a">#REF!</definedName>
    <definedName name="URAIAN7612b">#REF!</definedName>
    <definedName name="URAIAN7612c">#REF!</definedName>
    <definedName name="URAIAN7613">#REF!</definedName>
    <definedName name="URAIAN7613a">#REF!</definedName>
    <definedName name="URAIAN7613b">#REF!</definedName>
    <definedName name="URAIAN7613c">#REF!</definedName>
    <definedName name="URAIAN7614">#REF!</definedName>
    <definedName name="URAIAN7614a">#REF!</definedName>
    <definedName name="URAIAN7614b">#REF!</definedName>
    <definedName name="URAIAN7614d">#REF!</definedName>
    <definedName name="URAIAN7614e">#REF!</definedName>
    <definedName name="URAIAN7615">#REF!</definedName>
    <definedName name="URAIAN7616">#REF!</definedName>
    <definedName name="URAIAN7617">#REF!</definedName>
    <definedName name="URAIAN7618">#REF!</definedName>
    <definedName name="URAIAN7619">#REF!</definedName>
    <definedName name="URAIAN7620">#REF!</definedName>
    <definedName name="URAIAN7621">#REF!</definedName>
    <definedName name="URAIAN7625">#REF!</definedName>
    <definedName name="URAIAN7626">#REF!</definedName>
    <definedName name="URAIAN767">#REF!</definedName>
    <definedName name="URAIAN768">#REF!</definedName>
    <definedName name="URAIAN769">#REF!</definedName>
    <definedName name="URAIAN76x">#REF!</definedName>
    <definedName name="URAIAN771">#REF!</definedName>
    <definedName name="URAIAN771a">#REF!</definedName>
    <definedName name="URAIAN771b">#REF!</definedName>
    <definedName name="URAIAN771c">#REF!</definedName>
    <definedName name="URAIAN771d">#REF!</definedName>
    <definedName name="URAIAN772a">#REF!</definedName>
    <definedName name="URAIAN772b">#REF!</definedName>
    <definedName name="URAIAN772c">#REF!</definedName>
    <definedName name="URAIAN772d">#REF!</definedName>
    <definedName name="URAIAN775">#REF!</definedName>
    <definedName name="URAIAN79">#REF!</definedName>
    <definedName name="URAIAN79L">#REF!</definedName>
    <definedName name="URAIAN79manual">#REF!</definedName>
    <definedName name="URAIAN79mekanis">#REF!</definedName>
    <definedName name="URAIAN811">#REF!</definedName>
    <definedName name="URAIAN812">#REF!</definedName>
    <definedName name="URAIAN813">#REF!</definedName>
    <definedName name="URAIAN814">#REF!</definedName>
    <definedName name="URAIAN815">#REF!</definedName>
    <definedName name="URAIAN817">#REF!</definedName>
    <definedName name="URAIAN818">#REF!</definedName>
    <definedName name="URAIAN819">#REF!</definedName>
    <definedName name="URAIAN82">#REF!</definedName>
    <definedName name="URAIAN83">'[92]Met_ Minor'!#REF!</definedName>
    <definedName name="Uraian841">#REF!</definedName>
    <definedName name="Uraian8410">#REF!</definedName>
    <definedName name="Uraian842">#REF!</definedName>
    <definedName name="Uraian844">#REF!</definedName>
    <definedName name="Uraian845">#REF!</definedName>
    <definedName name="Uraian846">#REF!</definedName>
    <definedName name="Uraian847">#REF!</definedName>
    <definedName name="URAIAN910">#REF!</definedName>
    <definedName name="URAIAN911">#REF!</definedName>
    <definedName name="URAIAN912">#REF!</definedName>
    <definedName name="URAIAN913">#REF!</definedName>
    <definedName name="URAIAN914">#REF!</definedName>
    <definedName name="URAIAN915">#REF!</definedName>
    <definedName name="URAIAN916">#REF!</definedName>
    <definedName name="URAIAN917">#REF!</definedName>
    <definedName name="URAIAN918">#REF!</definedName>
    <definedName name="URAIAN919">#REF!</definedName>
    <definedName name="URAIAN920">#REF!</definedName>
    <definedName name="URAIAN94">#REF!</definedName>
    <definedName name="URAIAN95">#REF!</definedName>
    <definedName name="URAIAN96">#REF!</definedName>
    <definedName name="URAIAN97">#REF!</definedName>
    <definedName name="URAIAN98">#REF!</definedName>
    <definedName name="URAIAN99">#REF!</definedName>
    <definedName name="URAIANGEOTEKSTIL">#REF!</definedName>
    <definedName name="URAIANLatasirK">#REF!</definedName>
    <definedName name="URAIANLatasirKL">#REF!</definedName>
    <definedName name="urinoir">[3]upah!#REF!</definedName>
    <definedName name="urugan">[173]NP!#REF!</definedName>
    <definedName name="uruganporous">[33]upahbahan!#REF!</definedName>
    <definedName name="USD">#REF!</definedName>
    <definedName name="UTAIAN7614c">#REF!</definedName>
    <definedName name="UTAMA">#REF!</definedName>
    <definedName name="V">[15]ANALISA!#REF!</definedName>
    <definedName name="VDrain">#REF!</definedName>
    <definedName name="vegetation">#REF!</definedName>
    <definedName name="vi">[3]rab!#REF!</definedName>
    <definedName name="Vibrator">#REF!</definedName>
    <definedName name="Vibrator_Roller">#REF!</definedName>
    <definedName name="vibratoryroller">[33]upahbahan!$G$73</definedName>
    <definedName name="Vibro">#REF!</definedName>
    <definedName name="VIBROROLLER">#REF!</definedName>
    <definedName name="viii">[3]rab!#REF!</definedName>
    <definedName name="VIRGO">[47]NP!#REF!</definedName>
    <definedName name="vntf100">#REF!</definedName>
    <definedName name="vntf80">#REF!</definedName>
    <definedName name="vol">[65]FINISHING!#REF!</definedName>
    <definedName name="vol_rab">#REF!</definedName>
    <definedName name="volbhn">#REF!</definedName>
    <definedName name="volbhnid">#REF!</definedName>
    <definedName name="w">[110]BOQ!$A$16:$G$332</definedName>
    <definedName name="WA">#REF!</definedName>
    <definedName name="WAERA">[48]NP!#REF!</definedName>
    <definedName name="WAFR">'[75]Kuantitas &amp; Harga'!#REF!</definedName>
    <definedName name="waktu">#REF!</definedName>
    <definedName name="waktu_huruf">[9]CH!$D$15</definedName>
    <definedName name="WAS">#REF!</definedName>
    <definedName name="wastafel">[3]upah!#REF!</definedName>
    <definedName name="wastafeltoto">[3]upah!#REF!</definedName>
    <definedName name="Water_Pump">#REF!</definedName>
    <definedName name="Water_Tank_Truck">#REF!</definedName>
    <definedName name="WATERPUMP">#REF!</definedName>
    <definedName name="Watertank">#REF!</definedName>
    <definedName name="WATERTANKER">#REF!</definedName>
    <definedName name="WEA">[116]NP!#REF!</definedName>
    <definedName name="WEAR">#REF!</definedName>
    <definedName name="wera">#REF!</definedName>
    <definedName name="Wheel_Loader">#REF!</definedName>
    <definedName name="WHEELLOADER">#REF!</definedName>
    <definedName name="whellloader">[33]upahbahan!$G$70</definedName>
    <definedName name="WR">#REF!</definedName>
    <definedName name="wtc">#REF!</definedName>
    <definedName name="ww">#REF!</definedName>
    <definedName name="wwwww">{"'A'!$A$1:$W$63"}</definedName>
    <definedName name="x">[108]Budget!$D$131:$D$192</definedName>
    <definedName name="x1a1">#REF!</definedName>
    <definedName name="x1a2">#REF!</definedName>
    <definedName name="x1a3">#REF!</definedName>
    <definedName name="x1a4">#REF!</definedName>
    <definedName name="x1a5">#REF!</definedName>
    <definedName name="x1a6">#REF!</definedName>
    <definedName name="xxx">'[28]rab lt 2 bo'!#REF!</definedName>
    <definedName name="xxxx">'[28]rab lt 2 bo'!#REF!</definedName>
    <definedName name="y">[110]CH!$C$42</definedName>
    <definedName name="yayuk">#REF!</definedName>
    <definedName name="yg">#REF!</definedName>
    <definedName name="yoh">[174]Ch!$A$3</definedName>
    <definedName name="YUSRI">'[123]Kuantitas &amp; Harga'!#REF!</definedName>
    <definedName name="yusuf">[82]inst.pemrintah!#REF!</definedName>
    <definedName name="yuyu">[16]RAB!#REF!</definedName>
    <definedName name="yy">#REF!</definedName>
    <definedName name="yyy">'[28]rab lt 2 bo'!#REF!</definedName>
    <definedName name="yyyy">'[28]rab lt 2 bo'!#REF!</definedName>
    <definedName name="Z_37892081_E9BE_11D6_833C_00403396C58E_.wvu.PrintTitles">'[175]Ana. PU'!#REF!</definedName>
    <definedName name="Z_76A67B41_6CC8_11D7_9233_0050BFDB8885_.wvu.PrintArea">[176]Konfirm!$A$2:$P$110</definedName>
    <definedName name="Z_9B4EB5C0_E8C0_11D6_8DB2_0050BA60FDD2_.wvu.PrintArea">[177]BoQ!$A$2:$G$297</definedName>
    <definedName name="Z_C5F07B99_5B9B_4D7E_8E51_7715CFFC23CA_.wvu.Rows">[178]Estimate!$A$32:$IV$42,[178]Estimate!$A$56:$IV$63,[178]Estimate!$A$69:$IV$72,[178]Estimate!$A$85:$IV$90,[178]Estimate!$A$103:$IV$108,[178]Estimate!$A$125:$IV$126,[178]Estimate!$A$142:$IV$147,[178]Estimate!$A$151:$IV$154,[178]Estimate!$A$158:$IV$191,[178]Estimate!$A$193:$IV$194,[178]Estimate!$A$198:$IV$225,[178]Estimate!$A$227:$IV$232,[178]Estimate!$A$253:$IV$254,[178]Estimate!$A$265:$IV$274,[178]Estimate!$A$287:$IV$316,[178]Estimate!$A$319:$IV$354</definedName>
    <definedName name="Z_F77BEDA0_E8BF_11D6_833C_00403396C58E_.wvu.PrintArea">[177]BoQ!$A$2:$G$297</definedName>
    <definedName name="Z_F9ED5321_EA7D_11D6_833C_00403396C58E_.wvu.PrintTitles">'[175]Ana. PU'!#REF!</definedName>
    <definedName name="zzz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304" i="9" l="1"/>
  <c r="G20" i="15"/>
  <c r="G21" i="15" l="1"/>
  <c r="K457" i="12" l="1"/>
  <c r="K372" i="12" l="1"/>
  <c r="D5" i="15"/>
  <c r="F4074" i="9" l="1"/>
  <c r="F3712" i="9"/>
  <c r="F3684" i="9"/>
  <c r="F3657" i="9"/>
  <c r="F3634" i="9"/>
  <c r="F3606" i="9"/>
  <c r="F3579" i="9"/>
  <c r="F3550" i="9"/>
  <c r="F3524" i="9"/>
  <c r="F3499" i="9"/>
  <c r="F3476" i="9"/>
  <c r="F3453" i="9"/>
  <c r="F3430" i="9"/>
  <c r="F3406" i="9"/>
  <c r="F3380" i="9"/>
  <c r="F3353" i="9"/>
  <c r="F3327" i="9"/>
  <c r="F3301" i="9"/>
  <c r="F3274" i="9"/>
  <c r="F3247" i="9"/>
  <c r="F3221" i="9"/>
  <c r="F3195" i="9"/>
  <c r="F3169" i="9"/>
  <c r="F3142" i="9"/>
  <c r="F3115" i="9"/>
  <c r="F3089" i="9"/>
  <c r="F3063" i="9"/>
  <c r="F3037" i="9"/>
  <c r="F3010" i="9"/>
  <c r="F2983" i="9"/>
  <c r="F2957" i="9"/>
  <c r="F2931" i="9"/>
  <c r="F2904" i="9"/>
  <c r="F2877" i="9"/>
  <c r="F2850" i="9"/>
  <c r="F2824" i="9"/>
  <c r="F2799" i="9"/>
  <c r="F2771" i="9"/>
  <c r="F2745" i="9"/>
  <c r="F2719" i="9"/>
  <c r="F2693" i="9"/>
  <c r="F2667" i="9"/>
  <c r="F2641" i="9"/>
  <c r="F2613" i="9"/>
  <c r="F2585" i="9"/>
  <c r="F2557" i="9"/>
  <c r="F2532" i="9"/>
  <c r="F2507" i="9"/>
  <c r="F2482" i="9"/>
  <c r="F2457" i="9"/>
  <c r="F2431" i="9"/>
  <c r="F2403" i="9"/>
  <c r="F2376" i="9"/>
  <c r="F2351" i="9"/>
  <c r="F2326" i="9"/>
  <c r="F2301" i="9"/>
  <c r="F2276" i="9"/>
  <c r="F2251" i="9"/>
  <c r="F2227" i="9"/>
  <c r="F2202" i="9"/>
  <c r="F2177" i="9"/>
  <c r="F2152" i="9"/>
  <c r="F2127" i="9"/>
  <c r="F2102" i="9"/>
  <c r="F2077" i="9"/>
  <c r="F2052" i="9"/>
  <c r="F2027" i="9"/>
  <c r="F2002" i="9"/>
  <c r="F1977" i="9"/>
  <c r="F1952" i="9"/>
  <c r="F1927" i="9"/>
  <c r="F1902" i="9"/>
  <c r="F1877" i="9"/>
  <c r="F1852" i="9"/>
  <c r="F1827" i="9"/>
  <c r="F1802" i="9"/>
  <c r="F1776" i="9"/>
  <c r="F1751" i="9"/>
  <c r="F1726" i="9"/>
  <c r="F1701" i="9"/>
  <c r="F1676" i="9"/>
  <c r="F1651" i="9"/>
  <c r="F1626" i="9"/>
  <c r="F1601" i="9"/>
  <c r="F1576" i="9"/>
  <c r="F1551" i="9"/>
  <c r="F1526" i="9"/>
  <c r="F1500" i="9"/>
  <c r="F1471" i="9"/>
  <c r="F1446" i="9"/>
  <c r="F1421" i="9"/>
  <c r="F1396" i="9"/>
  <c r="F1371" i="9"/>
  <c r="F1346" i="9"/>
  <c r="F1321" i="9"/>
  <c r="F1296" i="9"/>
  <c r="F1269" i="9"/>
  <c r="F1244" i="9"/>
  <c r="F1219" i="9"/>
  <c r="F1194" i="9"/>
  <c r="F1169" i="9"/>
  <c r="F1144" i="9"/>
  <c r="F1120" i="9"/>
  <c r="F1096" i="9"/>
  <c r="F1072" i="9"/>
  <c r="F1048" i="9"/>
  <c r="F1024" i="9"/>
  <c r="F1000" i="9"/>
  <c r="F976" i="9"/>
  <c r="F952" i="9"/>
  <c r="F928" i="9"/>
  <c r="F904" i="9"/>
  <c r="F880" i="9"/>
  <c r="F856" i="9"/>
  <c r="F832" i="9"/>
  <c r="F808" i="9"/>
  <c r="F784" i="9"/>
  <c r="F760" i="9"/>
  <c r="F736" i="9"/>
  <c r="F712" i="9"/>
  <c r="F688" i="9"/>
  <c r="F664" i="9"/>
  <c r="F640" i="9"/>
  <c r="F616" i="9"/>
  <c r="F592" i="9"/>
  <c r="F568" i="9"/>
  <c r="F544" i="9"/>
  <c r="F520" i="9"/>
  <c r="F496" i="9"/>
  <c r="F472" i="9"/>
  <c r="F448" i="9"/>
  <c r="F424" i="9"/>
  <c r="F400" i="9"/>
  <c r="F376" i="9"/>
  <c r="F352" i="9"/>
  <c r="F328" i="9"/>
  <c r="F304" i="9"/>
  <c r="F280" i="9"/>
  <c r="F256" i="9"/>
  <c r="F232" i="9"/>
  <c r="F208" i="9"/>
  <c r="F184" i="9"/>
  <c r="F160" i="9"/>
  <c r="F136" i="9"/>
  <c r="F112" i="9"/>
  <c r="F90" i="9"/>
  <c r="F68" i="9"/>
  <c r="F46" i="9"/>
  <c r="F24" i="9"/>
  <c r="J13" i="15" l="1"/>
  <c r="I21" i="15" l="1"/>
  <c r="K581" i="12" l="1"/>
  <c r="G433" i="12" l="1"/>
  <c r="K430" i="12" l="1"/>
  <c r="K433" i="12"/>
  <c r="E4063" i="9"/>
  <c r="G4063" i="9"/>
  <c r="K431" i="12"/>
  <c r="K432" i="12"/>
  <c r="H4059" i="9"/>
  <c r="H4071" i="9"/>
  <c r="H4070" i="9"/>
  <c r="H4069" i="9"/>
  <c r="H4072" i="9" s="1"/>
  <c r="E4065" i="9"/>
  <c r="E4064" i="9"/>
  <c r="E4058" i="9"/>
  <c r="E4057" i="9"/>
  <c r="E4056" i="9"/>
  <c r="J16" i="15" l="1"/>
  <c r="D4" i="15" l="1"/>
  <c r="K426" i="12" l="1"/>
  <c r="K425" i="12"/>
  <c r="K424" i="12"/>
  <c r="G2656" i="9" l="1"/>
  <c r="H4063" i="9"/>
  <c r="C3550" i="5"/>
  <c r="G36" i="12"/>
  <c r="G26" i="12"/>
  <c r="G24" i="12"/>
  <c r="G22" i="12"/>
  <c r="G20" i="12"/>
  <c r="G35" i="12"/>
  <c r="G22" i="16"/>
  <c r="G38" i="16"/>
  <c r="G36" i="16"/>
  <c r="G27" i="16"/>
  <c r="G20" i="16"/>
  <c r="L38" i="16"/>
  <c r="L36" i="16"/>
  <c r="L27" i="16"/>
  <c r="L22" i="16"/>
  <c r="L20" i="16"/>
  <c r="N27" i="16"/>
  <c r="M27" i="16"/>
  <c r="K27" i="16"/>
  <c r="J27" i="16"/>
  <c r="I27" i="16"/>
  <c r="H27" i="16"/>
  <c r="F27" i="16"/>
  <c r="E27" i="16"/>
  <c r="K38" i="16"/>
  <c r="K36" i="16"/>
  <c r="K22" i="16"/>
  <c r="K20" i="16"/>
  <c r="I38" i="16"/>
  <c r="I36" i="16"/>
  <c r="I22" i="16"/>
  <c r="I20" i="16"/>
  <c r="F38" i="16"/>
  <c r="F36" i="16"/>
  <c r="F22" i="16"/>
  <c r="F20" i="16"/>
  <c r="K630" i="12"/>
  <c r="N51" i="16" s="1"/>
  <c r="N34" i="16" s="1"/>
  <c r="N38" i="16"/>
  <c r="M38" i="16"/>
  <c r="J38" i="16"/>
  <c r="H38" i="16"/>
  <c r="N36" i="16"/>
  <c r="M36" i="16"/>
  <c r="J36" i="16"/>
  <c r="H36" i="16"/>
  <c r="E38" i="16"/>
  <c r="E36" i="16"/>
  <c r="F264" i="9"/>
  <c r="L264" i="9" s="1"/>
  <c r="H277" i="9"/>
  <c r="E275" i="9"/>
  <c r="L272" i="9"/>
  <c r="J272" i="9"/>
  <c r="H272" i="9"/>
  <c r="L271" i="9"/>
  <c r="J271" i="9"/>
  <c r="H271" i="9"/>
  <c r="L270" i="9"/>
  <c r="J270" i="9"/>
  <c r="H270" i="9"/>
  <c r="L266" i="9"/>
  <c r="J266" i="9"/>
  <c r="L265" i="9"/>
  <c r="J265" i="9"/>
  <c r="H273" i="9" l="1"/>
  <c r="G51" i="16"/>
  <c r="G34" i="16" s="1"/>
  <c r="F51" i="16"/>
  <c r="F34" i="16" s="1"/>
  <c r="K51" i="16"/>
  <c r="K34" i="16" s="1"/>
  <c r="L51" i="16"/>
  <c r="L34" i="16" s="1"/>
  <c r="I51" i="16"/>
  <c r="I34" i="16" s="1"/>
  <c r="H51" i="16"/>
  <c r="H34" i="16" s="1"/>
  <c r="J51" i="16"/>
  <c r="J34" i="16" s="1"/>
  <c r="M51" i="16"/>
  <c r="M34" i="16" s="1"/>
  <c r="E51" i="16"/>
  <c r="E34" i="16" s="1"/>
  <c r="L273" i="9"/>
  <c r="J273" i="9"/>
  <c r="J264" i="9"/>
  <c r="J268" i="9" s="1"/>
  <c r="G25" i="16"/>
  <c r="G29" i="16"/>
  <c r="L25" i="16"/>
  <c r="L29" i="16" s="1"/>
  <c r="K25" i="16"/>
  <c r="K29" i="16"/>
  <c r="I25" i="16"/>
  <c r="I29" i="16" s="1"/>
  <c r="F25" i="16"/>
  <c r="F29" i="16" s="1"/>
  <c r="L268" i="9"/>
  <c r="F240" i="9" l="1"/>
  <c r="N22" i="16" l="1"/>
  <c r="M22" i="16"/>
  <c r="J22" i="16"/>
  <c r="H22" i="16"/>
  <c r="E22" i="16"/>
  <c r="N20" i="16"/>
  <c r="M20" i="16"/>
  <c r="J20" i="16"/>
  <c r="H20" i="16"/>
  <c r="E20" i="16"/>
  <c r="E4040" i="9"/>
  <c r="E4039" i="9"/>
  <c r="E4038" i="9"/>
  <c r="E4037" i="9"/>
  <c r="E4033" i="9"/>
  <c r="E4034" i="9"/>
  <c r="L4046" i="9"/>
  <c r="J4046" i="9"/>
  <c r="H4045" i="9"/>
  <c r="L4042" i="9"/>
  <c r="J4042" i="9"/>
  <c r="L4035" i="9"/>
  <c r="J4035" i="9"/>
  <c r="E4032" i="9"/>
  <c r="E4031" i="9"/>
  <c r="L4030" i="9"/>
  <c r="J4030" i="9"/>
  <c r="E4030" i="9"/>
  <c r="N25" i="16" l="1"/>
  <c r="M25" i="16"/>
  <c r="M29" i="16" s="1"/>
  <c r="N29" i="16"/>
  <c r="E25" i="16"/>
  <c r="H25" i="16"/>
  <c r="J25" i="16"/>
  <c r="J29" i="16" s="1"/>
  <c r="E29" i="16"/>
  <c r="H29" i="16"/>
  <c r="J4047" i="9"/>
  <c r="J4048" i="9" s="1"/>
  <c r="J4049" i="9" s="1"/>
  <c r="L4047" i="9"/>
  <c r="L4048" i="9" s="1"/>
  <c r="L4049" i="9" s="1"/>
  <c r="F4014" i="9" l="1"/>
  <c r="F3993" i="9"/>
  <c r="F4010" i="9"/>
  <c r="L4020" i="9"/>
  <c r="J4020" i="9"/>
  <c r="H4019" i="9"/>
  <c r="L4016" i="9"/>
  <c r="J4016" i="9"/>
  <c r="L4012" i="9"/>
  <c r="J4012" i="9"/>
  <c r="F4011" i="9"/>
  <c r="E4011" i="9"/>
  <c r="E4010" i="9"/>
  <c r="L4009" i="9"/>
  <c r="J4009" i="9"/>
  <c r="E4009" i="9"/>
  <c r="F3990" i="9"/>
  <c r="L3999" i="9"/>
  <c r="J3999" i="9"/>
  <c r="H3998" i="9"/>
  <c r="L3995" i="9"/>
  <c r="J3995" i="9"/>
  <c r="L3991" i="9"/>
  <c r="J3991" i="9"/>
  <c r="E3990" i="9"/>
  <c r="E3989" i="9"/>
  <c r="L3988" i="9"/>
  <c r="J3988" i="9"/>
  <c r="E3988" i="9"/>
  <c r="E3858" i="9"/>
  <c r="E3857" i="9"/>
  <c r="E3856" i="9"/>
  <c r="E3885" i="9"/>
  <c r="E3884" i="9"/>
  <c r="E3883" i="9"/>
  <c r="E3912" i="9"/>
  <c r="E3911" i="9"/>
  <c r="E3910" i="9"/>
  <c r="E3938" i="9"/>
  <c r="E3937" i="9"/>
  <c r="E3936" i="9"/>
  <c r="E3964" i="9"/>
  <c r="E3963" i="9"/>
  <c r="E3962" i="9"/>
  <c r="J15" i="15"/>
  <c r="J4021" i="9" l="1"/>
  <c r="J4022" i="9" s="1"/>
  <c r="J4023" i="9" s="1"/>
  <c r="L4021" i="9"/>
  <c r="L4022" i="9" s="1"/>
  <c r="L4023" i="9" s="1"/>
  <c r="J4000" i="9"/>
  <c r="J4001" i="9" s="1"/>
  <c r="J4002" i="9" s="1"/>
  <c r="L4000" i="9"/>
  <c r="L4001" i="9" s="1"/>
  <c r="L4002" i="9" s="1"/>
  <c r="G3622" i="9" l="1"/>
  <c r="G3594" i="9"/>
  <c r="G3567" i="9"/>
  <c r="G2845" i="9"/>
  <c r="G2574" i="9"/>
  <c r="G1492" i="9"/>
  <c r="G1491" i="9"/>
  <c r="G1489" i="9"/>
  <c r="G1241" i="9"/>
  <c r="E3971" i="9"/>
  <c r="E3970" i="9"/>
  <c r="E3969" i="9"/>
  <c r="E3968" i="9"/>
  <c r="E3967" i="9"/>
  <c r="E3945" i="9"/>
  <c r="E3944" i="9"/>
  <c r="E3943" i="9"/>
  <c r="E3942" i="9"/>
  <c r="E3941" i="9"/>
  <c r="E3919" i="9"/>
  <c r="E3918" i="9"/>
  <c r="E3917" i="9"/>
  <c r="E3916" i="9"/>
  <c r="E3915" i="9"/>
  <c r="E3892" i="9"/>
  <c r="E3891" i="9"/>
  <c r="E3890" i="9"/>
  <c r="E3889" i="9"/>
  <c r="E3888" i="9"/>
  <c r="K664" i="12"/>
  <c r="G3944" i="9" s="1"/>
  <c r="K665" i="12"/>
  <c r="K666" i="12"/>
  <c r="K667" i="12"/>
  <c r="K668" i="12"/>
  <c r="G3943" i="9" s="1"/>
  <c r="K669" i="12"/>
  <c r="K670" i="12"/>
  <c r="K671" i="12"/>
  <c r="K672" i="12"/>
  <c r="K653" i="12"/>
  <c r="K654" i="12"/>
  <c r="K655" i="12"/>
  <c r="K656" i="12"/>
  <c r="K657" i="12"/>
  <c r="K658" i="12"/>
  <c r="K659" i="12"/>
  <c r="G3968" i="9" s="1"/>
  <c r="K660" i="12"/>
  <c r="K661" i="12"/>
  <c r="K662" i="12"/>
  <c r="K663" i="12"/>
  <c r="E3865" i="9"/>
  <c r="E3864" i="9"/>
  <c r="E3863" i="9"/>
  <c r="E3862" i="9"/>
  <c r="E3861" i="9"/>
  <c r="E3843" i="9"/>
  <c r="E3842" i="9"/>
  <c r="E3841" i="9"/>
  <c r="E3840" i="9"/>
  <c r="E3836" i="9"/>
  <c r="E3833" i="9"/>
  <c r="E3832" i="9"/>
  <c r="E3831" i="9"/>
  <c r="E3819" i="9"/>
  <c r="E3818" i="9"/>
  <c r="E3811" i="9"/>
  <c r="E3810" i="9"/>
  <c r="E3791" i="9"/>
  <c r="E3790" i="9"/>
  <c r="E3771" i="9"/>
  <c r="E3770" i="9"/>
  <c r="E3703" i="9"/>
  <c r="E3702" i="9"/>
  <c r="E3701" i="9"/>
  <c r="E3700" i="9"/>
  <c r="E3699" i="9"/>
  <c r="E3695" i="9"/>
  <c r="E3694" i="9"/>
  <c r="E3693" i="9"/>
  <c r="E3692" i="9"/>
  <c r="E3675" i="9"/>
  <c r="E3674" i="9"/>
  <c r="E3673" i="9"/>
  <c r="E3672" i="9"/>
  <c r="E3668" i="9"/>
  <c r="E3667" i="9"/>
  <c r="E3666" i="9"/>
  <c r="E3665" i="9"/>
  <c r="E3653" i="9"/>
  <c r="E3649" i="9"/>
  <c r="E3645" i="9"/>
  <c r="E3644" i="9"/>
  <c r="E3643" i="9"/>
  <c r="E3631" i="9"/>
  <c r="E3630" i="9"/>
  <c r="E3625" i="9"/>
  <c r="E3624" i="9"/>
  <c r="E3623" i="9"/>
  <c r="E3622" i="9"/>
  <c r="E3618" i="9"/>
  <c r="E3617" i="9"/>
  <c r="E3616" i="9"/>
  <c r="E3615" i="9"/>
  <c r="E3603" i="9"/>
  <c r="E3602" i="9"/>
  <c r="E3597" i="9"/>
  <c r="E3596" i="9"/>
  <c r="E3595" i="9"/>
  <c r="E3594" i="9"/>
  <c r="E3590" i="9"/>
  <c r="E3589" i="9"/>
  <c r="E3588" i="9"/>
  <c r="E3587" i="9"/>
  <c r="E3576" i="9"/>
  <c r="E3575" i="9"/>
  <c r="E3570" i="9"/>
  <c r="E3569" i="9"/>
  <c r="E3568" i="9"/>
  <c r="E3567" i="9"/>
  <c r="E3563" i="9"/>
  <c r="E3562" i="9"/>
  <c r="E3561" i="9"/>
  <c r="E3560" i="9"/>
  <c r="E3541" i="9"/>
  <c r="E3540" i="9"/>
  <c r="E3536" i="9"/>
  <c r="E3535" i="9"/>
  <c r="E3534" i="9"/>
  <c r="E3515" i="9"/>
  <c r="E3514" i="9"/>
  <c r="E3510" i="9"/>
  <c r="E3509" i="9"/>
  <c r="E3508" i="9"/>
  <c r="E3507" i="9"/>
  <c r="E3494" i="9"/>
  <c r="E3491" i="9"/>
  <c r="E3490" i="9"/>
  <c r="E3489" i="9"/>
  <c r="E3485" i="9"/>
  <c r="E3484" i="9"/>
  <c r="E3462" i="9"/>
  <c r="E3461" i="9"/>
  <c r="E3439" i="9"/>
  <c r="E3438" i="9"/>
  <c r="E3416" i="9"/>
  <c r="E3415" i="9"/>
  <c r="E3397" i="9"/>
  <c r="E3396" i="9"/>
  <c r="E3392" i="9"/>
  <c r="E3391" i="9"/>
  <c r="E3390" i="9"/>
  <c r="E3389" i="9"/>
  <c r="E3372" i="9"/>
  <c r="E3371" i="9"/>
  <c r="E3370" i="9"/>
  <c r="E3369" i="9"/>
  <c r="E3365" i="9"/>
  <c r="E3364" i="9"/>
  <c r="E3363" i="9"/>
  <c r="E3362" i="9"/>
  <c r="E3344" i="9"/>
  <c r="E3343" i="9"/>
  <c r="E3339" i="9"/>
  <c r="E3338" i="9"/>
  <c r="E3337" i="9"/>
  <c r="E3336" i="9"/>
  <c r="E3318" i="9"/>
  <c r="E3317" i="9"/>
  <c r="E3313" i="9"/>
  <c r="E3312" i="9"/>
  <c r="E3311" i="9"/>
  <c r="E3310" i="9"/>
  <c r="E3293" i="9"/>
  <c r="E3292" i="9"/>
  <c r="E3291" i="9"/>
  <c r="E3290" i="9"/>
  <c r="E3286" i="9"/>
  <c r="E3285" i="9"/>
  <c r="E3284" i="9"/>
  <c r="E3283" i="9"/>
  <c r="E3266" i="9"/>
  <c r="E3265" i="9"/>
  <c r="E3264" i="9"/>
  <c r="E3263" i="9"/>
  <c r="E3259" i="9"/>
  <c r="E3258" i="9"/>
  <c r="E3257" i="9"/>
  <c r="E3256" i="9"/>
  <c r="E3239" i="9"/>
  <c r="E3238" i="9"/>
  <c r="E3237" i="9"/>
  <c r="E3233" i="9"/>
  <c r="E3232" i="9"/>
  <c r="E3231" i="9"/>
  <c r="E3230" i="9"/>
  <c r="E3212" i="9"/>
  <c r="E3211" i="9"/>
  <c r="E3207" i="9"/>
  <c r="E3206" i="9"/>
  <c r="E3205" i="9"/>
  <c r="E3204" i="9"/>
  <c r="E3186" i="9"/>
  <c r="E3185" i="9"/>
  <c r="E3181" i="9"/>
  <c r="E3180" i="9"/>
  <c r="E3179" i="9"/>
  <c r="E3178" i="9"/>
  <c r="E3161" i="9"/>
  <c r="E3160" i="9"/>
  <c r="E3159" i="9"/>
  <c r="E3158" i="9"/>
  <c r="E3154" i="9"/>
  <c r="E3153" i="9"/>
  <c r="E3152" i="9"/>
  <c r="E3151" i="9"/>
  <c r="E3134" i="9"/>
  <c r="E3133" i="9"/>
  <c r="E3132" i="9"/>
  <c r="E3131" i="9"/>
  <c r="E3127" i="9"/>
  <c r="E3126" i="9"/>
  <c r="E3125" i="9"/>
  <c r="E3124" i="9"/>
  <c r="E3107" i="9"/>
  <c r="E3106" i="9"/>
  <c r="E3105" i="9"/>
  <c r="E3101" i="9"/>
  <c r="E3100" i="9"/>
  <c r="E3099" i="9"/>
  <c r="E3098" i="9"/>
  <c r="E3080" i="9"/>
  <c r="E3079" i="9"/>
  <c r="E3075" i="9"/>
  <c r="E3074" i="9"/>
  <c r="E3073" i="9"/>
  <c r="E3072" i="9"/>
  <c r="E3054" i="9"/>
  <c r="E3053" i="9"/>
  <c r="E3049" i="9"/>
  <c r="E3048" i="9"/>
  <c r="E3047" i="9"/>
  <c r="E3046" i="9"/>
  <c r="E3029" i="9"/>
  <c r="E3028" i="9"/>
  <c r="E3027" i="9"/>
  <c r="E3026" i="9"/>
  <c r="E3022" i="9"/>
  <c r="E3021" i="9"/>
  <c r="E3020" i="9"/>
  <c r="E3019" i="9"/>
  <c r="E3002" i="9"/>
  <c r="E3001" i="9"/>
  <c r="E3000" i="9"/>
  <c r="E2999" i="9"/>
  <c r="E2995" i="9"/>
  <c r="E2994" i="9"/>
  <c r="E2993" i="9"/>
  <c r="E2992" i="9"/>
  <c r="E2975" i="9"/>
  <c r="E2974" i="9"/>
  <c r="E2973" i="9"/>
  <c r="E2969" i="9"/>
  <c r="E2968" i="9"/>
  <c r="E2967" i="9"/>
  <c r="E2966" i="9"/>
  <c r="E2948" i="9"/>
  <c r="E2947" i="9"/>
  <c r="E2943" i="9"/>
  <c r="E2942" i="9"/>
  <c r="E2941" i="9"/>
  <c r="E2940" i="9"/>
  <c r="E2923" i="9"/>
  <c r="E2922" i="9"/>
  <c r="E2921" i="9"/>
  <c r="E2920" i="9"/>
  <c r="E2916" i="9"/>
  <c r="E2915" i="9"/>
  <c r="E2914" i="9"/>
  <c r="E2913" i="9"/>
  <c r="E2896" i="9"/>
  <c r="E2895" i="9"/>
  <c r="E2894" i="9"/>
  <c r="E2893" i="9"/>
  <c r="E2889" i="9"/>
  <c r="E2888" i="9"/>
  <c r="E2887" i="9"/>
  <c r="E2886" i="9"/>
  <c r="E2869" i="9"/>
  <c r="E2868" i="9"/>
  <c r="E2867" i="9"/>
  <c r="E2866" i="9"/>
  <c r="E2862" i="9"/>
  <c r="E2861" i="9"/>
  <c r="E2860" i="9"/>
  <c r="E2859" i="9"/>
  <c r="E2845" i="9"/>
  <c r="E2840" i="9"/>
  <c r="E2836" i="9"/>
  <c r="E2835" i="9"/>
  <c r="E2834" i="9"/>
  <c r="E2833" i="9"/>
  <c r="E2814" i="9"/>
  <c r="E2810" i="9"/>
  <c r="E2809" i="9"/>
  <c r="E2808" i="9"/>
  <c r="E2807" i="9"/>
  <c r="E2791" i="9"/>
  <c r="E2790" i="9"/>
  <c r="E2789" i="9"/>
  <c r="E2788" i="9"/>
  <c r="E2787" i="9"/>
  <c r="E2786" i="9"/>
  <c r="E2782" i="9"/>
  <c r="E2781" i="9"/>
  <c r="E2780" i="9"/>
  <c r="E2779" i="9"/>
  <c r="E2763" i="9"/>
  <c r="E2762" i="9"/>
  <c r="E2761" i="9"/>
  <c r="E2760" i="9"/>
  <c r="E2756" i="9"/>
  <c r="E2755" i="9"/>
  <c r="E2754" i="9"/>
  <c r="E2753" i="9"/>
  <c r="E2737" i="9"/>
  <c r="E2736" i="9"/>
  <c r="E2735" i="9"/>
  <c r="E2734" i="9"/>
  <c r="E2730" i="9"/>
  <c r="E2729" i="9"/>
  <c r="E2728" i="9"/>
  <c r="E2727" i="9"/>
  <c r="E2711" i="9"/>
  <c r="E2710" i="9"/>
  <c r="E2709" i="9"/>
  <c r="E2708" i="9"/>
  <c r="E2704" i="9"/>
  <c r="E2703" i="9"/>
  <c r="E2702" i="9"/>
  <c r="E2701" i="9"/>
  <c r="E2685" i="9"/>
  <c r="E2684" i="9"/>
  <c r="E2683" i="9"/>
  <c r="E2682" i="9"/>
  <c r="E2658" i="9"/>
  <c r="E2657" i="9"/>
  <c r="E2656" i="9"/>
  <c r="E2651" i="9"/>
  <c r="E2650" i="9"/>
  <c r="E2649" i="9"/>
  <c r="E2632" i="9"/>
  <c r="E2631" i="9"/>
  <c r="E2630" i="9"/>
  <c r="E2629" i="9"/>
  <c r="E2628" i="9"/>
  <c r="E2623" i="9"/>
  <c r="E2622" i="9"/>
  <c r="E2621" i="9"/>
  <c r="E2609" i="9"/>
  <c r="E2608" i="9"/>
  <c r="E2604" i="9"/>
  <c r="E2603" i="9"/>
  <c r="E2602" i="9"/>
  <c r="E2597" i="9"/>
  <c r="E2596" i="9"/>
  <c r="E2595" i="9"/>
  <c r="E2594" i="9"/>
  <c r="E2593" i="9"/>
  <c r="K535" i="12"/>
  <c r="G3576" i="9" s="1"/>
  <c r="E2581" i="9"/>
  <c r="E2580" i="9"/>
  <c r="E2576" i="9"/>
  <c r="K231" i="12"/>
  <c r="K230" i="12"/>
  <c r="K229" i="12"/>
  <c r="K228" i="12"/>
  <c r="G2575" i="9" s="1"/>
  <c r="K238" i="12"/>
  <c r="E2575" i="9"/>
  <c r="E2574" i="9"/>
  <c r="E2569" i="9"/>
  <c r="E2568" i="9"/>
  <c r="E2567" i="9"/>
  <c r="E2566" i="9"/>
  <c r="E2565" i="9"/>
  <c r="E2553" i="9"/>
  <c r="E2547" i="9"/>
  <c r="E2542" i="9"/>
  <c r="E2541" i="9"/>
  <c r="E2540" i="9"/>
  <c r="E2528" i="9"/>
  <c r="E2522" i="9"/>
  <c r="E2517" i="9"/>
  <c r="E2516" i="9"/>
  <c r="E2515" i="9"/>
  <c r="E2497" i="9"/>
  <c r="E2492" i="9"/>
  <c r="E2491" i="9"/>
  <c r="E2490" i="9"/>
  <c r="E2472" i="9"/>
  <c r="E2467" i="9"/>
  <c r="E2466" i="9"/>
  <c r="E2465" i="9"/>
  <c r="E2449" i="9"/>
  <c r="E2448" i="9"/>
  <c r="E2447" i="9"/>
  <c r="E2442" i="9"/>
  <c r="E2441" i="9"/>
  <c r="E2440" i="9"/>
  <c r="E2439" i="9"/>
  <c r="E2423" i="9"/>
  <c r="E2422" i="9"/>
  <c r="E2421" i="9"/>
  <c r="E2416" i="9"/>
  <c r="E2415" i="9"/>
  <c r="E2414" i="9"/>
  <c r="E2413" i="9"/>
  <c r="E2395" i="9"/>
  <c r="E2394" i="9"/>
  <c r="E2393" i="9"/>
  <c r="E2388" i="9"/>
  <c r="E2387" i="9"/>
  <c r="E2386" i="9"/>
  <c r="E2368" i="9"/>
  <c r="E2367" i="9"/>
  <c r="E2366" i="9"/>
  <c r="E2361" i="9"/>
  <c r="E2360" i="9"/>
  <c r="E2359" i="9"/>
  <c r="E2341" i="9"/>
  <c r="E2336" i="9"/>
  <c r="E2335" i="9"/>
  <c r="E2334" i="9"/>
  <c r="E2316" i="9"/>
  <c r="E2311" i="9"/>
  <c r="E2310" i="9"/>
  <c r="E2309" i="9"/>
  <c r="E2291" i="9"/>
  <c r="E2286" i="9"/>
  <c r="E2285" i="9"/>
  <c r="E2284" i="9"/>
  <c r="E2266" i="9"/>
  <c r="E2261" i="9"/>
  <c r="E2260" i="9"/>
  <c r="E2259" i="9"/>
  <c r="E2242" i="9"/>
  <c r="E2238" i="9"/>
  <c r="E2237" i="9"/>
  <c r="E2236" i="9"/>
  <c r="E2235" i="9"/>
  <c r="E2218" i="9"/>
  <c r="E2217" i="9"/>
  <c r="E2213" i="9"/>
  <c r="E2212" i="9"/>
  <c r="E2211" i="9"/>
  <c r="E2210" i="9"/>
  <c r="E2193" i="9"/>
  <c r="E2192" i="9"/>
  <c r="E2188" i="9"/>
  <c r="E2187" i="9"/>
  <c r="E2186" i="9"/>
  <c r="E2185" i="9"/>
  <c r="E2168" i="9"/>
  <c r="E2167" i="9"/>
  <c r="E2163" i="9"/>
  <c r="E2162" i="9"/>
  <c r="E2161" i="9"/>
  <c r="E2160" i="9"/>
  <c r="E2143" i="9"/>
  <c r="E2142" i="9"/>
  <c r="E2138" i="9"/>
  <c r="E2137" i="9"/>
  <c r="E2136" i="9"/>
  <c r="E2135" i="9"/>
  <c r="E2118" i="9"/>
  <c r="E2117" i="9"/>
  <c r="E2113" i="9"/>
  <c r="E2112" i="9"/>
  <c r="E2111" i="9"/>
  <c r="E2110" i="9"/>
  <c r="E2093" i="9"/>
  <c r="E2092" i="9"/>
  <c r="E2088" i="9"/>
  <c r="E2087" i="9"/>
  <c r="E2086" i="9"/>
  <c r="E2085" i="9"/>
  <c r="E2068" i="9"/>
  <c r="E2067" i="9"/>
  <c r="E2063" i="9"/>
  <c r="E2062" i="9"/>
  <c r="E2061" i="9"/>
  <c r="E2060" i="9"/>
  <c r="E2043" i="9"/>
  <c r="E2042" i="9"/>
  <c r="E2038" i="9"/>
  <c r="E2037" i="9"/>
  <c r="E2036" i="9"/>
  <c r="E2035" i="9"/>
  <c r="E2023" i="9"/>
  <c r="E2012" i="9"/>
  <c r="E2011" i="9"/>
  <c r="E2010" i="9"/>
  <c r="E1998" i="9"/>
  <c r="E1994" i="9"/>
  <c r="E1993" i="9"/>
  <c r="E1992" i="9"/>
  <c r="E1987" i="9"/>
  <c r="E1986" i="9"/>
  <c r="E1985" i="9"/>
  <c r="E1973" i="9"/>
  <c r="E1969" i="9"/>
  <c r="E1968" i="9"/>
  <c r="E1967" i="9"/>
  <c r="E1962" i="9"/>
  <c r="E1961" i="9"/>
  <c r="E1960" i="9"/>
  <c r="E1948" i="9"/>
  <c r="E1944" i="9"/>
  <c r="E1943" i="9"/>
  <c r="E1942" i="9"/>
  <c r="E1937" i="9"/>
  <c r="E1936" i="9"/>
  <c r="E1935" i="9"/>
  <c r="E1923" i="9"/>
  <c r="E1919" i="9"/>
  <c r="E1918" i="9"/>
  <c r="E1917" i="9"/>
  <c r="E1912" i="9"/>
  <c r="E1911" i="9"/>
  <c r="E1910" i="9"/>
  <c r="E1898" i="9"/>
  <c r="E1894" i="9"/>
  <c r="E1893" i="9"/>
  <c r="E1892" i="9"/>
  <c r="E1887" i="9"/>
  <c r="E1886" i="9"/>
  <c r="E1885" i="9"/>
  <c r="E1873" i="9"/>
  <c r="E1869" i="9"/>
  <c r="E1868" i="9"/>
  <c r="E1867" i="9"/>
  <c r="E1862" i="9"/>
  <c r="E1861" i="9"/>
  <c r="E1860" i="9"/>
  <c r="E1848" i="9"/>
  <c r="E1844" i="9"/>
  <c r="E1843" i="9"/>
  <c r="E1842" i="9"/>
  <c r="E1837" i="9"/>
  <c r="E1836" i="9"/>
  <c r="E1835" i="9"/>
  <c r="E1823" i="9"/>
  <c r="E1819" i="9"/>
  <c r="E1818" i="9"/>
  <c r="E1817" i="9"/>
  <c r="E1812" i="9"/>
  <c r="E1811" i="9"/>
  <c r="E1810" i="9"/>
  <c r="E1797" i="9"/>
  <c r="E1786" i="9"/>
  <c r="E1785" i="9"/>
  <c r="E1784" i="9"/>
  <c r="E1772" i="9"/>
  <c r="E1768" i="9"/>
  <c r="E1767" i="9"/>
  <c r="E1766" i="9"/>
  <c r="E1761" i="9"/>
  <c r="E1760" i="9"/>
  <c r="E1759" i="9"/>
  <c r="E1743" i="9"/>
  <c r="E1742" i="9"/>
  <c r="E1741" i="9"/>
  <c r="E1736" i="9"/>
  <c r="E1735" i="9"/>
  <c r="E1734" i="9"/>
  <c r="E1722" i="9"/>
  <c r="E1718" i="9"/>
  <c r="E1717" i="9"/>
  <c r="E1716" i="9"/>
  <c r="E1711" i="9"/>
  <c r="E1710" i="9"/>
  <c r="E1709" i="9"/>
  <c r="E1697" i="9"/>
  <c r="E1693" i="9"/>
  <c r="E1692" i="9"/>
  <c r="E1691" i="9"/>
  <c r="E1686" i="9"/>
  <c r="E1685" i="9"/>
  <c r="E1684" i="9"/>
  <c r="E1668" i="9"/>
  <c r="E1667" i="9"/>
  <c r="E1666" i="9"/>
  <c r="E1661" i="9"/>
  <c r="E1660" i="9"/>
  <c r="E1659" i="9"/>
  <c r="E1643" i="9"/>
  <c r="E1642" i="9"/>
  <c r="E1641" i="9"/>
  <c r="E1636" i="9"/>
  <c r="E1635" i="9"/>
  <c r="E1634" i="9"/>
  <c r="E1622" i="9"/>
  <c r="E1618" i="9"/>
  <c r="E1617" i="9"/>
  <c r="E1616" i="9"/>
  <c r="E1611" i="9"/>
  <c r="E1610" i="9"/>
  <c r="E1609" i="9"/>
  <c r="E1593" i="9"/>
  <c r="E1592" i="9"/>
  <c r="E1591" i="9"/>
  <c r="E1586" i="9"/>
  <c r="E1585" i="9"/>
  <c r="E1584" i="9"/>
  <c r="E1568" i="9"/>
  <c r="E1567" i="9"/>
  <c r="E1566" i="9"/>
  <c r="E1561" i="9"/>
  <c r="E1560" i="9"/>
  <c r="E1559" i="9"/>
  <c r="E1543" i="9"/>
  <c r="E1542" i="9"/>
  <c r="E1541" i="9"/>
  <c r="E1536" i="9"/>
  <c r="E1535" i="9"/>
  <c r="E1534" i="9"/>
  <c r="E1522" i="9"/>
  <c r="E1521" i="9"/>
  <c r="E1520" i="9"/>
  <c r="E1509" i="9"/>
  <c r="E1508" i="9"/>
  <c r="E1495" i="9"/>
  <c r="E1492" i="9"/>
  <c r="E1491" i="9"/>
  <c r="E1490" i="9"/>
  <c r="E1489" i="9"/>
  <c r="E1488" i="9"/>
  <c r="E1487" i="9"/>
  <c r="E1486" i="9"/>
  <c r="E1481" i="9"/>
  <c r="E1480" i="9"/>
  <c r="E1479" i="9"/>
  <c r="E1466" i="9"/>
  <c r="E1455" i="9"/>
  <c r="E1454" i="9"/>
  <c r="E1441" i="9"/>
  <c r="E1430" i="9"/>
  <c r="E1429" i="9"/>
  <c r="E1416" i="9"/>
  <c r="E1405" i="9"/>
  <c r="E1404" i="9"/>
  <c r="E1391" i="9"/>
  <c r="E1367" i="9"/>
  <c r="E1366" i="9"/>
  <c r="E1342" i="9"/>
  <c r="E1341" i="9"/>
  <c r="E1331" i="9"/>
  <c r="E1330" i="9"/>
  <c r="E1329" i="9"/>
  <c r="E1316" i="9"/>
  <c r="E1306" i="9"/>
  <c r="E1305" i="9"/>
  <c r="E1304" i="9"/>
  <c r="E1293" i="9"/>
  <c r="E1292" i="9"/>
  <c r="E1291" i="9"/>
  <c r="E1290" i="9"/>
  <c r="E1289" i="9"/>
  <c r="E1266" i="9"/>
  <c r="E1265" i="9"/>
  <c r="E1264" i="9"/>
  <c r="E1254" i="9"/>
  <c r="E1253" i="9"/>
  <c r="E1252" i="9"/>
  <c r="E1241" i="9"/>
  <c r="E1240" i="9"/>
  <c r="E1239" i="9"/>
  <c r="E1229" i="9"/>
  <c r="E1228" i="9"/>
  <c r="E1227" i="9"/>
  <c r="E1216" i="9"/>
  <c r="E1215" i="9"/>
  <c r="E1214" i="9"/>
  <c r="E1209" i="9"/>
  <c r="E1204" i="9"/>
  <c r="E1203" i="9"/>
  <c r="E1202" i="9"/>
  <c r="E1190" i="9"/>
  <c r="E1189" i="9"/>
  <c r="E1179" i="9"/>
  <c r="E1178" i="9"/>
  <c r="E1177" i="9"/>
  <c r="E1166" i="9"/>
  <c r="E1165" i="9"/>
  <c r="E1164" i="9"/>
  <c r="E1154" i="9"/>
  <c r="E1153" i="9"/>
  <c r="E1152" i="9"/>
  <c r="E1140" i="9"/>
  <c r="E1139" i="9"/>
  <c r="E1134" i="9"/>
  <c r="E1129" i="9"/>
  <c r="E1128" i="9"/>
  <c r="E1116" i="9"/>
  <c r="E1115" i="9"/>
  <c r="E1105" i="9"/>
  <c r="E1104" i="9"/>
  <c r="E1092" i="9"/>
  <c r="E1091" i="9"/>
  <c r="E1081" i="9"/>
  <c r="E1080" i="9"/>
  <c r="E1067" i="9"/>
  <c r="E1043" i="9"/>
  <c r="E1019" i="9"/>
  <c r="E997" i="9"/>
  <c r="E996" i="9"/>
  <c r="E995" i="9"/>
  <c r="E972" i="9"/>
  <c r="E971" i="9"/>
  <c r="E948" i="9"/>
  <c r="E947" i="9"/>
  <c r="E924" i="9"/>
  <c r="E923" i="9"/>
  <c r="E900" i="9"/>
  <c r="E899" i="9"/>
  <c r="E876" i="9"/>
  <c r="E875" i="9"/>
  <c r="E851" i="9"/>
  <c r="E842" i="9"/>
  <c r="E841" i="9"/>
  <c r="E840" i="9"/>
  <c r="E827" i="9"/>
  <c r="E818" i="9"/>
  <c r="E817" i="9"/>
  <c r="E816" i="9"/>
  <c r="E803" i="9"/>
  <c r="E794" i="9"/>
  <c r="E793" i="9"/>
  <c r="E792" i="9"/>
  <c r="E779" i="9"/>
  <c r="E770" i="9"/>
  <c r="E769" i="9"/>
  <c r="E768" i="9"/>
  <c r="E755" i="9"/>
  <c r="E746" i="9"/>
  <c r="E745" i="9"/>
  <c r="E744" i="9"/>
  <c r="E731" i="9"/>
  <c r="E722" i="9"/>
  <c r="E721" i="9"/>
  <c r="E720" i="9"/>
  <c r="E707" i="9"/>
  <c r="E698" i="9"/>
  <c r="E697" i="9"/>
  <c r="E696" i="9"/>
  <c r="E683" i="9"/>
  <c r="E674" i="9"/>
  <c r="E673" i="9"/>
  <c r="E672" i="9"/>
  <c r="E659" i="9"/>
  <c r="E650" i="9"/>
  <c r="E649" i="9"/>
  <c r="E648" i="9"/>
  <c r="E635" i="9"/>
  <c r="E626" i="9"/>
  <c r="E625" i="9"/>
  <c r="E624" i="9"/>
  <c r="E611" i="9"/>
  <c r="E602" i="9"/>
  <c r="E601" i="9"/>
  <c r="E600" i="9"/>
  <c r="E587" i="9"/>
  <c r="E578" i="9"/>
  <c r="E577" i="9"/>
  <c r="E576" i="9"/>
  <c r="E563" i="9"/>
  <c r="E554" i="9"/>
  <c r="E553" i="9"/>
  <c r="E552" i="9"/>
  <c r="E539" i="9"/>
  <c r="E530" i="9"/>
  <c r="E529" i="9"/>
  <c r="E528" i="9"/>
  <c r="E515" i="9"/>
  <c r="E506" i="9"/>
  <c r="E505" i="9"/>
  <c r="E504" i="9"/>
  <c r="E491" i="9"/>
  <c r="E482" i="9"/>
  <c r="E481" i="9"/>
  <c r="E480" i="9"/>
  <c r="E467" i="9"/>
  <c r="E458" i="9"/>
  <c r="E457" i="9"/>
  <c r="E456" i="9"/>
  <c r="E443" i="9"/>
  <c r="E434" i="9"/>
  <c r="E433" i="9"/>
  <c r="E432" i="9"/>
  <c r="E419" i="9"/>
  <c r="E410" i="9"/>
  <c r="E409" i="9"/>
  <c r="E408" i="9"/>
  <c r="E395" i="9"/>
  <c r="E386" i="9"/>
  <c r="E385" i="9"/>
  <c r="E384" i="9"/>
  <c r="E371" i="9"/>
  <c r="E362" i="9"/>
  <c r="E361" i="9"/>
  <c r="E360" i="9"/>
  <c r="E347" i="9"/>
  <c r="E338" i="9"/>
  <c r="E337" i="9"/>
  <c r="E336" i="9"/>
  <c r="E323" i="9"/>
  <c r="E314" i="9"/>
  <c r="E313" i="9"/>
  <c r="E312" i="9"/>
  <c r="E299" i="9"/>
  <c r="E251" i="9"/>
  <c r="E242" i="9"/>
  <c r="E241" i="9"/>
  <c r="E240" i="9"/>
  <c r="E227" i="9"/>
  <c r="E218" i="9"/>
  <c r="E217" i="9"/>
  <c r="E216" i="9"/>
  <c r="E194" i="9"/>
  <c r="E193" i="9"/>
  <c r="E192" i="9"/>
  <c r="E179" i="9"/>
  <c r="E170" i="9"/>
  <c r="E169" i="9"/>
  <c r="E168" i="9"/>
  <c r="E155" i="9"/>
  <c r="E146" i="9"/>
  <c r="E145" i="9"/>
  <c r="E144" i="9"/>
  <c r="E131" i="9"/>
  <c r="E122" i="9"/>
  <c r="E121" i="9"/>
  <c r="E120" i="9"/>
  <c r="E100" i="9"/>
  <c r="E99" i="9"/>
  <c r="E98" i="9"/>
  <c r="E78" i="9"/>
  <c r="E77" i="9"/>
  <c r="E76" i="9"/>
  <c r="E56" i="9"/>
  <c r="E55" i="9"/>
  <c r="E54" i="9"/>
  <c r="E34" i="9"/>
  <c r="E33" i="9"/>
  <c r="E32" i="9"/>
  <c r="E11" i="9"/>
  <c r="E10" i="9"/>
  <c r="E9" i="9"/>
  <c r="K35" i="12"/>
  <c r="K36" i="12"/>
  <c r="K37" i="12"/>
  <c r="K38" i="12"/>
  <c r="K39" i="12"/>
  <c r="K40" i="12"/>
  <c r="K41" i="12"/>
  <c r="K42" i="12"/>
  <c r="K43" i="12"/>
  <c r="K44" i="12"/>
  <c r="G2623" i="9" s="1"/>
  <c r="K45" i="12"/>
  <c r="K46" i="12"/>
  <c r="K47" i="12"/>
  <c r="K48" i="12"/>
  <c r="K49" i="12"/>
  <c r="K50" i="12"/>
  <c r="K51" i="12"/>
  <c r="K164" i="12"/>
  <c r="G3888" i="9" s="1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G3861" i="9" s="1"/>
  <c r="K138" i="12"/>
  <c r="K137" i="12"/>
  <c r="K136" i="12"/>
  <c r="K135" i="12"/>
  <c r="K134" i="12"/>
  <c r="K133" i="12"/>
  <c r="K132" i="12"/>
  <c r="K131" i="12"/>
  <c r="K106" i="12"/>
  <c r="G1209" i="9" s="1"/>
  <c r="K623" i="12"/>
  <c r="G3490" i="9" s="1"/>
  <c r="K97" i="12"/>
  <c r="G2709" i="9" s="1"/>
  <c r="K256" i="12"/>
  <c r="G3028" i="9" s="1"/>
  <c r="K580" i="12"/>
  <c r="G2632" i="9" s="1"/>
  <c r="K195" i="12"/>
  <c r="G3370" i="9" s="1"/>
  <c r="G2608" i="9" l="1"/>
  <c r="G1134" i="9"/>
  <c r="G3631" i="9"/>
  <c r="G3840" i="9"/>
  <c r="G3344" i="9"/>
  <c r="I42" i="16"/>
  <c r="G42" i="16"/>
  <c r="N42" i="16"/>
  <c r="K42" i="16"/>
  <c r="M42" i="16"/>
  <c r="L42" i="16"/>
  <c r="J42" i="16"/>
  <c r="H42" i="16"/>
  <c r="E42" i="16"/>
  <c r="F42" i="16"/>
  <c r="G3942" i="9"/>
  <c r="G3862" i="9"/>
  <c r="G3889" i="9"/>
  <c r="G3916" i="9"/>
  <c r="G2921" i="9"/>
  <c r="G3133" i="9"/>
  <c r="G2629" i="9"/>
  <c r="G2894" i="9"/>
  <c r="G3540" i="9"/>
  <c r="G2895" i="9"/>
  <c r="G3265" i="9"/>
  <c r="G3397" i="9"/>
  <c r="G3673" i="9"/>
  <c r="G3264" i="9"/>
  <c r="G2603" i="9"/>
  <c r="G2735" i="9"/>
  <c r="G2789" i="9"/>
  <c r="G2683" i="9"/>
  <c r="G2761" i="9"/>
  <c r="G3212" i="9"/>
  <c r="G4038" i="9"/>
  <c r="H4038" i="9" s="1"/>
  <c r="G3396" i="9"/>
  <c r="G3317" i="9"/>
  <c r="G3514" i="9"/>
  <c r="G3159" i="9"/>
  <c r="G2867" i="9"/>
  <c r="G3000" i="9"/>
  <c r="G3291" i="9"/>
  <c r="G3185" i="9"/>
  <c r="G3700" i="9"/>
  <c r="G3053" i="9"/>
  <c r="G3917" i="9"/>
  <c r="G3863" i="9"/>
  <c r="G3969" i="9"/>
  <c r="G3890" i="9"/>
  <c r="G3515" i="9"/>
  <c r="G3001" i="9"/>
  <c r="G2922" i="9"/>
  <c r="G3160" i="9"/>
  <c r="G2868" i="9"/>
  <c r="G3292" i="9"/>
  <c r="G3238" i="9"/>
  <c r="G3371" i="9"/>
  <c r="G3080" i="9"/>
  <c r="G3054" i="9"/>
  <c r="G3106" i="9"/>
  <c r="G3186" i="9"/>
  <c r="G2974" i="9"/>
  <c r="G3318" i="9"/>
  <c r="G3132" i="9"/>
  <c r="G2948" i="9"/>
  <c r="G3027" i="9"/>
  <c r="G3970" i="9"/>
  <c r="G3864" i="9"/>
  <c r="G3918" i="9"/>
  <c r="G3603" i="9"/>
  <c r="G3891" i="9"/>
  <c r="G2580" i="9"/>
  <c r="K461" i="12"/>
  <c r="K517" i="12"/>
  <c r="G3842" i="9" s="1"/>
  <c r="K575" i="12"/>
  <c r="K576" i="12"/>
  <c r="K577" i="12"/>
  <c r="K578" i="12"/>
  <c r="K579" i="12"/>
  <c r="K574" i="12"/>
  <c r="K573" i="12"/>
  <c r="K572" i="12"/>
  <c r="K571" i="12"/>
  <c r="K570" i="12"/>
  <c r="K569" i="12"/>
  <c r="G2472" i="9" s="1"/>
  <c r="K568" i="12"/>
  <c r="K567" i="12"/>
  <c r="K566" i="12"/>
  <c r="K506" i="12"/>
  <c r="G3843" i="9" s="1"/>
  <c r="K108" i="12"/>
  <c r="G2788" i="9" s="1"/>
  <c r="H2788" i="9" s="1"/>
  <c r="K107" i="12"/>
  <c r="G2787" i="9" s="1"/>
  <c r="K502" i="12"/>
  <c r="G3653" i="9" s="1"/>
  <c r="K174" i="12"/>
  <c r="G486" i="12"/>
  <c r="G484" i="12"/>
  <c r="G482" i="12"/>
  <c r="K481" i="12"/>
  <c r="K448" i="12"/>
  <c r="K446" i="12"/>
  <c r="K130" i="12"/>
  <c r="K129" i="12"/>
  <c r="K128" i="12"/>
  <c r="K127" i="12"/>
  <c r="K126" i="12"/>
  <c r="K125" i="12"/>
  <c r="K124" i="12"/>
  <c r="G3967" i="9" s="1"/>
  <c r="K123" i="12"/>
  <c r="K122" i="12"/>
  <c r="G3941" i="9" s="1"/>
  <c r="K121" i="12"/>
  <c r="K120" i="12"/>
  <c r="G3915" i="9" s="1"/>
  <c r="K220" i="12"/>
  <c r="G2631" i="9" s="1"/>
  <c r="K582" i="12"/>
  <c r="K94" i="12"/>
  <c r="K67" i="12"/>
  <c r="K68" i="12"/>
  <c r="K66" i="12"/>
  <c r="K182" i="12"/>
  <c r="G3343" i="9" s="1"/>
  <c r="K628" i="12"/>
  <c r="K627" i="12"/>
  <c r="K626" i="12"/>
  <c r="K625" i="12"/>
  <c r="K624" i="12"/>
  <c r="K622" i="12"/>
  <c r="K621" i="12"/>
  <c r="K620" i="12"/>
  <c r="K619" i="12"/>
  <c r="K618" i="12"/>
  <c r="K617" i="12"/>
  <c r="K616" i="12"/>
  <c r="K615" i="12"/>
  <c r="K614" i="12"/>
  <c r="K613" i="12"/>
  <c r="K612" i="12"/>
  <c r="K611" i="12"/>
  <c r="K610" i="12"/>
  <c r="K609" i="12"/>
  <c r="K608" i="12"/>
  <c r="K607" i="12"/>
  <c r="K606" i="12"/>
  <c r="K605" i="12"/>
  <c r="K604" i="12"/>
  <c r="K603" i="12"/>
  <c r="K602" i="12"/>
  <c r="K601" i="12"/>
  <c r="K600" i="12"/>
  <c r="K599" i="12"/>
  <c r="K598" i="12"/>
  <c r="K597" i="12"/>
  <c r="K596" i="12"/>
  <c r="K595" i="12"/>
  <c r="K594" i="12"/>
  <c r="K593" i="12"/>
  <c r="K592" i="12"/>
  <c r="K591" i="12"/>
  <c r="K590" i="12"/>
  <c r="K589" i="12"/>
  <c r="K588" i="12"/>
  <c r="K587" i="12"/>
  <c r="K586" i="12"/>
  <c r="K585" i="12"/>
  <c r="G3489" i="9" s="1"/>
  <c r="K584" i="12"/>
  <c r="K583" i="12"/>
  <c r="K565" i="12"/>
  <c r="K564" i="12"/>
  <c r="K563" i="12"/>
  <c r="K562" i="12"/>
  <c r="K561" i="12"/>
  <c r="K560" i="12"/>
  <c r="K559" i="12"/>
  <c r="K558" i="12"/>
  <c r="K557" i="12"/>
  <c r="K556" i="12"/>
  <c r="K555" i="12"/>
  <c r="K554" i="12"/>
  <c r="K553" i="12"/>
  <c r="K552" i="12"/>
  <c r="K551" i="12"/>
  <c r="G4040" i="9" s="1"/>
  <c r="H4040" i="9" s="1"/>
  <c r="K550" i="12"/>
  <c r="K549" i="12"/>
  <c r="K548" i="12"/>
  <c r="K547" i="12"/>
  <c r="K546" i="12"/>
  <c r="K545" i="12"/>
  <c r="K544" i="12"/>
  <c r="K543" i="12"/>
  <c r="K542" i="12"/>
  <c r="K541" i="12"/>
  <c r="K540" i="12"/>
  <c r="K539" i="12"/>
  <c r="K538" i="12"/>
  <c r="K531" i="12"/>
  <c r="K530" i="12"/>
  <c r="K529" i="12"/>
  <c r="K528" i="12"/>
  <c r="K527" i="12"/>
  <c r="K526" i="12"/>
  <c r="K525" i="12"/>
  <c r="K524" i="12"/>
  <c r="K523" i="12"/>
  <c r="K522" i="12"/>
  <c r="K521" i="12"/>
  <c r="K520" i="12"/>
  <c r="K519" i="12"/>
  <c r="K518" i="12"/>
  <c r="K516" i="12"/>
  <c r="K515" i="12"/>
  <c r="K514" i="12"/>
  <c r="K513" i="12"/>
  <c r="K512" i="12"/>
  <c r="K505" i="12"/>
  <c r="K501" i="12"/>
  <c r="K500" i="12"/>
  <c r="K499" i="12"/>
  <c r="K498" i="12"/>
  <c r="K497" i="12"/>
  <c r="K496" i="12"/>
  <c r="K495" i="12"/>
  <c r="K494" i="12"/>
  <c r="K493" i="12"/>
  <c r="K492" i="12"/>
  <c r="K490" i="12"/>
  <c r="K489" i="12"/>
  <c r="K488" i="12"/>
  <c r="K487" i="12"/>
  <c r="K480" i="12"/>
  <c r="K479" i="12"/>
  <c r="K478" i="12"/>
  <c r="K477" i="12"/>
  <c r="K476" i="12"/>
  <c r="K473" i="12"/>
  <c r="G227" i="9" s="1"/>
  <c r="K472" i="12"/>
  <c r="K471" i="12"/>
  <c r="K470" i="12"/>
  <c r="K469" i="12"/>
  <c r="K468" i="12"/>
  <c r="K467" i="12"/>
  <c r="K466" i="12"/>
  <c r="K465" i="12"/>
  <c r="K464" i="12"/>
  <c r="K463" i="12"/>
  <c r="K462" i="12"/>
  <c r="K460" i="12"/>
  <c r="G997" i="9" s="1"/>
  <c r="K459" i="12"/>
  <c r="K456" i="12"/>
  <c r="K454" i="12"/>
  <c r="K453" i="12"/>
  <c r="K452" i="12"/>
  <c r="K451" i="12"/>
  <c r="K450" i="12"/>
  <c r="K449" i="12"/>
  <c r="K445" i="12"/>
  <c r="K444" i="12"/>
  <c r="K443" i="12"/>
  <c r="K442" i="12"/>
  <c r="K441" i="12"/>
  <c r="K440" i="12"/>
  <c r="K439" i="12"/>
  <c r="K438" i="12"/>
  <c r="K437" i="12"/>
  <c r="K429" i="12"/>
  <c r="K428" i="12"/>
  <c r="K427" i="12"/>
  <c r="K423" i="12"/>
  <c r="K422" i="12"/>
  <c r="K421" i="12"/>
  <c r="K420" i="12"/>
  <c r="K419" i="12"/>
  <c r="K418" i="12"/>
  <c r="K417" i="12"/>
  <c r="K416" i="12"/>
  <c r="K415" i="12"/>
  <c r="K414" i="12"/>
  <c r="K413" i="12"/>
  <c r="K412" i="12"/>
  <c r="K411" i="12"/>
  <c r="K410" i="12"/>
  <c r="K409" i="12"/>
  <c r="K408" i="12"/>
  <c r="K407" i="12"/>
  <c r="K406" i="12"/>
  <c r="K405" i="12"/>
  <c r="K404" i="12"/>
  <c r="K403" i="12"/>
  <c r="K402" i="12"/>
  <c r="K401" i="12"/>
  <c r="K400" i="12"/>
  <c r="K399" i="12"/>
  <c r="K398" i="12"/>
  <c r="K397" i="12"/>
  <c r="K396" i="12"/>
  <c r="K395" i="12"/>
  <c r="K394" i="12"/>
  <c r="K393" i="12"/>
  <c r="K392" i="12"/>
  <c r="K391" i="12"/>
  <c r="K390" i="12"/>
  <c r="K389" i="12"/>
  <c r="K388" i="12"/>
  <c r="K387" i="12"/>
  <c r="K386" i="12"/>
  <c r="K385" i="12"/>
  <c r="K384" i="12"/>
  <c r="K383" i="12"/>
  <c r="K382" i="12"/>
  <c r="K381" i="12"/>
  <c r="K380" i="12"/>
  <c r="K379" i="12"/>
  <c r="K378" i="12"/>
  <c r="K377" i="12"/>
  <c r="K376" i="12"/>
  <c r="K375" i="12"/>
  <c r="K362" i="12"/>
  <c r="K361" i="12"/>
  <c r="K360" i="12"/>
  <c r="K359" i="12"/>
  <c r="K358" i="12"/>
  <c r="K357" i="12"/>
  <c r="K356" i="12"/>
  <c r="K355" i="12"/>
  <c r="K354" i="12"/>
  <c r="K353" i="12"/>
  <c r="K352" i="12"/>
  <c r="K351" i="12"/>
  <c r="K350" i="12"/>
  <c r="K349" i="12"/>
  <c r="K348" i="12"/>
  <c r="K347" i="12"/>
  <c r="K346" i="12"/>
  <c r="K345" i="12"/>
  <c r="K344" i="12"/>
  <c r="K343" i="12"/>
  <c r="K342" i="12"/>
  <c r="K341" i="12"/>
  <c r="K340" i="12"/>
  <c r="K339" i="12"/>
  <c r="K338" i="12"/>
  <c r="K337" i="12"/>
  <c r="K335" i="12"/>
  <c r="K334" i="12"/>
  <c r="K333" i="12"/>
  <c r="K331" i="12"/>
  <c r="K330" i="12"/>
  <c r="K329" i="12"/>
  <c r="K324" i="12"/>
  <c r="K327" i="12"/>
  <c r="K326" i="12"/>
  <c r="K325" i="12"/>
  <c r="K323" i="12"/>
  <c r="K322" i="12"/>
  <c r="K321" i="12"/>
  <c r="K319" i="12"/>
  <c r="K318" i="12"/>
  <c r="K317" i="12"/>
  <c r="K315" i="12"/>
  <c r="K314" i="12"/>
  <c r="K313" i="12"/>
  <c r="K311" i="12"/>
  <c r="K310" i="12"/>
  <c r="K309" i="12"/>
  <c r="K307" i="12"/>
  <c r="K306" i="12"/>
  <c r="K305" i="12"/>
  <c r="K303" i="12"/>
  <c r="K302" i="12"/>
  <c r="K301" i="12"/>
  <c r="K299" i="12"/>
  <c r="K298" i="12"/>
  <c r="K297" i="12"/>
  <c r="K295" i="12"/>
  <c r="K294" i="12"/>
  <c r="K293" i="12"/>
  <c r="K291" i="12"/>
  <c r="K290" i="12"/>
  <c r="K289" i="12"/>
  <c r="K287" i="12"/>
  <c r="K286" i="12"/>
  <c r="K285" i="12"/>
  <c r="K283" i="12"/>
  <c r="K282" i="12"/>
  <c r="K281" i="12"/>
  <c r="K279" i="12"/>
  <c r="K278" i="12"/>
  <c r="K277" i="12"/>
  <c r="K275" i="12"/>
  <c r="K274" i="12"/>
  <c r="K273" i="12"/>
  <c r="K271" i="12"/>
  <c r="K270" i="12"/>
  <c r="K269" i="12"/>
  <c r="K267" i="12"/>
  <c r="K266" i="12"/>
  <c r="K265" i="12"/>
  <c r="K263" i="12"/>
  <c r="K262" i="12"/>
  <c r="K261" i="12"/>
  <c r="K260" i="12"/>
  <c r="K259" i="12"/>
  <c r="K258" i="12"/>
  <c r="K257" i="12"/>
  <c r="G3701" i="9" s="1"/>
  <c r="K255" i="12"/>
  <c r="K254" i="12"/>
  <c r="K253" i="12"/>
  <c r="G3674" i="9" s="1"/>
  <c r="K252" i="12"/>
  <c r="K251" i="12"/>
  <c r="K250" i="12"/>
  <c r="K249" i="12"/>
  <c r="K248" i="12"/>
  <c r="K247" i="12"/>
  <c r="K246" i="12"/>
  <c r="K245" i="12"/>
  <c r="K244" i="12"/>
  <c r="G3541" i="9" s="1"/>
  <c r="K243" i="12"/>
  <c r="K242" i="12"/>
  <c r="K237" i="12"/>
  <c r="K236" i="12"/>
  <c r="K235" i="12"/>
  <c r="K234" i="12"/>
  <c r="K233" i="12"/>
  <c r="K232" i="12"/>
  <c r="K227" i="12"/>
  <c r="K226" i="12"/>
  <c r="K225" i="12"/>
  <c r="K224" i="12"/>
  <c r="K223" i="12"/>
  <c r="G3836" i="9" s="1"/>
  <c r="K222" i="12"/>
  <c r="K221" i="12"/>
  <c r="K219" i="12"/>
  <c r="K218" i="12"/>
  <c r="K217" i="12"/>
  <c r="K216" i="12"/>
  <c r="K215" i="12"/>
  <c r="K214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1" i="12"/>
  <c r="K180" i="12"/>
  <c r="K179" i="12"/>
  <c r="K178" i="12"/>
  <c r="K177" i="12"/>
  <c r="K176" i="12"/>
  <c r="K175" i="12"/>
  <c r="K173" i="12"/>
  <c r="K172" i="12"/>
  <c r="K171" i="12"/>
  <c r="K170" i="12"/>
  <c r="K119" i="12"/>
  <c r="K118" i="12"/>
  <c r="K117" i="12"/>
  <c r="K116" i="12"/>
  <c r="K115" i="12"/>
  <c r="K114" i="12"/>
  <c r="K113" i="12"/>
  <c r="K112" i="12"/>
  <c r="K111" i="12"/>
  <c r="K110" i="12"/>
  <c r="K109" i="12"/>
  <c r="K105" i="12"/>
  <c r="K104" i="12"/>
  <c r="K103" i="12"/>
  <c r="K102" i="12"/>
  <c r="K100" i="12"/>
  <c r="K99" i="12"/>
  <c r="K95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G2421" i="9" s="1"/>
  <c r="K69" i="12"/>
  <c r="G2447" i="9" s="1"/>
  <c r="K65" i="12"/>
  <c r="K64" i="12"/>
  <c r="K63" i="12"/>
  <c r="K62" i="12"/>
  <c r="K60" i="12"/>
  <c r="K59" i="12"/>
  <c r="K58" i="12"/>
  <c r="K34" i="12"/>
  <c r="K33" i="12"/>
  <c r="K32" i="12"/>
  <c r="K31" i="12"/>
  <c r="G4033" i="9" s="1"/>
  <c r="H4033" i="9" s="1"/>
  <c r="K30" i="12"/>
  <c r="K29" i="12"/>
  <c r="K28" i="12"/>
  <c r="K27" i="12"/>
  <c r="K26" i="12"/>
  <c r="K25" i="12"/>
  <c r="K24" i="12"/>
  <c r="K23" i="12"/>
  <c r="K22" i="12"/>
  <c r="K21" i="12"/>
  <c r="K20" i="12"/>
  <c r="K19" i="12"/>
  <c r="G4065" i="9" l="1"/>
  <c r="H4065" i="9" s="1"/>
  <c r="G4064" i="9"/>
  <c r="H4064" i="9" s="1"/>
  <c r="G4058" i="9"/>
  <c r="H4058" i="9" s="1"/>
  <c r="N49" i="16"/>
  <c r="L49" i="16"/>
  <c r="E49" i="16"/>
  <c r="M49" i="16"/>
  <c r="J49" i="16"/>
  <c r="H49" i="16"/>
  <c r="I49" i="16"/>
  <c r="G49" i="16"/>
  <c r="K49" i="16"/>
  <c r="F49" i="16"/>
  <c r="I50" i="16"/>
  <c r="I32" i="16" s="1"/>
  <c r="E50" i="16"/>
  <c r="E32" i="16" s="1"/>
  <c r="F50" i="16"/>
  <c r="F32" i="16" s="1"/>
  <c r="K50" i="16"/>
  <c r="K32" i="16" s="1"/>
  <c r="M50" i="16"/>
  <c r="M32" i="16" s="1"/>
  <c r="N50" i="16"/>
  <c r="N32" i="16" s="1"/>
  <c r="H50" i="16"/>
  <c r="H32" i="16" s="1"/>
  <c r="L50" i="16"/>
  <c r="L32" i="16" s="1"/>
  <c r="G50" i="16"/>
  <c r="G32" i="16" s="1"/>
  <c r="J50" i="16"/>
  <c r="J32" i="16" s="1"/>
  <c r="G4057" i="9"/>
  <c r="H4057" i="9" s="1"/>
  <c r="G4056" i="9"/>
  <c r="H4056" i="9" s="1"/>
  <c r="I41" i="16"/>
  <c r="J41" i="16"/>
  <c r="E41" i="16"/>
  <c r="G41" i="16"/>
  <c r="H41" i="16"/>
  <c r="F41" i="16"/>
  <c r="K41" i="16"/>
  <c r="K44" i="16" s="1"/>
  <c r="K46" i="16" s="1"/>
  <c r="G507" i="12" s="1"/>
  <c r="K507" i="12" s="1"/>
  <c r="G1292" i="9" s="1"/>
  <c r="L41" i="16"/>
  <c r="L44" i="16" s="1"/>
  <c r="L46" i="16" s="1"/>
  <c r="K475" i="12" s="1"/>
  <c r="G1291" i="9" s="1"/>
  <c r="N41" i="16"/>
  <c r="M41" i="16"/>
  <c r="G266" i="9"/>
  <c r="H266" i="9" s="1"/>
  <c r="G4009" i="9"/>
  <c r="H4009" i="9" s="1"/>
  <c r="G3988" i="9"/>
  <c r="H3988" i="9" s="1"/>
  <c r="G1254" i="9"/>
  <c r="G1508" i="9"/>
  <c r="G1404" i="9"/>
  <c r="G1179" i="9"/>
  <c r="G842" i="9"/>
  <c r="G722" i="9"/>
  <c r="G602" i="9"/>
  <c r="G482" i="9"/>
  <c r="G362" i="9"/>
  <c r="G1081" i="9"/>
  <c r="G626" i="9"/>
  <c r="G434" i="9"/>
  <c r="G1204" i="9"/>
  <c r="G410" i="9"/>
  <c r="G554" i="9"/>
  <c r="G746" i="9"/>
  <c r="G770" i="9"/>
  <c r="G578" i="9"/>
  <c r="G242" i="9"/>
  <c r="G1306" i="9"/>
  <c r="G698" i="9"/>
  <c r="G674" i="9"/>
  <c r="G1105" i="9"/>
  <c r="G1479" i="9"/>
  <c r="G290" i="9"/>
  <c r="G1454" i="9"/>
  <c r="G1331" i="9"/>
  <c r="G338" i="9"/>
  <c r="G530" i="9"/>
  <c r="G1154" i="9"/>
  <c r="G386" i="9"/>
  <c r="G314" i="9"/>
  <c r="G1229" i="9"/>
  <c r="G818" i="9"/>
  <c r="G794" i="9"/>
  <c r="G506" i="9"/>
  <c r="G1429" i="9"/>
  <c r="G458" i="9"/>
  <c r="G1129" i="9"/>
  <c r="G1279" i="9"/>
  <c r="G650" i="9"/>
  <c r="G3971" i="9"/>
  <c r="G3865" i="9"/>
  <c r="G3919" i="9"/>
  <c r="G3892" i="9"/>
  <c r="G3945" i="9"/>
  <c r="G2581" i="9"/>
  <c r="G3841" i="9"/>
  <c r="G2609" i="9"/>
  <c r="G2596" i="9"/>
  <c r="G3588" i="9"/>
  <c r="G3616" i="9"/>
  <c r="G2568" i="9"/>
  <c r="G3561" i="9"/>
  <c r="G4039" i="9"/>
  <c r="H4039" i="9" s="1"/>
  <c r="G3702" i="9"/>
  <c r="G3649" i="9"/>
  <c r="G2497" i="9"/>
  <c r="G4031" i="9"/>
  <c r="H4031" i="9" s="1"/>
  <c r="G3508" i="9"/>
  <c r="G3152" i="9"/>
  <c r="G2860" i="9"/>
  <c r="G3099" i="9"/>
  <c r="G3020" i="9"/>
  <c r="G2941" i="9"/>
  <c r="G3231" i="9"/>
  <c r="G3390" i="9"/>
  <c r="G3311" i="9"/>
  <c r="G3205" i="9"/>
  <c r="G3337" i="9"/>
  <c r="G2887" i="9"/>
  <c r="G3073" i="9"/>
  <c r="G2967" i="9"/>
  <c r="G3284" i="9"/>
  <c r="G3125" i="9"/>
  <c r="G2914" i="9"/>
  <c r="G2993" i="9"/>
  <c r="G3047" i="9"/>
  <c r="G3363" i="9"/>
  <c r="G3257" i="9"/>
  <c r="G3179" i="9"/>
  <c r="G2676" i="9"/>
  <c r="G2061" i="9"/>
  <c r="G2594" i="9"/>
  <c r="G1585" i="9"/>
  <c r="G2728" i="9"/>
  <c r="G2414" i="9"/>
  <c r="G2335" i="9"/>
  <c r="G1735" i="9"/>
  <c r="G2211" i="9"/>
  <c r="G1961" i="9"/>
  <c r="G2136" i="9"/>
  <c r="G218" i="9"/>
  <c r="G1660" i="9"/>
  <c r="G2310" i="9"/>
  <c r="G1886" i="9"/>
  <c r="G194" i="9"/>
  <c r="G2186" i="9"/>
  <c r="G1610" i="9"/>
  <c r="G2440" i="9"/>
  <c r="G2754" i="9"/>
  <c r="G2285" i="9"/>
  <c r="G1836" i="9"/>
  <c r="G2566" i="9"/>
  <c r="G1936" i="9"/>
  <c r="G2036" i="9"/>
  <c r="G1710" i="9"/>
  <c r="G2161" i="9"/>
  <c r="G1811" i="9"/>
  <c r="G1986" i="9"/>
  <c r="G2834" i="9"/>
  <c r="G2360" i="9"/>
  <c r="G2260" i="9"/>
  <c r="G1535" i="9"/>
  <c r="G2011" i="9"/>
  <c r="G2236" i="9"/>
  <c r="G1760" i="9"/>
  <c r="G1911" i="9"/>
  <c r="G1685" i="9"/>
  <c r="G2387" i="9"/>
  <c r="G1560" i="9"/>
  <c r="G2702" i="9"/>
  <c r="G2086" i="9"/>
  <c r="G2808" i="9"/>
  <c r="G1785" i="9"/>
  <c r="G2111" i="9"/>
  <c r="G1861" i="9"/>
  <c r="G2780" i="9"/>
  <c r="G1635" i="9"/>
  <c r="G3569" i="9"/>
  <c r="G2840" i="9"/>
  <c r="G3596" i="9"/>
  <c r="G2814" i="9"/>
  <c r="G3624" i="9"/>
  <c r="G4030" i="9"/>
  <c r="H4030" i="9" s="1"/>
  <c r="G3256" i="9"/>
  <c r="G1835" i="9"/>
  <c r="G100" i="9"/>
  <c r="G217" i="9"/>
  <c r="G2515" i="9"/>
  <c r="G1659" i="9"/>
  <c r="G3936" i="9"/>
  <c r="G3883" i="9"/>
  <c r="G2675" i="9"/>
  <c r="G2060" i="9"/>
  <c r="G3310" i="9"/>
  <c r="G1734" i="9"/>
  <c r="G3587" i="9"/>
  <c r="G2727" i="9"/>
  <c r="G2210" i="9"/>
  <c r="G1960" i="9"/>
  <c r="G3665" i="9"/>
  <c r="G3098" i="9"/>
  <c r="G3019" i="9"/>
  <c r="G2334" i="9"/>
  <c r="G2135" i="9"/>
  <c r="G78" i="9"/>
  <c r="G3389" i="9"/>
  <c r="G2593" i="9"/>
  <c r="G1584" i="9"/>
  <c r="G3790" i="9"/>
  <c r="G3507" i="9"/>
  <c r="G3810" i="9"/>
  <c r="G2940" i="9"/>
  <c r="G2992" i="9"/>
  <c r="G2779" i="9"/>
  <c r="G2465" i="9"/>
  <c r="G2359" i="9"/>
  <c r="G3204" i="9"/>
  <c r="G1935" i="9"/>
  <c r="G1609" i="9"/>
  <c r="G3461" i="9"/>
  <c r="G2966" i="9"/>
  <c r="G2439" i="9"/>
  <c r="G3438" i="9"/>
  <c r="G3615" i="9"/>
  <c r="G2185" i="9"/>
  <c r="G34" i="9"/>
  <c r="G3484" i="9"/>
  <c r="G193" i="9"/>
  <c r="G2284" i="9"/>
  <c r="G3692" i="9"/>
  <c r="G2160" i="9"/>
  <c r="G170" i="9"/>
  <c r="G2309" i="9"/>
  <c r="G3336" i="9"/>
  <c r="G2886" i="9"/>
  <c r="G3962" i="9"/>
  <c r="G2859" i="9"/>
  <c r="G11" i="9"/>
  <c r="G3072" i="9"/>
  <c r="G2035" i="9"/>
  <c r="G1709" i="9"/>
  <c r="G2650" i="9"/>
  <c r="G2649" i="9"/>
  <c r="G1810" i="9"/>
  <c r="G1784" i="9"/>
  <c r="G122" i="9"/>
  <c r="G2259" i="9"/>
  <c r="G3178" i="9"/>
  <c r="G2085" i="9"/>
  <c r="G2235" i="9"/>
  <c r="G2413" i="9"/>
  <c r="G3283" i="9"/>
  <c r="G3124" i="9"/>
  <c r="G2913" i="9"/>
  <c r="G1985" i="9"/>
  <c r="G2565" i="9"/>
  <c r="G3534" i="9"/>
  <c r="G1910" i="9"/>
  <c r="G3230" i="9"/>
  <c r="G2490" i="9"/>
  <c r="G2010" i="9"/>
  <c r="G1860" i="9"/>
  <c r="G3362" i="9"/>
  <c r="G1634" i="9"/>
  <c r="G3560" i="9"/>
  <c r="G146" i="9"/>
  <c r="G3770" i="9"/>
  <c r="G3046" i="9"/>
  <c r="G1759" i="9"/>
  <c r="G3643" i="9"/>
  <c r="G2701" i="9"/>
  <c r="G1885" i="9"/>
  <c r="G3415" i="9"/>
  <c r="G2540" i="9"/>
  <c r="G1684" i="9"/>
  <c r="G3856" i="9"/>
  <c r="G2386" i="9"/>
  <c r="G1559" i="9"/>
  <c r="G2110" i="9"/>
  <c r="G3910" i="9"/>
  <c r="G2833" i="9"/>
  <c r="G56" i="9"/>
  <c r="G3151" i="9"/>
  <c r="G2753" i="9"/>
  <c r="G1534" i="9"/>
  <c r="G2807" i="9"/>
  <c r="G2621" i="9"/>
  <c r="G4014" i="9"/>
  <c r="H4014" i="9" s="1"/>
  <c r="H4016" i="9" s="1"/>
  <c r="G3237" i="9"/>
  <c r="G2973" i="9"/>
  <c r="G3105" i="9"/>
  <c r="G3975" i="9"/>
  <c r="G3923" i="9"/>
  <c r="G3869" i="9"/>
  <c r="G3949" i="9"/>
  <c r="G3896" i="9"/>
  <c r="G2790" i="9"/>
  <c r="G2658" i="9"/>
  <c r="G2684" i="9"/>
  <c r="G2762" i="9"/>
  <c r="G2736" i="9"/>
  <c r="G2710" i="9"/>
  <c r="G2522" i="9"/>
  <c r="G2547" i="9"/>
  <c r="G3993" i="9"/>
  <c r="H3993" i="9" s="1"/>
  <c r="H3995" i="9" s="1"/>
  <c r="G3079" i="9"/>
  <c r="G3211" i="9"/>
  <c r="G2947" i="9"/>
  <c r="G2999" i="9"/>
  <c r="G3158" i="9"/>
  <c r="G2866" i="9"/>
  <c r="G3290" i="9"/>
  <c r="G3263" i="9"/>
  <c r="G3369" i="9"/>
  <c r="G3026" i="9"/>
  <c r="G3131" i="9"/>
  <c r="G2394" i="9"/>
  <c r="G2367" i="9"/>
  <c r="G4037" i="9"/>
  <c r="H4037" i="9" s="1"/>
  <c r="G2920" i="9"/>
  <c r="G2893" i="9"/>
  <c r="G2791" i="9"/>
  <c r="G2763" i="9"/>
  <c r="G2737" i="9"/>
  <c r="G2685" i="9"/>
  <c r="G2711" i="9"/>
  <c r="G9" i="9"/>
  <c r="G4034" i="9"/>
  <c r="H4034" i="9" s="1"/>
  <c r="G2943" i="9"/>
  <c r="G2597" i="9"/>
  <c r="G2336" i="9"/>
  <c r="G2138" i="9"/>
  <c r="G1962" i="9"/>
  <c r="G3233" i="9"/>
  <c r="G2311" i="9"/>
  <c r="G2038" i="9"/>
  <c r="G3645" i="9"/>
  <c r="G2651" i="9"/>
  <c r="G1812" i="9"/>
  <c r="G76" i="9"/>
  <c r="G3392" i="9"/>
  <c r="G3313" i="9"/>
  <c r="G2416" i="9"/>
  <c r="G2862" i="9"/>
  <c r="G216" i="9"/>
  <c r="G3075" i="9"/>
  <c r="G3811" i="9"/>
  <c r="G3590" i="9"/>
  <c r="G3510" i="9"/>
  <c r="G2730" i="9"/>
  <c r="G2517" i="9"/>
  <c r="G2213" i="9"/>
  <c r="G1736" i="9"/>
  <c r="G1661" i="9"/>
  <c r="G1586" i="9"/>
  <c r="G98" i="9"/>
  <c r="G3791" i="9"/>
  <c r="G3154" i="9"/>
  <c r="G1887" i="9"/>
  <c r="G3771" i="9"/>
  <c r="G3339" i="9"/>
  <c r="G2889" i="9"/>
  <c r="G54" i="9"/>
  <c r="G2286" i="9"/>
  <c r="G3462" i="9"/>
  <c r="G3286" i="9"/>
  <c r="G3207" i="9"/>
  <c r="G2678" i="9"/>
  <c r="G1611" i="9"/>
  <c r="G32" i="9"/>
  <c r="G3695" i="9"/>
  <c r="G2969" i="9"/>
  <c r="G2442" i="9"/>
  <c r="G2163" i="9"/>
  <c r="G1837" i="9"/>
  <c r="G3885" i="9"/>
  <c r="G192" i="9"/>
  <c r="G3439" i="9"/>
  <c r="G3181" i="9"/>
  <c r="G2836" i="9"/>
  <c r="G3858" i="9"/>
  <c r="G3964" i="9"/>
  <c r="G3485" i="9"/>
  <c r="G2063" i="9"/>
  <c r="G1937" i="9"/>
  <c r="G3101" i="9"/>
  <c r="G1711" i="9"/>
  <c r="G2569" i="9"/>
  <c r="G2756" i="9"/>
  <c r="G2012" i="9"/>
  <c r="G1761" i="9"/>
  <c r="G3259" i="9"/>
  <c r="G1912" i="9"/>
  <c r="G144" i="9"/>
  <c r="G3416" i="9"/>
  <c r="G2261" i="9"/>
  <c r="G1536" i="9"/>
  <c r="G3022" i="9"/>
  <c r="G1862" i="9"/>
  <c r="G3618" i="9"/>
  <c r="G1987" i="9"/>
  <c r="G2388" i="9"/>
  <c r="G2361" i="9"/>
  <c r="G2542" i="9"/>
  <c r="G2088" i="9"/>
  <c r="G2492" i="9"/>
  <c r="G1686" i="9"/>
  <c r="G1636" i="9"/>
  <c r="G1786" i="9"/>
  <c r="G3833" i="9"/>
  <c r="G3049" i="9"/>
  <c r="G168" i="9"/>
  <c r="G3668" i="9"/>
  <c r="G120" i="9"/>
  <c r="G2995" i="9"/>
  <c r="G2238" i="9"/>
  <c r="G2467" i="9"/>
  <c r="G2622" i="9"/>
  <c r="G2113" i="9"/>
  <c r="G1561" i="9"/>
  <c r="G3938" i="9"/>
  <c r="G3536" i="9"/>
  <c r="G2704" i="9"/>
  <c r="G3912" i="9"/>
  <c r="G2810" i="9"/>
  <c r="G3365" i="9"/>
  <c r="G2782" i="9"/>
  <c r="G3127" i="9"/>
  <c r="G2916" i="9"/>
  <c r="G3563" i="9"/>
  <c r="G2188" i="9"/>
  <c r="G2528" i="9"/>
  <c r="G2553" i="9"/>
  <c r="G264" i="9"/>
  <c r="H264" i="9" s="1"/>
  <c r="G3990" i="9"/>
  <c r="H3990" i="9" s="1"/>
  <c r="G4011" i="9"/>
  <c r="H4011" i="9" s="1"/>
  <c r="G1509" i="9"/>
  <c r="G1405" i="9"/>
  <c r="G1202" i="9"/>
  <c r="G1104" i="9"/>
  <c r="G744" i="9"/>
  <c r="G624" i="9"/>
  <c r="G504" i="9"/>
  <c r="G384" i="9"/>
  <c r="G240" i="9"/>
  <c r="G1080" i="9"/>
  <c r="G600" i="9"/>
  <c r="G360" i="9"/>
  <c r="G1277" i="9"/>
  <c r="G720" i="9"/>
  <c r="G480" i="9"/>
  <c r="G1177" i="9"/>
  <c r="G840" i="9"/>
  <c r="G792" i="9"/>
  <c r="G288" i="9"/>
  <c r="G768" i="9"/>
  <c r="G1329" i="9"/>
  <c r="G432" i="9"/>
  <c r="G576" i="9"/>
  <c r="G408" i="9"/>
  <c r="G1455" i="9"/>
  <c r="G1227" i="9"/>
  <c r="G696" i="9"/>
  <c r="G336" i="9"/>
  <c r="G552" i="9"/>
  <c r="G816" i="9"/>
  <c r="G528" i="9"/>
  <c r="G456" i="9"/>
  <c r="G1252" i="9"/>
  <c r="G1481" i="9"/>
  <c r="G312" i="9"/>
  <c r="G1430" i="9"/>
  <c r="G1152" i="9"/>
  <c r="G1128" i="9"/>
  <c r="G672" i="9"/>
  <c r="G648" i="9"/>
  <c r="G1817" i="9"/>
  <c r="G1967" i="9"/>
  <c r="G1892" i="9"/>
  <c r="G1942" i="9"/>
  <c r="G1842" i="9"/>
  <c r="G1487" i="9"/>
  <c r="G1917" i="9"/>
  <c r="G1867" i="9"/>
  <c r="G1992" i="9"/>
  <c r="G3937" i="9"/>
  <c r="G3884" i="9"/>
  <c r="G3667" i="9"/>
  <c r="G2516" i="9"/>
  <c r="G3644" i="9"/>
  <c r="G3963" i="9"/>
  <c r="G3694" i="9"/>
  <c r="G3911" i="9"/>
  <c r="G2491" i="9"/>
  <c r="G3857" i="9"/>
  <c r="G2466" i="9"/>
  <c r="G3831" i="9"/>
  <c r="G2541" i="9"/>
  <c r="G2628" i="9"/>
  <c r="G2602" i="9"/>
  <c r="G3494" i="9"/>
  <c r="G3471" i="9"/>
  <c r="G179" i="9"/>
  <c r="G131" i="9"/>
  <c r="G1797" i="9"/>
  <c r="G155" i="9"/>
  <c r="G3666" i="9"/>
  <c r="G3693" i="9"/>
  <c r="G3535" i="9"/>
  <c r="G3239" i="9"/>
  <c r="G2657" i="9"/>
  <c r="G3107" i="9"/>
  <c r="G2975" i="9"/>
  <c r="G3595" i="9"/>
  <c r="G2576" i="9"/>
  <c r="G3568" i="9"/>
  <c r="G2604" i="9"/>
  <c r="G3623" i="9"/>
  <c r="G3161" i="9"/>
  <c r="G2869" i="9"/>
  <c r="G3372" i="9"/>
  <c r="G3293" i="9"/>
  <c r="G2923" i="9"/>
  <c r="G3002" i="9"/>
  <c r="G3029" i="9"/>
  <c r="G3134" i="9"/>
  <c r="G3266" i="9"/>
  <c r="G2896" i="9"/>
  <c r="G4032" i="9"/>
  <c r="H4032" i="9" s="1"/>
  <c r="G3100" i="9"/>
  <c r="G3021" i="9"/>
  <c r="G2212" i="9"/>
  <c r="G77" i="9"/>
  <c r="G3153" i="9"/>
  <c r="G2037" i="9"/>
  <c r="G2942" i="9"/>
  <c r="G2137" i="9"/>
  <c r="G99" i="9"/>
  <c r="G2861" i="9"/>
  <c r="G3391" i="9"/>
  <c r="G3312" i="9"/>
  <c r="G2595" i="9"/>
  <c r="G2729" i="9"/>
  <c r="G2415" i="9"/>
  <c r="G3232" i="9"/>
  <c r="G3074" i="9"/>
  <c r="G3589" i="9"/>
  <c r="G3509" i="9"/>
  <c r="G2968" i="9"/>
  <c r="G2162" i="9"/>
  <c r="G10" i="9"/>
  <c r="G2755" i="9"/>
  <c r="G3180" i="9"/>
  <c r="G3338" i="9"/>
  <c r="G2888" i="9"/>
  <c r="G2062" i="9"/>
  <c r="G2677" i="9"/>
  <c r="G3285" i="9"/>
  <c r="G3206" i="9"/>
  <c r="G33" i="9"/>
  <c r="G2441" i="9"/>
  <c r="G2567" i="9"/>
  <c r="G3562" i="9"/>
  <c r="G2187" i="9"/>
  <c r="G3258" i="9"/>
  <c r="G2703" i="9"/>
  <c r="G55" i="9"/>
  <c r="G3126" i="9"/>
  <c r="G169" i="9"/>
  <c r="G2835" i="9"/>
  <c r="G121" i="9"/>
  <c r="G2781" i="9"/>
  <c r="G145" i="9"/>
  <c r="G2087" i="9"/>
  <c r="G2809" i="9"/>
  <c r="G3364" i="9"/>
  <c r="G3832" i="9"/>
  <c r="G3048" i="9"/>
  <c r="G2112" i="9"/>
  <c r="G3617" i="9"/>
  <c r="G2994" i="9"/>
  <c r="G2237" i="9"/>
  <c r="G2915" i="9"/>
  <c r="G265" i="9"/>
  <c r="H265" i="9" s="1"/>
  <c r="G4010" i="9"/>
  <c r="H4010" i="9" s="1"/>
  <c r="G3989" i="9"/>
  <c r="H3989" i="9" s="1"/>
  <c r="G1278" i="9"/>
  <c r="G841" i="9"/>
  <c r="G601" i="9"/>
  <c r="G721" i="9"/>
  <c r="G361" i="9"/>
  <c r="G1178" i="9"/>
  <c r="G481" i="9"/>
  <c r="G1330" i="9"/>
  <c r="G1203" i="9"/>
  <c r="G625" i="9"/>
  <c r="G433" i="9"/>
  <c r="G769" i="9"/>
  <c r="G553" i="9"/>
  <c r="G577" i="9"/>
  <c r="G241" i="9"/>
  <c r="G1305" i="9"/>
  <c r="G409" i="9"/>
  <c r="G745" i="9"/>
  <c r="G817" i="9"/>
  <c r="G529" i="9"/>
  <c r="G289" i="9"/>
  <c r="G1253" i="9"/>
  <c r="G649" i="9"/>
  <c r="G1480" i="9"/>
  <c r="G1228" i="9"/>
  <c r="G697" i="9"/>
  <c r="G385" i="9"/>
  <c r="G337" i="9"/>
  <c r="G793" i="9"/>
  <c r="G313" i="9"/>
  <c r="G1153" i="9"/>
  <c r="G505" i="9"/>
  <c r="G457" i="9"/>
  <c r="G673" i="9"/>
  <c r="G3699" i="9"/>
  <c r="G3672" i="9"/>
  <c r="G1898" i="9"/>
  <c r="G1823" i="9"/>
  <c r="G1722" i="9"/>
  <c r="G1848" i="9"/>
  <c r="G1923" i="9"/>
  <c r="G2023" i="9"/>
  <c r="G1697" i="9"/>
  <c r="G1597" i="9"/>
  <c r="G1622" i="9"/>
  <c r="G1772" i="9"/>
  <c r="G2794" i="9"/>
  <c r="G1998" i="9"/>
  <c r="G1973" i="9"/>
  <c r="G1948" i="9"/>
  <c r="G1873" i="9"/>
  <c r="G3575" i="9"/>
  <c r="G3602" i="9"/>
  <c r="G3630" i="9"/>
  <c r="G1741" i="9"/>
  <c r="G1666" i="9"/>
  <c r="G1591" i="9"/>
  <c r="G2316" i="9"/>
  <c r="G2341" i="9"/>
  <c r="G1488" i="9"/>
  <c r="G1716" i="9"/>
  <c r="G1616" i="9"/>
  <c r="G2291" i="9"/>
  <c r="G2266" i="9"/>
  <c r="G2393" i="9"/>
  <c r="G1541" i="9"/>
  <c r="G1641" i="9"/>
  <c r="G1691" i="9"/>
  <c r="G1566" i="9"/>
  <c r="G2366" i="9"/>
  <c r="G1766" i="9"/>
  <c r="G629" i="12"/>
  <c r="K629" i="12" s="1"/>
  <c r="D629" i="12"/>
  <c r="A170" i="12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K101" i="12"/>
  <c r="K98" i="12"/>
  <c r="K96" i="12"/>
  <c r="G1486" i="9" s="1"/>
  <c r="K93" i="12"/>
  <c r="K61" i="12"/>
  <c r="H4067" i="9" l="1"/>
  <c r="N44" i="16"/>
  <c r="N46" i="16" s="1"/>
  <c r="K504" i="12" s="1"/>
  <c r="G1240" i="9" s="1"/>
  <c r="H1240" i="9" s="1"/>
  <c r="H4061" i="9"/>
  <c r="I44" i="16"/>
  <c r="I46" i="16" s="1"/>
  <c r="K455" i="12" s="1"/>
  <c r="G1189" i="9" s="1"/>
  <c r="H1189" i="9" s="1"/>
  <c r="J1189" i="9" s="1"/>
  <c r="J1192" i="9" s="1"/>
  <c r="M44" i="16"/>
  <c r="M46" i="16" s="1"/>
  <c r="K503" i="12" s="1"/>
  <c r="H44" i="16"/>
  <c r="H46" i="16" s="1"/>
  <c r="J44" i="16"/>
  <c r="J46" i="16" s="1"/>
  <c r="K447" i="12" s="1"/>
  <c r="G1164" i="9"/>
  <c r="H1164" i="9" s="1"/>
  <c r="J1164" i="9" s="1"/>
  <c r="G1139" i="9"/>
  <c r="H1139" i="9" s="1"/>
  <c r="G972" i="9"/>
  <c r="G996" i="9"/>
  <c r="G1214" i="9"/>
  <c r="H1214" i="9" s="1"/>
  <c r="F44" i="16"/>
  <c r="F46" i="16" s="1"/>
  <c r="K458" i="12" s="1"/>
  <c r="G707" i="9" s="1"/>
  <c r="G44" i="16"/>
  <c r="G46" i="16" s="1"/>
  <c r="K491" i="12" s="1"/>
  <c r="G3819" i="9" s="1"/>
  <c r="H3819" i="9" s="1"/>
  <c r="G1115" i="9"/>
  <c r="H1115" i="9" s="1"/>
  <c r="G1342" i="9"/>
  <c r="H1342" i="9" s="1"/>
  <c r="E44" i="16"/>
  <c r="E46" i="16" s="1"/>
  <c r="G899" i="9" s="1"/>
  <c r="H899" i="9" s="1"/>
  <c r="G1290" i="9"/>
  <c r="H1290" i="9" s="1"/>
  <c r="G1265" i="9"/>
  <c r="H1265" i="9" s="1"/>
  <c r="H3991" i="9"/>
  <c r="H268" i="9"/>
  <c r="H4042" i="9"/>
  <c r="H4035" i="9"/>
  <c r="H4012" i="9"/>
  <c r="G1742" i="9"/>
  <c r="H1742" i="9" s="1"/>
  <c r="G1667" i="9"/>
  <c r="H1667" i="9" s="1"/>
  <c r="G1592" i="9"/>
  <c r="H1592" i="9" s="1"/>
  <c r="G1818" i="9"/>
  <c r="H1818" i="9" s="1"/>
  <c r="G2422" i="9"/>
  <c r="H2422" i="9" s="1"/>
  <c r="G2217" i="9"/>
  <c r="H2217" i="9" s="1"/>
  <c r="G1968" i="9"/>
  <c r="H1968" i="9" s="1"/>
  <c r="G2042" i="9"/>
  <c r="H2042" i="9" s="1"/>
  <c r="G1893" i="9"/>
  <c r="H1893" i="9" s="1"/>
  <c r="G2117" i="9"/>
  <c r="H2117" i="9" s="1"/>
  <c r="G1943" i="9"/>
  <c r="H1943" i="9" s="1"/>
  <c r="G2067" i="9"/>
  <c r="H2067" i="9" s="1"/>
  <c r="G1717" i="9"/>
  <c r="H1717" i="9" s="1"/>
  <c r="G1617" i="9"/>
  <c r="H1617" i="9" s="1"/>
  <c r="G2167" i="9"/>
  <c r="H2167" i="9" s="1"/>
  <c r="G1918" i="9"/>
  <c r="H1918" i="9" s="1"/>
  <c r="G2448" i="9"/>
  <c r="H2448" i="9" s="1"/>
  <c r="G1843" i="9"/>
  <c r="H1843" i="9" s="1"/>
  <c r="G1542" i="9"/>
  <c r="H1542" i="9" s="1"/>
  <c r="G1567" i="9"/>
  <c r="H1567" i="9" s="1"/>
  <c r="G3491" i="9"/>
  <c r="H3491" i="9" s="1"/>
  <c r="G2142" i="9"/>
  <c r="H2142" i="9" s="1"/>
  <c r="G1868" i="9"/>
  <c r="H1868" i="9" s="1"/>
  <c r="G1642" i="9"/>
  <c r="H1642" i="9" s="1"/>
  <c r="G1993" i="9"/>
  <c r="H1993" i="9" s="1"/>
  <c r="G1767" i="9"/>
  <c r="H1767" i="9" s="1"/>
  <c r="G2368" i="9"/>
  <c r="H2368" i="9" s="1"/>
  <c r="G2092" i="9"/>
  <c r="H2092" i="9" s="1"/>
  <c r="G1692" i="9"/>
  <c r="H1692" i="9" s="1"/>
  <c r="G2395" i="9"/>
  <c r="H2395" i="9" s="1"/>
  <c r="G2192" i="9"/>
  <c r="H2192" i="9" s="1"/>
  <c r="G2423" i="9"/>
  <c r="H2423" i="9" s="1"/>
  <c r="G2218" i="9"/>
  <c r="H2218" i="9" s="1"/>
  <c r="G1969" i="9"/>
  <c r="H1969" i="9" s="1"/>
  <c r="G1568" i="9"/>
  <c r="H1568" i="9" s="1"/>
  <c r="G2734" i="9"/>
  <c r="H2734" i="9" s="1"/>
  <c r="G1894" i="9"/>
  <c r="H1894" i="9" s="1"/>
  <c r="G1490" i="9"/>
  <c r="H1490" i="9" s="1"/>
  <c r="G2043" i="9"/>
  <c r="H2043" i="9" s="1"/>
  <c r="G1819" i="9"/>
  <c r="H1819" i="9" s="1"/>
  <c r="G2118" i="9"/>
  <c r="H2118" i="9" s="1"/>
  <c r="G2786" i="9"/>
  <c r="H2786" i="9" s="1"/>
  <c r="G1643" i="9"/>
  <c r="H1643" i="9" s="1"/>
  <c r="G2068" i="9"/>
  <c r="H2068" i="9" s="1"/>
  <c r="G1718" i="9"/>
  <c r="H1718" i="9" s="1"/>
  <c r="G1618" i="9"/>
  <c r="H1618" i="9" s="1"/>
  <c r="G2760" i="9"/>
  <c r="H2760" i="9" s="1"/>
  <c r="G2449" i="9"/>
  <c r="H2449" i="9" s="1"/>
  <c r="G1844" i="9"/>
  <c r="H1844" i="9" s="1"/>
  <c r="G1919" i="9"/>
  <c r="H1919" i="9" s="1"/>
  <c r="G1693" i="9"/>
  <c r="H1693" i="9" s="1"/>
  <c r="G1593" i="9"/>
  <c r="H1593" i="9" s="1"/>
  <c r="G2682" i="9"/>
  <c r="H2682" i="9" s="1"/>
  <c r="G2168" i="9"/>
  <c r="H2168" i="9" s="1"/>
  <c r="G2708" i="9"/>
  <c r="H2708" i="9" s="1"/>
  <c r="G2093" i="9"/>
  <c r="H2093" i="9" s="1"/>
  <c r="G2143" i="9"/>
  <c r="H2143" i="9" s="1"/>
  <c r="G2193" i="9"/>
  <c r="H2193" i="9" s="1"/>
  <c r="G1768" i="9"/>
  <c r="H1768" i="9" s="1"/>
  <c r="G1743" i="9"/>
  <c r="H1743" i="9" s="1"/>
  <c r="G2242" i="9"/>
  <c r="H2242" i="9" s="1"/>
  <c r="G1944" i="9"/>
  <c r="H1944" i="9" s="1"/>
  <c r="G1543" i="9"/>
  <c r="H1543" i="9" s="1"/>
  <c r="G1869" i="9"/>
  <c r="H1869" i="9" s="1"/>
  <c r="G1668" i="9"/>
  <c r="H1668" i="9" s="1"/>
  <c r="G1994" i="9"/>
  <c r="H1994" i="9" s="1"/>
  <c r="L3978" i="9"/>
  <c r="J3978" i="9"/>
  <c r="H3977" i="9"/>
  <c r="F3976" i="9"/>
  <c r="H3975" i="9"/>
  <c r="L3973" i="9"/>
  <c r="J3973" i="9"/>
  <c r="H3971" i="9"/>
  <c r="H3967" i="9"/>
  <c r="L3965" i="9"/>
  <c r="J3965" i="9"/>
  <c r="F3964" i="9"/>
  <c r="H3964" i="9" s="1"/>
  <c r="H3963" i="9"/>
  <c r="L3962" i="9"/>
  <c r="J3962" i="9"/>
  <c r="H3962" i="9"/>
  <c r="L3952" i="9"/>
  <c r="J3952" i="9"/>
  <c r="H3951" i="9"/>
  <c r="F3950" i="9"/>
  <c r="H3949" i="9"/>
  <c r="L3947" i="9"/>
  <c r="J3947" i="9"/>
  <c r="H3945" i="9"/>
  <c r="H3941" i="9"/>
  <c r="L3939" i="9"/>
  <c r="J3939" i="9"/>
  <c r="F3938" i="9"/>
  <c r="H3938" i="9" s="1"/>
  <c r="H3937" i="9"/>
  <c r="L3936" i="9"/>
  <c r="J3936" i="9"/>
  <c r="H3936" i="9"/>
  <c r="L3926" i="9"/>
  <c r="J3926" i="9"/>
  <c r="H3925" i="9"/>
  <c r="F3924" i="9"/>
  <c r="H3923" i="9"/>
  <c r="L3921" i="9"/>
  <c r="J3921" i="9"/>
  <c r="H3919" i="9"/>
  <c r="H3915" i="9"/>
  <c r="L3913" i="9"/>
  <c r="J3913" i="9"/>
  <c r="H3912" i="9"/>
  <c r="H3911" i="9"/>
  <c r="L3910" i="9"/>
  <c r="J3910" i="9"/>
  <c r="H3910" i="9"/>
  <c r="L3899" i="9"/>
  <c r="J3899" i="9"/>
  <c r="H3898" i="9"/>
  <c r="F3897" i="9"/>
  <c r="H3896" i="9"/>
  <c r="L3894" i="9"/>
  <c r="J3894" i="9"/>
  <c r="H3892" i="9"/>
  <c r="H3888" i="9"/>
  <c r="L3886" i="9"/>
  <c r="J3886" i="9"/>
  <c r="H3885" i="9"/>
  <c r="H3884" i="9"/>
  <c r="L3883" i="9"/>
  <c r="J3883" i="9"/>
  <c r="H3883" i="9"/>
  <c r="L3872" i="9"/>
  <c r="J3872" i="9"/>
  <c r="H3871" i="9"/>
  <c r="F3870" i="9"/>
  <c r="H3869" i="9"/>
  <c r="L3867" i="9"/>
  <c r="J3867" i="9"/>
  <c r="H3865" i="9"/>
  <c r="H3861" i="9"/>
  <c r="L3859" i="9"/>
  <c r="J3859" i="9"/>
  <c r="H3858" i="9"/>
  <c r="H3857" i="9"/>
  <c r="L3856" i="9"/>
  <c r="J3856" i="9"/>
  <c r="H3856" i="9"/>
  <c r="L3845" i="9"/>
  <c r="J3845" i="9"/>
  <c r="H3844" i="9"/>
  <c r="H3843" i="9"/>
  <c r="H3842" i="9"/>
  <c r="H3841" i="9"/>
  <c r="H3840" i="9"/>
  <c r="L3838" i="9"/>
  <c r="J3838" i="9"/>
  <c r="H3836" i="9"/>
  <c r="H3838" i="9" s="1"/>
  <c r="L3834" i="9"/>
  <c r="J3834" i="9"/>
  <c r="H3833" i="9"/>
  <c r="H3832" i="9"/>
  <c r="L3831" i="9"/>
  <c r="J3831" i="9"/>
  <c r="H3831" i="9"/>
  <c r="L3821" i="9"/>
  <c r="J3821" i="9"/>
  <c r="H3820" i="9"/>
  <c r="L3816" i="9"/>
  <c r="J3816" i="9"/>
  <c r="H3815" i="9"/>
  <c r="H3816" i="9" s="1"/>
  <c r="L3813" i="9"/>
  <c r="J3813" i="9"/>
  <c r="H3811" i="9"/>
  <c r="L3810" i="9"/>
  <c r="J3810" i="9"/>
  <c r="H3810" i="9"/>
  <c r="L3800" i="9"/>
  <c r="J3800" i="9"/>
  <c r="H3799" i="9"/>
  <c r="H3798" i="9"/>
  <c r="L3796" i="9"/>
  <c r="J3796" i="9"/>
  <c r="H3795" i="9"/>
  <c r="H3796" i="9" s="1"/>
  <c r="L3793" i="9"/>
  <c r="J3793" i="9"/>
  <c r="H3791" i="9"/>
  <c r="L3790" i="9"/>
  <c r="J3790" i="9"/>
  <c r="H3790" i="9"/>
  <c r="L3780" i="9"/>
  <c r="J3780" i="9"/>
  <c r="H3779" i="9"/>
  <c r="H3778" i="9"/>
  <c r="L3776" i="9"/>
  <c r="J3776" i="9"/>
  <c r="H3775" i="9"/>
  <c r="H3776" i="9" s="1"/>
  <c r="L3773" i="9"/>
  <c r="J3773" i="9"/>
  <c r="H3771" i="9"/>
  <c r="L3770" i="9"/>
  <c r="J3770" i="9"/>
  <c r="H3770" i="9"/>
  <c r="L3760" i="9"/>
  <c r="J3760" i="9"/>
  <c r="H3759" i="9"/>
  <c r="H3758" i="9"/>
  <c r="L3756" i="9"/>
  <c r="J3756" i="9"/>
  <c r="H3755" i="9"/>
  <c r="H3754" i="9"/>
  <c r="H3753" i="9"/>
  <c r="H3752" i="9"/>
  <c r="H3751" i="9"/>
  <c r="L3749" i="9"/>
  <c r="J3749" i="9"/>
  <c r="H3747" i="9"/>
  <c r="L3746" i="9"/>
  <c r="J3746" i="9"/>
  <c r="H3746" i="9"/>
  <c r="L3736" i="9"/>
  <c r="J3736" i="9"/>
  <c r="H3735" i="9"/>
  <c r="H3734" i="9"/>
  <c r="L3732" i="9"/>
  <c r="J3732" i="9"/>
  <c r="H3731" i="9"/>
  <c r="H3729" i="9"/>
  <c r="H3728" i="9"/>
  <c r="H3727" i="9"/>
  <c r="H3726" i="9"/>
  <c r="H3725" i="9"/>
  <c r="L3723" i="9"/>
  <c r="J3723" i="9"/>
  <c r="H3721" i="9"/>
  <c r="L3720" i="9"/>
  <c r="J3720" i="9"/>
  <c r="H3720" i="9"/>
  <c r="L3710" i="9"/>
  <c r="J3710" i="9"/>
  <c r="H3709" i="9"/>
  <c r="H3708" i="9"/>
  <c r="L3706" i="9"/>
  <c r="J3706" i="9"/>
  <c r="H3705" i="9"/>
  <c r="H3702" i="9"/>
  <c r="H3701" i="9"/>
  <c r="H3700" i="9"/>
  <c r="H3699" i="9"/>
  <c r="L3695" i="9"/>
  <c r="L3697" i="9" s="1"/>
  <c r="J3695" i="9"/>
  <c r="J3697" i="9" s="1"/>
  <c r="H3695" i="9"/>
  <c r="H3694" i="9"/>
  <c r="H3693" i="9"/>
  <c r="L3692" i="9"/>
  <c r="J3692" i="9"/>
  <c r="H3692" i="9"/>
  <c r="L3682" i="9"/>
  <c r="J3682" i="9"/>
  <c r="H3681" i="9"/>
  <c r="H3680" i="9"/>
  <c r="L3678" i="9"/>
  <c r="J3678" i="9"/>
  <c r="H3677" i="9"/>
  <c r="H3674" i="9"/>
  <c r="H3673" i="9"/>
  <c r="H3672" i="9"/>
  <c r="L3668" i="9"/>
  <c r="L3670" i="9" s="1"/>
  <c r="J3668" i="9"/>
  <c r="J3670" i="9" s="1"/>
  <c r="H3668" i="9"/>
  <c r="H3667" i="9"/>
  <c r="H3666" i="9"/>
  <c r="L3665" i="9"/>
  <c r="J3665" i="9"/>
  <c r="H3665" i="9"/>
  <c r="L3655" i="9"/>
  <c r="J3655" i="9"/>
  <c r="H3654" i="9"/>
  <c r="F3653" i="9"/>
  <c r="H3653" i="9" s="1"/>
  <c r="L3651" i="9"/>
  <c r="J3651" i="9"/>
  <c r="H3650" i="9"/>
  <c r="H3649" i="9"/>
  <c r="L3645" i="9"/>
  <c r="L3647" i="9" s="1"/>
  <c r="J3645" i="9"/>
  <c r="J3647" i="9" s="1"/>
  <c r="H3645" i="9"/>
  <c r="H3644" i="9"/>
  <c r="L3643" i="9"/>
  <c r="J3643" i="9"/>
  <c r="H3643" i="9"/>
  <c r="H3631" i="9"/>
  <c r="H3630" i="9"/>
  <c r="J3629" i="9"/>
  <c r="L3629" i="9" s="1"/>
  <c r="L3632" i="9" s="1"/>
  <c r="G3629" i="9"/>
  <c r="L3627" i="9"/>
  <c r="J3627" i="9"/>
  <c r="H3626" i="9"/>
  <c r="H3624" i="9"/>
  <c r="H3623" i="9"/>
  <c r="H3622" i="9"/>
  <c r="L3618" i="9"/>
  <c r="L3620" i="9" s="1"/>
  <c r="J3618" i="9"/>
  <c r="J3620" i="9" s="1"/>
  <c r="H3618" i="9"/>
  <c r="H3617" i="9"/>
  <c r="H3616" i="9"/>
  <c r="L3615" i="9"/>
  <c r="J3615" i="9"/>
  <c r="H3615" i="9"/>
  <c r="H3603" i="9"/>
  <c r="H3602" i="9"/>
  <c r="J3601" i="9"/>
  <c r="J3604" i="9" s="1"/>
  <c r="G3601" i="9"/>
  <c r="L3599" i="9"/>
  <c r="J3599" i="9"/>
  <c r="H3598" i="9"/>
  <c r="H3596" i="9"/>
  <c r="H3595" i="9"/>
  <c r="H3594" i="9"/>
  <c r="L3590" i="9"/>
  <c r="L3592" i="9" s="1"/>
  <c r="J3590" i="9"/>
  <c r="J3592" i="9" s="1"/>
  <c r="H3590" i="9"/>
  <c r="H3589" i="9"/>
  <c r="H3588" i="9"/>
  <c r="L3587" i="9"/>
  <c r="J3587" i="9"/>
  <c r="H3587" i="9"/>
  <c r="H3576" i="9"/>
  <c r="H3575" i="9"/>
  <c r="J3574" i="9"/>
  <c r="G3574" i="9"/>
  <c r="L3572" i="9"/>
  <c r="J3572" i="9"/>
  <c r="H3571" i="9"/>
  <c r="H3569" i="9"/>
  <c r="H3568" i="9"/>
  <c r="H3567" i="9"/>
  <c r="F3563" i="9"/>
  <c r="L3563" i="9" s="1"/>
  <c r="L3565" i="9" s="1"/>
  <c r="H3562" i="9"/>
  <c r="H3561" i="9"/>
  <c r="L3560" i="9"/>
  <c r="J3560" i="9"/>
  <c r="H3560" i="9"/>
  <c r="H3547" i="9"/>
  <c r="H3546" i="9"/>
  <c r="H3545" i="9"/>
  <c r="L3543" i="9"/>
  <c r="J3543" i="9"/>
  <c r="H3542" i="9"/>
  <c r="H3541" i="9"/>
  <c r="H3540" i="9"/>
  <c r="F3536" i="9"/>
  <c r="J3536" i="9" s="1"/>
  <c r="J3538" i="9" s="1"/>
  <c r="H3535" i="9"/>
  <c r="L3534" i="9"/>
  <c r="J3534" i="9"/>
  <c r="H3534" i="9"/>
  <c r="H3521" i="9"/>
  <c r="H3520" i="9"/>
  <c r="H3519" i="9"/>
  <c r="J3519" i="9" s="1"/>
  <c r="L3517" i="9"/>
  <c r="J3517" i="9"/>
  <c r="H3516" i="9"/>
  <c r="H3515" i="9"/>
  <c r="H3514" i="9"/>
  <c r="F3510" i="9"/>
  <c r="F3509" i="9"/>
  <c r="H3508" i="9"/>
  <c r="L3507" i="9"/>
  <c r="J3507" i="9"/>
  <c r="H3507" i="9"/>
  <c r="H3496" i="9"/>
  <c r="H3495" i="9"/>
  <c r="H3494" i="9"/>
  <c r="J3494" i="9" s="1"/>
  <c r="L3492" i="9"/>
  <c r="J3492" i="9"/>
  <c r="F3490" i="9"/>
  <c r="H3489" i="9"/>
  <c r="F3485" i="9"/>
  <c r="J3485" i="9" s="1"/>
  <c r="J3487" i="9" s="1"/>
  <c r="L3484" i="9"/>
  <c r="J3484" i="9"/>
  <c r="H3484" i="9"/>
  <c r="H3473" i="9"/>
  <c r="H3472" i="9"/>
  <c r="H3471" i="9"/>
  <c r="L3469" i="9"/>
  <c r="J3469" i="9"/>
  <c r="H3468" i="9"/>
  <c r="H3467" i="9"/>
  <c r="H3466" i="9"/>
  <c r="F3462" i="9"/>
  <c r="L3462" i="9" s="1"/>
  <c r="L3464" i="9" s="1"/>
  <c r="L3461" i="9"/>
  <c r="J3461" i="9"/>
  <c r="H3461" i="9"/>
  <c r="H3450" i="9"/>
  <c r="H3449" i="9"/>
  <c r="H3448" i="9"/>
  <c r="J3448" i="9" s="1"/>
  <c r="L3446" i="9"/>
  <c r="J3446" i="9"/>
  <c r="H3445" i="9"/>
  <c r="H3444" i="9"/>
  <c r="H3443" i="9"/>
  <c r="F3439" i="9"/>
  <c r="L3438" i="9"/>
  <c r="J3438" i="9"/>
  <c r="H3438" i="9"/>
  <c r="H3427" i="9"/>
  <c r="H3426" i="9"/>
  <c r="H3425" i="9"/>
  <c r="L3423" i="9"/>
  <c r="J3423" i="9"/>
  <c r="H3422" i="9"/>
  <c r="H3421" i="9"/>
  <c r="H3420" i="9"/>
  <c r="F3416" i="9"/>
  <c r="L3416" i="9" s="1"/>
  <c r="L3418" i="9" s="1"/>
  <c r="L3415" i="9"/>
  <c r="J3415" i="9"/>
  <c r="H3415" i="9"/>
  <c r="H3403" i="9"/>
  <c r="H3402" i="9"/>
  <c r="H3401" i="9"/>
  <c r="L3399" i="9"/>
  <c r="J3399" i="9"/>
  <c r="H3398" i="9"/>
  <c r="H3397" i="9"/>
  <c r="H3396" i="9"/>
  <c r="F3392" i="9"/>
  <c r="H3392" i="9" s="1"/>
  <c r="F3391" i="9"/>
  <c r="H3390" i="9"/>
  <c r="L3389" i="9"/>
  <c r="J3389" i="9"/>
  <c r="H3389" i="9"/>
  <c r="H3377" i="9"/>
  <c r="H3376" i="9"/>
  <c r="H3375" i="9"/>
  <c r="J3375" i="9" s="1"/>
  <c r="L3373" i="9"/>
  <c r="J3373" i="9"/>
  <c r="H3372" i="9"/>
  <c r="H3371" i="9"/>
  <c r="H3370" i="9"/>
  <c r="L3369" i="9"/>
  <c r="J3369" i="9"/>
  <c r="H3369" i="9"/>
  <c r="F3365" i="9"/>
  <c r="J3365" i="9" s="1"/>
  <c r="J3367" i="9" s="1"/>
  <c r="F3364" i="9"/>
  <c r="H3364" i="9" s="1"/>
  <c r="H3363" i="9"/>
  <c r="L3362" i="9"/>
  <c r="J3362" i="9"/>
  <c r="H3362" i="9"/>
  <c r="H3350" i="9"/>
  <c r="H3349" i="9"/>
  <c r="H3348" i="9"/>
  <c r="J3348" i="9" s="1"/>
  <c r="J3351" i="9" s="1"/>
  <c r="L3346" i="9"/>
  <c r="J3346" i="9"/>
  <c r="H3345" i="9"/>
  <c r="H3344" i="9"/>
  <c r="H3343" i="9"/>
  <c r="F3339" i="9"/>
  <c r="J3339" i="9" s="1"/>
  <c r="J3341" i="9" s="1"/>
  <c r="F3338" i="9"/>
  <c r="H3338" i="9" s="1"/>
  <c r="H3337" i="9"/>
  <c r="L3336" i="9"/>
  <c r="J3336" i="9"/>
  <c r="H3336" i="9"/>
  <c r="H3324" i="9"/>
  <c r="H3323" i="9"/>
  <c r="H3322" i="9"/>
  <c r="L3320" i="9"/>
  <c r="J3320" i="9"/>
  <c r="H3319" i="9"/>
  <c r="H3318" i="9"/>
  <c r="H3317" i="9"/>
  <c r="F3313" i="9"/>
  <c r="H3313" i="9" s="1"/>
  <c r="F3312" i="9"/>
  <c r="H3312" i="9" s="1"/>
  <c r="H3311" i="9"/>
  <c r="L3310" i="9"/>
  <c r="J3310" i="9"/>
  <c r="H3310" i="9"/>
  <c r="H3298" i="9"/>
  <c r="H3297" i="9"/>
  <c r="H3296" i="9"/>
  <c r="L3294" i="9"/>
  <c r="J3294" i="9"/>
  <c r="H3293" i="9"/>
  <c r="H3292" i="9"/>
  <c r="H3291" i="9"/>
  <c r="L3290" i="9"/>
  <c r="J3290" i="9"/>
  <c r="H3290" i="9"/>
  <c r="F3286" i="9"/>
  <c r="H3286" i="9" s="1"/>
  <c r="F3285" i="9"/>
  <c r="H3285" i="9" s="1"/>
  <c r="H3284" i="9"/>
  <c r="L3283" i="9"/>
  <c r="J3283" i="9"/>
  <c r="H3283" i="9"/>
  <c r="H3271" i="9"/>
  <c r="H3270" i="9"/>
  <c r="H3269" i="9"/>
  <c r="J3269" i="9" s="1"/>
  <c r="L3267" i="9"/>
  <c r="J3267" i="9"/>
  <c r="H3266" i="9"/>
  <c r="H3265" i="9"/>
  <c r="H3264" i="9"/>
  <c r="L3263" i="9"/>
  <c r="J3263" i="9"/>
  <c r="H3263" i="9"/>
  <c r="F3259" i="9"/>
  <c r="H3259" i="9" s="1"/>
  <c r="F3258" i="9"/>
  <c r="H3257" i="9"/>
  <c r="L3256" i="9"/>
  <c r="J3256" i="9"/>
  <c r="H3256" i="9"/>
  <c r="H3244" i="9"/>
  <c r="H3243" i="9"/>
  <c r="H3242" i="9"/>
  <c r="L3240" i="9"/>
  <c r="J3240" i="9"/>
  <c r="H3239" i="9"/>
  <c r="H3238" i="9"/>
  <c r="H3237" i="9"/>
  <c r="F3233" i="9"/>
  <c r="F3232" i="9"/>
  <c r="H3232" i="9" s="1"/>
  <c r="H3231" i="9"/>
  <c r="L3230" i="9"/>
  <c r="J3230" i="9"/>
  <c r="H3230" i="9"/>
  <c r="H3218" i="9"/>
  <c r="H3217" i="9"/>
  <c r="H3216" i="9"/>
  <c r="L3214" i="9"/>
  <c r="J3214" i="9"/>
  <c r="H3213" i="9"/>
  <c r="H3212" i="9"/>
  <c r="H3211" i="9"/>
  <c r="F3207" i="9"/>
  <c r="F3206" i="9"/>
  <c r="H3206" i="9" s="1"/>
  <c r="H3205" i="9"/>
  <c r="L3204" i="9"/>
  <c r="J3204" i="9"/>
  <c r="H3204" i="9"/>
  <c r="H3192" i="9"/>
  <c r="H3191" i="9"/>
  <c r="H3190" i="9"/>
  <c r="L3188" i="9"/>
  <c r="J3188" i="9"/>
  <c r="H3187" i="9"/>
  <c r="H3186" i="9"/>
  <c r="H3185" i="9"/>
  <c r="F3181" i="9"/>
  <c r="L3181" i="9" s="1"/>
  <c r="L3183" i="9" s="1"/>
  <c r="F3180" i="9"/>
  <c r="H3179" i="9"/>
  <c r="L3178" i="9"/>
  <c r="J3178" i="9"/>
  <c r="H3178" i="9"/>
  <c r="H3166" i="9"/>
  <c r="H3165" i="9"/>
  <c r="H3164" i="9"/>
  <c r="L3162" i="9"/>
  <c r="J3162" i="9"/>
  <c r="H3161" i="9"/>
  <c r="H3160" i="9"/>
  <c r="H3159" i="9"/>
  <c r="L3158" i="9"/>
  <c r="J3158" i="9"/>
  <c r="H3158" i="9"/>
  <c r="F3154" i="9"/>
  <c r="F3153" i="9"/>
  <c r="H3152" i="9"/>
  <c r="L3151" i="9"/>
  <c r="J3151" i="9"/>
  <c r="H3151" i="9"/>
  <c r="H3139" i="9"/>
  <c r="H3138" i="9"/>
  <c r="H3137" i="9"/>
  <c r="J3137" i="9" s="1"/>
  <c r="L3137" i="9" s="1"/>
  <c r="L3140" i="9" s="1"/>
  <c r="L3135" i="9"/>
  <c r="J3135" i="9"/>
  <c r="H3134" i="9"/>
  <c r="H3133" i="9"/>
  <c r="H3132" i="9"/>
  <c r="L3131" i="9"/>
  <c r="J3131" i="9"/>
  <c r="H3131" i="9"/>
  <c r="F3127" i="9"/>
  <c r="F3126" i="9"/>
  <c r="H3126" i="9" s="1"/>
  <c r="H3125" i="9"/>
  <c r="L3124" i="9"/>
  <c r="J3124" i="9"/>
  <c r="H3124" i="9"/>
  <c r="H3112" i="9"/>
  <c r="H3111" i="9"/>
  <c r="H3110" i="9"/>
  <c r="J3110" i="9" s="1"/>
  <c r="L3108" i="9"/>
  <c r="J3108" i="9"/>
  <c r="H3107" i="9"/>
  <c r="H3106" i="9"/>
  <c r="H3105" i="9"/>
  <c r="F3101" i="9"/>
  <c r="J3101" i="9" s="1"/>
  <c r="J3103" i="9" s="1"/>
  <c r="F3100" i="9"/>
  <c r="H3100" i="9" s="1"/>
  <c r="H3099" i="9"/>
  <c r="L3098" i="9"/>
  <c r="J3098" i="9"/>
  <c r="H3098" i="9"/>
  <c r="H3086" i="9"/>
  <c r="H3085" i="9"/>
  <c r="H3084" i="9"/>
  <c r="L3082" i="9"/>
  <c r="J3082" i="9"/>
  <c r="H3081" i="9"/>
  <c r="H3080" i="9"/>
  <c r="H3079" i="9"/>
  <c r="F3075" i="9"/>
  <c r="H3075" i="9" s="1"/>
  <c r="F3074" i="9"/>
  <c r="H3074" i="9" s="1"/>
  <c r="H3073" i="9"/>
  <c r="L3072" i="9"/>
  <c r="J3072" i="9"/>
  <c r="H3072" i="9"/>
  <c r="H3060" i="9"/>
  <c r="H3059" i="9"/>
  <c r="H3058" i="9"/>
  <c r="L3056" i="9"/>
  <c r="J3056" i="9"/>
  <c r="H3055" i="9"/>
  <c r="H3054" i="9"/>
  <c r="H3053" i="9"/>
  <c r="F3049" i="9"/>
  <c r="H3049" i="9" s="1"/>
  <c r="F3048" i="9"/>
  <c r="H3048" i="9" s="1"/>
  <c r="H3047" i="9"/>
  <c r="L3046" i="9"/>
  <c r="J3046" i="9"/>
  <c r="H3046" i="9"/>
  <c r="H3034" i="9"/>
  <c r="H3033" i="9"/>
  <c r="H3032" i="9"/>
  <c r="L3030" i="9"/>
  <c r="J3030" i="9"/>
  <c r="H3029" i="9"/>
  <c r="H3028" i="9"/>
  <c r="H3027" i="9"/>
  <c r="L3026" i="9"/>
  <c r="J3026" i="9"/>
  <c r="H3026" i="9"/>
  <c r="F3022" i="9"/>
  <c r="H3022" i="9" s="1"/>
  <c r="F3021" i="9"/>
  <c r="H3020" i="9"/>
  <c r="L3019" i="9"/>
  <c r="J3019" i="9"/>
  <c r="H3019" i="9"/>
  <c r="H3007" i="9"/>
  <c r="H3006" i="9"/>
  <c r="H3005" i="9"/>
  <c r="L3003" i="9"/>
  <c r="J3003" i="9"/>
  <c r="H3002" i="9"/>
  <c r="H3001" i="9"/>
  <c r="H3000" i="9"/>
  <c r="L2999" i="9"/>
  <c r="J2999" i="9"/>
  <c r="H2999" i="9"/>
  <c r="F2995" i="9"/>
  <c r="F2994" i="9"/>
  <c r="H2994" i="9" s="1"/>
  <c r="H2993" i="9"/>
  <c r="L2992" i="9"/>
  <c r="J2992" i="9"/>
  <c r="H2992" i="9"/>
  <c r="H2980" i="9"/>
  <c r="H2979" i="9"/>
  <c r="H2978" i="9"/>
  <c r="L2976" i="9"/>
  <c r="J2976" i="9"/>
  <c r="H2975" i="9"/>
  <c r="H2974" i="9"/>
  <c r="H2973" i="9"/>
  <c r="F2969" i="9"/>
  <c r="F2968" i="9"/>
  <c r="H2968" i="9" s="1"/>
  <c r="H2967" i="9"/>
  <c r="L2966" i="9"/>
  <c r="J2966" i="9"/>
  <c r="H2966" i="9"/>
  <c r="H2954" i="9"/>
  <c r="H2953" i="9"/>
  <c r="H2952" i="9"/>
  <c r="J2952" i="9" s="1"/>
  <c r="L2952" i="9" s="1"/>
  <c r="L2955" i="9" s="1"/>
  <c r="L2950" i="9"/>
  <c r="J2950" i="9"/>
  <c r="H2949" i="9"/>
  <c r="H2948" i="9"/>
  <c r="H2947" i="9"/>
  <c r="F2943" i="9"/>
  <c r="F2942" i="9"/>
  <c r="H2942" i="9" s="1"/>
  <c r="H2941" i="9"/>
  <c r="L2940" i="9"/>
  <c r="J2940" i="9"/>
  <c r="H2940" i="9"/>
  <c r="H2928" i="9"/>
  <c r="H2927" i="9"/>
  <c r="H2926" i="9"/>
  <c r="L2924" i="9"/>
  <c r="J2924" i="9"/>
  <c r="H2922" i="9"/>
  <c r="H2921" i="9"/>
  <c r="L2920" i="9"/>
  <c r="J2920" i="9"/>
  <c r="F2916" i="9"/>
  <c r="F2915" i="9"/>
  <c r="H2915" i="9" s="1"/>
  <c r="H2914" i="9"/>
  <c r="L2913" i="9"/>
  <c r="J2913" i="9"/>
  <c r="H2913" i="9"/>
  <c r="H2901" i="9"/>
  <c r="H2900" i="9"/>
  <c r="H2899" i="9"/>
  <c r="L2897" i="9"/>
  <c r="J2897" i="9"/>
  <c r="H2896" i="9"/>
  <c r="H2895" i="9"/>
  <c r="H2894" i="9"/>
  <c r="L2893" i="9"/>
  <c r="J2893" i="9"/>
  <c r="H2893" i="9"/>
  <c r="F2889" i="9"/>
  <c r="L2889" i="9" s="1"/>
  <c r="L2891" i="9" s="1"/>
  <c r="F2888" i="9"/>
  <c r="H2887" i="9"/>
  <c r="L2886" i="9"/>
  <c r="J2886" i="9"/>
  <c r="H2886" i="9"/>
  <c r="H2874" i="9"/>
  <c r="H2873" i="9"/>
  <c r="H2872" i="9"/>
  <c r="J2872" i="9" s="1"/>
  <c r="L2870" i="9"/>
  <c r="J2870" i="9"/>
  <c r="H2869" i="9"/>
  <c r="H2868" i="9"/>
  <c r="H2867" i="9"/>
  <c r="L2866" i="9"/>
  <c r="J2866" i="9"/>
  <c r="H2866" i="9"/>
  <c r="F2862" i="9"/>
  <c r="H2862" i="9" s="1"/>
  <c r="F2861" i="9"/>
  <c r="H2860" i="9"/>
  <c r="L2859" i="9"/>
  <c r="J2859" i="9"/>
  <c r="H2859" i="9"/>
  <c r="H2847" i="9"/>
  <c r="H2846" i="9"/>
  <c r="L2843" i="9"/>
  <c r="J2843" i="9"/>
  <c r="H2842" i="9"/>
  <c r="H2841" i="9"/>
  <c r="L2840" i="9"/>
  <c r="J2840" i="9"/>
  <c r="H2840" i="9"/>
  <c r="F2836" i="9"/>
  <c r="F2835" i="9"/>
  <c r="H2835" i="9" s="1"/>
  <c r="H2834" i="9"/>
  <c r="L2833" i="9"/>
  <c r="J2833" i="9"/>
  <c r="H2833" i="9"/>
  <c r="H2821" i="9"/>
  <c r="H2820" i="9"/>
  <c r="H2819" i="9"/>
  <c r="L2817" i="9"/>
  <c r="J2817" i="9"/>
  <c r="H2816" i="9"/>
  <c r="H2815" i="9"/>
  <c r="L2814" i="9"/>
  <c r="J2814" i="9"/>
  <c r="H2814" i="9"/>
  <c r="F2810" i="9"/>
  <c r="H2810" i="9" s="1"/>
  <c r="F2809" i="9"/>
  <c r="H2808" i="9"/>
  <c r="L2807" i="9"/>
  <c r="J2807" i="9"/>
  <c r="H2807" i="9"/>
  <c r="H2796" i="9"/>
  <c r="H2795" i="9"/>
  <c r="H2794" i="9"/>
  <c r="L2792" i="9"/>
  <c r="J2792" i="9"/>
  <c r="H2791" i="9"/>
  <c r="N2790" i="9"/>
  <c r="L2790" i="9"/>
  <c r="J2790" i="9"/>
  <c r="H2790" i="9"/>
  <c r="L2789" i="9"/>
  <c r="J2789" i="9"/>
  <c r="H2789" i="9"/>
  <c r="H2787" i="9"/>
  <c r="L2786" i="9"/>
  <c r="J2786" i="9"/>
  <c r="F2782" i="9"/>
  <c r="H2782" i="9" s="1"/>
  <c r="F2781" i="9"/>
  <c r="H2781" i="9" s="1"/>
  <c r="H2780" i="9"/>
  <c r="L2779" i="9"/>
  <c r="J2779" i="9"/>
  <c r="H2779" i="9"/>
  <c r="H2768" i="9"/>
  <c r="H2767" i="9"/>
  <c r="H2766" i="9"/>
  <c r="J2766" i="9" s="1"/>
  <c r="L2764" i="9"/>
  <c r="J2764" i="9"/>
  <c r="H2763" i="9"/>
  <c r="N2762" i="9"/>
  <c r="L2762" i="9"/>
  <c r="J2762" i="9"/>
  <c r="H2762" i="9"/>
  <c r="L2761" i="9"/>
  <c r="J2761" i="9"/>
  <c r="H2761" i="9"/>
  <c r="L2760" i="9"/>
  <c r="J2760" i="9"/>
  <c r="F2756" i="9"/>
  <c r="F2755" i="9"/>
  <c r="H2755" i="9" s="1"/>
  <c r="H2754" i="9"/>
  <c r="L2753" i="9"/>
  <c r="J2753" i="9"/>
  <c r="H2753" i="9"/>
  <c r="H2742" i="9"/>
  <c r="H2741" i="9"/>
  <c r="H2740" i="9"/>
  <c r="J2740" i="9" s="1"/>
  <c r="J2743" i="9" s="1"/>
  <c r="L2738" i="9"/>
  <c r="J2738" i="9"/>
  <c r="H2737" i="9"/>
  <c r="N2736" i="9"/>
  <c r="L2736" i="9"/>
  <c r="J2736" i="9"/>
  <c r="H2736" i="9"/>
  <c r="L2735" i="9"/>
  <c r="J2735" i="9"/>
  <c r="H2735" i="9"/>
  <c r="L2734" i="9"/>
  <c r="J2734" i="9"/>
  <c r="F2730" i="9"/>
  <c r="F2729" i="9"/>
  <c r="H2729" i="9" s="1"/>
  <c r="H2728" i="9"/>
  <c r="L2727" i="9"/>
  <c r="J2727" i="9"/>
  <c r="H2727" i="9"/>
  <c r="H2716" i="9"/>
  <c r="H2715" i="9"/>
  <c r="H2714" i="9"/>
  <c r="J2714" i="9" s="1"/>
  <c r="J2717" i="9" s="1"/>
  <c r="L2712" i="9"/>
  <c r="J2712" i="9"/>
  <c r="H2711" i="9"/>
  <c r="N2710" i="9"/>
  <c r="L2710" i="9"/>
  <c r="J2710" i="9"/>
  <c r="H2710" i="9"/>
  <c r="L2709" i="9"/>
  <c r="J2709" i="9"/>
  <c r="H2709" i="9"/>
  <c r="L2708" i="9"/>
  <c r="J2708" i="9"/>
  <c r="F2704" i="9"/>
  <c r="F2703" i="9"/>
  <c r="H2703" i="9" s="1"/>
  <c r="H2702" i="9"/>
  <c r="L2701" i="9"/>
  <c r="J2701" i="9"/>
  <c r="H2701" i="9"/>
  <c r="H2690" i="9"/>
  <c r="H2689" i="9"/>
  <c r="H2688" i="9"/>
  <c r="L2686" i="9"/>
  <c r="J2686" i="9"/>
  <c r="H2685" i="9"/>
  <c r="N2684" i="9"/>
  <c r="L2684" i="9"/>
  <c r="J2684" i="9"/>
  <c r="H2684" i="9"/>
  <c r="L2683" i="9"/>
  <c r="J2683" i="9"/>
  <c r="H2683" i="9"/>
  <c r="L2682" i="9"/>
  <c r="J2682" i="9"/>
  <c r="F2678" i="9"/>
  <c r="H2678" i="9" s="1"/>
  <c r="F2677" i="9"/>
  <c r="H2677" i="9" s="1"/>
  <c r="H2676" i="9"/>
  <c r="L2675" i="9"/>
  <c r="J2675" i="9"/>
  <c r="H2675" i="9"/>
  <c r="H2664" i="9"/>
  <c r="H2663" i="9"/>
  <c r="H2662" i="9"/>
  <c r="L2660" i="9"/>
  <c r="J2660" i="9"/>
  <c r="L2658" i="9"/>
  <c r="J2658" i="9"/>
  <c r="H2658" i="9"/>
  <c r="L2657" i="9"/>
  <c r="J2657" i="9"/>
  <c r="H2657" i="9"/>
  <c r="L2656" i="9"/>
  <c r="J2656" i="9"/>
  <c r="H2656" i="9"/>
  <c r="L2652" i="9"/>
  <c r="L2654" i="9" s="1"/>
  <c r="J2652" i="9"/>
  <c r="J2654" i="9" s="1"/>
  <c r="H2652" i="9"/>
  <c r="H2651" i="9"/>
  <c r="H2650" i="9"/>
  <c r="L2649" i="9"/>
  <c r="J2649" i="9"/>
  <c r="H2649" i="9"/>
  <c r="H2638" i="9"/>
  <c r="H2637" i="9"/>
  <c r="H2636" i="9"/>
  <c r="J2636" i="9" s="1"/>
  <c r="J2639" i="9" s="1"/>
  <c r="L2634" i="9"/>
  <c r="J2634" i="9"/>
  <c r="H2632" i="9"/>
  <c r="H2631" i="9"/>
  <c r="L2630" i="9"/>
  <c r="J2630" i="9"/>
  <c r="L2629" i="9"/>
  <c r="J2629" i="9"/>
  <c r="H2629" i="9"/>
  <c r="L2628" i="9"/>
  <c r="J2628" i="9"/>
  <c r="H2628" i="9"/>
  <c r="L2624" i="9"/>
  <c r="L2626" i="9" s="1"/>
  <c r="J2624" i="9"/>
  <c r="J2626" i="9" s="1"/>
  <c r="H2624" i="9"/>
  <c r="H2623" i="9"/>
  <c r="H2622" i="9"/>
  <c r="L2621" i="9"/>
  <c r="J2621" i="9"/>
  <c r="H2621" i="9"/>
  <c r="H2610" i="9"/>
  <c r="H2609" i="9"/>
  <c r="H2608" i="9"/>
  <c r="L2606" i="9"/>
  <c r="J2606" i="9"/>
  <c r="L2604" i="9"/>
  <c r="J2604" i="9"/>
  <c r="H2604" i="9"/>
  <c r="L2603" i="9"/>
  <c r="J2603" i="9"/>
  <c r="H2603" i="9"/>
  <c r="L2602" i="9"/>
  <c r="J2602" i="9"/>
  <c r="H2602" i="9"/>
  <c r="L2598" i="9"/>
  <c r="J2598" i="9"/>
  <c r="H2598" i="9"/>
  <c r="F2597" i="9"/>
  <c r="L2597" i="9" s="1"/>
  <c r="H2596" i="9"/>
  <c r="H2595" i="9"/>
  <c r="H2594" i="9"/>
  <c r="L2593" i="9"/>
  <c r="J2593" i="9"/>
  <c r="H2593" i="9"/>
  <c r="H2582" i="9"/>
  <c r="H2581" i="9"/>
  <c r="H2580" i="9"/>
  <c r="J2580" i="9" s="1"/>
  <c r="L2578" i="9"/>
  <c r="J2578" i="9"/>
  <c r="L2576" i="9"/>
  <c r="J2576" i="9"/>
  <c r="H2576" i="9"/>
  <c r="L2575" i="9"/>
  <c r="J2575" i="9"/>
  <c r="H2575" i="9"/>
  <c r="L2574" i="9"/>
  <c r="J2574" i="9"/>
  <c r="H2574" i="9"/>
  <c r="L2570" i="9"/>
  <c r="J2570" i="9"/>
  <c r="H2570" i="9"/>
  <c r="F2569" i="9"/>
  <c r="L2569" i="9" s="1"/>
  <c r="H2568" i="9"/>
  <c r="H2567" i="9"/>
  <c r="H2566" i="9"/>
  <c r="L2565" i="9"/>
  <c r="J2565" i="9"/>
  <c r="H2565" i="9"/>
  <c r="H2554" i="9"/>
  <c r="H2553" i="9"/>
  <c r="L2551" i="9"/>
  <c r="J2551" i="9"/>
  <c r="L2549" i="9"/>
  <c r="J2549" i="9"/>
  <c r="H2549" i="9"/>
  <c r="L2548" i="9"/>
  <c r="J2548" i="9"/>
  <c r="H2548" i="9"/>
  <c r="L2547" i="9"/>
  <c r="J2547" i="9"/>
  <c r="H2547" i="9"/>
  <c r="L2543" i="9"/>
  <c r="J2543" i="9"/>
  <c r="H2543" i="9"/>
  <c r="F2542" i="9"/>
  <c r="J2542" i="9" s="1"/>
  <c r="H2541" i="9"/>
  <c r="L2540" i="9"/>
  <c r="J2540" i="9"/>
  <c r="H2540" i="9"/>
  <c r="H2529" i="9"/>
  <c r="H2528" i="9"/>
  <c r="L2526" i="9"/>
  <c r="J2526" i="9"/>
  <c r="L2524" i="9"/>
  <c r="J2524" i="9"/>
  <c r="H2524" i="9"/>
  <c r="L2523" i="9"/>
  <c r="J2523" i="9"/>
  <c r="H2523" i="9"/>
  <c r="L2522" i="9"/>
  <c r="J2522" i="9"/>
  <c r="H2522" i="9"/>
  <c r="L2518" i="9"/>
  <c r="J2518" i="9"/>
  <c r="H2518" i="9"/>
  <c r="F2517" i="9"/>
  <c r="J2517" i="9" s="1"/>
  <c r="H2516" i="9"/>
  <c r="L2515" i="9"/>
  <c r="J2515" i="9"/>
  <c r="H2515" i="9"/>
  <c r="H2504" i="9"/>
  <c r="H2503" i="9"/>
  <c r="J2503" i="9" s="1"/>
  <c r="J2505" i="9" s="1"/>
  <c r="L2501" i="9"/>
  <c r="J2501" i="9"/>
  <c r="L2499" i="9"/>
  <c r="J2499" i="9"/>
  <c r="H2499" i="9"/>
  <c r="L2498" i="9"/>
  <c r="J2498" i="9"/>
  <c r="H2498" i="9"/>
  <c r="L2497" i="9"/>
  <c r="J2497" i="9"/>
  <c r="H2497" i="9"/>
  <c r="L2493" i="9"/>
  <c r="J2493" i="9"/>
  <c r="H2493" i="9"/>
  <c r="F2492" i="9"/>
  <c r="L2492" i="9" s="1"/>
  <c r="H2491" i="9"/>
  <c r="L2490" i="9"/>
  <c r="J2490" i="9"/>
  <c r="H2490" i="9"/>
  <c r="H2479" i="9"/>
  <c r="H2478" i="9"/>
  <c r="J2478" i="9" s="1"/>
  <c r="L2478" i="9" s="1"/>
  <c r="L2480" i="9" s="1"/>
  <c r="L2476" i="9"/>
  <c r="J2476" i="9"/>
  <c r="L2474" i="9"/>
  <c r="J2474" i="9"/>
  <c r="H2474" i="9"/>
  <c r="L2473" i="9"/>
  <c r="J2473" i="9"/>
  <c r="H2473" i="9"/>
  <c r="L2472" i="9"/>
  <c r="J2472" i="9"/>
  <c r="H2472" i="9"/>
  <c r="L2468" i="9"/>
  <c r="J2468" i="9"/>
  <c r="H2468" i="9"/>
  <c r="F2467" i="9"/>
  <c r="J2467" i="9" s="1"/>
  <c r="H2466" i="9"/>
  <c r="L2465" i="9"/>
  <c r="J2465" i="9"/>
  <c r="H2465" i="9"/>
  <c r="H2454" i="9"/>
  <c r="H2453" i="9"/>
  <c r="L2451" i="9"/>
  <c r="J2451" i="9"/>
  <c r="L2449" i="9"/>
  <c r="J2449" i="9"/>
  <c r="L2448" i="9"/>
  <c r="J2448" i="9"/>
  <c r="L2447" i="9"/>
  <c r="J2447" i="9"/>
  <c r="H2447" i="9"/>
  <c r="L2443" i="9"/>
  <c r="J2443" i="9"/>
  <c r="H2443" i="9"/>
  <c r="F2442" i="9"/>
  <c r="L2442" i="9" s="1"/>
  <c r="F2441" i="9"/>
  <c r="H2441" i="9" s="1"/>
  <c r="H2440" i="9"/>
  <c r="L2439" i="9"/>
  <c r="J2439" i="9"/>
  <c r="H2439" i="9"/>
  <c r="H2428" i="9"/>
  <c r="H2427" i="9"/>
  <c r="J2427" i="9" s="1"/>
  <c r="L2425" i="9"/>
  <c r="J2425" i="9"/>
  <c r="L2423" i="9"/>
  <c r="J2423" i="9"/>
  <c r="L2422" i="9"/>
  <c r="J2422" i="9"/>
  <c r="L2421" i="9"/>
  <c r="J2421" i="9"/>
  <c r="H2421" i="9"/>
  <c r="L2417" i="9"/>
  <c r="J2417" i="9"/>
  <c r="H2417" i="9"/>
  <c r="F2416" i="9"/>
  <c r="J2416" i="9" s="1"/>
  <c r="F2415" i="9"/>
  <c r="H2415" i="9" s="1"/>
  <c r="H2414" i="9"/>
  <c r="L2413" i="9"/>
  <c r="J2413" i="9"/>
  <c r="H2413" i="9"/>
  <c r="H2400" i="9"/>
  <c r="H2399" i="9"/>
  <c r="L2397" i="9"/>
  <c r="J2397" i="9"/>
  <c r="L2395" i="9"/>
  <c r="J2395" i="9"/>
  <c r="L2394" i="9"/>
  <c r="J2394" i="9"/>
  <c r="H2394" i="9"/>
  <c r="L2393" i="9"/>
  <c r="J2393" i="9"/>
  <c r="H2393" i="9"/>
  <c r="L2389" i="9"/>
  <c r="J2389" i="9"/>
  <c r="H2389" i="9"/>
  <c r="F2388" i="9"/>
  <c r="L2388" i="9" s="1"/>
  <c r="H2387" i="9"/>
  <c r="L2386" i="9"/>
  <c r="J2386" i="9"/>
  <c r="H2386" i="9"/>
  <c r="H2373" i="9"/>
  <c r="H2372" i="9"/>
  <c r="L2370" i="9"/>
  <c r="J2370" i="9"/>
  <c r="L2368" i="9"/>
  <c r="J2368" i="9"/>
  <c r="L2367" i="9"/>
  <c r="J2367" i="9"/>
  <c r="H2367" i="9"/>
  <c r="L2366" i="9"/>
  <c r="J2366" i="9"/>
  <c r="H2366" i="9"/>
  <c r="L2362" i="9"/>
  <c r="J2362" i="9"/>
  <c r="H2362" i="9"/>
  <c r="F2361" i="9"/>
  <c r="H2360" i="9"/>
  <c r="L2359" i="9"/>
  <c r="J2359" i="9"/>
  <c r="H2359" i="9"/>
  <c r="H2348" i="9"/>
  <c r="H2347" i="9"/>
  <c r="L2345" i="9"/>
  <c r="J2345" i="9"/>
  <c r="L2343" i="9"/>
  <c r="J2343" i="9"/>
  <c r="H2343" i="9"/>
  <c r="L2342" i="9"/>
  <c r="J2342" i="9"/>
  <c r="H2342" i="9"/>
  <c r="L2341" i="9"/>
  <c r="J2341" i="9"/>
  <c r="H2341" i="9"/>
  <c r="L2337" i="9"/>
  <c r="J2337" i="9"/>
  <c r="H2337" i="9"/>
  <c r="F2336" i="9"/>
  <c r="L2336" i="9" s="1"/>
  <c r="H2335" i="9"/>
  <c r="L2334" i="9"/>
  <c r="J2334" i="9"/>
  <c r="H2334" i="9"/>
  <c r="H2323" i="9"/>
  <c r="H2322" i="9"/>
  <c r="J2322" i="9" s="1"/>
  <c r="L2322" i="9" s="1"/>
  <c r="L2324" i="9" s="1"/>
  <c r="L2320" i="9"/>
  <c r="J2320" i="9"/>
  <c r="L2318" i="9"/>
  <c r="J2318" i="9"/>
  <c r="H2318" i="9"/>
  <c r="L2317" i="9"/>
  <c r="J2317" i="9"/>
  <c r="H2317" i="9"/>
  <c r="L2316" i="9"/>
  <c r="J2316" i="9"/>
  <c r="H2316" i="9"/>
  <c r="L2312" i="9"/>
  <c r="J2312" i="9"/>
  <c r="H2312" i="9"/>
  <c r="F2311" i="9"/>
  <c r="L2311" i="9" s="1"/>
  <c r="H2310" i="9"/>
  <c r="L2309" i="9"/>
  <c r="J2309" i="9"/>
  <c r="H2309" i="9"/>
  <c r="H2298" i="9"/>
  <c r="H2297" i="9"/>
  <c r="J2297" i="9" s="1"/>
  <c r="L2295" i="9"/>
  <c r="J2295" i="9"/>
  <c r="L2293" i="9"/>
  <c r="J2293" i="9"/>
  <c r="H2293" i="9"/>
  <c r="L2292" i="9"/>
  <c r="J2292" i="9"/>
  <c r="H2292" i="9"/>
  <c r="L2291" i="9"/>
  <c r="J2291" i="9"/>
  <c r="H2291" i="9"/>
  <c r="L2287" i="9"/>
  <c r="J2287" i="9"/>
  <c r="H2287" i="9"/>
  <c r="F2286" i="9"/>
  <c r="H2285" i="9"/>
  <c r="L2284" i="9"/>
  <c r="J2284" i="9"/>
  <c r="H2284" i="9"/>
  <c r="H2273" i="9"/>
  <c r="H2272" i="9"/>
  <c r="J2272" i="9" s="1"/>
  <c r="L2270" i="9"/>
  <c r="J2270" i="9"/>
  <c r="L2268" i="9"/>
  <c r="J2268" i="9"/>
  <c r="H2268" i="9"/>
  <c r="L2267" i="9"/>
  <c r="J2267" i="9"/>
  <c r="H2267" i="9"/>
  <c r="L2266" i="9"/>
  <c r="J2266" i="9"/>
  <c r="H2266" i="9"/>
  <c r="L2262" i="9"/>
  <c r="J2262" i="9"/>
  <c r="H2262" i="9"/>
  <c r="F2261" i="9"/>
  <c r="H2260" i="9"/>
  <c r="L2259" i="9"/>
  <c r="J2259" i="9"/>
  <c r="H2259" i="9"/>
  <c r="H2248" i="9"/>
  <c r="H2247" i="9"/>
  <c r="J2247" i="9" s="1"/>
  <c r="L2245" i="9"/>
  <c r="J2245" i="9"/>
  <c r="L2243" i="9"/>
  <c r="J2243" i="9"/>
  <c r="H2243" i="9"/>
  <c r="L2242" i="9"/>
  <c r="J2242" i="9"/>
  <c r="F2238" i="9"/>
  <c r="F2237" i="9"/>
  <c r="L2237" i="9" s="1"/>
  <c r="H2236" i="9"/>
  <c r="L2235" i="9"/>
  <c r="J2235" i="9"/>
  <c r="H2235" i="9"/>
  <c r="H2224" i="9"/>
  <c r="H2223" i="9"/>
  <c r="J2223" i="9" s="1"/>
  <c r="L2221" i="9"/>
  <c r="J2221" i="9"/>
  <c r="L2219" i="9"/>
  <c r="J2219" i="9"/>
  <c r="H2219" i="9"/>
  <c r="L2218" i="9"/>
  <c r="J2218" i="9"/>
  <c r="L2217" i="9"/>
  <c r="J2217" i="9"/>
  <c r="F2213" i="9"/>
  <c r="F2212" i="9"/>
  <c r="H2211" i="9"/>
  <c r="L2210" i="9"/>
  <c r="J2210" i="9"/>
  <c r="H2210" i="9"/>
  <c r="H2199" i="9"/>
  <c r="H2198" i="9"/>
  <c r="J2198" i="9" s="1"/>
  <c r="L2196" i="9"/>
  <c r="J2196" i="9"/>
  <c r="L2194" i="9"/>
  <c r="J2194" i="9"/>
  <c r="H2194" i="9"/>
  <c r="L2193" i="9"/>
  <c r="J2193" i="9"/>
  <c r="L2192" i="9"/>
  <c r="J2192" i="9"/>
  <c r="F2188" i="9"/>
  <c r="F2187" i="9"/>
  <c r="L2187" i="9" s="1"/>
  <c r="H2186" i="9"/>
  <c r="L2185" i="9"/>
  <c r="J2185" i="9"/>
  <c r="H2185" i="9"/>
  <c r="H2174" i="9"/>
  <c r="H2173" i="9"/>
  <c r="L2171" i="9"/>
  <c r="J2171" i="9"/>
  <c r="L2169" i="9"/>
  <c r="J2169" i="9"/>
  <c r="H2169" i="9"/>
  <c r="L2168" i="9"/>
  <c r="J2168" i="9"/>
  <c r="L2167" i="9"/>
  <c r="J2167" i="9"/>
  <c r="F2163" i="9"/>
  <c r="F2162" i="9"/>
  <c r="H2161" i="9"/>
  <c r="L2160" i="9"/>
  <c r="J2160" i="9"/>
  <c r="H2160" i="9"/>
  <c r="H2149" i="9"/>
  <c r="H2148" i="9"/>
  <c r="L2146" i="9"/>
  <c r="J2146" i="9"/>
  <c r="L2144" i="9"/>
  <c r="J2144" i="9"/>
  <c r="H2144" i="9"/>
  <c r="L2143" i="9"/>
  <c r="J2143" i="9"/>
  <c r="L2142" i="9"/>
  <c r="J2142" i="9"/>
  <c r="F2138" i="9"/>
  <c r="L2138" i="9" s="1"/>
  <c r="F2137" i="9"/>
  <c r="L2137" i="9" s="1"/>
  <c r="H2136" i="9"/>
  <c r="L2135" i="9"/>
  <c r="J2135" i="9"/>
  <c r="H2135" i="9"/>
  <c r="H2124" i="9"/>
  <c r="H2123" i="9"/>
  <c r="J2123" i="9" s="1"/>
  <c r="J2125" i="9" s="1"/>
  <c r="L2121" i="9"/>
  <c r="J2121" i="9"/>
  <c r="L2119" i="9"/>
  <c r="J2119" i="9"/>
  <c r="H2119" i="9"/>
  <c r="L2118" i="9"/>
  <c r="J2118" i="9"/>
  <c r="L2117" i="9"/>
  <c r="J2117" i="9"/>
  <c r="F2113" i="9"/>
  <c r="L2113" i="9" s="1"/>
  <c r="F2112" i="9"/>
  <c r="H2112" i="9" s="1"/>
  <c r="H2111" i="9"/>
  <c r="L2110" i="9"/>
  <c r="J2110" i="9"/>
  <c r="H2110" i="9"/>
  <c r="H2099" i="9"/>
  <c r="H2098" i="9"/>
  <c r="J2098" i="9" s="1"/>
  <c r="L2096" i="9"/>
  <c r="J2096" i="9"/>
  <c r="L2094" i="9"/>
  <c r="J2094" i="9"/>
  <c r="H2094" i="9"/>
  <c r="L2093" i="9"/>
  <c r="J2093" i="9"/>
  <c r="L2092" i="9"/>
  <c r="J2092" i="9"/>
  <c r="F2088" i="9"/>
  <c r="H2088" i="9" s="1"/>
  <c r="F2087" i="9"/>
  <c r="J2087" i="9" s="1"/>
  <c r="H2086" i="9"/>
  <c r="L2085" i="9"/>
  <c r="J2085" i="9"/>
  <c r="H2085" i="9"/>
  <c r="H2074" i="9"/>
  <c r="H2073" i="9"/>
  <c r="L2071" i="9"/>
  <c r="J2071" i="9"/>
  <c r="L2069" i="9"/>
  <c r="J2069" i="9"/>
  <c r="H2069" i="9"/>
  <c r="L2068" i="9"/>
  <c r="J2068" i="9"/>
  <c r="L2067" i="9"/>
  <c r="J2067" i="9"/>
  <c r="F2063" i="9"/>
  <c r="J2063" i="9" s="1"/>
  <c r="F2062" i="9"/>
  <c r="L2062" i="9" s="1"/>
  <c r="H2061" i="9"/>
  <c r="L2060" i="9"/>
  <c r="J2060" i="9"/>
  <c r="H2060" i="9"/>
  <c r="H2049" i="9"/>
  <c r="H2048" i="9"/>
  <c r="J2048" i="9" s="1"/>
  <c r="J2050" i="9" s="1"/>
  <c r="L2046" i="9"/>
  <c r="J2046" i="9"/>
  <c r="L2044" i="9"/>
  <c r="J2044" i="9"/>
  <c r="H2044" i="9"/>
  <c r="L2043" i="9"/>
  <c r="J2043" i="9"/>
  <c r="L2042" i="9"/>
  <c r="J2042" i="9"/>
  <c r="F2038" i="9"/>
  <c r="H2038" i="9" s="1"/>
  <c r="F2037" i="9"/>
  <c r="H2036" i="9"/>
  <c r="L2035" i="9"/>
  <c r="J2035" i="9"/>
  <c r="H2035" i="9"/>
  <c r="H2024" i="9"/>
  <c r="H2023" i="9"/>
  <c r="J2023" i="9" s="1"/>
  <c r="J2025" i="9" s="1"/>
  <c r="L2021" i="9"/>
  <c r="J2021" i="9"/>
  <c r="L2019" i="9"/>
  <c r="J2019" i="9"/>
  <c r="H2019" i="9"/>
  <c r="L2018" i="9"/>
  <c r="J2018" i="9"/>
  <c r="H2018" i="9"/>
  <c r="L2017" i="9"/>
  <c r="J2017" i="9"/>
  <c r="H2017" i="9"/>
  <c r="L2013" i="9"/>
  <c r="J2013" i="9"/>
  <c r="H2013" i="9"/>
  <c r="F2012" i="9"/>
  <c r="J2012" i="9" s="1"/>
  <c r="H2011" i="9"/>
  <c r="L2010" i="9"/>
  <c r="J2010" i="9"/>
  <c r="H2010" i="9"/>
  <c r="H1999" i="9"/>
  <c r="H1998" i="9"/>
  <c r="L1996" i="9"/>
  <c r="J1996" i="9"/>
  <c r="L1994" i="9"/>
  <c r="J1994" i="9"/>
  <c r="L1993" i="9"/>
  <c r="J1993" i="9"/>
  <c r="L1992" i="9"/>
  <c r="J1992" i="9"/>
  <c r="H1992" i="9"/>
  <c r="L1988" i="9"/>
  <c r="J1988" i="9"/>
  <c r="H1988" i="9"/>
  <c r="F1987" i="9"/>
  <c r="J1987" i="9" s="1"/>
  <c r="H1986" i="9"/>
  <c r="L1985" i="9"/>
  <c r="J1985" i="9"/>
  <c r="H1985" i="9"/>
  <c r="H1974" i="9"/>
  <c r="H1973" i="9"/>
  <c r="L1971" i="9"/>
  <c r="J1971" i="9"/>
  <c r="L1969" i="9"/>
  <c r="J1969" i="9"/>
  <c r="L1968" i="9"/>
  <c r="J1968" i="9"/>
  <c r="L1967" i="9"/>
  <c r="J1967" i="9"/>
  <c r="H1967" i="9"/>
  <c r="L1963" i="9"/>
  <c r="J1963" i="9"/>
  <c r="H1963" i="9"/>
  <c r="F1962" i="9"/>
  <c r="H1962" i="9" s="1"/>
  <c r="H1961" i="9"/>
  <c r="L1960" i="9"/>
  <c r="J1960" i="9"/>
  <c r="H1960" i="9"/>
  <c r="H1949" i="9"/>
  <c r="H1948" i="9"/>
  <c r="L1946" i="9"/>
  <c r="J1946" i="9"/>
  <c r="L1944" i="9"/>
  <c r="J1944" i="9"/>
  <c r="L1943" i="9"/>
  <c r="J1943" i="9"/>
  <c r="L1942" i="9"/>
  <c r="J1942" i="9"/>
  <c r="H1942" i="9"/>
  <c r="L1938" i="9"/>
  <c r="J1938" i="9"/>
  <c r="H1938" i="9"/>
  <c r="F1937" i="9"/>
  <c r="L1937" i="9" s="1"/>
  <c r="H1936" i="9"/>
  <c r="L1935" i="9"/>
  <c r="J1935" i="9"/>
  <c r="H1935" i="9"/>
  <c r="H1924" i="9"/>
  <c r="H1923" i="9"/>
  <c r="J1923" i="9" s="1"/>
  <c r="J1925" i="9" s="1"/>
  <c r="L1921" i="9"/>
  <c r="J1921" i="9"/>
  <c r="L1919" i="9"/>
  <c r="J1919" i="9"/>
  <c r="L1918" i="9"/>
  <c r="J1918" i="9"/>
  <c r="L1917" i="9"/>
  <c r="J1917" i="9"/>
  <c r="H1917" i="9"/>
  <c r="L1913" i="9"/>
  <c r="J1913" i="9"/>
  <c r="H1913" i="9"/>
  <c r="F1912" i="9"/>
  <c r="H1911" i="9"/>
  <c r="L1910" i="9"/>
  <c r="J1910" i="9"/>
  <c r="H1910" i="9"/>
  <c r="H1899" i="9"/>
  <c r="H1898" i="9"/>
  <c r="L1896" i="9"/>
  <c r="J1896" i="9"/>
  <c r="L1894" i="9"/>
  <c r="J1894" i="9"/>
  <c r="L1893" i="9"/>
  <c r="J1893" i="9"/>
  <c r="L1892" i="9"/>
  <c r="J1892" i="9"/>
  <c r="H1892" i="9"/>
  <c r="L1888" i="9"/>
  <c r="J1888" i="9"/>
  <c r="H1888" i="9"/>
  <c r="F1887" i="9"/>
  <c r="J1887" i="9" s="1"/>
  <c r="H1886" i="9"/>
  <c r="L1885" i="9"/>
  <c r="J1885" i="9"/>
  <c r="H1885" i="9"/>
  <c r="H1874" i="9"/>
  <c r="H1873" i="9"/>
  <c r="J1873" i="9" s="1"/>
  <c r="L1873" i="9" s="1"/>
  <c r="L1875" i="9" s="1"/>
  <c r="L1871" i="9"/>
  <c r="J1871" i="9"/>
  <c r="L1869" i="9"/>
  <c r="J1869" i="9"/>
  <c r="L1868" i="9"/>
  <c r="J1868" i="9"/>
  <c r="L1867" i="9"/>
  <c r="J1867" i="9"/>
  <c r="H1867" i="9"/>
  <c r="L1863" i="9"/>
  <c r="J1863" i="9"/>
  <c r="H1863" i="9"/>
  <c r="F1862" i="9"/>
  <c r="L1862" i="9" s="1"/>
  <c r="H1861" i="9"/>
  <c r="L1860" i="9"/>
  <c r="J1860" i="9"/>
  <c r="H1860" i="9"/>
  <c r="H1849" i="9"/>
  <c r="H1848" i="9"/>
  <c r="L1846" i="9"/>
  <c r="J1846" i="9"/>
  <c r="L1844" i="9"/>
  <c r="J1844" i="9"/>
  <c r="L1843" i="9"/>
  <c r="J1843" i="9"/>
  <c r="L1842" i="9"/>
  <c r="J1842" i="9"/>
  <c r="H1842" i="9"/>
  <c r="L1838" i="9"/>
  <c r="J1838" i="9"/>
  <c r="H1838" i="9"/>
  <c r="F1837" i="9"/>
  <c r="H1836" i="9"/>
  <c r="L1835" i="9"/>
  <c r="J1835" i="9"/>
  <c r="H1835" i="9"/>
  <c r="H1824" i="9"/>
  <c r="H1823" i="9"/>
  <c r="L1821" i="9"/>
  <c r="J1821" i="9"/>
  <c r="L1819" i="9"/>
  <c r="J1819" i="9"/>
  <c r="L1818" i="9"/>
  <c r="J1818" i="9"/>
  <c r="L1817" i="9"/>
  <c r="J1817" i="9"/>
  <c r="H1817" i="9"/>
  <c r="L1813" i="9"/>
  <c r="J1813" i="9"/>
  <c r="H1813" i="9"/>
  <c r="F1812" i="9"/>
  <c r="L1812" i="9" s="1"/>
  <c r="H1811" i="9"/>
  <c r="L1810" i="9"/>
  <c r="J1810" i="9"/>
  <c r="H1810" i="9"/>
  <c r="H1799" i="9"/>
  <c r="H1797" i="9"/>
  <c r="H1800" i="9" s="1"/>
  <c r="L1795" i="9"/>
  <c r="J1795" i="9"/>
  <c r="L1793" i="9"/>
  <c r="J1793" i="9"/>
  <c r="H1793" i="9"/>
  <c r="L1792" i="9"/>
  <c r="J1792" i="9"/>
  <c r="H1792" i="9"/>
  <c r="L1791" i="9"/>
  <c r="J1791" i="9"/>
  <c r="H1791" i="9"/>
  <c r="L1787" i="9"/>
  <c r="J1787" i="9"/>
  <c r="H1787" i="9"/>
  <c r="F1786" i="9"/>
  <c r="H1785" i="9"/>
  <c r="L1784" i="9"/>
  <c r="J1784" i="9"/>
  <c r="H1784" i="9"/>
  <c r="H1773" i="9"/>
  <c r="H1772" i="9"/>
  <c r="L1770" i="9"/>
  <c r="J1770" i="9"/>
  <c r="L1768" i="9"/>
  <c r="J1768" i="9"/>
  <c r="L1767" i="9"/>
  <c r="J1767" i="9"/>
  <c r="L1766" i="9"/>
  <c r="J1766" i="9"/>
  <c r="H1766" i="9"/>
  <c r="L1762" i="9"/>
  <c r="J1762" i="9"/>
  <c r="H1762" i="9"/>
  <c r="L1761" i="9"/>
  <c r="J1761" i="9"/>
  <c r="H1761" i="9"/>
  <c r="H1760" i="9"/>
  <c r="L1759" i="9"/>
  <c r="J1759" i="9"/>
  <c r="H1759" i="9"/>
  <c r="H1748" i="9"/>
  <c r="H1747" i="9"/>
  <c r="J1747" i="9" s="1"/>
  <c r="L1745" i="9"/>
  <c r="J1745" i="9"/>
  <c r="L1743" i="9"/>
  <c r="J1743" i="9"/>
  <c r="L1742" i="9"/>
  <c r="J1742" i="9"/>
  <c r="L1741" i="9"/>
  <c r="J1741" i="9"/>
  <c r="H1741" i="9"/>
  <c r="L1737" i="9"/>
  <c r="J1737" i="9"/>
  <c r="H1737" i="9"/>
  <c r="F1736" i="9"/>
  <c r="H1735" i="9"/>
  <c r="L1734" i="9"/>
  <c r="J1734" i="9"/>
  <c r="H1734" i="9"/>
  <c r="H1723" i="9"/>
  <c r="H1722" i="9"/>
  <c r="L1720" i="9"/>
  <c r="J1720" i="9"/>
  <c r="L1718" i="9"/>
  <c r="J1718" i="9"/>
  <c r="L1717" i="9"/>
  <c r="J1717" i="9"/>
  <c r="L1716" i="9"/>
  <c r="J1716" i="9"/>
  <c r="H1716" i="9"/>
  <c r="L1712" i="9"/>
  <c r="J1712" i="9"/>
  <c r="H1712" i="9"/>
  <c r="F1711" i="9"/>
  <c r="H1710" i="9"/>
  <c r="L1709" i="9"/>
  <c r="J1709" i="9"/>
  <c r="H1709" i="9"/>
  <c r="H1698" i="9"/>
  <c r="H1697" i="9"/>
  <c r="J1697" i="9" s="1"/>
  <c r="L1695" i="9"/>
  <c r="J1695" i="9"/>
  <c r="L1693" i="9"/>
  <c r="J1693" i="9"/>
  <c r="L1692" i="9"/>
  <c r="J1692" i="9"/>
  <c r="L1691" i="9"/>
  <c r="J1691" i="9"/>
  <c r="H1691" i="9"/>
  <c r="L1687" i="9"/>
  <c r="J1687" i="9"/>
  <c r="H1687" i="9"/>
  <c r="L1686" i="9"/>
  <c r="J1686" i="9"/>
  <c r="H1686" i="9"/>
  <c r="H1685" i="9"/>
  <c r="L1684" i="9"/>
  <c r="J1684" i="9"/>
  <c r="H1684" i="9"/>
  <c r="H1673" i="9"/>
  <c r="H1672" i="9"/>
  <c r="J1672" i="9" s="1"/>
  <c r="J1674" i="9" s="1"/>
  <c r="L1670" i="9"/>
  <c r="J1670" i="9"/>
  <c r="L1668" i="9"/>
  <c r="J1668" i="9"/>
  <c r="L1667" i="9"/>
  <c r="J1667" i="9"/>
  <c r="L1666" i="9"/>
  <c r="J1666" i="9"/>
  <c r="H1666" i="9"/>
  <c r="L1662" i="9"/>
  <c r="J1662" i="9"/>
  <c r="H1662" i="9"/>
  <c r="L1661" i="9"/>
  <c r="J1661" i="9"/>
  <c r="H1661" i="9"/>
  <c r="H1660" i="9"/>
  <c r="L1659" i="9"/>
  <c r="J1659" i="9"/>
  <c r="H1659" i="9"/>
  <c r="H1648" i="9"/>
  <c r="H1647" i="9"/>
  <c r="L1645" i="9"/>
  <c r="J1645" i="9"/>
  <c r="L1643" i="9"/>
  <c r="J1643" i="9"/>
  <c r="L1642" i="9"/>
  <c r="J1642" i="9"/>
  <c r="L1641" i="9"/>
  <c r="J1641" i="9"/>
  <c r="H1641" i="9"/>
  <c r="L1637" i="9"/>
  <c r="J1637" i="9"/>
  <c r="H1637" i="9"/>
  <c r="L1636" i="9"/>
  <c r="J1636" i="9"/>
  <c r="H1636" i="9"/>
  <c r="H1635" i="9"/>
  <c r="L1634" i="9"/>
  <c r="J1634" i="9"/>
  <c r="H1634" i="9"/>
  <c r="H1623" i="9"/>
  <c r="H1622" i="9"/>
  <c r="L1620" i="9"/>
  <c r="J1620" i="9"/>
  <c r="L1618" i="9"/>
  <c r="J1618" i="9"/>
  <c r="L1617" i="9"/>
  <c r="J1617" i="9"/>
  <c r="L1616" i="9"/>
  <c r="J1616" i="9"/>
  <c r="H1616" i="9"/>
  <c r="L1612" i="9"/>
  <c r="J1612" i="9"/>
  <c r="H1612" i="9"/>
  <c r="F1611" i="9"/>
  <c r="H1611" i="9" s="1"/>
  <c r="H1610" i="9"/>
  <c r="L1609" i="9"/>
  <c r="J1609" i="9"/>
  <c r="H1609" i="9"/>
  <c r="H1598" i="9"/>
  <c r="H1597" i="9"/>
  <c r="L1595" i="9"/>
  <c r="J1595" i="9"/>
  <c r="L1593" i="9"/>
  <c r="J1593" i="9"/>
  <c r="L1592" i="9"/>
  <c r="J1592" i="9"/>
  <c r="L1591" i="9"/>
  <c r="J1591" i="9"/>
  <c r="H1591" i="9"/>
  <c r="L1587" i="9"/>
  <c r="J1587" i="9"/>
  <c r="H1587" i="9"/>
  <c r="L1586" i="9"/>
  <c r="J1586" i="9"/>
  <c r="H1586" i="9"/>
  <c r="H1585" i="9"/>
  <c r="L1584" i="9"/>
  <c r="J1584" i="9"/>
  <c r="H1584" i="9"/>
  <c r="H1573" i="9"/>
  <c r="H1572" i="9"/>
  <c r="L1570" i="9"/>
  <c r="J1570" i="9"/>
  <c r="L1568" i="9"/>
  <c r="J1568" i="9"/>
  <c r="L1567" i="9"/>
  <c r="J1567" i="9"/>
  <c r="L1566" i="9"/>
  <c r="J1566" i="9"/>
  <c r="H1566" i="9"/>
  <c r="L1562" i="9"/>
  <c r="J1562" i="9"/>
  <c r="H1562" i="9"/>
  <c r="L1561" i="9"/>
  <c r="J1561" i="9"/>
  <c r="H1561" i="9"/>
  <c r="H1560" i="9"/>
  <c r="L1559" i="9"/>
  <c r="J1559" i="9"/>
  <c r="H1559" i="9"/>
  <c r="H1548" i="9"/>
  <c r="H1547" i="9"/>
  <c r="L1545" i="9"/>
  <c r="J1545" i="9"/>
  <c r="L1543" i="9"/>
  <c r="J1543" i="9"/>
  <c r="L1542" i="9"/>
  <c r="J1542" i="9"/>
  <c r="L1541" i="9"/>
  <c r="J1541" i="9"/>
  <c r="H1541" i="9"/>
  <c r="L1537" i="9"/>
  <c r="J1537" i="9"/>
  <c r="H1537" i="9"/>
  <c r="L1536" i="9"/>
  <c r="J1536" i="9"/>
  <c r="H1536" i="9"/>
  <c r="H1535" i="9"/>
  <c r="L1534" i="9"/>
  <c r="J1534" i="9"/>
  <c r="H1534" i="9"/>
  <c r="H1523" i="9"/>
  <c r="F1521" i="9"/>
  <c r="L1518" i="9"/>
  <c r="J1518" i="9"/>
  <c r="L1516" i="9"/>
  <c r="J1516" i="9"/>
  <c r="H1516" i="9"/>
  <c r="L1515" i="9"/>
  <c r="J1515" i="9"/>
  <c r="H1515" i="9"/>
  <c r="L1514" i="9"/>
  <c r="J1514" i="9"/>
  <c r="H1514" i="9"/>
  <c r="L1510" i="9"/>
  <c r="J1510" i="9"/>
  <c r="H1510" i="9"/>
  <c r="F1509" i="9"/>
  <c r="L1509" i="9" s="1"/>
  <c r="L1508" i="9"/>
  <c r="J1508" i="9"/>
  <c r="H1508" i="9"/>
  <c r="H1497" i="9"/>
  <c r="H1496" i="9"/>
  <c r="L1491" i="9"/>
  <c r="J1491" i="9"/>
  <c r="H1491" i="9"/>
  <c r="L1490" i="9"/>
  <c r="J1490" i="9"/>
  <c r="F1489" i="9"/>
  <c r="L1489" i="9" s="1"/>
  <c r="L1488" i="9"/>
  <c r="J1488" i="9"/>
  <c r="H1488" i="9"/>
  <c r="L1487" i="9"/>
  <c r="J1487" i="9"/>
  <c r="H1487" i="9"/>
  <c r="L1486" i="9"/>
  <c r="J1486" i="9"/>
  <c r="H1486" i="9"/>
  <c r="L1482" i="9"/>
  <c r="J1482" i="9"/>
  <c r="H1482" i="9"/>
  <c r="F1481" i="9"/>
  <c r="J1481" i="9" s="1"/>
  <c r="J1484" i="9" s="1"/>
  <c r="H1480" i="9"/>
  <c r="L1479" i="9"/>
  <c r="J1479" i="9"/>
  <c r="H1479" i="9"/>
  <c r="H1468" i="9"/>
  <c r="H1467" i="9"/>
  <c r="L1463" i="9"/>
  <c r="J1463" i="9"/>
  <c r="H1463" i="9"/>
  <c r="L1462" i="9"/>
  <c r="J1462" i="9"/>
  <c r="H1462" i="9"/>
  <c r="L1461" i="9"/>
  <c r="J1461" i="9"/>
  <c r="H1461" i="9"/>
  <c r="L1457" i="9"/>
  <c r="J1457" i="9"/>
  <c r="H1457" i="9"/>
  <c r="L1456" i="9"/>
  <c r="J1456" i="9"/>
  <c r="H1456" i="9"/>
  <c r="F1455" i="9"/>
  <c r="L1454" i="9"/>
  <c r="J1454" i="9"/>
  <c r="H1454" i="9"/>
  <c r="H1443" i="9"/>
  <c r="H1442" i="9"/>
  <c r="L1438" i="9"/>
  <c r="J1438" i="9"/>
  <c r="H1438" i="9"/>
  <c r="L1437" i="9"/>
  <c r="J1437" i="9"/>
  <c r="H1437" i="9"/>
  <c r="L1436" i="9"/>
  <c r="J1436" i="9"/>
  <c r="H1436" i="9"/>
  <c r="L1432" i="9"/>
  <c r="J1432" i="9"/>
  <c r="H1432" i="9"/>
  <c r="L1431" i="9"/>
  <c r="J1431" i="9"/>
  <c r="H1431" i="9"/>
  <c r="F1430" i="9"/>
  <c r="H1430" i="9" s="1"/>
  <c r="L1429" i="9"/>
  <c r="J1429" i="9"/>
  <c r="H1429" i="9"/>
  <c r="H1418" i="9"/>
  <c r="H1417" i="9"/>
  <c r="L1413" i="9"/>
  <c r="J1413" i="9"/>
  <c r="H1413" i="9"/>
  <c r="L1412" i="9"/>
  <c r="J1412" i="9"/>
  <c r="H1412" i="9"/>
  <c r="L1411" i="9"/>
  <c r="J1411" i="9"/>
  <c r="H1411" i="9"/>
  <c r="L1407" i="9"/>
  <c r="J1407" i="9"/>
  <c r="H1407" i="9"/>
  <c r="L1406" i="9"/>
  <c r="J1406" i="9"/>
  <c r="H1406" i="9"/>
  <c r="F1405" i="9"/>
  <c r="H1405" i="9" s="1"/>
  <c r="L1404" i="9"/>
  <c r="J1404" i="9"/>
  <c r="H1404" i="9"/>
  <c r="H1393" i="9"/>
  <c r="H1392" i="9"/>
  <c r="L1388" i="9"/>
  <c r="J1388" i="9"/>
  <c r="H1388" i="9"/>
  <c r="L1387" i="9"/>
  <c r="J1387" i="9"/>
  <c r="H1387" i="9"/>
  <c r="L1386" i="9"/>
  <c r="J1386" i="9"/>
  <c r="H1386" i="9"/>
  <c r="L1382" i="9"/>
  <c r="J1382" i="9"/>
  <c r="H1382" i="9"/>
  <c r="L1381" i="9"/>
  <c r="J1381" i="9"/>
  <c r="H1381" i="9"/>
  <c r="H1380" i="9"/>
  <c r="L1379" i="9"/>
  <c r="J1379" i="9"/>
  <c r="H1379" i="9"/>
  <c r="H1368" i="9"/>
  <c r="L1363" i="9"/>
  <c r="J1363" i="9"/>
  <c r="H1363" i="9"/>
  <c r="L1362" i="9"/>
  <c r="J1362" i="9"/>
  <c r="H1362" i="9"/>
  <c r="L1361" i="9"/>
  <c r="J1361" i="9"/>
  <c r="H1361" i="9"/>
  <c r="L1357" i="9"/>
  <c r="J1357" i="9"/>
  <c r="H1357" i="9"/>
  <c r="L1356" i="9"/>
  <c r="J1356" i="9"/>
  <c r="H1356" i="9"/>
  <c r="H1355" i="9"/>
  <c r="L1354" i="9"/>
  <c r="J1354" i="9"/>
  <c r="H1354" i="9"/>
  <c r="H1343" i="9"/>
  <c r="L1338" i="9"/>
  <c r="J1338" i="9"/>
  <c r="H1338" i="9"/>
  <c r="L1337" i="9"/>
  <c r="J1337" i="9"/>
  <c r="H1337" i="9"/>
  <c r="L1336" i="9"/>
  <c r="J1336" i="9"/>
  <c r="H1336" i="9"/>
  <c r="L1332" i="9"/>
  <c r="J1332" i="9"/>
  <c r="H1332" i="9"/>
  <c r="L1331" i="9"/>
  <c r="J1331" i="9"/>
  <c r="H1331" i="9"/>
  <c r="H1330" i="9"/>
  <c r="L1329" i="9"/>
  <c r="J1329" i="9"/>
  <c r="H1329" i="9"/>
  <c r="H1318" i="9"/>
  <c r="H1317" i="9"/>
  <c r="L1313" i="9"/>
  <c r="J1313" i="9"/>
  <c r="H1313" i="9"/>
  <c r="L1312" i="9"/>
  <c r="J1312" i="9"/>
  <c r="H1312" i="9"/>
  <c r="L1311" i="9"/>
  <c r="J1311" i="9"/>
  <c r="H1311" i="9"/>
  <c r="L1307" i="9"/>
  <c r="J1307" i="9"/>
  <c r="H1307" i="9"/>
  <c r="L1306" i="9"/>
  <c r="J1306" i="9"/>
  <c r="H1306" i="9"/>
  <c r="H1305" i="9"/>
  <c r="L1304" i="9"/>
  <c r="J1304" i="9"/>
  <c r="H1304" i="9"/>
  <c r="H1292" i="9"/>
  <c r="H1291" i="9"/>
  <c r="L1286" i="9"/>
  <c r="J1286" i="9"/>
  <c r="H1286" i="9"/>
  <c r="L1285" i="9"/>
  <c r="J1285" i="9"/>
  <c r="H1285" i="9"/>
  <c r="L1284" i="9"/>
  <c r="J1284" i="9"/>
  <c r="H1284" i="9"/>
  <c r="L1280" i="9"/>
  <c r="J1280" i="9"/>
  <c r="H1280" i="9"/>
  <c r="L1279" i="9"/>
  <c r="J1279" i="9"/>
  <c r="H1279" i="9"/>
  <c r="H1278" i="9"/>
  <c r="L1277" i="9"/>
  <c r="J1277" i="9"/>
  <c r="H1277" i="9"/>
  <c r="L1261" i="9"/>
  <c r="J1261" i="9"/>
  <c r="H1261" i="9"/>
  <c r="L1260" i="9"/>
  <c r="J1260" i="9"/>
  <c r="H1260" i="9"/>
  <c r="L1259" i="9"/>
  <c r="J1259" i="9"/>
  <c r="H1259" i="9"/>
  <c r="L1255" i="9"/>
  <c r="J1255" i="9"/>
  <c r="H1255" i="9"/>
  <c r="L1254" i="9"/>
  <c r="J1254" i="9"/>
  <c r="H1254" i="9"/>
  <c r="H1253" i="9"/>
  <c r="L1252" i="9"/>
  <c r="J1252" i="9"/>
  <c r="H1252" i="9"/>
  <c r="H1241" i="9"/>
  <c r="L1236" i="9"/>
  <c r="J1236" i="9"/>
  <c r="H1236" i="9"/>
  <c r="L1235" i="9"/>
  <c r="J1235" i="9"/>
  <c r="H1235" i="9"/>
  <c r="L1234" i="9"/>
  <c r="J1234" i="9"/>
  <c r="H1234" i="9"/>
  <c r="L1230" i="9"/>
  <c r="J1230" i="9"/>
  <c r="H1230" i="9"/>
  <c r="L1229" i="9"/>
  <c r="J1229" i="9"/>
  <c r="H1229" i="9"/>
  <c r="H1228" i="9"/>
  <c r="L1227" i="9"/>
  <c r="J1227" i="9"/>
  <c r="H1227" i="9"/>
  <c r="L1211" i="9"/>
  <c r="J1211" i="9"/>
  <c r="H1211" i="9"/>
  <c r="L1210" i="9"/>
  <c r="J1210" i="9"/>
  <c r="H1210" i="9"/>
  <c r="L1209" i="9"/>
  <c r="J1209" i="9"/>
  <c r="H1209" i="9"/>
  <c r="L1205" i="9"/>
  <c r="J1205" i="9"/>
  <c r="H1205" i="9"/>
  <c r="L1204" i="9"/>
  <c r="J1204" i="9"/>
  <c r="H1204" i="9"/>
  <c r="H1203" i="9"/>
  <c r="L1202" i="9"/>
  <c r="J1202" i="9"/>
  <c r="H1202" i="9"/>
  <c r="H1191" i="9"/>
  <c r="L1186" i="9"/>
  <c r="J1186" i="9"/>
  <c r="H1186" i="9"/>
  <c r="L1185" i="9"/>
  <c r="J1185" i="9"/>
  <c r="H1185" i="9"/>
  <c r="L1184" i="9"/>
  <c r="J1184" i="9"/>
  <c r="H1184" i="9"/>
  <c r="L1180" i="9"/>
  <c r="J1180" i="9"/>
  <c r="H1180" i="9"/>
  <c r="L1179" i="9"/>
  <c r="J1179" i="9"/>
  <c r="H1179" i="9"/>
  <c r="H1178" i="9"/>
  <c r="L1177" i="9"/>
  <c r="J1177" i="9"/>
  <c r="H1177" i="9"/>
  <c r="L1161" i="9"/>
  <c r="J1161" i="9"/>
  <c r="H1161" i="9"/>
  <c r="L1160" i="9"/>
  <c r="J1160" i="9"/>
  <c r="H1160" i="9"/>
  <c r="L1159" i="9"/>
  <c r="J1159" i="9"/>
  <c r="H1159" i="9"/>
  <c r="L1155" i="9"/>
  <c r="J1155" i="9"/>
  <c r="H1155" i="9"/>
  <c r="L1154" i="9"/>
  <c r="J1154" i="9"/>
  <c r="H1154" i="9"/>
  <c r="H1153" i="9"/>
  <c r="L1152" i="9"/>
  <c r="J1152" i="9"/>
  <c r="H1152" i="9"/>
  <c r="H1141" i="9"/>
  <c r="L1136" i="9"/>
  <c r="J1136" i="9"/>
  <c r="H1136" i="9"/>
  <c r="L1135" i="9"/>
  <c r="J1135" i="9"/>
  <c r="H1135" i="9"/>
  <c r="L1134" i="9"/>
  <c r="J1134" i="9"/>
  <c r="H1134" i="9"/>
  <c r="L1130" i="9"/>
  <c r="J1130" i="9"/>
  <c r="H1130" i="9"/>
  <c r="L1129" i="9"/>
  <c r="J1129" i="9"/>
  <c r="H1129" i="9"/>
  <c r="L1128" i="9"/>
  <c r="J1128" i="9"/>
  <c r="H1128" i="9"/>
  <c r="H1117" i="9"/>
  <c r="L1112" i="9"/>
  <c r="J1112" i="9"/>
  <c r="H1112" i="9"/>
  <c r="L1111" i="9"/>
  <c r="J1111" i="9"/>
  <c r="H1111" i="9"/>
  <c r="L1110" i="9"/>
  <c r="J1110" i="9"/>
  <c r="H1110" i="9"/>
  <c r="L1106" i="9"/>
  <c r="J1106" i="9"/>
  <c r="H1106" i="9"/>
  <c r="L1105" i="9"/>
  <c r="J1105" i="9"/>
  <c r="H1105" i="9"/>
  <c r="L1104" i="9"/>
  <c r="J1104" i="9"/>
  <c r="H1104" i="9"/>
  <c r="H1093" i="9"/>
  <c r="F1092" i="9"/>
  <c r="F1091" i="9"/>
  <c r="L1088" i="9"/>
  <c r="J1088" i="9"/>
  <c r="H1088" i="9"/>
  <c r="L1087" i="9"/>
  <c r="J1087" i="9"/>
  <c r="H1087" i="9"/>
  <c r="L1086" i="9"/>
  <c r="J1086" i="9"/>
  <c r="H1086" i="9"/>
  <c r="L1082" i="9"/>
  <c r="J1082" i="9"/>
  <c r="H1082" i="9"/>
  <c r="L1081" i="9"/>
  <c r="J1081" i="9"/>
  <c r="H1081" i="9"/>
  <c r="L1080" i="9"/>
  <c r="J1080" i="9"/>
  <c r="H1080" i="9"/>
  <c r="H1069" i="9"/>
  <c r="H1068" i="9"/>
  <c r="F1067" i="9"/>
  <c r="L1064" i="9"/>
  <c r="J1064" i="9"/>
  <c r="H1064" i="9"/>
  <c r="L1063" i="9"/>
  <c r="J1063" i="9"/>
  <c r="H1063" i="9"/>
  <c r="L1062" i="9"/>
  <c r="J1062" i="9"/>
  <c r="H1062" i="9"/>
  <c r="L1058" i="9"/>
  <c r="J1058" i="9"/>
  <c r="H1058" i="9"/>
  <c r="L1057" i="9"/>
  <c r="J1057" i="9"/>
  <c r="H1057" i="9"/>
  <c r="L1056" i="9"/>
  <c r="J1056" i="9"/>
  <c r="H1056" i="9"/>
  <c r="H1045" i="9"/>
  <c r="H1044" i="9"/>
  <c r="F1043" i="9"/>
  <c r="L1040" i="9"/>
  <c r="J1040" i="9"/>
  <c r="H1040" i="9"/>
  <c r="L1039" i="9"/>
  <c r="J1039" i="9"/>
  <c r="H1039" i="9"/>
  <c r="L1038" i="9"/>
  <c r="J1038" i="9"/>
  <c r="H1038" i="9"/>
  <c r="L1034" i="9"/>
  <c r="J1034" i="9"/>
  <c r="H1034" i="9"/>
  <c r="L1033" i="9"/>
  <c r="J1033" i="9"/>
  <c r="H1033" i="9"/>
  <c r="L1032" i="9"/>
  <c r="J1032" i="9"/>
  <c r="H1032" i="9"/>
  <c r="H1021" i="9"/>
  <c r="H1020" i="9"/>
  <c r="F1019" i="9"/>
  <c r="L1016" i="9"/>
  <c r="J1016" i="9"/>
  <c r="H1016" i="9"/>
  <c r="L1015" i="9"/>
  <c r="J1015" i="9"/>
  <c r="H1015" i="9"/>
  <c r="L1014" i="9"/>
  <c r="J1014" i="9"/>
  <c r="H1014" i="9"/>
  <c r="L1010" i="9"/>
  <c r="J1010" i="9"/>
  <c r="H1010" i="9"/>
  <c r="L1009" i="9"/>
  <c r="J1009" i="9"/>
  <c r="H1009" i="9"/>
  <c r="L1008" i="9"/>
  <c r="J1008" i="9"/>
  <c r="H1008" i="9"/>
  <c r="H997" i="9"/>
  <c r="F996" i="9"/>
  <c r="F995" i="9"/>
  <c r="L992" i="9"/>
  <c r="J992" i="9"/>
  <c r="H992" i="9"/>
  <c r="L991" i="9"/>
  <c r="J991" i="9"/>
  <c r="H991" i="9"/>
  <c r="L990" i="9"/>
  <c r="J990" i="9"/>
  <c r="H990" i="9"/>
  <c r="L986" i="9"/>
  <c r="J986" i="9"/>
  <c r="H986" i="9"/>
  <c r="L985" i="9"/>
  <c r="J985" i="9"/>
  <c r="H985" i="9"/>
  <c r="L984" i="9"/>
  <c r="J984" i="9"/>
  <c r="H984" i="9"/>
  <c r="H973" i="9"/>
  <c r="F972" i="9"/>
  <c r="F971" i="9"/>
  <c r="L968" i="9"/>
  <c r="J968" i="9"/>
  <c r="H968" i="9"/>
  <c r="L967" i="9"/>
  <c r="J967" i="9"/>
  <c r="H967" i="9"/>
  <c r="L966" i="9"/>
  <c r="J966" i="9"/>
  <c r="H966" i="9"/>
  <c r="L962" i="9"/>
  <c r="J962" i="9"/>
  <c r="H962" i="9"/>
  <c r="L961" i="9"/>
  <c r="J961" i="9"/>
  <c r="H961" i="9"/>
  <c r="L960" i="9"/>
  <c r="J960" i="9"/>
  <c r="H960" i="9"/>
  <c r="H949" i="9"/>
  <c r="F948" i="9"/>
  <c r="F947" i="9"/>
  <c r="L944" i="9"/>
  <c r="J944" i="9"/>
  <c r="H944" i="9"/>
  <c r="L943" i="9"/>
  <c r="J943" i="9"/>
  <c r="H943" i="9"/>
  <c r="L942" i="9"/>
  <c r="J942" i="9"/>
  <c r="H942" i="9"/>
  <c r="L938" i="9"/>
  <c r="J938" i="9"/>
  <c r="H938" i="9"/>
  <c r="L937" i="9"/>
  <c r="J937" i="9"/>
  <c r="H937" i="9"/>
  <c r="L936" i="9"/>
  <c r="J936" i="9"/>
  <c r="H936" i="9"/>
  <c r="H925" i="9"/>
  <c r="F924" i="9"/>
  <c r="L920" i="9"/>
  <c r="J920" i="9"/>
  <c r="H920" i="9"/>
  <c r="L919" i="9"/>
  <c r="J919" i="9"/>
  <c r="H919" i="9"/>
  <c r="L918" i="9"/>
  <c r="J918" i="9"/>
  <c r="H918" i="9"/>
  <c r="L914" i="9"/>
  <c r="J914" i="9"/>
  <c r="H914" i="9"/>
  <c r="L913" i="9"/>
  <c r="J913" i="9"/>
  <c r="H913" i="9"/>
  <c r="L912" i="9"/>
  <c r="J912" i="9"/>
  <c r="H912" i="9"/>
  <c r="H901" i="9"/>
  <c r="F900" i="9"/>
  <c r="L896" i="9"/>
  <c r="J896" i="9"/>
  <c r="H896" i="9"/>
  <c r="L895" i="9"/>
  <c r="J895" i="9"/>
  <c r="H895" i="9"/>
  <c r="L894" i="9"/>
  <c r="J894" i="9"/>
  <c r="H894" i="9"/>
  <c r="L890" i="9"/>
  <c r="J890" i="9"/>
  <c r="H890" i="9"/>
  <c r="L889" i="9"/>
  <c r="J889" i="9"/>
  <c r="H889" i="9"/>
  <c r="L888" i="9"/>
  <c r="J888" i="9"/>
  <c r="H888" i="9"/>
  <c r="H877" i="9"/>
  <c r="F876" i="9"/>
  <c r="L872" i="9"/>
  <c r="J872" i="9"/>
  <c r="H872" i="9"/>
  <c r="L871" i="9"/>
  <c r="J871" i="9"/>
  <c r="H871" i="9"/>
  <c r="L870" i="9"/>
  <c r="J870" i="9"/>
  <c r="H870" i="9"/>
  <c r="L866" i="9"/>
  <c r="J866" i="9"/>
  <c r="H866" i="9"/>
  <c r="L865" i="9"/>
  <c r="J865" i="9"/>
  <c r="H865" i="9"/>
  <c r="L864" i="9"/>
  <c r="J864" i="9"/>
  <c r="H864" i="9"/>
  <c r="H853" i="9"/>
  <c r="F851" i="9"/>
  <c r="L848" i="9"/>
  <c r="J848" i="9"/>
  <c r="H848" i="9"/>
  <c r="L847" i="9"/>
  <c r="J847" i="9"/>
  <c r="H847" i="9"/>
  <c r="L846" i="9"/>
  <c r="J846" i="9"/>
  <c r="H846" i="9"/>
  <c r="L842" i="9"/>
  <c r="J842" i="9"/>
  <c r="H842" i="9"/>
  <c r="L841" i="9"/>
  <c r="J841" i="9"/>
  <c r="H841" i="9"/>
  <c r="L840" i="9"/>
  <c r="J840" i="9"/>
  <c r="H840" i="9"/>
  <c r="H829" i="9"/>
  <c r="F827" i="9"/>
  <c r="L824" i="9"/>
  <c r="J824" i="9"/>
  <c r="H824" i="9"/>
  <c r="L823" i="9"/>
  <c r="J823" i="9"/>
  <c r="H823" i="9"/>
  <c r="L822" i="9"/>
  <c r="J822" i="9"/>
  <c r="H822" i="9"/>
  <c r="L818" i="9"/>
  <c r="J818" i="9"/>
  <c r="H818" i="9"/>
  <c r="L817" i="9"/>
  <c r="J817" i="9"/>
  <c r="H817" i="9"/>
  <c r="F816" i="9"/>
  <c r="H805" i="9"/>
  <c r="F803" i="9"/>
  <c r="L800" i="9"/>
  <c r="J800" i="9"/>
  <c r="H800" i="9"/>
  <c r="L799" i="9"/>
  <c r="J799" i="9"/>
  <c r="H799" i="9"/>
  <c r="L798" i="9"/>
  <c r="J798" i="9"/>
  <c r="H798" i="9"/>
  <c r="L794" i="9"/>
  <c r="J794" i="9"/>
  <c r="H794" i="9"/>
  <c r="L793" i="9"/>
  <c r="J793" i="9"/>
  <c r="H793" i="9"/>
  <c r="L792" i="9"/>
  <c r="J792" i="9"/>
  <c r="H792" i="9"/>
  <c r="H781" i="9"/>
  <c r="F779" i="9"/>
  <c r="L776" i="9"/>
  <c r="J776" i="9"/>
  <c r="H776" i="9"/>
  <c r="L775" i="9"/>
  <c r="J775" i="9"/>
  <c r="H775" i="9"/>
  <c r="L774" i="9"/>
  <c r="J774" i="9"/>
  <c r="H774" i="9"/>
  <c r="L770" i="9"/>
  <c r="J770" i="9"/>
  <c r="H770" i="9"/>
  <c r="L769" i="9"/>
  <c r="J769" i="9"/>
  <c r="H769" i="9"/>
  <c r="L768" i="9"/>
  <c r="J768" i="9"/>
  <c r="H768" i="9"/>
  <c r="H757" i="9"/>
  <c r="F755" i="9"/>
  <c r="L752" i="9"/>
  <c r="J752" i="9"/>
  <c r="H752" i="9"/>
  <c r="L751" i="9"/>
  <c r="J751" i="9"/>
  <c r="H751" i="9"/>
  <c r="L750" i="9"/>
  <c r="J750" i="9"/>
  <c r="H750" i="9"/>
  <c r="L746" i="9"/>
  <c r="J746" i="9"/>
  <c r="H746" i="9"/>
  <c r="L745" i="9"/>
  <c r="J745" i="9"/>
  <c r="H745" i="9"/>
  <c r="F744" i="9"/>
  <c r="H744" i="9" s="1"/>
  <c r="H733" i="9"/>
  <c r="F731" i="9"/>
  <c r="L728" i="9"/>
  <c r="J728" i="9"/>
  <c r="H728" i="9"/>
  <c r="L727" i="9"/>
  <c r="J727" i="9"/>
  <c r="H727" i="9"/>
  <c r="L726" i="9"/>
  <c r="J726" i="9"/>
  <c r="H726" i="9"/>
  <c r="L722" i="9"/>
  <c r="J722" i="9"/>
  <c r="H722" i="9"/>
  <c r="L721" i="9"/>
  <c r="J721" i="9"/>
  <c r="H721" i="9"/>
  <c r="L720" i="9"/>
  <c r="J720" i="9"/>
  <c r="H720" i="9"/>
  <c r="H709" i="9"/>
  <c r="F707" i="9"/>
  <c r="L704" i="9"/>
  <c r="J704" i="9"/>
  <c r="H704" i="9"/>
  <c r="L703" i="9"/>
  <c r="J703" i="9"/>
  <c r="H703" i="9"/>
  <c r="L702" i="9"/>
  <c r="J702" i="9"/>
  <c r="H702" i="9"/>
  <c r="L698" i="9"/>
  <c r="J698" i="9"/>
  <c r="H698" i="9"/>
  <c r="L697" i="9"/>
  <c r="J697" i="9"/>
  <c r="H697" i="9"/>
  <c r="L696" i="9"/>
  <c r="J696" i="9"/>
  <c r="H696" i="9"/>
  <c r="H685" i="9"/>
  <c r="F683" i="9"/>
  <c r="L680" i="9"/>
  <c r="J680" i="9"/>
  <c r="H680" i="9"/>
  <c r="L679" i="9"/>
  <c r="J679" i="9"/>
  <c r="H679" i="9"/>
  <c r="L678" i="9"/>
  <c r="J678" i="9"/>
  <c r="H678" i="9"/>
  <c r="L674" i="9"/>
  <c r="J674" i="9"/>
  <c r="H674" i="9"/>
  <c r="L673" i="9"/>
  <c r="J673" i="9"/>
  <c r="H673" i="9"/>
  <c r="L672" i="9"/>
  <c r="J672" i="9"/>
  <c r="H672" i="9"/>
  <c r="H661" i="9"/>
  <c r="F659" i="9"/>
  <c r="L656" i="9"/>
  <c r="J656" i="9"/>
  <c r="H656" i="9"/>
  <c r="L655" i="9"/>
  <c r="J655" i="9"/>
  <c r="H655" i="9"/>
  <c r="L654" i="9"/>
  <c r="J654" i="9"/>
  <c r="H654" i="9"/>
  <c r="L650" i="9"/>
  <c r="J650" i="9"/>
  <c r="H650" i="9"/>
  <c r="L649" i="9"/>
  <c r="J649" i="9"/>
  <c r="H649" i="9"/>
  <c r="L648" i="9"/>
  <c r="J648" i="9"/>
  <c r="H648" i="9"/>
  <c r="H637" i="9"/>
  <c r="L632" i="9"/>
  <c r="J632" i="9"/>
  <c r="H632" i="9"/>
  <c r="L631" i="9"/>
  <c r="J631" i="9"/>
  <c r="H631" i="9"/>
  <c r="L630" i="9"/>
  <c r="J630" i="9"/>
  <c r="H630" i="9"/>
  <c r="L626" i="9"/>
  <c r="J626" i="9"/>
  <c r="H626" i="9"/>
  <c r="L625" i="9"/>
  <c r="J625" i="9"/>
  <c r="H625" i="9"/>
  <c r="L624" i="9"/>
  <c r="J624" i="9"/>
  <c r="H624" i="9"/>
  <c r="H613" i="9"/>
  <c r="L608" i="9"/>
  <c r="J608" i="9"/>
  <c r="H608" i="9"/>
  <c r="L607" i="9"/>
  <c r="J607" i="9"/>
  <c r="H607" i="9"/>
  <c r="L606" i="9"/>
  <c r="J606" i="9"/>
  <c r="H606" i="9"/>
  <c r="L602" i="9"/>
  <c r="J602" i="9"/>
  <c r="H602" i="9"/>
  <c r="L601" i="9"/>
  <c r="J601" i="9"/>
  <c r="H601" i="9"/>
  <c r="L600" i="9"/>
  <c r="J600" i="9"/>
  <c r="H600" i="9"/>
  <c r="H589" i="9"/>
  <c r="L584" i="9"/>
  <c r="J584" i="9"/>
  <c r="H584" i="9"/>
  <c r="L583" i="9"/>
  <c r="J583" i="9"/>
  <c r="H583" i="9"/>
  <c r="L582" i="9"/>
  <c r="J582" i="9"/>
  <c r="H582" i="9"/>
  <c r="L578" i="9"/>
  <c r="J578" i="9"/>
  <c r="H578" i="9"/>
  <c r="L577" i="9"/>
  <c r="J577" i="9"/>
  <c r="H577" i="9"/>
  <c r="L576" i="9"/>
  <c r="J576" i="9"/>
  <c r="H576" i="9"/>
  <c r="H565" i="9"/>
  <c r="L560" i="9"/>
  <c r="J560" i="9"/>
  <c r="H560" i="9"/>
  <c r="L559" i="9"/>
  <c r="J559" i="9"/>
  <c r="H559" i="9"/>
  <c r="L558" i="9"/>
  <c r="J558" i="9"/>
  <c r="H558" i="9"/>
  <c r="L554" i="9"/>
  <c r="J554" i="9"/>
  <c r="H554" i="9"/>
  <c r="L553" i="9"/>
  <c r="J553" i="9"/>
  <c r="H553" i="9"/>
  <c r="L552" i="9"/>
  <c r="J552" i="9"/>
  <c r="H552" i="9"/>
  <c r="H541" i="9"/>
  <c r="L536" i="9"/>
  <c r="J536" i="9"/>
  <c r="H536" i="9"/>
  <c r="L535" i="9"/>
  <c r="J535" i="9"/>
  <c r="H535" i="9"/>
  <c r="L534" i="9"/>
  <c r="J534" i="9"/>
  <c r="H534" i="9"/>
  <c r="L530" i="9"/>
  <c r="J530" i="9"/>
  <c r="H530" i="9"/>
  <c r="L529" i="9"/>
  <c r="J529" i="9"/>
  <c r="H529" i="9"/>
  <c r="L528" i="9"/>
  <c r="J528" i="9"/>
  <c r="H528" i="9"/>
  <c r="H517" i="9"/>
  <c r="L512" i="9"/>
  <c r="J512" i="9"/>
  <c r="H512" i="9"/>
  <c r="L511" i="9"/>
  <c r="J511" i="9"/>
  <c r="H511" i="9"/>
  <c r="L510" i="9"/>
  <c r="J510" i="9"/>
  <c r="H510" i="9"/>
  <c r="L506" i="9"/>
  <c r="J506" i="9"/>
  <c r="H506" i="9"/>
  <c r="L505" i="9"/>
  <c r="J505" i="9"/>
  <c r="H505" i="9"/>
  <c r="L504" i="9"/>
  <c r="J504" i="9"/>
  <c r="H504" i="9"/>
  <c r="H493" i="9"/>
  <c r="L488" i="9"/>
  <c r="J488" i="9"/>
  <c r="H488" i="9"/>
  <c r="L487" i="9"/>
  <c r="J487" i="9"/>
  <c r="H487" i="9"/>
  <c r="L486" i="9"/>
  <c r="J486" i="9"/>
  <c r="H486" i="9"/>
  <c r="L482" i="9"/>
  <c r="J482" i="9"/>
  <c r="H482" i="9"/>
  <c r="L481" i="9"/>
  <c r="J481" i="9"/>
  <c r="H481" i="9"/>
  <c r="L480" i="9"/>
  <c r="J480" i="9"/>
  <c r="H480" i="9"/>
  <c r="H469" i="9"/>
  <c r="L464" i="9"/>
  <c r="J464" i="9"/>
  <c r="H464" i="9"/>
  <c r="L463" i="9"/>
  <c r="J463" i="9"/>
  <c r="H463" i="9"/>
  <c r="L462" i="9"/>
  <c r="J462" i="9"/>
  <c r="H462" i="9"/>
  <c r="L458" i="9"/>
  <c r="J458" i="9"/>
  <c r="H458" i="9"/>
  <c r="L457" i="9"/>
  <c r="J457" i="9"/>
  <c r="H457" i="9"/>
  <c r="L456" i="9"/>
  <c r="J456" i="9"/>
  <c r="H456" i="9"/>
  <c r="H445" i="9"/>
  <c r="L440" i="9"/>
  <c r="J440" i="9"/>
  <c r="H440" i="9"/>
  <c r="L439" i="9"/>
  <c r="J439" i="9"/>
  <c r="H439" i="9"/>
  <c r="L438" i="9"/>
  <c r="J438" i="9"/>
  <c r="H438" i="9"/>
  <c r="L434" i="9"/>
  <c r="J434" i="9"/>
  <c r="H434" i="9"/>
  <c r="L433" i="9"/>
  <c r="J433" i="9"/>
  <c r="H433" i="9"/>
  <c r="L432" i="9"/>
  <c r="J432" i="9"/>
  <c r="H432" i="9"/>
  <c r="H421" i="9"/>
  <c r="F419" i="9"/>
  <c r="L416" i="9"/>
  <c r="J416" i="9"/>
  <c r="H416" i="9"/>
  <c r="L415" i="9"/>
  <c r="J415" i="9"/>
  <c r="H415" i="9"/>
  <c r="L414" i="9"/>
  <c r="J414" i="9"/>
  <c r="H414" i="9"/>
  <c r="L410" i="9"/>
  <c r="J410" i="9"/>
  <c r="H410" i="9"/>
  <c r="L409" i="9"/>
  <c r="J409" i="9"/>
  <c r="H409" i="9"/>
  <c r="L408" i="9"/>
  <c r="J408" i="9"/>
  <c r="H408" i="9"/>
  <c r="H397" i="9"/>
  <c r="F395" i="9"/>
  <c r="L392" i="9"/>
  <c r="J392" i="9"/>
  <c r="H392" i="9"/>
  <c r="L391" i="9"/>
  <c r="J391" i="9"/>
  <c r="H391" i="9"/>
  <c r="L390" i="9"/>
  <c r="J390" i="9"/>
  <c r="H390" i="9"/>
  <c r="L386" i="9"/>
  <c r="J386" i="9"/>
  <c r="H386" i="9"/>
  <c r="L385" i="9"/>
  <c r="J385" i="9"/>
  <c r="H385" i="9"/>
  <c r="L384" i="9"/>
  <c r="J384" i="9"/>
  <c r="H384" i="9"/>
  <c r="H373" i="9"/>
  <c r="F371" i="9"/>
  <c r="L368" i="9"/>
  <c r="J368" i="9"/>
  <c r="H368" i="9"/>
  <c r="L367" i="9"/>
  <c r="J367" i="9"/>
  <c r="H367" i="9"/>
  <c r="L366" i="9"/>
  <c r="J366" i="9"/>
  <c r="H366" i="9"/>
  <c r="L362" i="9"/>
  <c r="J362" i="9"/>
  <c r="H362" i="9"/>
  <c r="L361" i="9"/>
  <c r="J361" i="9"/>
  <c r="H361" i="9"/>
  <c r="L360" i="9"/>
  <c r="J360" i="9"/>
  <c r="H360" i="9"/>
  <c r="H349" i="9"/>
  <c r="L344" i="9"/>
  <c r="J344" i="9"/>
  <c r="H344" i="9"/>
  <c r="L343" i="9"/>
  <c r="J343" i="9"/>
  <c r="H343" i="9"/>
  <c r="L342" i="9"/>
  <c r="J342" i="9"/>
  <c r="H342" i="9"/>
  <c r="L338" i="9"/>
  <c r="J338" i="9"/>
  <c r="H338" i="9"/>
  <c r="L337" i="9"/>
  <c r="J337" i="9"/>
  <c r="H337" i="9"/>
  <c r="L336" i="9"/>
  <c r="J336" i="9"/>
  <c r="H336" i="9"/>
  <c r="H325" i="9"/>
  <c r="L320" i="9"/>
  <c r="J320" i="9"/>
  <c r="H320" i="9"/>
  <c r="L319" i="9"/>
  <c r="J319" i="9"/>
  <c r="H319" i="9"/>
  <c r="L318" i="9"/>
  <c r="J318" i="9"/>
  <c r="H318" i="9"/>
  <c r="L314" i="9"/>
  <c r="J314" i="9"/>
  <c r="H314" i="9"/>
  <c r="L313" i="9"/>
  <c r="J313" i="9"/>
  <c r="H313" i="9"/>
  <c r="L312" i="9"/>
  <c r="J312" i="9"/>
  <c r="H312" i="9"/>
  <c r="H301" i="9"/>
  <c r="L296" i="9"/>
  <c r="J296" i="9"/>
  <c r="H296" i="9"/>
  <c r="L295" i="9"/>
  <c r="J295" i="9"/>
  <c r="H295" i="9"/>
  <c r="L294" i="9"/>
  <c r="J294" i="9"/>
  <c r="H294" i="9"/>
  <c r="L290" i="9"/>
  <c r="J290" i="9"/>
  <c r="H290" i="9"/>
  <c r="L289" i="9"/>
  <c r="J289" i="9"/>
  <c r="H289" i="9"/>
  <c r="L288" i="9"/>
  <c r="J288" i="9"/>
  <c r="H288" i="9"/>
  <c r="H253" i="9"/>
  <c r="L248" i="9"/>
  <c r="J248" i="9"/>
  <c r="H248" i="9"/>
  <c r="L247" i="9"/>
  <c r="J247" i="9"/>
  <c r="H247" i="9"/>
  <c r="L246" i="9"/>
  <c r="J246" i="9"/>
  <c r="H246" i="9"/>
  <c r="L242" i="9"/>
  <c r="J242" i="9"/>
  <c r="H242" i="9"/>
  <c r="F241" i="9"/>
  <c r="L241" i="9" s="1"/>
  <c r="L240" i="9"/>
  <c r="J240" i="9"/>
  <c r="H240" i="9"/>
  <c r="H229" i="9"/>
  <c r="H227" i="9"/>
  <c r="L224" i="9"/>
  <c r="J224" i="9"/>
  <c r="H224" i="9"/>
  <c r="L223" i="9"/>
  <c r="J223" i="9"/>
  <c r="H223" i="9"/>
  <c r="L222" i="9"/>
  <c r="J222" i="9"/>
  <c r="H222" i="9"/>
  <c r="L218" i="9"/>
  <c r="J218" i="9"/>
  <c r="H218" i="9"/>
  <c r="F217" i="9"/>
  <c r="H217" i="9" s="1"/>
  <c r="L216" i="9"/>
  <c r="J216" i="9"/>
  <c r="H216" i="9"/>
  <c r="H205" i="9"/>
  <c r="H203" i="9"/>
  <c r="J203" i="9" s="1"/>
  <c r="L200" i="9"/>
  <c r="J200" i="9"/>
  <c r="H200" i="9"/>
  <c r="L199" i="9"/>
  <c r="J199" i="9"/>
  <c r="H199" i="9"/>
  <c r="L198" i="9"/>
  <c r="J198" i="9"/>
  <c r="H198" i="9"/>
  <c r="L194" i="9"/>
  <c r="J194" i="9"/>
  <c r="H194" i="9"/>
  <c r="L193" i="9"/>
  <c r="J193" i="9"/>
  <c r="H193" i="9"/>
  <c r="L192" i="9"/>
  <c r="J192" i="9"/>
  <c r="H192" i="9"/>
  <c r="H181" i="9"/>
  <c r="H179" i="9"/>
  <c r="J179" i="9" s="1"/>
  <c r="L179" i="9" s="1"/>
  <c r="L182" i="9" s="1"/>
  <c r="L176" i="9"/>
  <c r="J176" i="9"/>
  <c r="H176" i="9"/>
  <c r="L175" i="9"/>
  <c r="J175" i="9"/>
  <c r="H175" i="9"/>
  <c r="L174" i="9"/>
  <c r="J174" i="9"/>
  <c r="H174" i="9"/>
  <c r="L170" i="9"/>
  <c r="J170" i="9"/>
  <c r="H170" i="9"/>
  <c r="L169" i="9"/>
  <c r="J169" i="9"/>
  <c r="H169" i="9"/>
  <c r="L168" i="9"/>
  <c r="J168" i="9"/>
  <c r="H168" i="9"/>
  <c r="H157" i="9"/>
  <c r="H155" i="9"/>
  <c r="L152" i="9"/>
  <c r="J152" i="9"/>
  <c r="H152" i="9"/>
  <c r="L151" i="9"/>
  <c r="J151" i="9"/>
  <c r="H151" i="9"/>
  <c r="L150" i="9"/>
  <c r="J150" i="9"/>
  <c r="H150" i="9"/>
  <c r="L146" i="9"/>
  <c r="J146" i="9"/>
  <c r="H146" i="9"/>
  <c r="L145" i="9"/>
  <c r="J145" i="9"/>
  <c r="H145" i="9"/>
  <c r="L144" i="9"/>
  <c r="J144" i="9"/>
  <c r="H144" i="9"/>
  <c r="H133" i="9"/>
  <c r="H131" i="9"/>
  <c r="L128" i="9"/>
  <c r="J128" i="9"/>
  <c r="H128" i="9"/>
  <c r="L127" i="9"/>
  <c r="J127" i="9"/>
  <c r="H127" i="9"/>
  <c r="L126" i="9"/>
  <c r="J126" i="9"/>
  <c r="H126" i="9"/>
  <c r="L122" i="9"/>
  <c r="J122" i="9"/>
  <c r="H122" i="9"/>
  <c r="L121" i="9"/>
  <c r="J121" i="9"/>
  <c r="H121" i="9"/>
  <c r="L120" i="9"/>
  <c r="J120" i="9"/>
  <c r="H120" i="9"/>
  <c r="H109" i="9"/>
  <c r="H110" i="9" s="1"/>
  <c r="L106" i="9"/>
  <c r="J106" i="9"/>
  <c r="H106" i="9"/>
  <c r="L105" i="9"/>
  <c r="J105" i="9"/>
  <c r="H105" i="9"/>
  <c r="L104" i="9"/>
  <c r="J104" i="9"/>
  <c r="H104" i="9"/>
  <c r="L100" i="9"/>
  <c r="J100" i="9"/>
  <c r="H100" i="9"/>
  <c r="L99" i="9"/>
  <c r="J99" i="9"/>
  <c r="H99" i="9"/>
  <c r="L98" i="9"/>
  <c r="J98" i="9"/>
  <c r="H98" i="9"/>
  <c r="H87" i="9"/>
  <c r="J87" i="9" s="1"/>
  <c r="L84" i="9"/>
  <c r="J84" i="9"/>
  <c r="H84" i="9"/>
  <c r="L83" i="9"/>
  <c r="J83" i="9"/>
  <c r="H83" i="9"/>
  <c r="L82" i="9"/>
  <c r="J82" i="9"/>
  <c r="H82" i="9"/>
  <c r="L78" i="9"/>
  <c r="J78" i="9"/>
  <c r="H78" i="9"/>
  <c r="L77" i="9"/>
  <c r="J77" i="9"/>
  <c r="H77" i="9"/>
  <c r="L76" i="9"/>
  <c r="J76" i="9"/>
  <c r="H76" i="9"/>
  <c r="H65" i="9"/>
  <c r="H66" i="9" s="1"/>
  <c r="L62" i="9"/>
  <c r="J62" i="9"/>
  <c r="H62" i="9"/>
  <c r="L61" i="9"/>
  <c r="J61" i="9"/>
  <c r="H61" i="9"/>
  <c r="L60" i="9"/>
  <c r="J60" i="9"/>
  <c r="H60" i="9"/>
  <c r="L56" i="9"/>
  <c r="J56" i="9"/>
  <c r="H56" i="9"/>
  <c r="L55" i="9"/>
  <c r="J55" i="9"/>
  <c r="H55" i="9"/>
  <c r="L54" i="9"/>
  <c r="J54" i="9"/>
  <c r="H54" i="9"/>
  <c r="H43" i="9"/>
  <c r="H44" i="9" s="1"/>
  <c r="L40" i="9"/>
  <c r="J40" i="9"/>
  <c r="H40" i="9"/>
  <c r="L39" i="9"/>
  <c r="J39" i="9"/>
  <c r="H39" i="9"/>
  <c r="L38" i="9"/>
  <c r="J38" i="9"/>
  <c r="H38" i="9"/>
  <c r="L34" i="9"/>
  <c r="J34" i="9"/>
  <c r="H34" i="9"/>
  <c r="L33" i="9"/>
  <c r="J33" i="9"/>
  <c r="H33" i="9"/>
  <c r="L32" i="9"/>
  <c r="J32" i="9"/>
  <c r="H32" i="9"/>
  <c r="H21" i="9"/>
  <c r="J21" i="9" s="1"/>
  <c r="L21" i="9" s="1"/>
  <c r="H20" i="9"/>
  <c r="J20" i="9" s="1"/>
  <c r="L20" i="9" s="1"/>
  <c r="L17" i="9"/>
  <c r="J17" i="9"/>
  <c r="H17" i="9"/>
  <c r="L16" i="9"/>
  <c r="J16" i="9"/>
  <c r="H16" i="9"/>
  <c r="L15" i="9"/>
  <c r="J15" i="9"/>
  <c r="H15" i="9"/>
  <c r="L12" i="9"/>
  <c r="J12" i="9"/>
  <c r="L11" i="9"/>
  <c r="J11" i="9"/>
  <c r="H11" i="9"/>
  <c r="L10" i="9"/>
  <c r="J10" i="9"/>
  <c r="H10" i="9"/>
  <c r="L9" i="9"/>
  <c r="J9" i="9"/>
  <c r="H9" i="9"/>
  <c r="F3914" i="5"/>
  <c r="F3940" i="5"/>
  <c r="L3954" i="5"/>
  <c r="J3954" i="5"/>
  <c r="H3953" i="5"/>
  <c r="G3952" i="5"/>
  <c r="F3952" i="5"/>
  <c r="E3952" i="5"/>
  <c r="C3952" i="5"/>
  <c r="G3951" i="5"/>
  <c r="H3951" i="5" s="1"/>
  <c r="E3951" i="5"/>
  <c r="C3951" i="5"/>
  <c r="L3949" i="5"/>
  <c r="J3949" i="5"/>
  <c r="G3947" i="5"/>
  <c r="H3947" i="5" s="1"/>
  <c r="E3947" i="5"/>
  <c r="C3947" i="5"/>
  <c r="C3946" i="5"/>
  <c r="C3945" i="5"/>
  <c r="C3944" i="5"/>
  <c r="G3943" i="5"/>
  <c r="H3943" i="5" s="1"/>
  <c r="E3943" i="5"/>
  <c r="C3943" i="5"/>
  <c r="L3941" i="5"/>
  <c r="J3941" i="5"/>
  <c r="G3940" i="5"/>
  <c r="E3940" i="5"/>
  <c r="C3940" i="5"/>
  <c r="G3939" i="5"/>
  <c r="H3939" i="5" s="1"/>
  <c r="E3939" i="5"/>
  <c r="C3939" i="5"/>
  <c r="L3938" i="5"/>
  <c r="J3938" i="5"/>
  <c r="G3938" i="5"/>
  <c r="H3938" i="5" s="1"/>
  <c r="E3938" i="5"/>
  <c r="C3938" i="5"/>
  <c r="F3926" i="5"/>
  <c r="L3928" i="5"/>
  <c r="J3928" i="5"/>
  <c r="H3927" i="5"/>
  <c r="G3926" i="5"/>
  <c r="E3926" i="5"/>
  <c r="C3926" i="5"/>
  <c r="G3925" i="5"/>
  <c r="H3925" i="5" s="1"/>
  <c r="E3925" i="5"/>
  <c r="C3925" i="5"/>
  <c r="L3923" i="5"/>
  <c r="J3923" i="5"/>
  <c r="G3921" i="5"/>
  <c r="H3921" i="5" s="1"/>
  <c r="E3921" i="5"/>
  <c r="C3921" i="5"/>
  <c r="C3920" i="5"/>
  <c r="C3919" i="5"/>
  <c r="C3918" i="5"/>
  <c r="G3917" i="5"/>
  <c r="H3917" i="5" s="1"/>
  <c r="E3917" i="5"/>
  <c r="C3917" i="5"/>
  <c r="L3915" i="5"/>
  <c r="J3915" i="5"/>
  <c r="G3914" i="5"/>
  <c r="E3914" i="5"/>
  <c r="C3914" i="5"/>
  <c r="G3913" i="5"/>
  <c r="H3913" i="5" s="1"/>
  <c r="E3913" i="5"/>
  <c r="C3913" i="5"/>
  <c r="L3912" i="5"/>
  <c r="J3912" i="5"/>
  <c r="G3912" i="5"/>
  <c r="H3912" i="5" s="1"/>
  <c r="E3912" i="5"/>
  <c r="C3912" i="5"/>
  <c r="F3900" i="5"/>
  <c r="L3902" i="5"/>
  <c r="J3902" i="5"/>
  <c r="H3901" i="5"/>
  <c r="G3900" i="5"/>
  <c r="E3900" i="5"/>
  <c r="C3900" i="5"/>
  <c r="G3899" i="5"/>
  <c r="H3899" i="5" s="1"/>
  <c r="E3899" i="5"/>
  <c r="C3899" i="5"/>
  <c r="L3897" i="5"/>
  <c r="J3897" i="5"/>
  <c r="G3895" i="5"/>
  <c r="H3895" i="5" s="1"/>
  <c r="E3895" i="5"/>
  <c r="C3895" i="5"/>
  <c r="C3894" i="5"/>
  <c r="C3893" i="5"/>
  <c r="C3892" i="5"/>
  <c r="G3891" i="5"/>
  <c r="H3891" i="5" s="1"/>
  <c r="E3891" i="5"/>
  <c r="C3891" i="5"/>
  <c r="L3889" i="5"/>
  <c r="J3889" i="5"/>
  <c r="G3888" i="5"/>
  <c r="H3888" i="5" s="1"/>
  <c r="E3888" i="5"/>
  <c r="C3888" i="5"/>
  <c r="G3887" i="5"/>
  <c r="H3887" i="5" s="1"/>
  <c r="E3887" i="5"/>
  <c r="C3887" i="5"/>
  <c r="L3886" i="5"/>
  <c r="J3886" i="5"/>
  <c r="G3886" i="5"/>
  <c r="H3886" i="5" s="1"/>
  <c r="E3886" i="5"/>
  <c r="C3886" i="5"/>
  <c r="F3873" i="5"/>
  <c r="L3875" i="5"/>
  <c r="J3875" i="5"/>
  <c r="H3874" i="5"/>
  <c r="G3873" i="5"/>
  <c r="E3873" i="5"/>
  <c r="C3873" i="5"/>
  <c r="G3872" i="5"/>
  <c r="H3872" i="5" s="1"/>
  <c r="E3872" i="5"/>
  <c r="C3872" i="5"/>
  <c r="L3870" i="5"/>
  <c r="J3870" i="5"/>
  <c r="G3868" i="5"/>
  <c r="H3868" i="5" s="1"/>
  <c r="E3868" i="5"/>
  <c r="C3868" i="5"/>
  <c r="C3867" i="5"/>
  <c r="C3866" i="5"/>
  <c r="C3865" i="5"/>
  <c r="G3864" i="5"/>
  <c r="H3864" i="5" s="1"/>
  <c r="E3864" i="5"/>
  <c r="C3864" i="5"/>
  <c r="L3862" i="5"/>
  <c r="J3862" i="5"/>
  <c r="G3861" i="5"/>
  <c r="H3861" i="5" s="1"/>
  <c r="E3861" i="5"/>
  <c r="C3861" i="5"/>
  <c r="G3860" i="5"/>
  <c r="H3860" i="5" s="1"/>
  <c r="E3860" i="5"/>
  <c r="C3860" i="5"/>
  <c r="L3859" i="5"/>
  <c r="J3859" i="5"/>
  <c r="G3859" i="5"/>
  <c r="H3859" i="5" s="1"/>
  <c r="E3859" i="5"/>
  <c r="C3859" i="5"/>
  <c r="F3846" i="5"/>
  <c r="G3841" i="5"/>
  <c r="H3841" i="5" s="1"/>
  <c r="E3841" i="5"/>
  <c r="C3841" i="5"/>
  <c r="C3840" i="5"/>
  <c r="C3839" i="5"/>
  <c r="C3838" i="5"/>
  <c r="H3940" i="5" l="1"/>
  <c r="G1067" i="9"/>
  <c r="G924" i="9"/>
  <c r="G1019" i="9"/>
  <c r="H4073" i="9"/>
  <c r="H4074" i="9" s="1"/>
  <c r="H4075" i="9" s="1"/>
  <c r="D169" i="8" s="1"/>
  <c r="H972" i="9"/>
  <c r="J3955" i="5"/>
  <c r="L3955" i="5"/>
  <c r="H3682" i="9"/>
  <c r="H1900" i="9"/>
  <c r="H3655" i="9"/>
  <c r="H996" i="9"/>
  <c r="H924" i="9"/>
  <c r="G900" i="9"/>
  <c r="H900" i="9" s="1"/>
  <c r="H902" i="9" s="1"/>
  <c r="G1043" i="9"/>
  <c r="H1043" i="9" s="1"/>
  <c r="G1367" i="9"/>
  <c r="H1367" i="9" s="1"/>
  <c r="G1522" i="9"/>
  <c r="H1522" i="9" s="1"/>
  <c r="G1416" i="9"/>
  <c r="H1416" i="9" s="1"/>
  <c r="J1416" i="9" s="1"/>
  <c r="J1419" i="9" s="1"/>
  <c r="G948" i="9"/>
  <c r="H948" i="9" s="1"/>
  <c r="G1091" i="9"/>
  <c r="H1091" i="9" s="1"/>
  <c r="J1091" i="9" s="1"/>
  <c r="J1094" i="9" s="1"/>
  <c r="G876" i="9"/>
  <c r="H876" i="9" s="1"/>
  <c r="G1520" i="9"/>
  <c r="H1520" i="9" s="1"/>
  <c r="J1520" i="9" s="1"/>
  <c r="G1495" i="9"/>
  <c r="H1495" i="9" s="1"/>
  <c r="J1495" i="9" s="1"/>
  <c r="L1495" i="9" s="1"/>
  <c r="L1498" i="9" s="1"/>
  <c r="G1293" i="9"/>
  <c r="H1293" i="9" s="1"/>
  <c r="G1266" i="9"/>
  <c r="H1266" i="9" s="1"/>
  <c r="G1165" i="9"/>
  <c r="H1165" i="9" s="1"/>
  <c r="G371" i="9"/>
  <c r="H371" i="9" s="1"/>
  <c r="H374" i="9" s="1"/>
  <c r="G611" i="9"/>
  <c r="H611" i="9" s="1"/>
  <c r="J611" i="9" s="1"/>
  <c r="L611" i="9" s="1"/>
  <c r="L614" i="9" s="1"/>
  <c r="G971" i="9"/>
  <c r="H971" i="9" s="1"/>
  <c r="J971" i="9" s="1"/>
  <c r="J974" i="9" s="1"/>
  <c r="G491" i="9"/>
  <c r="H491" i="9" s="1"/>
  <c r="J491" i="9" s="1"/>
  <c r="G659" i="9"/>
  <c r="H659" i="9" s="1"/>
  <c r="G851" i="9"/>
  <c r="H851" i="9" s="1"/>
  <c r="J851" i="9" s="1"/>
  <c r="G3976" i="9"/>
  <c r="H3976" i="9" s="1"/>
  <c r="H3978" i="9" s="1"/>
  <c r="G3897" i="9"/>
  <c r="H3897" i="9" s="1"/>
  <c r="H3899" i="9" s="1"/>
  <c r="G3870" i="9"/>
  <c r="H3870" i="9" s="1"/>
  <c r="H3872" i="9" s="1"/>
  <c r="G1116" i="9"/>
  <c r="H1116" i="9" s="1"/>
  <c r="H1118" i="9" s="1"/>
  <c r="G995" i="9"/>
  <c r="H995" i="9" s="1"/>
  <c r="G275" i="9"/>
  <c r="H275" i="9" s="1"/>
  <c r="G1391" i="9"/>
  <c r="H1391" i="9" s="1"/>
  <c r="J1391" i="9" s="1"/>
  <c r="J1394" i="9" s="1"/>
  <c r="G299" i="9"/>
  <c r="H299" i="9" s="1"/>
  <c r="H302" i="9" s="1"/>
  <c r="G4044" i="9"/>
  <c r="H4044" i="9" s="1"/>
  <c r="H4046" i="9" s="1"/>
  <c r="H4047" i="9" s="1"/>
  <c r="H4048" i="9" s="1"/>
  <c r="H4049" i="9" s="1"/>
  <c r="G587" i="9"/>
  <c r="H587" i="9" s="1"/>
  <c r="J587" i="9" s="1"/>
  <c r="J590" i="9" s="1"/>
  <c r="G1140" i="9"/>
  <c r="H1140" i="9" s="1"/>
  <c r="H1142" i="9" s="1"/>
  <c r="G419" i="9"/>
  <c r="H419" i="9" s="1"/>
  <c r="G4018" i="9"/>
  <c r="H4018" i="9" s="1"/>
  <c r="H4020" i="9" s="1"/>
  <c r="H4021" i="9" s="1"/>
  <c r="H4022" i="9" s="1"/>
  <c r="H4023" i="9" s="1"/>
  <c r="D166" i="8" s="1"/>
  <c r="G1521" i="9"/>
  <c r="H1521" i="9" s="1"/>
  <c r="G947" i="9"/>
  <c r="H947" i="9" s="1"/>
  <c r="G1466" i="9"/>
  <c r="H1466" i="9" s="1"/>
  <c r="H1469" i="9" s="1"/>
  <c r="G3997" i="9"/>
  <c r="H3997" i="9" s="1"/>
  <c r="H3999" i="9" s="1"/>
  <c r="H4000" i="9" s="1"/>
  <c r="H4001" i="9" s="1"/>
  <c r="H4002" i="9" s="1"/>
  <c r="D165" i="8" s="1"/>
  <c r="G3950" i="9"/>
  <c r="H3950" i="9" s="1"/>
  <c r="H3952" i="9" s="1"/>
  <c r="G1441" i="9"/>
  <c r="H1441" i="9" s="1"/>
  <c r="H1444" i="9" s="1"/>
  <c r="G323" i="9"/>
  <c r="H323" i="9" s="1"/>
  <c r="J323" i="9" s="1"/>
  <c r="L323" i="9" s="1"/>
  <c r="L326" i="9" s="1"/>
  <c r="G875" i="9"/>
  <c r="H875" i="9" s="1"/>
  <c r="J875" i="9" s="1"/>
  <c r="G1215" i="9"/>
  <c r="H1215" i="9" s="1"/>
  <c r="G803" i="9"/>
  <c r="H803" i="9" s="1"/>
  <c r="G827" i="9"/>
  <c r="H827" i="9" s="1"/>
  <c r="G779" i="9"/>
  <c r="H779" i="9" s="1"/>
  <c r="G1341" i="9"/>
  <c r="H1341" i="9" s="1"/>
  <c r="H1344" i="9" s="1"/>
  <c r="G467" i="9"/>
  <c r="H467" i="9" s="1"/>
  <c r="H470" i="9" s="1"/>
  <c r="G251" i="9"/>
  <c r="H251" i="9" s="1"/>
  <c r="J251" i="9" s="1"/>
  <c r="L251" i="9" s="1"/>
  <c r="L254" i="9" s="1"/>
  <c r="G443" i="9"/>
  <c r="H443" i="9" s="1"/>
  <c r="J443" i="9" s="1"/>
  <c r="G1092" i="9"/>
  <c r="H1092" i="9" s="1"/>
  <c r="G1366" i="9"/>
  <c r="H1366" i="9" s="1"/>
  <c r="G347" i="9"/>
  <c r="H347" i="9" s="1"/>
  <c r="J347" i="9" s="1"/>
  <c r="G395" i="9"/>
  <c r="H395" i="9" s="1"/>
  <c r="J395" i="9" s="1"/>
  <c r="J398" i="9" s="1"/>
  <c r="G3924" i="9"/>
  <c r="H3924" i="9" s="1"/>
  <c r="H3926" i="9" s="1"/>
  <c r="H707" i="9"/>
  <c r="H710" i="9" s="1"/>
  <c r="G563" i="9"/>
  <c r="H563" i="9" s="1"/>
  <c r="J563" i="9" s="1"/>
  <c r="G683" i="9"/>
  <c r="H683" i="9" s="1"/>
  <c r="J683" i="9" s="1"/>
  <c r="G3818" i="9"/>
  <c r="H3818" i="9" s="1"/>
  <c r="H3821" i="9" s="1"/>
  <c r="G539" i="9"/>
  <c r="H539" i="9" s="1"/>
  <c r="H542" i="9" s="1"/>
  <c r="G923" i="9"/>
  <c r="H923" i="9" s="1"/>
  <c r="J923" i="9" s="1"/>
  <c r="H2654" i="9"/>
  <c r="G755" i="9"/>
  <c r="H755" i="9" s="1"/>
  <c r="H758" i="9" s="1"/>
  <c r="G1190" i="9"/>
  <c r="H1190" i="9" s="1"/>
  <c r="H1192" i="9" s="1"/>
  <c r="G1289" i="9"/>
  <c r="H1289" i="9" s="1"/>
  <c r="J1289" i="9" s="1"/>
  <c r="L1289" i="9" s="1"/>
  <c r="L1294" i="9" s="1"/>
  <c r="G1264" i="9"/>
  <c r="H1264" i="9" s="1"/>
  <c r="J1264" i="9" s="1"/>
  <c r="G1216" i="9"/>
  <c r="H1216" i="9" s="1"/>
  <c r="G1166" i="9"/>
  <c r="H1166" i="9" s="1"/>
  <c r="G1239" i="9"/>
  <c r="H1239" i="9" s="1"/>
  <c r="J1239" i="9" s="1"/>
  <c r="H1019" i="9"/>
  <c r="H1022" i="9" s="1"/>
  <c r="G731" i="9"/>
  <c r="H731" i="9" s="1"/>
  <c r="J731" i="9" s="1"/>
  <c r="G635" i="9"/>
  <c r="H635" i="9" s="1"/>
  <c r="H638" i="9" s="1"/>
  <c r="G1316" i="9"/>
  <c r="H1316" i="9" s="1"/>
  <c r="H1319" i="9" s="1"/>
  <c r="G515" i="9"/>
  <c r="H515" i="9" s="1"/>
  <c r="J515" i="9" s="1"/>
  <c r="L515" i="9" s="1"/>
  <c r="L518" i="9" s="1"/>
  <c r="H1649" i="9"/>
  <c r="J1309" i="9"/>
  <c r="L85" i="9"/>
  <c r="H3800" i="9"/>
  <c r="H2349" i="9"/>
  <c r="J3737" i="9"/>
  <c r="J3738" i="9" s="1"/>
  <c r="J3739" i="9" s="1"/>
  <c r="J1589" i="9"/>
  <c r="J1564" i="9"/>
  <c r="L1589" i="9"/>
  <c r="H3749" i="9"/>
  <c r="H1287" i="9"/>
  <c r="H1549" i="9"/>
  <c r="L1764" i="9"/>
  <c r="J2520" i="9"/>
  <c r="L2445" i="9"/>
  <c r="L1459" i="9"/>
  <c r="L3711" i="9"/>
  <c r="L3712" i="9" s="1"/>
  <c r="H3736" i="9"/>
  <c r="H2817" i="9"/>
  <c r="L1664" i="9"/>
  <c r="H1574" i="9"/>
  <c r="J1890" i="9"/>
  <c r="H3793" i="9"/>
  <c r="L441" i="9"/>
  <c r="H489" i="9"/>
  <c r="H1339" i="9"/>
  <c r="H230" i="9"/>
  <c r="L3953" i="9"/>
  <c r="L3954" i="9" s="1"/>
  <c r="L3955" i="9" s="1"/>
  <c r="J3873" i="9"/>
  <c r="J3874" i="9" s="1"/>
  <c r="J3875" i="9" s="1"/>
  <c r="L988" i="9"/>
  <c r="L897" i="9"/>
  <c r="L393" i="9"/>
  <c r="J417" i="9"/>
  <c r="J628" i="9"/>
  <c r="H2501" i="9"/>
  <c r="J2545" i="9"/>
  <c r="H134" i="9"/>
  <c r="L417" i="9"/>
  <c r="J652" i="9"/>
  <c r="H2171" i="9"/>
  <c r="H2401" i="9"/>
  <c r="J1108" i="9"/>
  <c r="J1212" i="9"/>
  <c r="J772" i="9"/>
  <c r="H892" i="9"/>
  <c r="J796" i="9"/>
  <c r="J2419" i="9"/>
  <c r="H1599" i="9"/>
  <c r="H2000" i="9"/>
  <c r="J801" i="9"/>
  <c r="J393" i="9"/>
  <c r="L1113" i="9"/>
  <c r="J1162" i="9"/>
  <c r="J1207" i="9"/>
  <c r="L2339" i="9"/>
  <c r="L1339" i="9"/>
  <c r="L3781" i="9"/>
  <c r="L3782" i="9" s="1"/>
  <c r="L3783" i="9" s="1"/>
  <c r="H1017" i="9"/>
  <c r="L2572" i="9"/>
  <c r="H3756" i="9"/>
  <c r="H3780" i="9"/>
  <c r="H3522" i="9"/>
  <c r="J364" i="9"/>
  <c r="J102" i="9"/>
  <c r="L364" i="9"/>
  <c r="J724" i="9"/>
  <c r="L388" i="9"/>
  <c r="L724" i="9"/>
  <c r="L1689" i="9"/>
  <c r="H873" i="9"/>
  <c r="J1990" i="9"/>
  <c r="L412" i="9"/>
  <c r="J705" i="9"/>
  <c r="L3313" i="9"/>
  <c r="L3315" i="9" s="1"/>
  <c r="J3711" i="9"/>
  <c r="J3712" i="9" s="1"/>
  <c r="J85" i="9"/>
  <c r="L705" i="9"/>
  <c r="H849" i="9"/>
  <c r="J1459" i="9"/>
  <c r="H3320" i="9"/>
  <c r="L2416" i="9"/>
  <c r="L2419" i="9" s="1"/>
  <c r="H657" i="9"/>
  <c r="J3140" i="9"/>
  <c r="L172" i="9"/>
  <c r="H1060" i="9"/>
  <c r="L1282" i="9"/>
  <c r="L1512" i="9"/>
  <c r="J18" i="9"/>
  <c r="L129" i="9"/>
  <c r="J153" i="9"/>
  <c r="J249" i="9"/>
  <c r="L460" i="9"/>
  <c r="L657" i="9"/>
  <c r="H777" i="9"/>
  <c r="J1060" i="9"/>
  <c r="J1639" i="9"/>
  <c r="L18" i="9"/>
  <c r="L153" i="9"/>
  <c r="J177" i="9"/>
  <c r="L249" i="9"/>
  <c r="J436" i="9"/>
  <c r="J508" i="9"/>
  <c r="L609" i="9"/>
  <c r="L753" i="9"/>
  <c r="J777" i="9"/>
  <c r="J993" i="9"/>
  <c r="L1639" i="9"/>
  <c r="L2038" i="9"/>
  <c r="H2324" i="9"/>
  <c r="J3927" i="9"/>
  <c r="J3928" i="9" s="1"/>
  <c r="J129" i="9"/>
  <c r="H153" i="9"/>
  <c r="L225" i="9"/>
  <c r="J532" i="9"/>
  <c r="L993" i="9"/>
  <c r="L1493" i="9"/>
  <c r="J2324" i="9"/>
  <c r="L2467" i="9"/>
  <c r="L2470" i="9" s="1"/>
  <c r="L2481" i="9" s="1"/>
  <c r="J2955" i="9"/>
  <c r="L3339" i="9"/>
  <c r="L3341" i="9" s="1"/>
  <c r="J556" i="9"/>
  <c r="J1157" i="9"/>
  <c r="L1364" i="9"/>
  <c r="H2113" i="9"/>
  <c r="H2115" i="9" s="1"/>
  <c r="H3723" i="9"/>
  <c r="L556" i="9"/>
  <c r="J580" i="9"/>
  <c r="H1089" i="9"/>
  <c r="L1157" i="9"/>
  <c r="H1364" i="9"/>
  <c r="L1434" i="9"/>
  <c r="J1539" i="9"/>
  <c r="J2113" i="9"/>
  <c r="L2495" i="9"/>
  <c r="H2929" i="9"/>
  <c r="L22" i="9"/>
  <c r="H417" i="9"/>
  <c r="L580" i="9"/>
  <c r="L1539" i="9"/>
  <c r="L2314" i="9"/>
  <c r="L2325" i="9" s="1"/>
  <c r="L2326" i="9" s="1"/>
  <c r="L2327" i="9" s="1"/>
  <c r="H2374" i="9"/>
  <c r="H2843" i="9"/>
  <c r="J3313" i="9"/>
  <c r="J3315" i="9" s="1"/>
  <c r="H3577" i="9"/>
  <c r="L3979" i="9"/>
  <c r="L3980" i="9" s="1"/>
  <c r="L3981" i="9" s="1"/>
  <c r="H2517" i="9"/>
  <c r="H2520" i="9" s="1"/>
  <c r="J3822" i="9"/>
  <c r="J3823" i="9" s="1"/>
  <c r="J3824" i="9" s="1"/>
  <c r="L465" i="9"/>
  <c r="J1012" i="9"/>
  <c r="L3822" i="9"/>
  <c r="L3823" i="9" s="1"/>
  <c r="L2517" i="9"/>
  <c r="L2520" i="9" s="1"/>
  <c r="H3378" i="9"/>
  <c r="L3737" i="9"/>
  <c r="L3738" i="9" s="1"/>
  <c r="L3739" i="9" s="1"/>
  <c r="L201" i="9"/>
  <c r="L849" i="9"/>
  <c r="L1262" i="9"/>
  <c r="L1287" i="9"/>
  <c r="L1481" i="9"/>
  <c r="L1484" i="9" s="1"/>
  <c r="L1564" i="9"/>
  <c r="L489" i="9"/>
  <c r="H537" i="9"/>
  <c r="J897" i="9"/>
  <c r="L921" i="9"/>
  <c r="J964" i="9"/>
  <c r="L1012" i="9"/>
  <c r="H1262" i="9"/>
  <c r="H3416" i="9"/>
  <c r="H3418" i="9" s="1"/>
  <c r="L3683" i="9"/>
  <c r="L3684" i="9" s="1"/>
  <c r="L3685" i="9" s="1"/>
  <c r="J744" i="9"/>
  <c r="J748" i="9" s="1"/>
  <c r="L873" i="9"/>
  <c r="J1262" i="9"/>
  <c r="H1384" i="9"/>
  <c r="L2542" i="9"/>
  <c r="L2545" i="9" s="1"/>
  <c r="J3416" i="9"/>
  <c r="J3418" i="9" s="1"/>
  <c r="J36" i="9"/>
  <c r="J172" i="9"/>
  <c r="L744" i="9"/>
  <c r="L748" i="9" s="1"/>
  <c r="L945" i="9"/>
  <c r="H969" i="9"/>
  <c r="J1464" i="9"/>
  <c r="F2845" i="9"/>
  <c r="H2845" i="9" s="1"/>
  <c r="J2845" i="9" s="1"/>
  <c r="L2845" i="9" s="1"/>
  <c r="L2848" i="9" s="1"/>
  <c r="L3485" i="9"/>
  <c r="L3487" i="9" s="1"/>
  <c r="J3656" i="9"/>
  <c r="J3657" i="9" s="1"/>
  <c r="J3761" i="9"/>
  <c r="J3762" i="9" s="1"/>
  <c r="J3763" i="9" s="1"/>
  <c r="J969" i="9"/>
  <c r="J1334" i="9"/>
  <c r="L1439" i="9"/>
  <c r="L1464" i="9"/>
  <c r="L3656" i="9"/>
  <c r="J148" i="9"/>
  <c r="L796" i="9"/>
  <c r="H868" i="9"/>
  <c r="L969" i="9"/>
  <c r="L1314" i="9"/>
  <c r="L1359" i="9"/>
  <c r="J1764" i="9"/>
  <c r="H1825" i="9"/>
  <c r="H2050" i="9"/>
  <c r="H2455" i="9"/>
  <c r="L3633" i="9"/>
  <c r="L3634" i="9" s="1"/>
  <c r="L3635" i="9" s="1"/>
  <c r="H3651" i="9"/>
  <c r="H3760" i="9"/>
  <c r="L3448" i="9"/>
  <c r="L3451" i="9" s="1"/>
  <c r="J3451" i="9"/>
  <c r="L1747" i="9"/>
  <c r="L1749" i="9" s="1"/>
  <c r="J1749" i="9"/>
  <c r="L3269" i="9"/>
  <c r="L3272" i="9" s="1"/>
  <c r="J3272" i="9"/>
  <c r="J2875" i="9"/>
  <c r="L2872" i="9"/>
  <c r="L2875" i="9" s="1"/>
  <c r="J3522" i="9"/>
  <c r="L3519" i="9"/>
  <c r="L3522" i="9" s="1"/>
  <c r="J2769" i="9"/>
  <c r="L2766" i="9"/>
  <c r="L2769" i="9" s="1"/>
  <c r="J2453" i="9"/>
  <c r="J2455" i="9" s="1"/>
  <c r="J844" i="9"/>
  <c r="L148" i="9"/>
  <c r="J2889" i="9"/>
  <c r="J2891" i="9" s="1"/>
  <c r="L3873" i="9"/>
  <c r="L41" i="9"/>
  <c r="H2336" i="9"/>
  <c r="H2339" i="9" s="1"/>
  <c r="J753" i="9"/>
  <c r="J729" i="9"/>
  <c r="H465" i="9"/>
  <c r="H1812" i="9"/>
  <c r="H1815" i="9" s="1"/>
  <c r="J1547" i="9"/>
  <c r="L2782" i="9"/>
  <c r="L2784" i="9" s="1"/>
  <c r="J2782" i="9"/>
  <c r="J2784" i="9" s="1"/>
  <c r="J921" i="9"/>
  <c r="L1041" i="9"/>
  <c r="J1489" i="9"/>
  <c r="J1493" i="9" s="1"/>
  <c r="H2916" i="9"/>
  <c r="H2918" i="9" s="1"/>
  <c r="L2916" i="9"/>
  <c r="L2918" i="9" s="1"/>
  <c r="J2916" i="9"/>
  <c r="J2918" i="9" s="1"/>
  <c r="H3181" i="9"/>
  <c r="J3352" i="9"/>
  <c r="J1937" i="9"/>
  <c r="J1940" i="9" s="1"/>
  <c r="H2063" i="9"/>
  <c r="H2442" i="9"/>
  <c r="H2445" i="9" s="1"/>
  <c r="H3272" i="9"/>
  <c r="L3439" i="9"/>
  <c r="L3441" i="9" s="1"/>
  <c r="J3439" i="9"/>
  <c r="J3441" i="9" s="1"/>
  <c r="L63" i="9"/>
  <c r="H63" i="9"/>
  <c r="L508" i="9"/>
  <c r="H729" i="9"/>
  <c r="L2063" i="9"/>
  <c r="L2065" i="9" s="1"/>
  <c r="L2088" i="9"/>
  <c r="J2088" i="9"/>
  <c r="J2090" i="9" s="1"/>
  <c r="J2336" i="9"/>
  <c r="J2339" i="9" s="1"/>
  <c r="L3101" i="9"/>
  <c r="L3103" i="9" s="1"/>
  <c r="H3446" i="9"/>
  <c r="J441" i="9"/>
  <c r="L604" i="9"/>
  <c r="J1962" i="9"/>
  <c r="J1965" i="9" s="1"/>
  <c r="H441" i="9"/>
  <c r="J1812" i="9"/>
  <c r="J1815" i="9" s="1"/>
  <c r="L2140" i="9"/>
  <c r="J2274" i="9"/>
  <c r="L2272" i="9"/>
  <c r="L2274" i="9" s="1"/>
  <c r="L2503" i="9"/>
  <c r="L2505" i="9" s="1"/>
  <c r="J109" i="9"/>
  <c r="H2225" i="9"/>
  <c r="H249" i="9"/>
  <c r="L1017" i="9"/>
  <c r="H1187" i="9"/>
  <c r="H1212" i="9"/>
  <c r="J1314" i="9"/>
  <c r="J1837" i="9"/>
  <c r="J1840" i="9" s="1"/>
  <c r="L1837" i="9"/>
  <c r="L1840" i="9" s="1"/>
  <c r="H1837" i="9"/>
  <c r="H1840" i="9" s="1"/>
  <c r="L2048" i="9"/>
  <c r="L2050" i="9" s="1"/>
  <c r="J2138" i="9"/>
  <c r="J2492" i="9"/>
  <c r="J2495" i="9" s="1"/>
  <c r="J2506" i="9" s="1"/>
  <c r="J2507" i="9" s="1"/>
  <c r="J2597" i="9"/>
  <c r="J2600" i="9" s="1"/>
  <c r="L2995" i="9"/>
  <c r="L2997" i="9" s="1"/>
  <c r="J2995" i="9"/>
  <c r="J2997" i="9" s="1"/>
  <c r="H3423" i="9"/>
  <c r="L3846" i="9"/>
  <c r="L3847" i="9" s="1"/>
  <c r="L3848" i="9" s="1"/>
  <c r="L964" i="9"/>
  <c r="L1108" i="9"/>
  <c r="L2162" i="9"/>
  <c r="J2162" i="9"/>
  <c r="H2162" i="9"/>
  <c r="H2429" i="9"/>
  <c r="J3286" i="9"/>
  <c r="J3288" i="9" s="1"/>
  <c r="J3632" i="9"/>
  <c r="J3633" i="9" s="1"/>
  <c r="L633" i="9"/>
  <c r="J657" i="9"/>
  <c r="H897" i="9"/>
  <c r="L940" i="9"/>
  <c r="H964" i="9"/>
  <c r="J1132" i="9"/>
  <c r="H1749" i="9"/>
  <c r="L2969" i="9"/>
  <c r="L2971" i="9" s="1"/>
  <c r="J2969" i="9"/>
  <c r="J2971" i="9" s="1"/>
  <c r="L3286" i="9"/>
  <c r="L3288" i="9" s="1"/>
  <c r="H3339" i="9"/>
  <c r="H3341" i="9" s="1"/>
  <c r="L1611" i="9"/>
  <c r="L1614" i="9" s="1"/>
  <c r="J1611" i="9"/>
  <c r="J1614" i="9" s="1"/>
  <c r="J206" i="9"/>
  <c r="L203" i="9"/>
  <c r="L206" i="9" s="1"/>
  <c r="H705" i="9"/>
  <c r="H1489" i="9"/>
  <c r="H1493" i="9" s="1"/>
  <c r="H41" i="9"/>
  <c r="H681" i="9"/>
  <c r="H945" i="9"/>
  <c r="H1937" i="9"/>
  <c r="H1940" i="9" s="1"/>
  <c r="J2347" i="9"/>
  <c r="J2349" i="9" s="1"/>
  <c r="H2889" i="9"/>
  <c r="J3181" i="9"/>
  <c r="J3183" i="9" s="1"/>
  <c r="L681" i="9"/>
  <c r="J1572" i="9"/>
  <c r="J2442" i="9"/>
  <c r="J2445" i="9" s="1"/>
  <c r="H3101" i="9"/>
  <c r="H3103" i="9" s="1"/>
  <c r="J3322" i="9"/>
  <c r="H3325" i="9"/>
  <c r="L3375" i="9"/>
  <c r="L3378" i="9" s="1"/>
  <c r="J3378" i="9"/>
  <c r="J3379" i="9" s="1"/>
  <c r="J41" i="9"/>
  <c r="J3781" i="9"/>
  <c r="J3782" i="9" s="1"/>
  <c r="J3783" i="9" s="1"/>
  <c r="L107" i="9"/>
  <c r="J1287" i="9"/>
  <c r="L1962" i="9"/>
  <c r="L1965" i="9" s="1"/>
  <c r="L2223" i="9"/>
  <c r="L2225" i="9" s="1"/>
  <c r="J2225" i="9"/>
  <c r="H2249" i="9"/>
  <c r="H3732" i="9"/>
  <c r="J489" i="9"/>
  <c r="J3953" i="9"/>
  <c r="J3954" i="9" s="1"/>
  <c r="J3979" i="9"/>
  <c r="J3980" i="9" s="1"/>
  <c r="J3981" i="9" s="1"/>
  <c r="L177" i="9"/>
  <c r="J1017" i="9"/>
  <c r="L1084" i="9"/>
  <c r="L1187" i="9"/>
  <c r="H1314" i="9"/>
  <c r="H1464" i="9"/>
  <c r="H2138" i="9"/>
  <c r="H2492" i="9"/>
  <c r="H2495" i="9" s="1"/>
  <c r="H2597" i="9"/>
  <c r="H2600" i="9" s="1"/>
  <c r="H2875" i="9"/>
  <c r="H2995" i="9"/>
  <c r="H2997" i="9" s="1"/>
  <c r="H3710" i="9"/>
  <c r="L1212" i="9"/>
  <c r="H988" i="9"/>
  <c r="H1065" i="9"/>
  <c r="J1257" i="9"/>
  <c r="J1282" i="9"/>
  <c r="J1509" i="9"/>
  <c r="J1512" i="9" s="1"/>
  <c r="H2969" i="9"/>
  <c r="H2971" i="9" s="1"/>
  <c r="J3425" i="9"/>
  <c r="J3428" i="9" s="1"/>
  <c r="H3428" i="9"/>
  <c r="H2551" i="9"/>
  <c r="H1359" i="9"/>
  <c r="H1414" i="9"/>
  <c r="H1518" i="9"/>
  <c r="H18" i="9"/>
  <c r="L892" i="9"/>
  <c r="J1036" i="9"/>
  <c r="L1060" i="9"/>
  <c r="J1232" i="9"/>
  <c r="J1414" i="9"/>
  <c r="L1736" i="9"/>
  <c r="L1739" i="9" s="1"/>
  <c r="J1736" i="9"/>
  <c r="J1739" i="9" s="1"/>
  <c r="J2015" i="9"/>
  <c r="J2026" i="9" s="1"/>
  <c r="J2027" i="9" s="1"/>
  <c r="J2028" i="9" s="1"/>
  <c r="J2399" i="9"/>
  <c r="J2470" i="9"/>
  <c r="J3022" i="9"/>
  <c r="J3024" i="9" s="1"/>
  <c r="H3563" i="9"/>
  <c r="H3565" i="9" s="1"/>
  <c r="J124" i="9"/>
  <c r="H177" i="9"/>
  <c r="J225" i="9"/>
  <c r="J345" i="9"/>
  <c r="J873" i="9"/>
  <c r="H916" i="9"/>
  <c r="H1113" i="9"/>
  <c r="J1137" i="9"/>
  <c r="L1232" i="9"/>
  <c r="H1481" i="9"/>
  <c r="H1484" i="9" s="1"/>
  <c r="H2187" i="9"/>
  <c r="J3563" i="9"/>
  <c r="J3565" i="9" s="1"/>
  <c r="L102" i="9"/>
  <c r="L124" i="9"/>
  <c r="H158" i="9"/>
  <c r="J916" i="9"/>
  <c r="J1084" i="9"/>
  <c r="J2038" i="9"/>
  <c r="J2187" i="9"/>
  <c r="H2274" i="9"/>
  <c r="H2345" i="9"/>
  <c r="J3113" i="9"/>
  <c r="J3114" i="9" s="1"/>
  <c r="J3115" i="9" s="1"/>
  <c r="L3110" i="9"/>
  <c r="L3113" i="9" s="1"/>
  <c r="H801" i="9"/>
  <c r="H1237" i="9"/>
  <c r="H2299" i="9"/>
  <c r="H3451" i="9"/>
  <c r="J3683" i="9"/>
  <c r="J13" i="9"/>
  <c r="H321" i="9"/>
  <c r="L345" i="9"/>
  <c r="J537" i="9"/>
  <c r="J609" i="9"/>
  <c r="L700" i="9"/>
  <c r="J945" i="9"/>
  <c r="J1065" i="9"/>
  <c r="J321" i="9"/>
  <c r="J369" i="9"/>
  <c r="H513" i="9"/>
  <c r="J561" i="9"/>
  <c r="J849" i="9"/>
  <c r="L1065" i="9"/>
  <c r="L1237" i="9"/>
  <c r="J1339" i="9"/>
  <c r="J2388" i="9"/>
  <c r="J2391" i="9" s="1"/>
  <c r="J2640" i="9"/>
  <c r="J2641" i="9" s="1"/>
  <c r="J2642" i="9" s="1"/>
  <c r="H2769" i="9"/>
  <c r="L3348" i="9"/>
  <c r="L3351" i="9" s="1"/>
  <c r="L3900" i="9"/>
  <c r="L3901" i="9" s="1"/>
  <c r="L3902" i="9" s="1"/>
  <c r="H107" i="9"/>
  <c r="H206" i="9"/>
  <c r="L369" i="9"/>
  <c r="L436" i="9"/>
  <c r="J513" i="9"/>
  <c r="J585" i="9"/>
  <c r="H1012" i="9"/>
  <c r="J1409" i="9"/>
  <c r="H2150" i="9"/>
  <c r="H2467" i="9"/>
  <c r="H2470" i="9" s="1"/>
  <c r="H2480" i="9"/>
  <c r="H2542" i="9"/>
  <c r="H2545" i="9" s="1"/>
  <c r="J3259" i="9"/>
  <c r="J3261" i="9" s="1"/>
  <c r="H3485" i="9"/>
  <c r="H3487" i="9" s="1"/>
  <c r="H825" i="9"/>
  <c r="H369" i="9"/>
  <c r="L585" i="9"/>
  <c r="J892" i="9"/>
  <c r="H993" i="9"/>
  <c r="J1182" i="9"/>
  <c r="J1384" i="9"/>
  <c r="L1987" i="9"/>
  <c r="L1990" i="9" s="1"/>
  <c r="H2125" i="9"/>
  <c r="L13" i="9"/>
  <c r="J65" i="9"/>
  <c r="J66" i="9" s="1"/>
  <c r="J196" i="9"/>
  <c r="J676" i="9"/>
  <c r="L1384" i="9"/>
  <c r="H129" i="9"/>
  <c r="H393" i="9"/>
  <c r="J460" i="9"/>
  <c r="J633" i="9"/>
  <c r="L777" i="9"/>
  <c r="L868" i="9"/>
  <c r="H1036" i="9"/>
  <c r="L1409" i="9"/>
  <c r="H1674" i="9"/>
  <c r="J2148" i="9"/>
  <c r="H2270" i="9"/>
  <c r="H2526" i="9"/>
  <c r="H3113" i="9"/>
  <c r="L3259" i="9"/>
  <c r="L3261" i="9" s="1"/>
  <c r="H2071" i="9"/>
  <c r="H2221" i="9"/>
  <c r="H1084" i="9"/>
  <c r="H2245" i="9"/>
  <c r="H1871" i="9"/>
  <c r="H3267" i="9"/>
  <c r="H1282" i="9"/>
  <c r="H1434" i="9"/>
  <c r="H2196" i="9"/>
  <c r="H2096" i="9"/>
  <c r="H2888" i="9"/>
  <c r="H2046" i="9"/>
  <c r="H3813" i="9"/>
  <c r="H3952" i="5"/>
  <c r="H3954" i="5" s="1"/>
  <c r="H244" i="9"/>
  <c r="H2764" i="9"/>
  <c r="H3497" i="9"/>
  <c r="H2425" i="9"/>
  <c r="J1823" i="9"/>
  <c r="J1825" i="9" s="1"/>
  <c r="H3399" i="9"/>
  <c r="H3082" i="9"/>
  <c r="H3180" i="9"/>
  <c r="H3391" i="9"/>
  <c r="H3394" i="9" s="1"/>
  <c r="H1996" i="9"/>
  <c r="H220" i="9"/>
  <c r="H2870" i="9"/>
  <c r="H124" i="9"/>
  <c r="H1157" i="9"/>
  <c r="H1182" i="9"/>
  <c r="H1539" i="9"/>
  <c r="H1409" i="9"/>
  <c r="H1645" i="9"/>
  <c r="H3647" i="9"/>
  <c r="H3077" i="9"/>
  <c r="H3697" i="9"/>
  <c r="H2976" i="9"/>
  <c r="H2583" i="9"/>
  <c r="H3003" i="9"/>
  <c r="H3859" i="9"/>
  <c r="H2809" i="9"/>
  <c r="H2812" i="9" s="1"/>
  <c r="H2861" i="9"/>
  <c r="H2864" i="9" s="1"/>
  <c r="H3056" i="9"/>
  <c r="H604" i="9"/>
  <c r="H1564" i="9"/>
  <c r="H1736" i="9"/>
  <c r="H1739" i="9" s="1"/>
  <c r="H2311" i="9"/>
  <c r="H2314" i="9" s="1"/>
  <c r="J2608" i="9"/>
  <c r="H2611" i="9"/>
  <c r="J2794" i="9"/>
  <c r="J2797" i="9" s="1"/>
  <c r="H2797" i="9"/>
  <c r="J3497" i="9"/>
  <c r="J3498" i="9" s="1"/>
  <c r="L3494" i="9"/>
  <c r="L3497" i="9" s="1"/>
  <c r="H2784" i="9"/>
  <c r="H3845" i="9"/>
  <c r="H3188" i="9"/>
  <c r="H1570" i="9"/>
  <c r="H724" i="9"/>
  <c r="H3214" i="9"/>
  <c r="H1925" i="9"/>
  <c r="H3670" i="9"/>
  <c r="H102" i="9"/>
  <c r="H1639" i="9"/>
  <c r="H508" i="9"/>
  <c r="H1689" i="9"/>
  <c r="H3030" i="9"/>
  <c r="H532" i="9"/>
  <c r="H676" i="9"/>
  <c r="H2370" i="9"/>
  <c r="H1067" i="9"/>
  <c r="H1070" i="9" s="1"/>
  <c r="J1167" i="9"/>
  <c r="L1164" i="9"/>
  <c r="L1167" i="9" s="1"/>
  <c r="H1207" i="9"/>
  <c r="H2606" i="9"/>
  <c r="H36" i="9"/>
  <c r="H148" i="9"/>
  <c r="H58" i="9"/>
  <c r="H172" i="9"/>
  <c r="H460" i="9"/>
  <c r="H748" i="9"/>
  <c r="H1875" i="9"/>
  <c r="H3162" i="9"/>
  <c r="H3965" i="9"/>
  <c r="H182" i="9"/>
  <c r="H628" i="9"/>
  <c r="L1189" i="9"/>
  <c r="L1192" i="9" s="1"/>
  <c r="J1875" i="9"/>
  <c r="J182" i="9"/>
  <c r="H2397" i="9"/>
  <c r="H2451" i="9"/>
  <c r="H2712" i="9"/>
  <c r="H3240" i="9"/>
  <c r="H3632" i="9"/>
  <c r="H3913" i="9"/>
  <c r="H1921" i="9"/>
  <c r="H1965" i="9"/>
  <c r="H1545" i="9"/>
  <c r="H2950" i="9"/>
  <c r="H13" i="9"/>
  <c r="H2924" i="9"/>
  <c r="H3439" i="9"/>
  <c r="H3441" i="9" s="1"/>
  <c r="H3773" i="9"/>
  <c r="H3135" i="9"/>
  <c r="H2738" i="9"/>
  <c r="H556" i="9"/>
  <c r="H700" i="9"/>
  <c r="H1620" i="9"/>
  <c r="H1764" i="9"/>
  <c r="H3258" i="9"/>
  <c r="H3261" i="9" s="1"/>
  <c r="H3373" i="9"/>
  <c r="H1232" i="9"/>
  <c r="H196" i="9"/>
  <c r="J88" i="9"/>
  <c r="L87" i="9"/>
  <c r="L88" i="9" s="1"/>
  <c r="J1848" i="9"/>
  <c r="H1850" i="9"/>
  <c r="H2836" i="9"/>
  <c r="H2838" i="9" s="1"/>
  <c r="J2836" i="9"/>
  <c r="J2838" i="9" s="1"/>
  <c r="L2836" i="9"/>
  <c r="L2838" i="9" s="1"/>
  <c r="H1624" i="9"/>
  <c r="J1622" i="9"/>
  <c r="L1912" i="9"/>
  <c r="L1915" i="9" s="1"/>
  <c r="H1912" i="9"/>
  <c r="H1915" i="9" s="1"/>
  <c r="J1912" i="9"/>
  <c r="J1915" i="9" s="1"/>
  <c r="J1926" i="9" s="1"/>
  <c r="H1257" i="9"/>
  <c r="J3058" i="9"/>
  <c r="H3061" i="9"/>
  <c r="J1316" i="9"/>
  <c r="J2429" i="9"/>
  <c r="L2427" i="9"/>
  <c r="L2429" i="9" s="1"/>
  <c r="L36" i="9"/>
  <c r="H436" i="9"/>
  <c r="J1647" i="9"/>
  <c r="H1720" i="9"/>
  <c r="J2100" i="9"/>
  <c r="L2098" i="9"/>
  <c r="L2100" i="9" s="1"/>
  <c r="L292" i="9"/>
  <c r="H364" i="9"/>
  <c r="J2173" i="9"/>
  <c r="H2175" i="9"/>
  <c r="H2361" i="9"/>
  <c r="H2364" i="9" s="1"/>
  <c r="L2361" i="9"/>
  <c r="L2364" i="9" s="1"/>
  <c r="J2361" i="9"/>
  <c r="J2364" i="9" s="1"/>
  <c r="H412" i="9"/>
  <c r="H561" i="9"/>
  <c r="H1132" i="9"/>
  <c r="J43" i="9"/>
  <c r="L801" i="9"/>
  <c r="J988" i="9"/>
  <c r="L1923" i="9"/>
  <c r="L1925" i="9" s="1"/>
  <c r="J241" i="9"/>
  <c r="J244" i="9" s="1"/>
  <c r="L1132" i="9"/>
  <c r="H1774" i="9"/>
  <c r="J1772" i="9"/>
  <c r="H580" i="9"/>
  <c r="H340" i="9"/>
  <c r="J1214" i="9"/>
  <c r="H1699" i="9"/>
  <c r="H1770" i="9"/>
  <c r="J412" i="9"/>
  <c r="J22" i="9"/>
  <c r="J316" i="9"/>
  <c r="L844" i="9"/>
  <c r="J1115" i="9"/>
  <c r="J1359" i="9"/>
  <c r="H1971" i="9"/>
  <c r="J3084" i="9"/>
  <c r="H3087" i="9"/>
  <c r="J3127" i="9"/>
  <c r="J3129" i="9" s="1"/>
  <c r="H3127" i="9"/>
  <c r="H3129" i="9" s="1"/>
  <c r="L3127" i="9"/>
  <c r="L3129" i="9" s="1"/>
  <c r="L3141" i="9" s="1"/>
  <c r="L58" i="9"/>
  <c r="H88" i="9"/>
  <c r="J2662" i="9"/>
  <c r="H2665" i="9"/>
  <c r="L2740" i="9"/>
  <c r="L2743" i="9" s="1"/>
  <c r="H1887" i="9"/>
  <c r="H1890" i="9" s="1"/>
  <c r="L1887" i="9"/>
  <c r="L1890" i="9" s="1"/>
  <c r="H80" i="9"/>
  <c r="H1670" i="9"/>
  <c r="J2583" i="9"/>
  <c r="L2580" i="9"/>
  <c r="L2583" i="9" s="1"/>
  <c r="J227" i="9"/>
  <c r="L1697" i="9"/>
  <c r="L1699" i="9" s="1"/>
  <c r="J1699" i="9"/>
  <c r="L816" i="9"/>
  <c r="L820" i="9" s="1"/>
  <c r="J816" i="9"/>
  <c r="J820" i="9" s="1"/>
  <c r="H816" i="9"/>
  <c r="H820" i="9" s="1"/>
  <c r="H1695" i="9"/>
  <c r="H3548" i="9"/>
  <c r="J3545" i="9"/>
  <c r="H22" i="9"/>
  <c r="H844" i="9"/>
  <c r="H3051" i="9"/>
  <c r="H3474" i="9"/>
  <c r="J3471" i="9"/>
  <c r="J58" i="9"/>
  <c r="J131" i="9"/>
  <c r="H316" i="9"/>
  <c r="H1309" i="9"/>
  <c r="L316" i="9"/>
  <c r="H292" i="9"/>
  <c r="J465" i="9"/>
  <c r="H484" i="9"/>
  <c r="H633" i="9"/>
  <c r="J899" i="9"/>
  <c r="H1389" i="9"/>
  <c r="L2862" i="9"/>
  <c r="L2864" i="9" s="1"/>
  <c r="J2862" i="9"/>
  <c r="J2864" i="9" s="1"/>
  <c r="J825" i="9"/>
  <c r="L1389" i="9"/>
  <c r="L1414" i="9"/>
  <c r="J2261" i="9"/>
  <c r="J2264" i="9" s="1"/>
  <c r="L2261" i="9"/>
  <c r="L2264" i="9" s="1"/>
  <c r="H2261" i="9"/>
  <c r="H2264" i="9" s="1"/>
  <c r="J2299" i="9"/>
  <c r="L2297" i="9"/>
  <c r="L2299" i="9" s="1"/>
  <c r="H3517" i="9"/>
  <c r="H201" i="9"/>
  <c r="L772" i="9"/>
  <c r="H796" i="9"/>
  <c r="L825" i="9"/>
  <c r="H1108" i="9"/>
  <c r="J1139" i="9"/>
  <c r="L1334" i="9"/>
  <c r="J1364" i="9"/>
  <c r="J201" i="9"/>
  <c r="H345" i="9"/>
  <c r="L561" i="9"/>
  <c r="H609" i="9"/>
  <c r="J1948" i="9"/>
  <c r="H1950" i="9"/>
  <c r="J3577" i="9"/>
  <c r="L3574" i="9"/>
  <c r="L3577" i="9" s="1"/>
  <c r="L3578" i="9" s="1"/>
  <c r="J3846" i="9"/>
  <c r="H2146" i="9"/>
  <c r="H2163" i="9"/>
  <c r="L2163" i="9"/>
  <c r="J2163" i="9"/>
  <c r="H2578" i="9"/>
  <c r="H2943" i="9"/>
  <c r="H2945" i="9" s="1"/>
  <c r="J2943" i="9"/>
  <c r="J2945" i="9" s="1"/>
  <c r="L2943" i="9"/>
  <c r="L2945" i="9" s="1"/>
  <c r="L2956" i="9" s="1"/>
  <c r="L1257" i="9"/>
  <c r="J3190" i="9"/>
  <c r="H3193" i="9"/>
  <c r="J155" i="9"/>
  <c r="L244" i="9"/>
  <c r="L340" i="9"/>
  <c r="J1998" i="9"/>
  <c r="L2023" i="9"/>
  <c r="L2025" i="9" s="1"/>
  <c r="L2188" i="9"/>
  <c r="L2190" i="9" s="1"/>
  <c r="H2188" i="9"/>
  <c r="J2200" i="9"/>
  <c r="L2198" i="9"/>
  <c r="L2200" i="9" s="1"/>
  <c r="L2213" i="9"/>
  <c r="J2213" i="9"/>
  <c r="H2213" i="9"/>
  <c r="H3351" i="9"/>
  <c r="H2320" i="9"/>
  <c r="J217" i="9"/>
  <c r="J220" i="9" s="1"/>
  <c r="L217" i="9"/>
  <c r="L220" i="9" s="1"/>
  <c r="L1137" i="9"/>
  <c r="H1821" i="9"/>
  <c r="H2704" i="9"/>
  <c r="H2706" i="9" s="1"/>
  <c r="L2704" i="9"/>
  <c r="L2706" i="9" s="1"/>
  <c r="J2704" i="9"/>
  <c r="J2706" i="9" s="1"/>
  <c r="J2718" i="9" s="1"/>
  <c r="L532" i="9"/>
  <c r="H1589" i="9"/>
  <c r="H1724" i="9"/>
  <c r="J1722" i="9"/>
  <c r="H3941" i="5"/>
  <c r="J292" i="9"/>
  <c r="J3032" i="9"/>
  <c r="H3035" i="9"/>
  <c r="L652" i="9"/>
  <c r="L676" i="9"/>
  <c r="L729" i="9"/>
  <c r="L1672" i="9"/>
  <c r="L1674" i="9" s="1"/>
  <c r="J1898" i="9"/>
  <c r="H2025" i="9"/>
  <c r="J2188" i="9"/>
  <c r="H2476" i="9"/>
  <c r="L3049" i="9"/>
  <c r="L3051" i="9" s="1"/>
  <c r="J3049" i="9"/>
  <c r="J3051" i="9" s="1"/>
  <c r="L1089" i="9"/>
  <c r="H2792" i="9"/>
  <c r="J2899" i="9"/>
  <c r="H2902" i="9"/>
  <c r="L2238" i="9"/>
  <c r="L2240" i="9" s="1"/>
  <c r="J2238" i="9"/>
  <c r="J2553" i="9"/>
  <c r="H2555" i="9"/>
  <c r="H2626" i="9"/>
  <c r="H3604" i="9"/>
  <c r="L3801" i="9"/>
  <c r="H388" i="9"/>
  <c r="J484" i="9"/>
  <c r="J681" i="9"/>
  <c r="J940" i="9"/>
  <c r="J1089" i="9"/>
  <c r="H1846" i="9"/>
  <c r="H2137" i="9"/>
  <c r="H2416" i="9"/>
  <c r="H2419" i="9" s="1"/>
  <c r="H3021" i="9"/>
  <c r="H3024" i="9" s="1"/>
  <c r="J297" i="9"/>
  <c r="J388" i="9"/>
  <c r="L484" i="9"/>
  <c r="H652" i="9"/>
  <c r="H772" i="9"/>
  <c r="L1207" i="9"/>
  <c r="J1237" i="9"/>
  <c r="L1865" i="9"/>
  <c r="L1876" i="9" s="1"/>
  <c r="J1973" i="9"/>
  <c r="H1975" i="9"/>
  <c r="J2137" i="9"/>
  <c r="H2238" i="9"/>
  <c r="J3242" i="9"/>
  <c r="H3245" i="9"/>
  <c r="H3592" i="9"/>
  <c r="J63" i="9"/>
  <c r="H85" i="9"/>
  <c r="L297" i="9"/>
  <c r="J1113" i="9"/>
  <c r="L1786" i="9"/>
  <c r="L1789" i="9" s="1"/>
  <c r="J1786" i="9"/>
  <c r="J1789" i="9" s="1"/>
  <c r="H1786" i="9"/>
  <c r="H1789" i="9" s="1"/>
  <c r="H1896" i="9"/>
  <c r="L2123" i="9"/>
  <c r="L2125" i="9" s="1"/>
  <c r="H2897" i="9"/>
  <c r="J2926" i="9"/>
  <c r="H3510" i="9"/>
  <c r="H3512" i="9" s="1"/>
  <c r="L3510" i="9"/>
  <c r="L3512" i="9" s="1"/>
  <c r="J3510" i="9"/>
  <c r="J3512" i="9" s="1"/>
  <c r="H585" i="9"/>
  <c r="H753" i="9"/>
  <c r="L1182" i="9"/>
  <c r="J2528" i="9"/>
  <c r="H2530" i="9"/>
  <c r="H3154" i="9"/>
  <c r="J3154" i="9"/>
  <c r="J3156" i="9" s="1"/>
  <c r="L3154" i="9"/>
  <c r="L3156" i="9" s="1"/>
  <c r="L3927" i="9"/>
  <c r="H297" i="9"/>
  <c r="J340" i="9"/>
  <c r="L513" i="9"/>
  <c r="L1036" i="9"/>
  <c r="H1334" i="9"/>
  <c r="J1389" i="9"/>
  <c r="J1711" i="9"/>
  <c r="J1714" i="9" s="1"/>
  <c r="L1711" i="9"/>
  <c r="L1714" i="9" s="1"/>
  <c r="H1711" i="9"/>
  <c r="H1714" i="9" s="1"/>
  <c r="J2372" i="9"/>
  <c r="L2756" i="9"/>
  <c r="L2758" i="9" s="1"/>
  <c r="J2756" i="9"/>
  <c r="J2758" i="9" s="1"/>
  <c r="H2756" i="9"/>
  <c r="H2758" i="9" s="1"/>
  <c r="H3233" i="9"/>
  <c r="H3235" i="9" s="1"/>
  <c r="L3233" i="9"/>
  <c r="L3235" i="9" s="1"/>
  <c r="J3233" i="9"/>
  <c r="J3235" i="9" s="1"/>
  <c r="L3365" i="9"/>
  <c r="L3367" i="9" s="1"/>
  <c r="H3365" i="9"/>
  <c r="H3367" i="9" s="1"/>
  <c r="J868" i="9"/>
  <c r="H1041" i="9"/>
  <c r="H1162" i="9"/>
  <c r="L1309" i="9"/>
  <c r="H1614" i="9"/>
  <c r="H1664" i="9"/>
  <c r="J1689" i="9"/>
  <c r="H1795" i="9"/>
  <c r="H2730" i="9"/>
  <c r="H2732" i="9" s="1"/>
  <c r="L2730" i="9"/>
  <c r="L2732" i="9" s="1"/>
  <c r="H1745" i="9"/>
  <c r="H1862" i="9"/>
  <c r="H1865" i="9" s="1"/>
  <c r="J1862" i="9"/>
  <c r="J1865" i="9" s="1"/>
  <c r="H2087" i="9"/>
  <c r="H2090" i="9" s="1"/>
  <c r="H2569" i="9"/>
  <c r="H2572" i="9" s="1"/>
  <c r="J3605" i="9"/>
  <c r="H3939" i="9"/>
  <c r="J2249" i="9"/>
  <c r="L2247" i="9"/>
  <c r="L2249" i="9" s="1"/>
  <c r="J80" i="9"/>
  <c r="L196" i="9"/>
  <c r="L80" i="9"/>
  <c r="H225" i="9"/>
  <c r="L537" i="9"/>
  <c r="J604" i="9"/>
  <c r="J1041" i="9"/>
  <c r="H1595" i="9"/>
  <c r="L321" i="9"/>
  <c r="L916" i="9"/>
  <c r="H940" i="9"/>
  <c r="H1509" i="9"/>
  <c r="H1512" i="9" s="1"/>
  <c r="J1597" i="9"/>
  <c r="L2087" i="9"/>
  <c r="J2311" i="9"/>
  <c r="J2314" i="9" s="1"/>
  <c r="J2569" i="9"/>
  <c r="J2572" i="9" s="1"/>
  <c r="H2686" i="9"/>
  <c r="H2691" i="9"/>
  <c r="J2688" i="9"/>
  <c r="J2730" i="9"/>
  <c r="J2732" i="9" s="1"/>
  <c r="J2744" i="9" s="1"/>
  <c r="L3713" i="9"/>
  <c r="H3536" i="9"/>
  <c r="H3538" i="9" s="1"/>
  <c r="L3536" i="9"/>
  <c r="L3538" i="9" s="1"/>
  <c r="J107" i="9"/>
  <c r="J700" i="9"/>
  <c r="H921" i="9"/>
  <c r="L1162" i="9"/>
  <c r="J1434" i="9"/>
  <c r="H1455" i="9"/>
  <c r="H1459" i="9" s="1"/>
  <c r="L2037" i="9"/>
  <c r="J2037" i="9"/>
  <c r="H2037" i="9"/>
  <c r="H2040" i="9" s="1"/>
  <c r="H2121" i="9"/>
  <c r="H2660" i="9"/>
  <c r="J2810" i="9"/>
  <c r="J2812" i="9" s="1"/>
  <c r="L2810" i="9"/>
  <c r="L2812" i="9" s="1"/>
  <c r="J3005" i="9"/>
  <c r="H3008" i="9"/>
  <c r="H1439" i="9"/>
  <c r="J2112" i="9"/>
  <c r="L2112" i="9"/>
  <c r="L2115" i="9" s="1"/>
  <c r="J2237" i="9"/>
  <c r="H2237" i="9"/>
  <c r="L3392" i="9"/>
  <c r="L3394" i="9" s="1"/>
  <c r="J3392" i="9"/>
  <c r="J3394" i="9" s="1"/>
  <c r="L628" i="9"/>
  <c r="J1439" i="9"/>
  <c r="J1797" i="9"/>
  <c r="H2062" i="9"/>
  <c r="H2100" i="9"/>
  <c r="J1187" i="9"/>
  <c r="J1664" i="9"/>
  <c r="J1675" i="9" s="1"/>
  <c r="J2062" i="9"/>
  <c r="J2065" i="9" s="1"/>
  <c r="L2391" i="9"/>
  <c r="H2680" i="9"/>
  <c r="L3022" i="9"/>
  <c r="L3024" i="9" s="1"/>
  <c r="H3167" i="9"/>
  <c r="J3164" i="9"/>
  <c r="H3219" i="9"/>
  <c r="J3216" i="9"/>
  <c r="H3294" i="9"/>
  <c r="H1137" i="9"/>
  <c r="L1940" i="9"/>
  <c r="H2295" i="9"/>
  <c r="H2981" i="9"/>
  <c r="J2978" i="9"/>
  <c r="L3075" i="9"/>
  <c r="L3077" i="9" s="1"/>
  <c r="J3075" i="9"/>
  <c r="J3077" i="9" s="1"/>
  <c r="H3315" i="9"/>
  <c r="H1946" i="9"/>
  <c r="L2678" i="9"/>
  <c r="L2680" i="9" s="1"/>
  <c r="J2678" i="9"/>
  <c r="J2680" i="9" s="1"/>
  <c r="H2743" i="9"/>
  <c r="H3207" i="9"/>
  <c r="H3209" i="9" s="1"/>
  <c r="L3207" i="9"/>
  <c r="L3209" i="9" s="1"/>
  <c r="J3207" i="9"/>
  <c r="J3209" i="9" s="1"/>
  <c r="J3296" i="9"/>
  <c r="H3299" i="9"/>
  <c r="H3543" i="9"/>
  <c r="L1815" i="9"/>
  <c r="H2021" i="9"/>
  <c r="H3140" i="9"/>
  <c r="H3153" i="9"/>
  <c r="H3346" i="9"/>
  <c r="H3620" i="9"/>
  <c r="H2075" i="9"/>
  <c r="J2212" i="9"/>
  <c r="L2212" i="9"/>
  <c r="H2212" i="9"/>
  <c r="H3108" i="9"/>
  <c r="J2073" i="9"/>
  <c r="H2286" i="9"/>
  <c r="H2289" i="9" s="1"/>
  <c r="L2286" i="9"/>
  <c r="L2289" i="9" s="1"/>
  <c r="J2286" i="9"/>
  <c r="J2289" i="9" s="1"/>
  <c r="J2480" i="9"/>
  <c r="L2636" i="9"/>
  <c r="L2639" i="9" s="1"/>
  <c r="L2640" i="9" s="1"/>
  <c r="H2822" i="9"/>
  <c r="J2819" i="9"/>
  <c r="H3288" i="9"/>
  <c r="H3469" i="9"/>
  <c r="J3462" i="9"/>
  <c r="J3464" i="9" s="1"/>
  <c r="H3462" i="9"/>
  <c r="H3464" i="9" s="1"/>
  <c r="J3801" i="9"/>
  <c r="H3490" i="9"/>
  <c r="H3492" i="9" s="1"/>
  <c r="H3834" i="9"/>
  <c r="H1987" i="9"/>
  <c r="H1990" i="9" s="1"/>
  <c r="L2012" i="9"/>
  <c r="L2015" i="9" s="1"/>
  <c r="H2012" i="9"/>
  <c r="H2015" i="9" s="1"/>
  <c r="H2200" i="9"/>
  <c r="H2388" i="9"/>
  <c r="H2391" i="9" s="1"/>
  <c r="H2639" i="9"/>
  <c r="L2714" i="9"/>
  <c r="L2717" i="9" s="1"/>
  <c r="H2955" i="9"/>
  <c r="L3761" i="9"/>
  <c r="H3404" i="9"/>
  <c r="J3401" i="9"/>
  <c r="H3886" i="9"/>
  <c r="H2505" i="9"/>
  <c r="L2600" i="9"/>
  <c r="H2717" i="9"/>
  <c r="J3900" i="9"/>
  <c r="L3601" i="9"/>
  <c r="L3604" i="9" s="1"/>
  <c r="L3605" i="9" s="1"/>
  <c r="H3914" i="5"/>
  <c r="H3915" i="5" s="1"/>
  <c r="J3956" i="5"/>
  <c r="J3957" i="5" s="1"/>
  <c r="L3956" i="5"/>
  <c r="L3957" i="5" s="1"/>
  <c r="H3926" i="5"/>
  <c r="H3928" i="5" s="1"/>
  <c r="J3929" i="5"/>
  <c r="J3930" i="5" s="1"/>
  <c r="L3929" i="5"/>
  <c r="L3930" i="5" s="1"/>
  <c r="L3931" i="5" s="1"/>
  <c r="J3876" i="5"/>
  <c r="J3877" i="5" s="1"/>
  <c r="J3878" i="5" s="1"/>
  <c r="J3903" i="5"/>
  <c r="J3904" i="5" s="1"/>
  <c r="J3905" i="5" s="1"/>
  <c r="L3903" i="5"/>
  <c r="L3904" i="5" s="1"/>
  <c r="L3905" i="5" s="1"/>
  <c r="H3900" i="5"/>
  <c r="H3902" i="5" s="1"/>
  <c r="H3889" i="5"/>
  <c r="L3876" i="5"/>
  <c r="L3877" i="5" s="1"/>
  <c r="L3878" i="5" s="1"/>
  <c r="H3862" i="5"/>
  <c r="H3873" i="5"/>
  <c r="H3875" i="5" s="1"/>
  <c r="J1466" i="9" l="1"/>
  <c r="H1167" i="9"/>
  <c r="J518" i="9"/>
  <c r="J3931" i="5"/>
  <c r="H518" i="9"/>
  <c r="H1369" i="9"/>
  <c r="H1370" i="9" s="1"/>
  <c r="H1371" i="9" s="1"/>
  <c r="H1372" i="9" s="1"/>
  <c r="J1441" i="9"/>
  <c r="J1444" i="9" s="1"/>
  <c r="J1445" i="9" s="1"/>
  <c r="H614" i="9"/>
  <c r="J254" i="9"/>
  <c r="J255" i="9" s="1"/>
  <c r="J256" i="9" s="1"/>
  <c r="H446" i="9"/>
  <c r="H447" i="9" s="1"/>
  <c r="H448" i="9" s="1"/>
  <c r="H449" i="9" s="1"/>
  <c r="D24" i="8" s="1"/>
  <c r="L1391" i="9"/>
  <c r="L1394" i="9" s="1"/>
  <c r="L1395" i="9" s="1"/>
  <c r="L1396" i="9" s="1"/>
  <c r="L1397" i="9" s="1"/>
  <c r="J707" i="9"/>
  <c r="J710" i="9" s="1"/>
  <c r="J711" i="9" s="1"/>
  <c r="H3801" i="9"/>
  <c r="H3802" i="9" s="1"/>
  <c r="H3803" i="9" s="1"/>
  <c r="D157" i="8" s="1"/>
  <c r="H1419" i="9"/>
  <c r="H1420" i="9" s="1"/>
  <c r="H1421" i="9" s="1"/>
  <c r="H1422" i="9" s="1"/>
  <c r="D64" i="8" s="1"/>
  <c r="H590" i="9"/>
  <c r="H591" i="9" s="1"/>
  <c r="L587" i="9"/>
  <c r="L590" i="9" s="1"/>
  <c r="L591" i="9" s="1"/>
  <c r="L592" i="9" s="1"/>
  <c r="L593" i="9" s="1"/>
  <c r="H1217" i="9"/>
  <c r="H494" i="9"/>
  <c r="L1416" i="9"/>
  <c r="L1419" i="9" s="1"/>
  <c r="L1420" i="9" s="1"/>
  <c r="L1421" i="9" s="1"/>
  <c r="L1422" i="9" s="1"/>
  <c r="H1242" i="9"/>
  <c r="H1243" i="9" s="1"/>
  <c r="H1244" i="9" s="1"/>
  <c r="H1245" i="9" s="1"/>
  <c r="D57" i="8" s="1"/>
  <c r="H566" i="9"/>
  <c r="H567" i="9" s="1"/>
  <c r="H568" i="9" s="1"/>
  <c r="H569" i="9" s="1"/>
  <c r="D29" i="8" s="1"/>
  <c r="H926" i="9"/>
  <c r="H927" i="9" s="1"/>
  <c r="H928" i="9" s="1"/>
  <c r="H929" i="9" s="1"/>
  <c r="D44" i="8" s="1"/>
  <c r="H1046" i="9"/>
  <c r="H1047" i="9" s="1"/>
  <c r="H1048" i="9" s="1"/>
  <c r="H1049" i="9" s="1"/>
  <c r="D49" i="8" s="1"/>
  <c r="J1043" i="9"/>
  <c r="L1043" i="9" s="1"/>
  <c r="L1046" i="9" s="1"/>
  <c r="L1047" i="9" s="1"/>
  <c r="J467" i="9"/>
  <c r="J470" i="9" s="1"/>
  <c r="J471" i="9" s="1"/>
  <c r="J539" i="9"/>
  <c r="J542" i="9" s="1"/>
  <c r="J543" i="9" s="1"/>
  <c r="H350" i="9"/>
  <c r="H351" i="9" s="1"/>
  <c r="H326" i="9"/>
  <c r="H327" i="9" s="1"/>
  <c r="H328" i="9" s="1"/>
  <c r="H329" i="9" s="1"/>
  <c r="D19" i="8" s="1"/>
  <c r="J299" i="9"/>
  <c r="J302" i="9" s="1"/>
  <c r="J303" i="9" s="1"/>
  <c r="J614" i="9"/>
  <c r="J615" i="9" s="1"/>
  <c r="J326" i="9"/>
  <c r="J327" i="9" s="1"/>
  <c r="J328" i="9" s="1"/>
  <c r="J635" i="9"/>
  <c r="L635" i="9" s="1"/>
  <c r="L638" i="9" s="1"/>
  <c r="L639" i="9" s="1"/>
  <c r="H1524" i="9"/>
  <c r="H1525" i="9" s="1"/>
  <c r="H1498" i="9"/>
  <c r="H1499" i="9" s="1"/>
  <c r="H1500" i="9" s="1"/>
  <c r="H878" i="9"/>
  <c r="H879" i="9" s="1"/>
  <c r="H880" i="9" s="1"/>
  <c r="H881" i="9" s="1"/>
  <c r="D42" i="8" s="1"/>
  <c r="J1341" i="9"/>
  <c r="J1344" i="9" s="1"/>
  <c r="J1345" i="9" s="1"/>
  <c r="J1294" i="9"/>
  <c r="J1295" i="9" s="1"/>
  <c r="J1296" i="9" s="1"/>
  <c r="J1297" i="9" s="1"/>
  <c r="J1019" i="9"/>
  <c r="L1019" i="9" s="1"/>
  <c r="L1022" i="9" s="1"/>
  <c r="L1023" i="9" s="1"/>
  <c r="H1294" i="9"/>
  <c r="H1295" i="9" s="1"/>
  <c r="H1296" i="9" s="1"/>
  <c r="H1297" i="9" s="1"/>
  <c r="D59" i="8" s="1"/>
  <c r="J1498" i="9"/>
  <c r="J1499" i="9" s="1"/>
  <c r="J1500" i="9" s="1"/>
  <c r="J1501" i="9" s="1"/>
  <c r="H1094" i="9"/>
  <c r="H1095" i="9" s="1"/>
  <c r="H1096" i="9" s="1"/>
  <c r="J779" i="9"/>
  <c r="H782" i="9"/>
  <c r="H783" i="9" s="1"/>
  <c r="H784" i="9" s="1"/>
  <c r="H785" i="9" s="1"/>
  <c r="D38" i="8" s="1" a="1"/>
  <c r="D38" i="8" s="1"/>
  <c r="H1267" i="9"/>
  <c r="H1268" i="9" s="1"/>
  <c r="J1366" i="9"/>
  <c r="J1369" i="9" s="1"/>
  <c r="J1370" i="9" s="1"/>
  <c r="L395" i="9"/>
  <c r="L398" i="9" s="1"/>
  <c r="L399" i="9" s="1"/>
  <c r="L400" i="9" s="1"/>
  <c r="L401" i="9" s="1"/>
  <c r="H398" i="9"/>
  <c r="H399" i="9" s="1"/>
  <c r="J419" i="9"/>
  <c r="J422" i="9" s="1"/>
  <c r="J423" i="9" s="1"/>
  <c r="H422" i="9"/>
  <c r="H423" i="9" s="1"/>
  <c r="H424" i="9" s="1"/>
  <c r="H425" i="9" s="1"/>
  <c r="D23" i="8" s="1"/>
  <c r="H254" i="9"/>
  <c r="H255" i="9" s="1"/>
  <c r="H998" i="9"/>
  <c r="H999" i="9" s="1"/>
  <c r="H1000" i="9" s="1"/>
  <c r="H1001" i="9" s="1"/>
  <c r="D47" i="8" s="1"/>
  <c r="J995" i="9"/>
  <c r="L995" i="9" s="1"/>
  <c r="L998" i="9" s="1"/>
  <c r="L999" i="9" s="1"/>
  <c r="J947" i="9"/>
  <c r="H950" i="9"/>
  <c r="H951" i="9" s="1"/>
  <c r="H952" i="9" s="1"/>
  <c r="J803" i="9"/>
  <c r="H806" i="9"/>
  <c r="H807" i="9" s="1"/>
  <c r="H808" i="9" s="1"/>
  <c r="J659" i="9"/>
  <c r="J662" i="9" s="1"/>
  <c r="J663" i="9" s="1"/>
  <c r="H662" i="9"/>
  <c r="H663" i="9" s="1"/>
  <c r="H278" i="9"/>
  <c r="H279" i="9" s="1"/>
  <c r="H280" i="9" s="1"/>
  <c r="H281" i="9" s="1"/>
  <c r="D17" i="8" s="1"/>
  <c r="J275" i="9"/>
  <c r="H854" i="9"/>
  <c r="H855" i="9" s="1"/>
  <c r="H856" i="9" s="1"/>
  <c r="H1394" i="9"/>
  <c r="H1395" i="9" s="1"/>
  <c r="H1396" i="9" s="1"/>
  <c r="H1397" i="9" s="1"/>
  <c r="D63" i="8" s="1"/>
  <c r="H3761" i="9"/>
  <c r="H3762" i="9" s="1"/>
  <c r="J755" i="9"/>
  <c r="J758" i="9" s="1"/>
  <c r="J759" i="9" s="1"/>
  <c r="H686" i="9"/>
  <c r="H687" i="9" s="1"/>
  <c r="H688" i="9" s="1"/>
  <c r="H689" i="9" s="1"/>
  <c r="D34" i="8" s="1"/>
  <c r="H974" i="9"/>
  <c r="H975" i="9" s="1"/>
  <c r="H976" i="9" s="1"/>
  <c r="J371" i="9"/>
  <c r="L371" i="9" s="1"/>
  <c r="L374" i="9" s="1"/>
  <c r="L375" i="9" s="1"/>
  <c r="H734" i="9"/>
  <c r="H735" i="9" s="1"/>
  <c r="H736" i="9" s="1"/>
  <c r="H737" i="9" s="1"/>
  <c r="D36" i="8" s="1"/>
  <c r="L971" i="9"/>
  <c r="L974" i="9" s="1"/>
  <c r="L975" i="9" s="1"/>
  <c r="L976" i="9" s="1"/>
  <c r="L977" i="9" s="1"/>
  <c r="J14" i="15"/>
  <c r="L1675" i="9"/>
  <c r="L1676" i="9" s="1"/>
  <c r="L1677" i="9" s="1"/>
  <c r="J3273" i="9"/>
  <c r="J3274" i="9" s="1"/>
  <c r="J3275" i="9" s="1"/>
  <c r="L3352" i="9"/>
  <c r="L3353" i="9" s="1"/>
  <c r="L3354" i="9" s="1"/>
  <c r="J2430" i="9"/>
  <c r="J2431" i="9" s="1"/>
  <c r="J2432" i="9" s="1"/>
  <c r="L2090" i="9"/>
  <c r="L2101" i="9" s="1"/>
  <c r="H3656" i="9"/>
  <c r="H3657" i="9" s="1"/>
  <c r="H3658" i="9" s="1"/>
  <c r="D151" i="8" s="1"/>
  <c r="J591" i="9"/>
  <c r="J592" i="9" s="1"/>
  <c r="J593" i="9" s="1"/>
  <c r="H2350" i="9"/>
  <c r="H2351" i="9" s="1"/>
  <c r="H2352" i="9" s="1"/>
  <c r="D101" i="8" s="1"/>
  <c r="L1700" i="9"/>
  <c r="L1701" i="9" s="1"/>
  <c r="L1702" i="9" s="1"/>
  <c r="H1320" i="9"/>
  <c r="H1321" i="9" s="1"/>
  <c r="H1322" i="9" s="1"/>
  <c r="D60" i="8" s="1"/>
  <c r="H3183" i="9"/>
  <c r="H3194" i="9" s="1"/>
  <c r="H3195" i="9" s="1"/>
  <c r="H3196" i="9" s="1"/>
  <c r="D133" i="8" s="1"/>
  <c r="J89" i="9"/>
  <c r="J90" i="9" s="1"/>
  <c r="J91" i="9" s="1"/>
  <c r="H2506" i="9"/>
  <c r="H2507" i="9" s="1"/>
  <c r="H2508" i="9" s="1"/>
  <c r="D107" i="8" s="1"/>
  <c r="J1168" i="9"/>
  <c r="J1169" i="9" s="1"/>
  <c r="J1170" i="9" s="1"/>
  <c r="L2430" i="9"/>
  <c r="L2431" i="9" s="1"/>
  <c r="L2432" i="9" s="1"/>
  <c r="J2456" i="9"/>
  <c r="J2457" i="9" s="1"/>
  <c r="J2458" i="9" s="1"/>
  <c r="J3929" i="9"/>
  <c r="L1499" i="9"/>
  <c r="L1500" i="9" s="1"/>
  <c r="L1501" i="9" s="1"/>
  <c r="H1345" i="9"/>
  <c r="H1346" i="9" s="1"/>
  <c r="H1347" i="9" s="1"/>
  <c r="J3713" i="9"/>
  <c r="J519" i="9"/>
  <c r="J520" i="9" s="1"/>
  <c r="J3578" i="9"/>
  <c r="J3579" i="9" s="1"/>
  <c r="J3580" i="9" s="1"/>
  <c r="J2115" i="9"/>
  <c r="J2126" i="9" s="1"/>
  <c r="J2127" i="9" s="1"/>
  <c r="J2128" i="9" s="1"/>
  <c r="L2876" i="9"/>
  <c r="L2877" i="9" s="1"/>
  <c r="L2878" i="9" s="1"/>
  <c r="J2798" i="9"/>
  <c r="J2799" i="9" s="1"/>
  <c r="J2800" i="9" s="1"/>
  <c r="L2165" i="9"/>
  <c r="H3737" i="9"/>
  <c r="H3738" i="9" s="1"/>
  <c r="L3452" i="9"/>
  <c r="L3453" i="9" s="1"/>
  <c r="L3454" i="9" s="1"/>
  <c r="L615" i="9"/>
  <c r="L616" i="9" s="1"/>
  <c r="L617" i="9" s="1"/>
  <c r="J3141" i="9"/>
  <c r="J3142" i="9" s="1"/>
  <c r="J3143" i="9" s="1"/>
  <c r="H2848" i="9"/>
  <c r="H2849" i="9" s="1"/>
  <c r="H2850" i="9" s="1"/>
  <c r="H3781" i="9"/>
  <c r="H3782" i="9" s="1"/>
  <c r="H3783" i="9" s="1"/>
  <c r="D156" i="8" s="1"/>
  <c r="J2876" i="9"/>
  <c r="L2584" i="9"/>
  <c r="L2585" i="9" s="1"/>
  <c r="L2586" i="9" s="1"/>
  <c r="L1750" i="9"/>
  <c r="L1751" i="9" s="1"/>
  <c r="L1752" i="9" s="1"/>
  <c r="L3114" i="9"/>
  <c r="L3115" i="9" s="1"/>
  <c r="L3116" i="9" s="1"/>
  <c r="J2165" i="9"/>
  <c r="H1801" i="9"/>
  <c r="H1802" i="9" s="1"/>
  <c r="H1803" i="9" s="1"/>
  <c r="D79" i="8" s="1"/>
  <c r="J2481" i="9"/>
  <c r="J2482" i="9" s="1"/>
  <c r="J2483" i="9" s="1"/>
  <c r="J3452" i="9"/>
  <c r="J3453" i="9" s="1"/>
  <c r="J3454" i="9" s="1"/>
  <c r="L23" i="9"/>
  <c r="L24" i="9" s="1"/>
  <c r="L25" i="9" s="1"/>
  <c r="H471" i="9"/>
  <c r="H472" i="9" s="1"/>
  <c r="H473" i="9" s="1"/>
  <c r="D25" i="8" s="1"/>
  <c r="J2190" i="9"/>
  <c r="J2201" i="9" s="1"/>
  <c r="J2202" i="9" s="1"/>
  <c r="L519" i="9"/>
  <c r="L520" i="9" s="1"/>
  <c r="L521" i="9" s="1"/>
  <c r="H67" i="9"/>
  <c r="H68" i="9" s="1"/>
  <c r="H69" i="9" s="1"/>
  <c r="D8" i="8" s="1"/>
  <c r="J1420" i="9"/>
  <c r="J1421" i="9" s="1"/>
  <c r="J2956" i="9"/>
  <c r="J2957" i="9" s="1"/>
  <c r="J2958" i="9" s="1"/>
  <c r="L207" i="9"/>
  <c r="L208" i="9" s="1"/>
  <c r="L209" i="9" s="1"/>
  <c r="H1071" i="9"/>
  <c r="H1072" i="9" s="1"/>
  <c r="H1073" i="9" s="1"/>
  <c r="D50" i="8" s="1"/>
  <c r="J183" i="9"/>
  <c r="J184" i="9" s="1"/>
  <c r="J185" i="9" s="1"/>
  <c r="J975" i="9"/>
  <c r="J976" i="9" s="1"/>
  <c r="J977" i="9" s="1"/>
  <c r="H903" i="9"/>
  <c r="H904" i="9" s="1"/>
  <c r="H905" i="9" s="1"/>
  <c r="D43" i="8" s="1"/>
  <c r="L2215" i="9"/>
  <c r="L2226" i="9" s="1"/>
  <c r="L2227" i="9" s="1"/>
  <c r="H3326" i="9"/>
  <c r="H3327" i="9" s="1"/>
  <c r="H3328" i="9" s="1"/>
  <c r="D138" i="8" s="1"/>
  <c r="L3379" i="9"/>
  <c r="L3380" i="9" s="1"/>
  <c r="L3381" i="9" s="1"/>
  <c r="H2140" i="9"/>
  <c r="H2151" i="9" s="1"/>
  <c r="H2152" i="9" s="1"/>
  <c r="H2153" i="9" s="1"/>
  <c r="D93" i="8" s="1"/>
  <c r="H3429" i="9"/>
  <c r="H3430" i="9" s="1"/>
  <c r="H3431" i="9" s="1"/>
  <c r="D142" i="8" s="1"/>
  <c r="J3658" i="9"/>
  <c r="J2325" i="9"/>
  <c r="J2326" i="9" s="1"/>
  <c r="J2327" i="9" s="1"/>
  <c r="J1095" i="9"/>
  <c r="J1096" i="9" s="1"/>
  <c r="J1097" i="9" s="1"/>
  <c r="H2891" i="9"/>
  <c r="H2903" i="9" s="1"/>
  <c r="L2506" i="9"/>
  <c r="L2507" i="9" s="1"/>
  <c r="L2508" i="9" s="1"/>
  <c r="J2770" i="9"/>
  <c r="J2771" i="9" s="1"/>
  <c r="J2772" i="9" s="1"/>
  <c r="J3523" i="9"/>
  <c r="J3524" i="9" s="1"/>
  <c r="J3525" i="9" s="1"/>
  <c r="L2040" i="9"/>
  <c r="L2051" i="9" s="1"/>
  <c r="L2052" i="9" s="1"/>
  <c r="L2053" i="9" s="1"/>
  <c r="H1470" i="9"/>
  <c r="H1471" i="9" s="1"/>
  <c r="H1472" i="9" s="1"/>
  <c r="D66" i="8" s="1"/>
  <c r="L2275" i="9"/>
  <c r="L2276" i="9" s="1"/>
  <c r="L2277" i="9" s="1"/>
  <c r="L2770" i="9"/>
  <c r="L2771" i="9" s="1"/>
  <c r="L2772" i="9" s="1"/>
  <c r="L1295" i="9"/>
  <c r="L1296" i="9" s="1"/>
  <c r="L1297" i="9" s="1"/>
  <c r="L3523" i="9"/>
  <c r="L3524" i="9" s="1"/>
  <c r="L3525" i="9" s="1"/>
  <c r="L3824" i="9"/>
  <c r="L3657" i="9"/>
  <c r="L3658" i="9" s="1"/>
  <c r="J3116" i="9"/>
  <c r="J3429" i="9"/>
  <c r="J3430" i="9" s="1"/>
  <c r="J3431" i="9" s="1"/>
  <c r="L183" i="9"/>
  <c r="L184" i="9" s="1"/>
  <c r="H159" i="9"/>
  <c r="H160" i="9" s="1"/>
  <c r="J1395" i="9"/>
  <c r="J1396" i="9" s="1"/>
  <c r="J1397" i="9" s="1"/>
  <c r="H3822" i="9"/>
  <c r="H3823" i="9" s="1"/>
  <c r="H3824" i="9" s="1"/>
  <c r="D158" i="8" s="1"/>
  <c r="H711" i="9"/>
  <c r="H712" i="9" s="1"/>
  <c r="H713" i="9" s="1"/>
  <c r="D35" i="8" s="1"/>
  <c r="L3498" i="9"/>
  <c r="L3499" i="9" s="1"/>
  <c r="L3500" i="9" s="1"/>
  <c r="J2350" i="9"/>
  <c r="J2351" i="9" s="1"/>
  <c r="J2352" i="9" s="1"/>
  <c r="J3634" i="9"/>
  <c r="J3635" i="9" s="1"/>
  <c r="J1750" i="9"/>
  <c r="J1751" i="9" s="1"/>
  <c r="J1752" i="9" s="1"/>
  <c r="J3955" i="9"/>
  <c r="J207" i="9"/>
  <c r="J208" i="9" s="1"/>
  <c r="J209" i="9" s="1"/>
  <c r="J2215" i="9"/>
  <c r="J2226" i="9" s="1"/>
  <c r="J2227" i="9" s="1"/>
  <c r="J2508" i="9"/>
  <c r="J23" i="9"/>
  <c r="J24" i="9" s="1"/>
  <c r="J25" i="9" s="1"/>
  <c r="H2823" i="9"/>
  <c r="H2824" i="9" s="1"/>
  <c r="H2825" i="9" s="1"/>
  <c r="D119" i="8" s="1"/>
  <c r="H3763" i="9"/>
  <c r="D155" i="8" s="1"/>
  <c r="H45" i="9"/>
  <c r="H46" i="9" s="1"/>
  <c r="H47" i="9" s="1"/>
  <c r="D7" i="8" s="1"/>
  <c r="H111" i="9"/>
  <c r="H112" i="9" s="1"/>
  <c r="H113" i="9" s="1"/>
  <c r="D10" i="8" s="1"/>
  <c r="H231" i="9"/>
  <c r="H232" i="9" s="1"/>
  <c r="L2126" i="9"/>
  <c r="L2127" i="9" s="1"/>
  <c r="L2128" i="9" s="1"/>
  <c r="L2453" i="9"/>
  <c r="L2455" i="9" s="1"/>
  <c r="L2456" i="9" s="1"/>
  <c r="L2457" i="9" s="1"/>
  <c r="L2458" i="9" s="1"/>
  <c r="J2275" i="9"/>
  <c r="J2276" i="9" s="1"/>
  <c r="H135" i="9"/>
  <c r="H136" i="9" s="1"/>
  <c r="H137" i="9" s="1"/>
  <c r="D11" i="8" s="1"/>
  <c r="L89" i="9"/>
  <c r="L90" i="9" s="1"/>
  <c r="L3425" i="9"/>
  <c r="L3428" i="9" s="1"/>
  <c r="L3429" i="9" s="1"/>
  <c r="L3430" i="9" s="1"/>
  <c r="L3431" i="9" s="1"/>
  <c r="J2140" i="9"/>
  <c r="J110" i="9"/>
  <c r="J111" i="9" s="1"/>
  <c r="J112" i="9" s="1"/>
  <c r="L109" i="9"/>
  <c r="L110" i="9" s="1"/>
  <c r="L111" i="9" s="1"/>
  <c r="L112" i="9" s="1"/>
  <c r="L1547" i="9"/>
  <c r="L1549" i="9" s="1"/>
  <c r="L1550" i="9" s="1"/>
  <c r="L1551" i="9" s="1"/>
  <c r="L1552" i="9" s="1"/>
  <c r="J1549" i="9"/>
  <c r="J1550" i="9" s="1"/>
  <c r="J1551" i="9" s="1"/>
  <c r="J1552" i="9" s="1"/>
  <c r="H2275" i="9"/>
  <c r="H2276" i="9" s="1"/>
  <c r="H2277" i="9" s="1"/>
  <c r="D98" i="8" s="1"/>
  <c r="J1193" i="9"/>
  <c r="J1194" i="9" s="1"/>
  <c r="J1195" i="9" s="1"/>
  <c r="J3684" i="9"/>
  <c r="J3685" i="9" s="1"/>
  <c r="H2190" i="9"/>
  <c r="H2201" i="9" s="1"/>
  <c r="H2202" i="9" s="1"/>
  <c r="H2203" i="9" s="1"/>
  <c r="D95" i="8" s="1"/>
  <c r="H2065" i="9"/>
  <c r="H2076" i="9" s="1"/>
  <c r="H2077" i="9" s="1"/>
  <c r="H2078" i="9" s="1"/>
  <c r="D90" i="8" s="1"/>
  <c r="L2482" i="9"/>
  <c r="L2483" i="9" s="1"/>
  <c r="L2201" i="9"/>
  <c r="L2202" i="9" s="1"/>
  <c r="L2203" i="9" s="1"/>
  <c r="J2101" i="9"/>
  <c r="J2102" i="9" s="1"/>
  <c r="J3325" i="9"/>
  <c r="J3326" i="9" s="1"/>
  <c r="J3327" i="9" s="1"/>
  <c r="J3328" i="9" s="1"/>
  <c r="L3322" i="9"/>
  <c r="L3325" i="9" s="1"/>
  <c r="L3326" i="9" s="1"/>
  <c r="H3273" i="9"/>
  <c r="H3274" i="9" s="1"/>
  <c r="H3275" i="9" s="1"/>
  <c r="D136" i="8" s="1"/>
  <c r="H2876" i="9"/>
  <c r="H2877" i="9" s="1"/>
  <c r="H2878" i="9" s="1"/>
  <c r="D121" i="8" s="1"/>
  <c r="H1168" i="9"/>
  <c r="H1169" i="9" s="1"/>
  <c r="H1170" i="9" s="1"/>
  <c r="D54" i="8" s="1"/>
  <c r="J2150" i="9"/>
  <c r="L2148" i="9"/>
  <c r="L2150" i="9" s="1"/>
  <c r="L2151" i="9" s="1"/>
  <c r="H2165" i="9"/>
  <c r="H2176" i="9" s="1"/>
  <c r="H2177" i="9" s="1"/>
  <c r="H2178" i="9" s="1"/>
  <c r="D94" i="8" s="1"/>
  <c r="H3452" i="9"/>
  <c r="H3453" i="9" s="1"/>
  <c r="H3454" i="9" s="1"/>
  <c r="D143" i="8" s="1"/>
  <c r="L3273" i="9"/>
  <c r="L1572" i="9"/>
  <c r="L1574" i="9" s="1"/>
  <c r="L1575" i="9" s="1"/>
  <c r="J1574" i="9"/>
  <c r="J1575" i="9" s="1"/>
  <c r="J1576" i="9" s="1"/>
  <c r="J1577" i="9" s="1"/>
  <c r="L2250" i="9"/>
  <c r="L2251" i="9" s="1"/>
  <c r="J1826" i="9"/>
  <c r="J1827" i="9" s="1"/>
  <c r="J1828" i="9" s="1"/>
  <c r="L3874" i="9"/>
  <c r="L3875" i="9" s="1"/>
  <c r="H1023" i="9"/>
  <c r="H1024" i="9" s="1"/>
  <c r="H1025" i="9" s="1"/>
  <c r="D48" i="8" s="1"/>
  <c r="J2040" i="9"/>
  <c r="J2051" i="9" s="1"/>
  <c r="J2052" i="9" s="1"/>
  <c r="J2053" i="9" s="1"/>
  <c r="L2347" i="9"/>
  <c r="L2349" i="9" s="1"/>
  <c r="L2350" i="9" s="1"/>
  <c r="L2351" i="9" s="1"/>
  <c r="L2352" i="9" s="1"/>
  <c r="L2399" i="9"/>
  <c r="L2401" i="9" s="1"/>
  <c r="L2402" i="9" s="1"/>
  <c r="L2403" i="9" s="1"/>
  <c r="L2404" i="9" s="1"/>
  <c r="J2401" i="9"/>
  <c r="J2402" i="9" s="1"/>
  <c r="J2403" i="9" s="1"/>
  <c r="J2404" i="9" s="1"/>
  <c r="L65" i="9"/>
  <c r="L66" i="9" s="1"/>
  <c r="L67" i="9" s="1"/>
  <c r="L68" i="9" s="1"/>
  <c r="L69" i="9" s="1"/>
  <c r="J3353" i="9"/>
  <c r="J3354" i="9" s="1"/>
  <c r="H2982" i="9"/>
  <c r="H2983" i="9" s="1"/>
  <c r="H2984" i="9" s="1"/>
  <c r="D125" i="8" s="1"/>
  <c r="J2584" i="9"/>
  <c r="J2585" i="9" s="1"/>
  <c r="J2586" i="9" s="1"/>
  <c r="H3088" i="9"/>
  <c r="H3089" i="9" s="1"/>
  <c r="H3090" i="9" s="1"/>
  <c r="D129" i="8" s="1"/>
  <c r="L1168" i="9"/>
  <c r="L1169" i="9" s="1"/>
  <c r="L1170" i="9" s="1"/>
  <c r="H3846" i="9"/>
  <c r="H3847" i="9" s="1"/>
  <c r="H3848" i="9" s="1"/>
  <c r="D159" i="8" s="1"/>
  <c r="H3523" i="9"/>
  <c r="H3379" i="9"/>
  <c r="H2798" i="9"/>
  <c r="H2799" i="9" s="1"/>
  <c r="H2800" i="9" s="1"/>
  <c r="D118" i="8" s="1"/>
  <c r="H2584" i="9"/>
  <c r="H2585" i="9" s="1"/>
  <c r="H2586" i="9" s="1"/>
  <c r="D110" i="8" s="1"/>
  <c r="H2001" i="9"/>
  <c r="H2002" i="9" s="1"/>
  <c r="H2003" i="9" s="1"/>
  <c r="D87" i="8" s="1"/>
  <c r="L255" i="9"/>
  <c r="L256" i="9" s="1"/>
  <c r="L257" i="9" s="1"/>
  <c r="H1575" i="9"/>
  <c r="H2430" i="9"/>
  <c r="H2431" i="9" s="1"/>
  <c r="H2432" i="9" s="1"/>
  <c r="D104" i="8" s="1"/>
  <c r="H2051" i="9"/>
  <c r="H2052" i="9" s="1"/>
  <c r="H2053" i="9" s="1"/>
  <c r="D89" i="8" s="1"/>
  <c r="H1675" i="9"/>
  <c r="H1676" i="9" s="1"/>
  <c r="H1193" i="9"/>
  <c r="H1194" i="9" s="1"/>
  <c r="H1195" i="9" s="1"/>
  <c r="D55" i="8" s="1"/>
  <c r="L2794" i="9"/>
  <c r="L2797" i="9" s="1"/>
  <c r="L2798" i="9" s="1"/>
  <c r="L2799" i="9" s="1"/>
  <c r="L2800" i="9" s="1"/>
  <c r="H2101" i="9"/>
  <c r="H2102" i="9" s="1"/>
  <c r="H2103" i="9" s="1"/>
  <c r="D91" i="8" s="1"/>
  <c r="H2770" i="9"/>
  <c r="H2771" i="9" s="1"/>
  <c r="H2772" i="9" s="1"/>
  <c r="D117" i="8" s="1"/>
  <c r="J1067" i="9"/>
  <c r="J1070" i="9" s="1"/>
  <c r="J1071" i="9" s="1"/>
  <c r="H2215" i="9"/>
  <c r="H2226" i="9" s="1"/>
  <c r="H2227" i="9" s="1"/>
  <c r="H2228" i="9" s="1"/>
  <c r="D96" i="8" s="1"/>
  <c r="H2325" i="9"/>
  <c r="H2326" i="9" s="1"/>
  <c r="H2327" i="9" s="1"/>
  <c r="D100" i="8" s="1"/>
  <c r="J1700" i="9"/>
  <c r="J1701" i="9" s="1"/>
  <c r="J2848" i="9"/>
  <c r="J2849" i="9" s="1"/>
  <c r="J2850" i="9" s="1"/>
  <c r="J2851" i="9" s="1"/>
  <c r="L1823" i="9"/>
  <c r="L1825" i="9" s="1"/>
  <c r="L1826" i="9" s="1"/>
  <c r="L1827" i="9" s="1"/>
  <c r="L1828" i="9" s="1"/>
  <c r="H2126" i="9"/>
  <c r="H2127" i="9" s="1"/>
  <c r="H2128" i="9" s="1"/>
  <c r="D92" i="8" s="1"/>
  <c r="J399" i="9"/>
  <c r="J400" i="9" s="1"/>
  <c r="J401" i="9" s="1"/>
  <c r="H3036" i="9"/>
  <c r="H3037" i="9" s="1"/>
  <c r="H3038" i="9" s="1"/>
  <c r="D127" i="8" s="1"/>
  <c r="H2375" i="9"/>
  <c r="H2376" i="9" s="1"/>
  <c r="H2377" i="9" s="1"/>
  <c r="D102" i="8" s="1"/>
  <c r="H1650" i="9"/>
  <c r="H1651" i="9" s="1"/>
  <c r="H1652" i="9" s="1"/>
  <c r="D73" i="8" s="1"/>
  <c r="H615" i="9"/>
  <c r="H616" i="9" s="1"/>
  <c r="H617" i="9" s="1"/>
  <c r="D31" i="8" s="1"/>
  <c r="H2930" i="9"/>
  <c r="H2931" i="9" s="1"/>
  <c r="H2932" i="9" s="1"/>
  <c r="D123" i="8" s="1"/>
  <c r="L1091" i="9"/>
  <c r="L1094" i="9" s="1"/>
  <c r="L1095" i="9" s="1"/>
  <c r="L1096" i="9" s="1"/>
  <c r="L1097" i="9" s="1"/>
  <c r="H1218" i="9"/>
  <c r="H1219" i="9" s="1"/>
  <c r="H1220" i="9" s="1"/>
  <c r="D56" i="8" s="1"/>
  <c r="H375" i="9"/>
  <c r="H376" i="9" s="1"/>
  <c r="H377" i="9" s="1"/>
  <c r="D21" i="8" s="1"/>
  <c r="H639" i="9"/>
  <c r="H640" i="9" s="1"/>
  <c r="H641" i="9" s="1"/>
  <c r="D32" i="8" s="1"/>
  <c r="H1625" i="9"/>
  <c r="H1626" i="9" s="1"/>
  <c r="H1627" i="9" s="1"/>
  <c r="D72" i="8" s="1"/>
  <c r="H519" i="9"/>
  <c r="H520" i="9" s="1"/>
  <c r="H3141" i="9"/>
  <c r="H3142" i="9" s="1"/>
  <c r="H3143" i="9" s="1"/>
  <c r="D131" i="8" s="1"/>
  <c r="H3009" i="9"/>
  <c r="H3010" i="9" s="1"/>
  <c r="H3011" i="9" s="1"/>
  <c r="D126" i="8" s="1"/>
  <c r="H1550" i="9"/>
  <c r="H1551" i="9" s="1"/>
  <c r="H1552" i="9" s="1"/>
  <c r="D69" i="8" s="1"/>
  <c r="H1976" i="9"/>
  <c r="H1977" i="9" s="1"/>
  <c r="H2718" i="9"/>
  <c r="H2719" i="9" s="1"/>
  <c r="H2720" i="9" s="1"/>
  <c r="D115" i="8" s="1"/>
  <c r="H3475" i="9"/>
  <c r="H3476" i="9" s="1"/>
  <c r="H3477" i="9" s="1"/>
  <c r="D144" i="8" s="1"/>
  <c r="H2240" i="9"/>
  <c r="H2250" i="9" s="1"/>
  <c r="H2251" i="9" s="1"/>
  <c r="H2252" i="9" s="1"/>
  <c r="D97" i="8" s="1"/>
  <c r="H3246" i="9"/>
  <c r="H3247" i="9" s="1"/>
  <c r="H3248" i="9" s="1"/>
  <c r="D135" i="8" s="1"/>
  <c r="H1826" i="9"/>
  <c r="H1827" i="9" s="1"/>
  <c r="H3405" i="9"/>
  <c r="H3406" i="9" s="1"/>
  <c r="H3407" i="9" s="1"/>
  <c r="D141" i="8" s="1"/>
  <c r="J1876" i="9"/>
  <c r="J1877" i="9" s="1"/>
  <c r="J1878" i="9" s="1"/>
  <c r="L1193" i="9"/>
  <c r="L1194" i="9" s="1"/>
  <c r="L1195" i="9" s="1"/>
  <c r="H1445" i="9"/>
  <c r="H1446" i="9" s="1"/>
  <c r="H1447" i="9" s="1"/>
  <c r="D65" i="8" s="1"/>
  <c r="H1876" i="9"/>
  <c r="H3549" i="9"/>
  <c r="H2531" i="9"/>
  <c r="H2532" i="9" s="1"/>
  <c r="H2533" i="9" s="1"/>
  <c r="D108" i="8" s="1"/>
  <c r="H3156" i="9"/>
  <c r="H3168" i="9" s="1"/>
  <c r="H3169" i="9" s="1"/>
  <c r="H2481" i="9"/>
  <c r="H2482" i="9" s="1"/>
  <c r="H2483" i="9" s="1"/>
  <c r="D106" i="8" s="1"/>
  <c r="H2402" i="9"/>
  <c r="H2403" i="9" s="1"/>
  <c r="H759" i="9"/>
  <c r="H760" i="9" s="1"/>
  <c r="H761" i="9" s="1"/>
  <c r="D37" i="8" s="1"/>
  <c r="H23" i="9"/>
  <c r="L1926" i="9"/>
  <c r="L1927" i="9" s="1"/>
  <c r="L1928" i="9" s="1"/>
  <c r="H2026" i="9"/>
  <c r="H2027" i="9" s="1"/>
  <c r="H2028" i="9" s="1"/>
  <c r="D88" i="8" s="1"/>
  <c r="H1775" i="9"/>
  <c r="H1776" i="9" s="1"/>
  <c r="H1777" i="9" s="1"/>
  <c r="D78" i="8" s="1"/>
  <c r="H2744" i="9"/>
  <c r="H2745" i="9" s="1"/>
  <c r="H2746" i="9" s="1"/>
  <c r="D116" i="8" s="1"/>
  <c r="H1725" i="9"/>
  <c r="H1726" i="9" s="1"/>
  <c r="H1727" i="9" s="1"/>
  <c r="D76" i="8" s="1"/>
  <c r="H2956" i="9"/>
  <c r="H2957" i="9" s="1"/>
  <c r="H2958" i="9" s="1"/>
  <c r="D124" i="8" s="1"/>
  <c r="L2849" i="9"/>
  <c r="L2850" i="9" s="1"/>
  <c r="L2851" i="9" s="1"/>
  <c r="H183" i="9"/>
  <c r="H184" i="9" s="1"/>
  <c r="H185" i="9" s="1"/>
  <c r="D13" i="8" s="1"/>
  <c r="H2612" i="9"/>
  <c r="H2613" i="9" s="1"/>
  <c r="H2456" i="9"/>
  <c r="H2457" i="9" s="1"/>
  <c r="H2458" i="9" s="1"/>
  <c r="D105" i="8" s="1"/>
  <c r="H2666" i="9"/>
  <c r="H2667" i="9" s="1"/>
  <c r="H2668" i="9" s="1"/>
  <c r="D113" i="8" s="1"/>
  <c r="H3220" i="9"/>
  <c r="H3221" i="9" s="1"/>
  <c r="H3222" i="9" s="1"/>
  <c r="H1926" i="9"/>
  <c r="H1927" i="9" s="1"/>
  <c r="H1851" i="9"/>
  <c r="H1852" i="9" s="1"/>
  <c r="H1853" i="9" s="1"/>
  <c r="D81" i="8" s="1"/>
  <c r="H1951" i="9"/>
  <c r="H1952" i="9" s="1"/>
  <c r="H1750" i="9"/>
  <c r="H1751" i="9" s="1"/>
  <c r="H1752" i="9" s="1"/>
  <c r="D77" i="8" s="1"/>
  <c r="H1700" i="9"/>
  <c r="H1600" i="9"/>
  <c r="H1601" i="9" s="1"/>
  <c r="H3352" i="9"/>
  <c r="H3353" i="9" s="1"/>
  <c r="H543" i="9"/>
  <c r="H544" i="9" s="1"/>
  <c r="H545" i="9" s="1"/>
  <c r="D28" i="8" s="1"/>
  <c r="L2608" i="9"/>
  <c r="L2611" i="9" s="1"/>
  <c r="L2612" i="9" s="1"/>
  <c r="L2613" i="9" s="1"/>
  <c r="J2611" i="9"/>
  <c r="J2612" i="9" s="1"/>
  <c r="L3579" i="9"/>
  <c r="L3580" i="9" s="1"/>
  <c r="L1316" i="9"/>
  <c r="L1319" i="9" s="1"/>
  <c r="L1320" i="9" s="1"/>
  <c r="J1319" i="9"/>
  <c r="J1320" i="9" s="1"/>
  <c r="J3499" i="9"/>
  <c r="J3500" i="9" s="1"/>
  <c r="J1649" i="9"/>
  <c r="J1650" i="9" s="1"/>
  <c r="L1647" i="9"/>
  <c r="L1649" i="9" s="1"/>
  <c r="L1650" i="9" s="1"/>
  <c r="L1597" i="9"/>
  <c r="L1599" i="9" s="1"/>
  <c r="L1600" i="9" s="1"/>
  <c r="J1599" i="9"/>
  <c r="J1600" i="9" s="1"/>
  <c r="L347" i="9"/>
  <c r="L350" i="9" s="1"/>
  <c r="L351" i="9" s="1"/>
  <c r="J350" i="9"/>
  <c r="J351" i="9" s="1"/>
  <c r="J1724" i="9"/>
  <c r="J1725" i="9" s="1"/>
  <c r="L1722" i="9"/>
  <c r="L1724" i="9" s="1"/>
  <c r="L1725" i="9" s="1"/>
  <c r="L3142" i="9"/>
  <c r="L3143" i="9" s="1"/>
  <c r="J3061" i="9"/>
  <c r="J3062" i="9" s="1"/>
  <c r="L3058" i="9"/>
  <c r="L3061" i="9" s="1"/>
  <c r="L3062" i="9" s="1"/>
  <c r="J2902" i="9"/>
  <c r="J2903" i="9" s="1"/>
  <c r="L2899" i="9"/>
  <c r="L2902" i="9" s="1"/>
  <c r="L2903" i="9" s="1"/>
  <c r="L1239" i="9"/>
  <c r="L1242" i="9" s="1"/>
  <c r="L1243" i="9" s="1"/>
  <c r="J1242" i="9"/>
  <c r="J1243" i="9" s="1"/>
  <c r="L875" i="9"/>
  <c r="L878" i="9" s="1"/>
  <c r="L879" i="9" s="1"/>
  <c r="J878" i="9"/>
  <c r="J879" i="9" s="1"/>
  <c r="J902" i="9"/>
  <c r="J903" i="9" s="1"/>
  <c r="L899" i="9"/>
  <c r="L902" i="9" s="1"/>
  <c r="L903" i="9" s="1"/>
  <c r="L3545" i="9"/>
  <c r="L3548" i="9" s="1"/>
  <c r="L3549" i="9" s="1"/>
  <c r="J3548" i="9"/>
  <c r="J3549" i="9" s="1"/>
  <c r="J2175" i="9"/>
  <c r="L2173" i="9"/>
  <c r="L2175" i="9" s="1"/>
  <c r="J2075" i="9"/>
  <c r="J2076" i="9" s="1"/>
  <c r="L2073" i="9"/>
  <c r="L2075" i="9" s="1"/>
  <c r="L2076" i="9" s="1"/>
  <c r="H3498" i="9"/>
  <c r="J134" i="9"/>
  <c r="J135" i="9" s="1"/>
  <c r="L131" i="9"/>
  <c r="L134" i="9" s="1"/>
  <c r="L135" i="9" s="1"/>
  <c r="J734" i="9"/>
  <c r="J735" i="9" s="1"/>
  <c r="L731" i="9"/>
  <c r="L734" i="9" s="1"/>
  <c r="L735" i="9" s="1"/>
  <c r="J3802" i="9"/>
  <c r="J3803" i="9" s="1"/>
  <c r="J2240" i="9"/>
  <c r="J2250" i="9" s="1"/>
  <c r="J3299" i="9"/>
  <c r="J3300" i="9" s="1"/>
  <c r="L3296" i="9"/>
  <c r="L3299" i="9" s="1"/>
  <c r="L3300" i="9" s="1"/>
  <c r="H3114" i="9"/>
  <c r="J3245" i="9"/>
  <c r="J3246" i="9" s="1"/>
  <c r="L3242" i="9"/>
  <c r="L3245" i="9" s="1"/>
  <c r="L3246" i="9" s="1"/>
  <c r="J67" i="9"/>
  <c r="H3300" i="9"/>
  <c r="L1797" i="9"/>
  <c r="L1800" i="9" s="1"/>
  <c r="L1801" i="9" s="1"/>
  <c r="J1800" i="9"/>
  <c r="J1801" i="9" s="1"/>
  <c r="L3928" i="9"/>
  <c r="L3929" i="9" s="1"/>
  <c r="J3474" i="9"/>
  <c r="J3475" i="9" s="1"/>
  <c r="L3471" i="9"/>
  <c r="L3474" i="9" s="1"/>
  <c r="L3475" i="9" s="1"/>
  <c r="J3606" i="9"/>
  <c r="J3607" i="9" s="1"/>
  <c r="H2556" i="9"/>
  <c r="L2026" i="9"/>
  <c r="L3802" i="9"/>
  <c r="L3803" i="9" s="1"/>
  <c r="J2719" i="9"/>
  <c r="J2720" i="9" s="1"/>
  <c r="J3847" i="9"/>
  <c r="J3848" i="9" s="1"/>
  <c r="L1973" i="9"/>
  <c r="L1975" i="9" s="1"/>
  <c r="L1976" i="9" s="1"/>
  <c r="J1975" i="9"/>
  <c r="J1976" i="9" s="1"/>
  <c r="L2718" i="9"/>
  <c r="H1143" i="9"/>
  <c r="J1927" i="9"/>
  <c r="J1928" i="9" s="1"/>
  <c r="J3901" i="9"/>
  <c r="J3902" i="9" s="1"/>
  <c r="J1676" i="9"/>
  <c r="J1677" i="9" s="1"/>
  <c r="J2530" i="9"/>
  <c r="J2531" i="9" s="1"/>
  <c r="L2528" i="9"/>
  <c r="L2530" i="9" s="1"/>
  <c r="L2531" i="9" s="1"/>
  <c r="L1877" i="9"/>
  <c r="L1878" i="9" s="1"/>
  <c r="J3380" i="9"/>
  <c r="J3381" i="9" s="1"/>
  <c r="J566" i="9"/>
  <c r="J567" i="9" s="1"/>
  <c r="L563" i="9"/>
  <c r="L566" i="9" s="1"/>
  <c r="L567" i="9" s="1"/>
  <c r="J1142" i="9"/>
  <c r="J1143" i="9" s="1"/>
  <c r="L1139" i="9"/>
  <c r="L1142" i="9" s="1"/>
  <c r="L1143" i="9" s="1"/>
  <c r="H303" i="9"/>
  <c r="L683" i="9"/>
  <c r="L686" i="9" s="1"/>
  <c r="L687" i="9" s="1"/>
  <c r="J686" i="9"/>
  <c r="J687" i="9" s="1"/>
  <c r="H207" i="9"/>
  <c r="J2300" i="9"/>
  <c r="J1469" i="9"/>
  <c r="J1470" i="9" s="1"/>
  <c r="L1466" i="9"/>
  <c r="L1469" i="9" s="1"/>
  <c r="L1470" i="9" s="1"/>
  <c r="H1119" i="9"/>
  <c r="L1115" i="9"/>
  <c r="L1118" i="9" s="1"/>
  <c r="L1119" i="9" s="1"/>
  <c r="J1118" i="9"/>
  <c r="J1119" i="9" s="1"/>
  <c r="L851" i="9"/>
  <c r="L854" i="9" s="1"/>
  <c r="L855" i="9" s="1"/>
  <c r="J854" i="9"/>
  <c r="J855" i="9" s="1"/>
  <c r="L1214" i="9"/>
  <c r="L1217" i="9" s="1"/>
  <c r="L1218" i="9" s="1"/>
  <c r="J1217" i="9"/>
  <c r="J1218" i="9" s="1"/>
  <c r="J158" i="9"/>
  <c r="J159" i="9" s="1"/>
  <c r="L155" i="9"/>
  <c r="L158" i="9" s="1"/>
  <c r="L159" i="9" s="1"/>
  <c r="L2553" i="9"/>
  <c r="L2555" i="9" s="1"/>
  <c r="L2556" i="9" s="1"/>
  <c r="J2555" i="9"/>
  <c r="J2556" i="9" s="1"/>
  <c r="L2926" i="9"/>
  <c r="L2929" i="9" s="1"/>
  <c r="L2930" i="9" s="1"/>
  <c r="J2929" i="9"/>
  <c r="J2930" i="9" s="1"/>
  <c r="L43" i="9"/>
  <c r="L44" i="9" s="1"/>
  <c r="L45" i="9" s="1"/>
  <c r="J44" i="9"/>
  <c r="J45" i="9" s="1"/>
  <c r="L3216" i="9"/>
  <c r="L3219" i="9" s="1"/>
  <c r="L3220" i="9" s="1"/>
  <c r="J3219" i="9"/>
  <c r="J3220" i="9" s="1"/>
  <c r="J1850" i="9"/>
  <c r="J1851" i="9" s="1"/>
  <c r="L1848" i="9"/>
  <c r="L1850" i="9" s="1"/>
  <c r="L1851" i="9" s="1"/>
  <c r="L3606" i="9"/>
  <c r="L3607" i="9" s="1"/>
  <c r="L3164" i="9"/>
  <c r="L3167" i="9" s="1"/>
  <c r="L3168" i="9" s="1"/>
  <c r="J3167" i="9"/>
  <c r="J3168" i="9" s="1"/>
  <c r="L2819" i="9"/>
  <c r="L2822" i="9" s="1"/>
  <c r="L2823" i="9" s="1"/>
  <c r="J2822" i="9"/>
  <c r="J2823" i="9" s="1"/>
  <c r="H89" i="9"/>
  <c r="J1524" i="9"/>
  <c r="J1525" i="9" s="1"/>
  <c r="L1520" i="9"/>
  <c r="L1524" i="9" s="1"/>
  <c r="L1525" i="9" s="1"/>
  <c r="H1901" i="9"/>
  <c r="L923" i="9"/>
  <c r="L926" i="9" s="1"/>
  <c r="L927" i="9" s="1"/>
  <c r="J926" i="9"/>
  <c r="J927" i="9" s="1"/>
  <c r="L2300" i="9"/>
  <c r="J827" i="9"/>
  <c r="H830" i="9"/>
  <c r="H831" i="9" s="1"/>
  <c r="J2745" i="9"/>
  <c r="J2746" i="9" s="1"/>
  <c r="L327" i="9"/>
  <c r="L3032" i="9"/>
  <c r="L3035" i="9" s="1"/>
  <c r="L3036" i="9" s="1"/>
  <c r="J3035" i="9"/>
  <c r="J3036" i="9" s="1"/>
  <c r="J230" i="9"/>
  <c r="J231" i="9" s="1"/>
  <c r="L227" i="9"/>
  <c r="L230" i="9" s="1"/>
  <c r="L231" i="9" s="1"/>
  <c r="J1774" i="9"/>
  <c r="J1775" i="9" s="1"/>
  <c r="L1772" i="9"/>
  <c r="L1774" i="9" s="1"/>
  <c r="L1775" i="9" s="1"/>
  <c r="J3404" i="9"/>
  <c r="J3405" i="9" s="1"/>
  <c r="L3401" i="9"/>
  <c r="L3404" i="9" s="1"/>
  <c r="L3405" i="9" s="1"/>
  <c r="L491" i="9"/>
  <c r="L494" i="9" s="1"/>
  <c r="L495" i="9" s="1"/>
  <c r="J494" i="9"/>
  <c r="J495" i="9" s="1"/>
  <c r="L1898" i="9"/>
  <c r="L1900" i="9" s="1"/>
  <c r="L1901" i="9" s="1"/>
  <c r="J1900" i="9"/>
  <c r="J1901" i="9" s="1"/>
  <c r="L1998" i="9"/>
  <c r="L2000" i="9" s="1"/>
  <c r="L2001" i="9" s="1"/>
  <c r="J2000" i="9"/>
  <c r="J2001" i="9" s="1"/>
  <c r="L3762" i="9"/>
  <c r="L3763" i="9" s="1"/>
  <c r="L2957" i="9"/>
  <c r="L2958" i="9" s="1"/>
  <c r="H2692" i="9"/>
  <c r="H3062" i="9"/>
  <c r="J3087" i="9"/>
  <c r="J3088" i="9" s="1"/>
  <c r="L3084" i="9"/>
  <c r="L3087" i="9" s="1"/>
  <c r="L3088" i="9" s="1"/>
  <c r="J3008" i="9"/>
  <c r="J3009" i="9" s="1"/>
  <c r="L3005" i="9"/>
  <c r="L3008" i="9" s="1"/>
  <c r="L3009" i="9" s="1"/>
  <c r="L3190" i="9"/>
  <c r="L3193" i="9" s="1"/>
  <c r="L3194" i="9" s="1"/>
  <c r="J3193" i="9"/>
  <c r="J3194" i="9" s="1"/>
  <c r="H495" i="9"/>
  <c r="L2641" i="9"/>
  <c r="L2642" i="9" s="1"/>
  <c r="J2665" i="9"/>
  <c r="J2666" i="9" s="1"/>
  <c r="L2662" i="9"/>
  <c r="L2665" i="9" s="1"/>
  <c r="L2666" i="9" s="1"/>
  <c r="J1624" i="9"/>
  <c r="J1625" i="9" s="1"/>
  <c r="L1622" i="9"/>
  <c r="L1624" i="9" s="1"/>
  <c r="L1625" i="9" s="1"/>
  <c r="H2300" i="9"/>
  <c r="J2691" i="9"/>
  <c r="J2692" i="9" s="1"/>
  <c r="L2688" i="9"/>
  <c r="L2691" i="9" s="1"/>
  <c r="L2692" i="9" s="1"/>
  <c r="L1264" i="9"/>
  <c r="L1267" i="9" s="1"/>
  <c r="L1268" i="9" s="1"/>
  <c r="J1267" i="9"/>
  <c r="J1268" i="9" s="1"/>
  <c r="J2981" i="9"/>
  <c r="J2982" i="9" s="1"/>
  <c r="L2978" i="9"/>
  <c r="L2981" i="9" s="1"/>
  <c r="L2982" i="9" s="1"/>
  <c r="L2744" i="9"/>
  <c r="J2374" i="9"/>
  <c r="J2375" i="9" s="1"/>
  <c r="L2372" i="9"/>
  <c r="L2374" i="9" s="1"/>
  <c r="L2375" i="9" s="1"/>
  <c r="L1441" i="9"/>
  <c r="L1444" i="9" s="1"/>
  <c r="L1445" i="9" s="1"/>
  <c r="J1950" i="9"/>
  <c r="J1951" i="9" s="1"/>
  <c r="L1948" i="9"/>
  <c r="L1950" i="9" s="1"/>
  <c r="L1951" i="9" s="1"/>
  <c r="L443" i="9"/>
  <c r="L446" i="9" s="1"/>
  <c r="L447" i="9" s="1"/>
  <c r="J446" i="9"/>
  <c r="J447" i="9" s="1"/>
  <c r="L467" i="9" l="1"/>
  <c r="L470" i="9" s="1"/>
  <c r="L471" i="9" s="1"/>
  <c r="L707" i="9"/>
  <c r="L710" i="9" s="1"/>
  <c r="L711" i="9" s="1"/>
  <c r="J1022" i="9"/>
  <c r="J1023" i="9" s="1"/>
  <c r="J1024" i="9" s="1"/>
  <c r="J1025" i="9" s="1"/>
  <c r="J17" i="15"/>
  <c r="H12" i="14" s="1"/>
  <c r="J1046" i="9"/>
  <c r="J1047" i="9" s="1"/>
  <c r="L419" i="9"/>
  <c r="L422" i="9" s="1"/>
  <c r="L423" i="9" s="1"/>
  <c r="L424" i="9" s="1"/>
  <c r="L425" i="9" s="1"/>
  <c r="L1341" i="9"/>
  <c r="L1344" i="9" s="1"/>
  <c r="L1345" i="9" s="1"/>
  <c r="L1346" i="9" s="1"/>
  <c r="L1347" i="9" s="1"/>
  <c r="L539" i="9"/>
  <c r="L542" i="9" s="1"/>
  <c r="L543" i="9" s="1"/>
  <c r="L544" i="9" s="1"/>
  <c r="L545" i="9" s="1"/>
  <c r="J374" i="9"/>
  <c r="J375" i="9" s="1"/>
  <c r="J376" i="9" s="1"/>
  <c r="J377" i="9" s="1"/>
  <c r="L299" i="9"/>
  <c r="L302" i="9" s="1"/>
  <c r="L303" i="9" s="1"/>
  <c r="L304" i="9" s="1"/>
  <c r="L305" i="9" s="1"/>
  <c r="J638" i="9"/>
  <c r="J639" i="9" s="1"/>
  <c r="J640" i="9" s="1"/>
  <c r="J641" i="9" s="1"/>
  <c r="L659" i="9"/>
  <c r="L662" i="9" s="1"/>
  <c r="L663" i="9" s="1"/>
  <c r="L664" i="9" s="1"/>
  <c r="L665" i="9" s="1"/>
  <c r="L1366" i="9"/>
  <c r="L1369" i="9" s="1"/>
  <c r="L1370" i="9" s="1"/>
  <c r="L1371" i="9" s="1"/>
  <c r="L1372" i="9" s="1"/>
  <c r="J998" i="9"/>
  <c r="J999" i="9" s="1"/>
  <c r="J1000" i="9" s="1"/>
  <c r="J1001" i="9" s="1"/>
  <c r="L755" i="9"/>
  <c r="L758" i="9" s="1"/>
  <c r="L759" i="9" s="1"/>
  <c r="L760" i="9" s="1"/>
  <c r="L761" i="9" s="1"/>
  <c r="L779" i="9"/>
  <c r="L782" i="9" s="1"/>
  <c r="L783" i="9" s="1"/>
  <c r="L784" i="9" s="1"/>
  <c r="L785" i="9" s="1"/>
  <c r="J782" i="9"/>
  <c r="J783" i="9" s="1"/>
  <c r="J784" i="9" s="1"/>
  <c r="J785" i="9" s="1"/>
  <c r="J278" i="9"/>
  <c r="J279" i="9" s="1"/>
  <c r="J280" i="9" s="1"/>
  <c r="J281" i="9" s="1"/>
  <c r="L275" i="9"/>
  <c r="L278" i="9" s="1"/>
  <c r="L279" i="9" s="1"/>
  <c r="L280" i="9" s="1"/>
  <c r="L281" i="9" s="1"/>
  <c r="J806" i="9"/>
  <c r="J807" i="9" s="1"/>
  <c r="J808" i="9" s="1"/>
  <c r="J809" i="9" s="1"/>
  <c r="L803" i="9"/>
  <c r="L806" i="9" s="1"/>
  <c r="L807" i="9" s="1"/>
  <c r="L808" i="9" s="1"/>
  <c r="L809" i="9" s="1"/>
  <c r="L947" i="9"/>
  <c r="L950" i="9" s="1"/>
  <c r="L951" i="9" s="1"/>
  <c r="L952" i="9" s="1"/>
  <c r="L953" i="9" s="1"/>
  <c r="J950" i="9"/>
  <c r="J951" i="9" s="1"/>
  <c r="J952" i="9" s="1"/>
  <c r="J953" i="9" s="1"/>
  <c r="D134" i="8"/>
  <c r="D139" i="8"/>
  <c r="H1828" i="9"/>
  <c r="D80" i="8" s="1" a="1"/>
  <c r="D80" i="8" s="1"/>
  <c r="D62" i="8"/>
  <c r="D61" i="8"/>
  <c r="J521" i="9"/>
  <c r="H977" i="9"/>
  <c r="D46" i="8" s="1"/>
  <c r="H3739" i="9"/>
  <c r="D154" i="8" s="1"/>
  <c r="L2176" i="9"/>
  <c r="L2177" i="9" s="1"/>
  <c r="L2178" i="9" s="1"/>
  <c r="J2103" i="9"/>
  <c r="J2877" i="9"/>
  <c r="J2878" i="9" s="1"/>
  <c r="H233" i="9"/>
  <c r="D15" i="8" s="1"/>
  <c r="L91" i="9"/>
  <c r="J2203" i="9"/>
  <c r="H1097" i="9"/>
  <c r="D51" i="8" s="1"/>
  <c r="J1422" i="9"/>
  <c r="L2228" i="9"/>
  <c r="J2176" i="9"/>
  <c r="J2177" i="9" s="1"/>
  <c r="J2178" i="9" s="1"/>
  <c r="L185" i="9"/>
  <c r="H161" i="9"/>
  <c r="D12" i="8" s="1"/>
  <c r="J113" i="9"/>
  <c r="J2277" i="9"/>
  <c r="L2152" i="9"/>
  <c r="L2153" i="9" s="1"/>
  <c r="L1576" i="9"/>
  <c r="L1577" i="9" s="1"/>
  <c r="J2151" i="9"/>
  <c r="J2152" i="9" s="1"/>
  <c r="J2153" i="9" s="1"/>
  <c r="J2228" i="9"/>
  <c r="L2252" i="9"/>
  <c r="L3274" i="9"/>
  <c r="L3275" i="9" s="1"/>
  <c r="L3327" i="9"/>
  <c r="L3328" i="9" s="1"/>
  <c r="L113" i="9"/>
  <c r="H3524" i="9"/>
  <c r="H3525" i="9" s="1"/>
  <c r="D146" i="8" s="1"/>
  <c r="H3380" i="9"/>
  <c r="H3381" i="9" s="1"/>
  <c r="D140" i="8" s="1"/>
  <c r="H1576" i="9"/>
  <c r="H1577" i="9" s="1"/>
  <c r="D70" i="8" s="1"/>
  <c r="H2851" i="9"/>
  <c r="D120" i="8" s="1"/>
  <c r="H953" i="9"/>
  <c r="D45" i="8" s="1"/>
  <c r="J257" i="9"/>
  <c r="J1702" i="9"/>
  <c r="H1677" i="9"/>
  <c r="D74" i="8" s="1"/>
  <c r="H1526" i="9"/>
  <c r="H1527" i="9" s="1"/>
  <c r="D68" i="8" s="1"/>
  <c r="H1877" i="9"/>
  <c r="H1878" i="9" s="1"/>
  <c r="D82" i="8" s="1"/>
  <c r="H809" i="9"/>
  <c r="D39" i="8" s="1"/>
  <c r="J329" i="9"/>
  <c r="L1067" i="9"/>
  <c r="L1070" i="9" s="1"/>
  <c r="L1071" i="9" s="1"/>
  <c r="L1072" i="9" s="1"/>
  <c r="L1073" i="9" s="1"/>
  <c r="H521" i="9"/>
  <c r="D27" i="8" s="1"/>
  <c r="H1978" i="9"/>
  <c r="D86" i="8" s="1"/>
  <c r="H1501" i="9"/>
  <c r="D67" i="8" s="1" a="1"/>
  <c r="D67" i="8" s="1"/>
  <c r="H2614" i="9"/>
  <c r="D111" i="8" s="1"/>
  <c r="H857" i="9"/>
  <c r="D41" i="8" s="1"/>
  <c r="H2904" i="9"/>
  <c r="H2905" i="9" s="1"/>
  <c r="D122" i="8" s="1"/>
  <c r="H3550" i="9"/>
  <c r="H3551" i="9" s="1"/>
  <c r="D147" i="8" s="1"/>
  <c r="H2404" i="9"/>
  <c r="D103" i="8" s="1"/>
  <c r="H24" i="9"/>
  <c r="H25" i="9" s="1"/>
  <c r="D167" i="8" s="1"/>
  <c r="H1602" i="9"/>
  <c r="D71" i="8" s="1"/>
  <c r="H1701" i="9"/>
  <c r="H1702" i="9" s="1"/>
  <c r="D75" i="8" s="1"/>
  <c r="H1953" i="9"/>
  <c r="D85" i="8" s="1"/>
  <c r="H3354" i="9"/>
  <c r="H3170" i="9"/>
  <c r="D132" i="8" s="1"/>
  <c r="H1928" i="9"/>
  <c r="D84" i="8" s="1"/>
  <c r="J2613" i="9"/>
  <c r="J2614" i="9" s="1"/>
  <c r="L2614" i="9"/>
  <c r="L1902" i="9"/>
  <c r="L1903" i="9" s="1"/>
  <c r="J688" i="9"/>
  <c r="J689" i="9" s="1"/>
  <c r="L352" i="9"/>
  <c r="L353" i="9" s="1"/>
  <c r="L3089" i="9"/>
  <c r="L3090" i="9" s="1"/>
  <c r="L46" i="9"/>
  <c r="L47" i="9" s="1"/>
  <c r="J496" i="9"/>
  <c r="J497" i="9" s="1"/>
  <c r="L640" i="9"/>
  <c r="L641" i="9" s="1"/>
  <c r="L1144" i="9"/>
  <c r="L1145" i="9" s="1"/>
  <c r="J1371" i="9"/>
  <c r="J1372" i="9" s="1"/>
  <c r="L1321" i="9"/>
  <c r="L1322" i="9" s="1"/>
  <c r="L3169" i="9"/>
  <c r="L3170" i="9" s="1"/>
  <c r="L568" i="9"/>
  <c r="L569" i="9" s="1"/>
  <c r="J3476" i="9"/>
  <c r="J3477" i="9" s="1"/>
  <c r="L3221" i="9"/>
  <c r="L3222" i="9" s="1"/>
  <c r="L688" i="9"/>
  <c r="L689" i="9" s="1"/>
  <c r="L3247" i="9"/>
  <c r="L3248" i="9" s="1"/>
  <c r="J304" i="9"/>
  <c r="J305" i="9" s="1"/>
  <c r="J2693" i="9"/>
  <c r="J2694" i="9" s="1"/>
  <c r="J1802" i="9"/>
  <c r="J1803" i="9" s="1"/>
  <c r="L1802" i="9"/>
  <c r="L1803" i="9" s="1"/>
  <c r="J424" i="9"/>
  <c r="J425" i="9" s="1"/>
  <c r="L232" i="9"/>
  <c r="L233" i="9" s="1"/>
  <c r="J3247" i="9"/>
  <c r="J3248" i="9" s="1"/>
  <c r="L1269" i="9"/>
  <c r="L1270" i="9" s="1"/>
  <c r="H832" i="9"/>
  <c r="H833" i="9" s="1"/>
  <c r="D40" i="8" s="1"/>
  <c r="J1952" i="9"/>
  <c r="J1953" i="9" s="1"/>
  <c r="L1219" i="9"/>
  <c r="L1220" i="9" s="1"/>
  <c r="L1626" i="9"/>
  <c r="L1627" i="9" s="1"/>
  <c r="J3221" i="9"/>
  <c r="J3222" i="9" s="1"/>
  <c r="L1726" i="9"/>
  <c r="L1727" i="9" s="1"/>
  <c r="L2719" i="9"/>
  <c r="L2720" i="9" s="1"/>
  <c r="J1244" i="9"/>
  <c r="J1245" i="9" s="1"/>
  <c r="H496" i="9"/>
  <c r="H497" i="9" s="1"/>
  <c r="D26" i="8" s="1"/>
  <c r="J1446" i="9"/>
  <c r="J1447" i="9" s="1"/>
  <c r="J1120" i="9"/>
  <c r="J1121" i="9" s="1"/>
  <c r="L3301" i="9"/>
  <c r="L3302" i="9" s="1"/>
  <c r="J1626" i="9"/>
  <c r="J1627" i="9" s="1"/>
  <c r="L1120" i="9"/>
  <c r="L1121" i="9" s="1"/>
  <c r="L1977" i="9"/>
  <c r="L1978" i="9" s="1"/>
  <c r="J352" i="9"/>
  <c r="J353" i="9" s="1"/>
  <c r="J2904" i="9"/>
  <c r="J2905" i="9" s="1"/>
  <c r="J1048" i="9"/>
  <c r="J1049" i="9" s="1"/>
  <c r="L2983" i="9"/>
  <c r="L2984" i="9" s="1"/>
  <c r="L2667" i="9"/>
  <c r="L2668" i="9" s="1"/>
  <c r="L2301" i="9"/>
  <c r="L2302" i="9" s="1"/>
  <c r="J46" i="9"/>
  <c r="J47" i="9" s="1"/>
  <c r="J2557" i="9"/>
  <c r="J2558" i="9" s="1"/>
  <c r="L1651" i="9"/>
  <c r="L1652" i="9" s="1"/>
  <c r="J232" i="9"/>
  <c r="J233" i="9" s="1"/>
  <c r="J2983" i="9"/>
  <c r="J2984" i="9" s="1"/>
  <c r="J2667" i="9"/>
  <c r="J2668" i="9" s="1"/>
  <c r="J928" i="9"/>
  <c r="J929" i="9" s="1"/>
  <c r="L1852" i="9"/>
  <c r="L1853" i="9" s="1"/>
  <c r="L2557" i="9"/>
  <c r="L2558" i="9" s="1"/>
  <c r="H304" i="9"/>
  <c r="H305" i="9" s="1"/>
  <c r="D18" i="8" s="1"/>
  <c r="J616" i="9"/>
  <c r="J617" i="9" s="1"/>
  <c r="J2376" i="9"/>
  <c r="J2377" i="9" s="1"/>
  <c r="J1651" i="9"/>
  <c r="J1652" i="9" s="1"/>
  <c r="J3063" i="9"/>
  <c r="J3064" i="9" s="1"/>
  <c r="L3010" i="9"/>
  <c r="L3011" i="9" s="1"/>
  <c r="L1024" i="9"/>
  <c r="L1025" i="9" s="1"/>
  <c r="J1852" i="9"/>
  <c r="J1853" i="9" s="1"/>
  <c r="J2931" i="9"/>
  <c r="J2932" i="9" s="1"/>
  <c r="H1120" i="9"/>
  <c r="H1121" i="9" s="1"/>
  <c r="D52" i="8" s="1"/>
  <c r="J68" i="9"/>
  <c r="J69" i="9" s="1"/>
  <c r="J448" i="9"/>
  <c r="J449" i="9" s="1"/>
  <c r="L3063" i="9"/>
  <c r="L3064" i="9" s="1"/>
  <c r="J3010" i="9"/>
  <c r="J3011" i="9" s="1"/>
  <c r="L1776" i="9"/>
  <c r="L1777" i="9" s="1"/>
  <c r="H1902" i="9"/>
  <c r="H1903" i="9" s="1"/>
  <c r="D83" i="8" s="1"/>
  <c r="L2931" i="9"/>
  <c r="L2932" i="9" s="1"/>
  <c r="L448" i="9"/>
  <c r="L449" i="9" s="1"/>
  <c r="J1269" i="9"/>
  <c r="J1270" i="9" s="1"/>
  <c r="J1776" i="9"/>
  <c r="J1777" i="9" s="1"/>
  <c r="L1471" i="9"/>
  <c r="L1472" i="9" s="1"/>
  <c r="J1072" i="9"/>
  <c r="J1073" i="9" s="1"/>
  <c r="J712" i="9"/>
  <c r="J713" i="9" s="1"/>
  <c r="L2745" i="9"/>
  <c r="L2746" i="9" s="1"/>
  <c r="L136" i="9"/>
  <c r="L137" i="9" s="1"/>
  <c r="J1346" i="9"/>
  <c r="J1347" i="9" s="1"/>
  <c r="J3169" i="9"/>
  <c r="J3170" i="9" s="1"/>
  <c r="L1244" i="9"/>
  <c r="L1245" i="9" s="1"/>
  <c r="J3195" i="9"/>
  <c r="J3196" i="9" s="1"/>
  <c r="J1977" i="9"/>
  <c r="J1978" i="9" s="1"/>
  <c r="L2693" i="9"/>
  <c r="L2694" i="9" s="1"/>
  <c r="H2557" i="9"/>
  <c r="H2558" i="9" s="1"/>
  <c r="D109" i="8" s="1"/>
  <c r="H352" i="9"/>
  <c r="H353" i="9" s="1"/>
  <c r="D20" i="8" s="1"/>
  <c r="J136" i="9"/>
  <c r="J137" i="9" s="1"/>
  <c r="J1219" i="9"/>
  <c r="J1220" i="9" s="1"/>
  <c r="L856" i="9"/>
  <c r="L857" i="9" s="1"/>
  <c r="J1726" i="9"/>
  <c r="J1727" i="9" s="1"/>
  <c r="L2904" i="9"/>
  <c r="L2905" i="9" s="1"/>
  <c r="L3406" i="9"/>
  <c r="L3407" i="9" s="1"/>
  <c r="J3301" i="9"/>
  <c r="J3302" i="9" s="1"/>
  <c r="L3037" i="9"/>
  <c r="L3038" i="9" s="1"/>
  <c r="J1526" i="9"/>
  <c r="J1527" i="9" s="1"/>
  <c r="L1446" i="9"/>
  <c r="L1447" i="9" s="1"/>
  <c r="H1144" i="9"/>
  <c r="H1145" i="9" s="1"/>
  <c r="D53" i="8" s="1"/>
  <c r="J904" i="9"/>
  <c r="J905" i="9" s="1"/>
  <c r="J3037" i="9"/>
  <c r="J3038" i="9" s="1"/>
  <c r="J544" i="9"/>
  <c r="J545" i="9" s="1"/>
  <c r="L2077" i="9"/>
  <c r="L2078" i="9" s="1"/>
  <c r="H664" i="9"/>
  <c r="H665" i="9" s="1"/>
  <c r="D33" i="8" s="1"/>
  <c r="L1000" i="9"/>
  <c r="L1001" i="9" s="1"/>
  <c r="J880" i="9"/>
  <c r="J881" i="9" s="1"/>
  <c r="L1601" i="9"/>
  <c r="L1602" i="9" s="1"/>
  <c r="H2301" i="9"/>
  <c r="H2302" i="9" s="1"/>
  <c r="D99" i="8" s="1"/>
  <c r="L328" i="9"/>
  <c r="L329" i="9" s="1"/>
  <c r="H400" i="9"/>
  <c r="H401" i="9" s="1"/>
  <c r="D22" i="8" s="1"/>
  <c r="H208" i="9"/>
  <c r="H209" i="9" s="1"/>
  <c r="D14" i="8" s="1"/>
  <c r="L1048" i="9"/>
  <c r="L1049" i="9" s="1"/>
  <c r="L1952" i="9"/>
  <c r="L1953" i="9" s="1"/>
  <c r="L827" i="9"/>
  <c r="L830" i="9" s="1"/>
  <c r="L831" i="9" s="1"/>
  <c r="J830" i="9"/>
  <c r="J831" i="9" s="1"/>
  <c r="J856" i="9"/>
  <c r="J857" i="9" s="1"/>
  <c r="L1526" i="9"/>
  <c r="L1527" i="9" s="1"/>
  <c r="J1471" i="9"/>
  <c r="J1472" i="9" s="1"/>
  <c r="L3476" i="9"/>
  <c r="L3477" i="9" s="1"/>
  <c r="J568" i="9"/>
  <c r="J569" i="9" s="1"/>
  <c r="L904" i="9"/>
  <c r="L905" i="9" s="1"/>
  <c r="L2824" i="9"/>
  <c r="L2825" i="9" s="1"/>
  <c r="H90" i="9"/>
  <c r="H91" i="9" s="1"/>
  <c r="D9" i="8" s="1"/>
  <c r="L496" i="9"/>
  <c r="L497" i="9" s="1"/>
  <c r="J1601" i="9"/>
  <c r="J1602" i="9" s="1"/>
  <c r="J2077" i="9"/>
  <c r="J2078" i="9" s="1"/>
  <c r="J2002" i="9"/>
  <c r="J2003" i="9" s="1"/>
  <c r="L160" i="9"/>
  <c r="L161" i="9" s="1"/>
  <c r="J2301" i="9"/>
  <c r="J2302" i="9" s="1"/>
  <c r="L2532" i="9"/>
  <c r="L2533" i="9" s="1"/>
  <c r="L472" i="9"/>
  <c r="L473" i="9" s="1"/>
  <c r="L880" i="9"/>
  <c r="L881" i="9" s="1"/>
  <c r="J1902" i="9"/>
  <c r="J1903" i="9" s="1"/>
  <c r="L3550" i="9"/>
  <c r="L3551" i="9" s="1"/>
  <c r="L928" i="9"/>
  <c r="L929" i="9" s="1"/>
  <c r="L376" i="9"/>
  <c r="L377" i="9" s="1"/>
  <c r="H1269" i="9"/>
  <c r="H1270" i="9" s="1"/>
  <c r="D58" i="8" s="1"/>
  <c r="H2693" i="9"/>
  <c r="H2694" i="9" s="1"/>
  <c r="D114" i="8" s="1"/>
  <c r="H3301" i="9"/>
  <c r="H3302" i="9" s="1"/>
  <c r="D137" i="8" s="1"/>
  <c r="J760" i="9"/>
  <c r="J761" i="9" s="1"/>
  <c r="L3195" i="9"/>
  <c r="L3196" i="9" s="1"/>
  <c r="H592" i="9"/>
  <c r="H593" i="9" s="1"/>
  <c r="D30" i="8" s="1"/>
  <c r="J1144" i="9"/>
  <c r="J1145" i="9" s="1"/>
  <c r="J3550" i="9"/>
  <c r="J3551" i="9" s="1"/>
  <c r="J1321" i="9"/>
  <c r="J1322" i="9" s="1"/>
  <c r="J3406" i="9"/>
  <c r="J3407" i="9" s="1"/>
  <c r="L2102" i="9"/>
  <c r="L2103" i="9" s="1"/>
  <c r="J664" i="9"/>
  <c r="J665" i="9" s="1"/>
  <c r="H3115" i="9"/>
  <c r="H3116" i="9" s="1"/>
  <c r="D130" i="8" s="1"/>
  <c r="J2824" i="9"/>
  <c r="J2825" i="9" s="1"/>
  <c r="L736" i="9"/>
  <c r="L737" i="9" s="1"/>
  <c r="H3499" i="9"/>
  <c r="H3500" i="9" s="1"/>
  <c r="J3089" i="9"/>
  <c r="J3090" i="9" s="1"/>
  <c r="J736" i="9"/>
  <c r="J737" i="9" s="1"/>
  <c r="L2376" i="9"/>
  <c r="L2377" i="9" s="1"/>
  <c r="H3063" i="9"/>
  <c r="H3064" i="9" s="1"/>
  <c r="D128" i="8" s="1"/>
  <c r="H256" i="9"/>
  <c r="H257" i="9" s="1"/>
  <c r="D16" i="8" s="1"/>
  <c r="L2002" i="9"/>
  <c r="L2003" i="9" s="1"/>
  <c r="J160" i="9"/>
  <c r="J161" i="9" s="1"/>
  <c r="J2532" i="9"/>
  <c r="J2533" i="9" s="1"/>
  <c r="J472" i="9"/>
  <c r="J473" i="9" s="1"/>
  <c r="L2027" i="9"/>
  <c r="L2028" i="9" s="1"/>
  <c r="J2251" i="9"/>
  <c r="J2252" i="9" s="1"/>
  <c r="L712" i="9"/>
  <c r="L713" i="9" s="1"/>
  <c r="I20" i="15" l="1"/>
  <c r="D145" i="8"/>
  <c r="D168" i="8"/>
  <c r="J832" i="9"/>
  <c r="J833" i="9" s="1"/>
  <c r="L832" i="9"/>
  <c r="L833" i="9" s="1"/>
  <c r="L3848" i="5" l="1"/>
  <c r="J3848" i="5"/>
  <c r="H3847" i="5"/>
  <c r="G3846" i="5"/>
  <c r="H3846" i="5" s="1"/>
  <c r="E3846" i="5"/>
  <c r="C3846" i="5"/>
  <c r="G3845" i="5"/>
  <c r="H3845" i="5" s="1"/>
  <c r="E3845" i="5"/>
  <c r="C3845" i="5"/>
  <c r="L3843" i="5"/>
  <c r="J3843" i="5"/>
  <c r="G3837" i="5"/>
  <c r="H3837" i="5" s="1"/>
  <c r="E3837" i="5"/>
  <c r="C3837" i="5"/>
  <c r="L3835" i="5"/>
  <c r="J3835" i="5"/>
  <c r="G3834" i="5"/>
  <c r="H3834" i="5" s="1"/>
  <c r="E3834" i="5"/>
  <c r="C3834" i="5"/>
  <c r="G3833" i="5"/>
  <c r="H3833" i="5" s="1"/>
  <c r="E3833" i="5"/>
  <c r="C3833" i="5"/>
  <c r="L3832" i="5"/>
  <c r="J3832" i="5"/>
  <c r="G3832" i="5"/>
  <c r="H3832" i="5" s="1"/>
  <c r="E3832" i="5"/>
  <c r="C3832" i="5"/>
  <c r="C3819" i="5"/>
  <c r="G3818" i="5"/>
  <c r="H3818" i="5" s="1"/>
  <c r="E3818" i="5"/>
  <c r="C3818" i="5"/>
  <c r="D417" i="2"/>
  <c r="E3819" i="5" s="1"/>
  <c r="G3812" i="5"/>
  <c r="H3812" i="5" s="1"/>
  <c r="H3814" i="5" s="1"/>
  <c r="E3812" i="5"/>
  <c r="C3812" i="5"/>
  <c r="G3809" i="5"/>
  <c r="H3809" i="5" s="1"/>
  <c r="E3809" i="5"/>
  <c r="C3809" i="5"/>
  <c r="L3821" i="5"/>
  <c r="J3821" i="5"/>
  <c r="H3820" i="5"/>
  <c r="G3817" i="5"/>
  <c r="H3817" i="5" s="1"/>
  <c r="E3817" i="5"/>
  <c r="C3817" i="5"/>
  <c r="G3816" i="5"/>
  <c r="H3816" i="5" s="1"/>
  <c r="E3816" i="5"/>
  <c r="C3816" i="5"/>
  <c r="L3814" i="5"/>
  <c r="J3814" i="5"/>
  <c r="L3810" i="5"/>
  <c r="J3810" i="5"/>
  <c r="G3808" i="5"/>
  <c r="H3808" i="5" s="1"/>
  <c r="E3808" i="5"/>
  <c r="C3808" i="5"/>
  <c r="L3807" i="5"/>
  <c r="J3807" i="5"/>
  <c r="G3807" i="5"/>
  <c r="H3807" i="5" s="1"/>
  <c r="E3807" i="5"/>
  <c r="C3807" i="5"/>
  <c r="E3795" i="5"/>
  <c r="E3794" i="5"/>
  <c r="G3795" i="5"/>
  <c r="H3795" i="5" s="1"/>
  <c r="C3795" i="5"/>
  <c r="G3794" i="5"/>
  <c r="H3794" i="5" s="1"/>
  <c r="C3794" i="5"/>
  <c r="L3797" i="5"/>
  <c r="J3797" i="5"/>
  <c r="H3796" i="5"/>
  <c r="L3792" i="5"/>
  <c r="J3792" i="5"/>
  <c r="H3791" i="5"/>
  <c r="H3792" i="5" s="1"/>
  <c r="L3789" i="5"/>
  <c r="J3789" i="5"/>
  <c r="G3787" i="5"/>
  <c r="H3787" i="5" s="1"/>
  <c r="E3787" i="5"/>
  <c r="C3787" i="5"/>
  <c r="L3786" i="5"/>
  <c r="J3786" i="5"/>
  <c r="G3786" i="5"/>
  <c r="H3786" i="5" s="1"/>
  <c r="E3786" i="5"/>
  <c r="C3786" i="5"/>
  <c r="L3776" i="5"/>
  <c r="J3776" i="5"/>
  <c r="H3775" i="5"/>
  <c r="H3774" i="5"/>
  <c r="L3772" i="5"/>
  <c r="J3772" i="5"/>
  <c r="H3771" i="5"/>
  <c r="H3772" i="5" s="1"/>
  <c r="L3769" i="5"/>
  <c r="J3769" i="5"/>
  <c r="G3767" i="5"/>
  <c r="H3767" i="5" s="1"/>
  <c r="E3767" i="5"/>
  <c r="C3767" i="5"/>
  <c r="L3766" i="5"/>
  <c r="J3766" i="5"/>
  <c r="G3766" i="5"/>
  <c r="H3766" i="5" s="1"/>
  <c r="E3766" i="5"/>
  <c r="C3766" i="5"/>
  <c r="G3747" i="5"/>
  <c r="H3747" i="5" s="1"/>
  <c r="E3747" i="5"/>
  <c r="C3747" i="5"/>
  <c r="G3746" i="5"/>
  <c r="H3746" i="5" s="1"/>
  <c r="E3746" i="5"/>
  <c r="C3746" i="5"/>
  <c r="L3756" i="5"/>
  <c r="J3756" i="5"/>
  <c r="H3755" i="5"/>
  <c r="H3754" i="5"/>
  <c r="L3752" i="5"/>
  <c r="J3752" i="5"/>
  <c r="H3751" i="5"/>
  <c r="H3752" i="5" s="1"/>
  <c r="L3749" i="5"/>
  <c r="J3749" i="5"/>
  <c r="L3746" i="5"/>
  <c r="J3746" i="5"/>
  <c r="L3736" i="5"/>
  <c r="J3736" i="5"/>
  <c r="H3735" i="5"/>
  <c r="H3734" i="5"/>
  <c r="L3732" i="5"/>
  <c r="J3732" i="5"/>
  <c r="H3731" i="5"/>
  <c r="H3730" i="5"/>
  <c r="H3729" i="5"/>
  <c r="H3728" i="5"/>
  <c r="H3727" i="5"/>
  <c r="L3725" i="5"/>
  <c r="J3725" i="5"/>
  <c r="H3723" i="5"/>
  <c r="L3722" i="5"/>
  <c r="J3722" i="5"/>
  <c r="H3722" i="5"/>
  <c r="L3712" i="5"/>
  <c r="J3712" i="5"/>
  <c r="H3711" i="5"/>
  <c r="H3710" i="5"/>
  <c r="L3708" i="5"/>
  <c r="J3708" i="5"/>
  <c r="H3707" i="5"/>
  <c r="H3704" i="5"/>
  <c r="H3703" i="5"/>
  <c r="H3702" i="5"/>
  <c r="H3701" i="5"/>
  <c r="L3699" i="5"/>
  <c r="J3699" i="5"/>
  <c r="H3697" i="5"/>
  <c r="L3696" i="5"/>
  <c r="J3696" i="5"/>
  <c r="H3696" i="5"/>
  <c r="G3677" i="5"/>
  <c r="H3677" i="5" s="1"/>
  <c r="E3677" i="5"/>
  <c r="C3677" i="5"/>
  <c r="F3688" i="5"/>
  <c r="L3686" i="5"/>
  <c r="J3686" i="5"/>
  <c r="H3685" i="5"/>
  <c r="H3684" i="5"/>
  <c r="L3682" i="5"/>
  <c r="J3682" i="5"/>
  <c r="H3681" i="5"/>
  <c r="C3679" i="5"/>
  <c r="C3678" i="5"/>
  <c r="G3676" i="5"/>
  <c r="H3676" i="5" s="1"/>
  <c r="E3676" i="5"/>
  <c r="C3676" i="5"/>
  <c r="G3675" i="5"/>
  <c r="H3675" i="5" s="1"/>
  <c r="E3675" i="5"/>
  <c r="C3675" i="5"/>
  <c r="L3671" i="5"/>
  <c r="L3673" i="5" s="1"/>
  <c r="J3671" i="5"/>
  <c r="J3673" i="5" s="1"/>
  <c r="G3671" i="5"/>
  <c r="H3671" i="5" s="1"/>
  <c r="E3671" i="5"/>
  <c r="C3671" i="5"/>
  <c r="G3670" i="5"/>
  <c r="H3670" i="5" s="1"/>
  <c r="E3670" i="5"/>
  <c r="C3670" i="5"/>
  <c r="G3669" i="5"/>
  <c r="H3669" i="5" s="1"/>
  <c r="E3669" i="5"/>
  <c r="C3669" i="5"/>
  <c r="L3668" i="5"/>
  <c r="J3668" i="5"/>
  <c r="G3668" i="5"/>
  <c r="H3668" i="5" s="1"/>
  <c r="E3668" i="5"/>
  <c r="C3668" i="5"/>
  <c r="C3651" i="5"/>
  <c r="G3650" i="5"/>
  <c r="H3650" i="5" s="1"/>
  <c r="E3650" i="5"/>
  <c r="C3650" i="5"/>
  <c r="G3649" i="5"/>
  <c r="H3649" i="5" s="1"/>
  <c r="E3649" i="5"/>
  <c r="C3649" i="5"/>
  <c r="G3642" i="5"/>
  <c r="H3642" i="5" s="1"/>
  <c r="E3642" i="5"/>
  <c r="C3642" i="5"/>
  <c r="F3660" i="5"/>
  <c r="L3658" i="5"/>
  <c r="J3658" i="5"/>
  <c r="H3657" i="5"/>
  <c r="L3654" i="5"/>
  <c r="J3654" i="5"/>
  <c r="H3653" i="5"/>
  <c r="G3648" i="5"/>
  <c r="H3648" i="5" s="1"/>
  <c r="E3648" i="5"/>
  <c r="C3648" i="5"/>
  <c r="L3644" i="5"/>
  <c r="L3646" i="5" s="1"/>
  <c r="J3644" i="5"/>
  <c r="J3646" i="5" s="1"/>
  <c r="G3644" i="5"/>
  <c r="H3644" i="5" s="1"/>
  <c r="E3644" i="5"/>
  <c r="C3644" i="5"/>
  <c r="G3643" i="5"/>
  <c r="H3643" i="5" s="1"/>
  <c r="E3643" i="5"/>
  <c r="C3643" i="5"/>
  <c r="L3641" i="5"/>
  <c r="J3641" i="5"/>
  <c r="G3641" i="5"/>
  <c r="H3641" i="5" s="1"/>
  <c r="E3641" i="5"/>
  <c r="C3641" i="5"/>
  <c r="F3629" i="5"/>
  <c r="D131" i="2"/>
  <c r="G3625" i="5" s="1"/>
  <c r="H3625" i="5" s="1"/>
  <c r="D133" i="2"/>
  <c r="F3633" i="5"/>
  <c r="J3631" i="5"/>
  <c r="H3630" i="5"/>
  <c r="G3629" i="5"/>
  <c r="E3629" i="5"/>
  <c r="C3629" i="5"/>
  <c r="L3631" i="5"/>
  <c r="L3627" i="5"/>
  <c r="J3627" i="5"/>
  <c r="H3626" i="5"/>
  <c r="E3625" i="5"/>
  <c r="C3625" i="5"/>
  <c r="L3621" i="5"/>
  <c r="L3623" i="5" s="1"/>
  <c r="J3621" i="5"/>
  <c r="J3623" i="5" s="1"/>
  <c r="G3621" i="5"/>
  <c r="H3621" i="5" s="1"/>
  <c r="E3621" i="5"/>
  <c r="C3621" i="5"/>
  <c r="G3620" i="5"/>
  <c r="H3620" i="5" s="1"/>
  <c r="E3620" i="5"/>
  <c r="C3620" i="5"/>
  <c r="L3619" i="5"/>
  <c r="J3619" i="5"/>
  <c r="G3619" i="5"/>
  <c r="H3619" i="5" s="1"/>
  <c r="E3619" i="5"/>
  <c r="C3619" i="5"/>
  <c r="F3610" i="5"/>
  <c r="G3607" i="5"/>
  <c r="H3607" i="5" s="1"/>
  <c r="E3607" i="5"/>
  <c r="C3607" i="5"/>
  <c r="G3606" i="5"/>
  <c r="H3606" i="5" s="1"/>
  <c r="E3606" i="5"/>
  <c r="C3606" i="5"/>
  <c r="G3605" i="5"/>
  <c r="E3605" i="5"/>
  <c r="C3605" i="5"/>
  <c r="L3603" i="5"/>
  <c r="J3603" i="5"/>
  <c r="H3602" i="5"/>
  <c r="C3601" i="5"/>
  <c r="G3600" i="5"/>
  <c r="H3600" i="5" s="1"/>
  <c r="E3600" i="5"/>
  <c r="C3600" i="5"/>
  <c r="G3599" i="5"/>
  <c r="H3599" i="5" s="1"/>
  <c r="E3599" i="5"/>
  <c r="C3599" i="5"/>
  <c r="G3598" i="5"/>
  <c r="H3598" i="5" s="1"/>
  <c r="E3598" i="5"/>
  <c r="C3598" i="5"/>
  <c r="L3594" i="5"/>
  <c r="L3596" i="5" s="1"/>
  <c r="J3594" i="5"/>
  <c r="J3596" i="5" s="1"/>
  <c r="G3594" i="5"/>
  <c r="H3594" i="5" s="1"/>
  <c r="E3594" i="5"/>
  <c r="C3594" i="5"/>
  <c r="G3593" i="5"/>
  <c r="H3593" i="5" s="1"/>
  <c r="E3593" i="5"/>
  <c r="C3593" i="5"/>
  <c r="G3592" i="5"/>
  <c r="H3592" i="5" s="1"/>
  <c r="E3592" i="5"/>
  <c r="C3592" i="5"/>
  <c r="L3591" i="5"/>
  <c r="J3591" i="5"/>
  <c r="G3591" i="5"/>
  <c r="H3591" i="5" s="1"/>
  <c r="E3591" i="5"/>
  <c r="C3591" i="5"/>
  <c r="H3776" i="5" l="1"/>
  <c r="H3686" i="5"/>
  <c r="G3819" i="5"/>
  <c r="H3819" i="5" s="1"/>
  <c r="H3821" i="5" s="1"/>
  <c r="H3848" i="5"/>
  <c r="H3835" i="5"/>
  <c r="J3849" i="5"/>
  <c r="L3849" i="5"/>
  <c r="L3850" i="5" s="1"/>
  <c r="L3851" i="5" s="1"/>
  <c r="J3850" i="5"/>
  <c r="J3851" i="5" s="1"/>
  <c r="J3822" i="5"/>
  <c r="J3823" i="5" s="1"/>
  <c r="J3824" i="5" s="1"/>
  <c r="L3822" i="5"/>
  <c r="L3823" i="5" s="1"/>
  <c r="L3824" i="5" s="1"/>
  <c r="J3798" i="5"/>
  <c r="L3798" i="5"/>
  <c r="L3799" i="5" s="1"/>
  <c r="L3800" i="5" s="1"/>
  <c r="H3810" i="5"/>
  <c r="H3797" i="5"/>
  <c r="H3769" i="5"/>
  <c r="H3777" i="5" s="1"/>
  <c r="H3778" i="5" s="1"/>
  <c r="H3779" i="5" s="1"/>
  <c r="H3789" i="5"/>
  <c r="L3777" i="5"/>
  <c r="L3778" i="5" s="1"/>
  <c r="L3779" i="5" s="1"/>
  <c r="J3777" i="5"/>
  <c r="J3778" i="5" s="1"/>
  <c r="J3779" i="5" s="1"/>
  <c r="H3736" i="5"/>
  <c r="J3757" i="5"/>
  <c r="J3758" i="5" s="1"/>
  <c r="J3759" i="5" s="1"/>
  <c r="H3732" i="5"/>
  <c r="H3756" i="5"/>
  <c r="H3749" i="5"/>
  <c r="L3757" i="5"/>
  <c r="L3758" i="5" s="1"/>
  <c r="L3759" i="5" s="1"/>
  <c r="H3699" i="5"/>
  <c r="L3737" i="5"/>
  <c r="L3738" i="5" s="1"/>
  <c r="L3739" i="5" s="1"/>
  <c r="H3725" i="5"/>
  <c r="J3737" i="5"/>
  <c r="J3738" i="5" s="1"/>
  <c r="J3739" i="5" s="1"/>
  <c r="L3713" i="5"/>
  <c r="L3714" i="5" s="1"/>
  <c r="L3715" i="5" s="1"/>
  <c r="J3713" i="5"/>
  <c r="J3714" i="5" s="1"/>
  <c r="J3715" i="5" s="1"/>
  <c r="H3712" i="5"/>
  <c r="J3687" i="5"/>
  <c r="J3688" i="5" s="1"/>
  <c r="J3689" i="5" s="1"/>
  <c r="L3687" i="5"/>
  <c r="L3688" i="5" s="1"/>
  <c r="L3689" i="5" s="1"/>
  <c r="H3673" i="5"/>
  <c r="H3656" i="5"/>
  <c r="H3658" i="5" s="1"/>
  <c r="J3659" i="5"/>
  <c r="J3660" i="5" s="1"/>
  <c r="J3661" i="5" s="1"/>
  <c r="L3659" i="5"/>
  <c r="L3660" i="5" s="1"/>
  <c r="L3661" i="5" s="1"/>
  <c r="H3646" i="5"/>
  <c r="H3629" i="5"/>
  <c r="H3631" i="5" s="1"/>
  <c r="J3632" i="5"/>
  <c r="J3633" i="5" s="1"/>
  <c r="J3634" i="5" s="1"/>
  <c r="H3623" i="5"/>
  <c r="L3632" i="5"/>
  <c r="J3605" i="5"/>
  <c r="H3608" i="5"/>
  <c r="H3596" i="5"/>
  <c r="J3799" i="5" l="1"/>
  <c r="J3800" i="5" s="1"/>
  <c r="H3822" i="5"/>
  <c r="H3823" i="5" s="1"/>
  <c r="H3824" i="5" s="1"/>
  <c r="H3798" i="5"/>
  <c r="H3799" i="5" s="1"/>
  <c r="H3800" i="5" s="1"/>
  <c r="H3737" i="5"/>
  <c r="H3738" i="5" s="1"/>
  <c r="H3739" i="5" s="1"/>
  <c r="H3757" i="5"/>
  <c r="L3633" i="5"/>
  <c r="L3634" i="5" s="1"/>
  <c r="L3605" i="5"/>
  <c r="L3608" i="5" s="1"/>
  <c r="L3609" i="5" s="1"/>
  <c r="J3608" i="5"/>
  <c r="J3609" i="5" s="1"/>
  <c r="H3758" i="5" l="1"/>
  <c r="H3759" i="5" s="1"/>
  <c r="J3610" i="5"/>
  <c r="J3611" i="5" s="1"/>
  <c r="L3610" i="5"/>
  <c r="L3611" i="5" s="1"/>
  <c r="F3582" i="5" l="1"/>
  <c r="G3579" i="5"/>
  <c r="H3579" i="5" s="1"/>
  <c r="E3579" i="5"/>
  <c r="C3579" i="5"/>
  <c r="G3578" i="5"/>
  <c r="H3578" i="5" s="1"/>
  <c r="E3578" i="5"/>
  <c r="C3578" i="5"/>
  <c r="G3577" i="5"/>
  <c r="E3577" i="5"/>
  <c r="C3577" i="5"/>
  <c r="L3575" i="5"/>
  <c r="J3575" i="5"/>
  <c r="H3574" i="5"/>
  <c r="C3573" i="5"/>
  <c r="G3572" i="5"/>
  <c r="H3572" i="5" s="1"/>
  <c r="E3572" i="5"/>
  <c r="C3572" i="5"/>
  <c r="G3571" i="5"/>
  <c r="H3571" i="5" s="1"/>
  <c r="E3571" i="5"/>
  <c r="C3571" i="5"/>
  <c r="G3570" i="5"/>
  <c r="H3570" i="5" s="1"/>
  <c r="E3570" i="5"/>
  <c r="C3570" i="5"/>
  <c r="G3566" i="5"/>
  <c r="H3566" i="5" s="1"/>
  <c r="E3566" i="5"/>
  <c r="C3566" i="5"/>
  <c r="G3565" i="5"/>
  <c r="H3565" i="5" s="1"/>
  <c r="E3565" i="5"/>
  <c r="C3565" i="5"/>
  <c r="G3564" i="5"/>
  <c r="H3564" i="5" s="1"/>
  <c r="E3564" i="5"/>
  <c r="C3564" i="5"/>
  <c r="L3563" i="5"/>
  <c r="J3563" i="5"/>
  <c r="G3563" i="5"/>
  <c r="H3563" i="5" s="1"/>
  <c r="E3563" i="5"/>
  <c r="C3563" i="5"/>
  <c r="G3552" i="5"/>
  <c r="H3552" i="5" s="1"/>
  <c r="E3552" i="5"/>
  <c r="C3552" i="5"/>
  <c r="G3551" i="5"/>
  <c r="H3551" i="5" s="1"/>
  <c r="E3551" i="5"/>
  <c r="C3551" i="5"/>
  <c r="G3550" i="5"/>
  <c r="E3550" i="5"/>
  <c r="G3544" i="5"/>
  <c r="H3544" i="5" s="1"/>
  <c r="E3544" i="5"/>
  <c r="C3544" i="5"/>
  <c r="G3543" i="5"/>
  <c r="H3543" i="5" s="1"/>
  <c r="E3543" i="5"/>
  <c r="C3543" i="5"/>
  <c r="G3538" i="5"/>
  <c r="H3538" i="5" s="1"/>
  <c r="E3538" i="5"/>
  <c r="C3538" i="5"/>
  <c r="F3555" i="5"/>
  <c r="L3548" i="5"/>
  <c r="J3548" i="5"/>
  <c r="H3547" i="5"/>
  <c r="C3546" i="5"/>
  <c r="G3545" i="5"/>
  <c r="H3545" i="5" s="1"/>
  <c r="E3545" i="5"/>
  <c r="C3545" i="5"/>
  <c r="G3539" i="5"/>
  <c r="F3539" i="5"/>
  <c r="J3539" i="5" s="1"/>
  <c r="J3541" i="5" s="1"/>
  <c r="E3539" i="5"/>
  <c r="C3539" i="5"/>
  <c r="G3537" i="5"/>
  <c r="H3537" i="5" s="1"/>
  <c r="E3537" i="5"/>
  <c r="C3537" i="5"/>
  <c r="L3536" i="5"/>
  <c r="J3536" i="5"/>
  <c r="G3536" i="5"/>
  <c r="H3536" i="5" s="1"/>
  <c r="E3536" i="5"/>
  <c r="C3536" i="5"/>
  <c r="F3526" i="5"/>
  <c r="H3523" i="5"/>
  <c r="H3522" i="5"/>
  <c r="H3521" i="5"/>
  <c r="J3521" i="5" s="1"/>
  <c r="L3519" i="5"/>
  <c r="J3519" i="5"/>
  <c r="H3518" i="5"/>
  <c r="E3517" i="5"/>
  <c r="C3517" i="5"/>
  <c r="G3516" i="5"/>
  <c r="H3516" i="5" s="1"/>
  <c r="E3516" i="5"/>
  <c r="C3516" i="5"/>
  <c r="G3512" i="5"/>
  <c r="F3512" i="5"/>
  <c r="E3512" i="5"/>
  <c r="C3512" i="5"/>
  <c r="G3511" i="5"/>
  <c r="H3511" i="5" s="1"/>
  <c r="E3511" i="5"/>
  <c r="C3511" i="5"/>
  <c r="L3510" i="5"/>
  <c r="J3510" i="5"/>
  <c r="G3510" i="5"/>
  <c r="H3510" i="5" s="1"/>
  <c r="E3510" i="5"/>
  <c r="C3510" i="5"/>
  <c r="F3500" i="5"/>
  <c r="H3497" i="5"/>
  <c r="H3496" i="5"/>
  <c r="H3495" i="5"/>
  <c r="L3493" i="5"/>
  <c r="J3493" i="5"/>
  <c r="H3492" i="5"/>
  <c r="C3491" i="5"/>
  <c r="G3490" i="5"/>
  <c r="H3490" i="5" s="1"/>
  <c r="E3490" i="5"/>
  <c r="C3490" i="5"/>
  <c r="G3486" i="5"/>
  <c r="F3486" i="5"/>
  <c r="J3486" i="5" s="1"/>
  <c r="J3488" i="5" s="1"/>
  <c r="E3486" i="5"/>
  <c r="C3486" i="5"/>
  <c r="G3485" i="5"/>
  <c r="F3485" i="5"/>
  <c r="E3485" i="5"/>
  <c r="C3485" i="5"/>
  <c r="G3484" i="5"/>
  <c r="H3484" i="5" s="1"/>
  <c r="E3484" i="5"/>
  <c r="C3484" i="5"/>
  <c r="L3483" i="5"/>
  <c r="J3483" i="5"/>
  <c r="G3483" i="5"/>
  <c r="H3483" i="5" s="1"/>
  <c r="E3483" i="5"/>
  <c r="C3483" i="5"/>
  <c r="G3467" i="5"/>
  <c r="H3467" i="5" s="1"/>
  <c r="E3467" i="5"/>
  <c r="C3467" i="5"/>
  <c r="F3466" i="5"/>
  <c r="G3466" i="5"/>
  <c r="E3466" i="5"/>
  <c r="C3466" i="5"/>
  <c r="G3465" i="5"/>
  <c r="H3465" i="5" s="1"/>
  <c r="E3465" i="5"/>
  <c r="C3465" i="5"/>
  <c r="F3475" i="5"/>
  <c r="H3472" i="5"/>
  <c r="H3471" i="5"/>
  <c r="G3470" i="5"/>
  <c r="H3470" i="5" s="1"/>
  <c r="E3470" i="5"/>
  <c r="C3470" i="5"/>
  <c r="L3468" i="5"/>
  <c r="J3468" i="5"/>
  <c r="G3461" i="5"/>
  <c r="F3461" i="5"/>
  <c r="L3461" i="5" s="1"/>
  <c r="L3463" i="5" s="1"/>
  <c r="E3461" i="5"/>
  <c r="C3461" i="5"/>
  <c r="L3460" i="5"/>
  <c r="J3460" i="5"/>
  <c r="G3460" i="5"/>
  <c r="H3460" i="5" s="1"/>
  <c r="E3460" i="5"/>
  <c r="C3460" i="5"/>
  <c r="G3447" i="5"/>
  <c r="H3447" i="5" s="1"/>
  <c r="J3447" i="5" s="1"/>
  <c r="E3447" i="5"/>
  <c r="C3447" i="5"/>
  <c r="F3452" i="5"/>
  <c r="H3449" i="5"/>
  <c r="H3448" i="5"/>
  <c r="L3445" i="5"/>
  <c r="J3445" i="5"/>
  <c r="H3444" i="5"/>
  <c r="H3443" i="5"/>
  <c r="H3442" i="5"/>
  <c r="G3438" i="5"/>
  <c r="F3438" i="5"/>
  <c r="J3438" i="5" s="1"/>
  <c r="J3440" i="5" s="1"/>
  <c r="E3438" i="5"/>
  <c r="C3438" i="5"/>
  <c r="L3437" i="5"/>
  <c r="J3437" i="5"/>
  <c r="G3437" i="5"/>
  <c r="H3437" i="5" s="1"/>
  <c r="E3437" i="5"/>
  <c r="C3437" i="5"/>
  <c r="F3429" i="5"/>
  <c r="H3426" i="5"/>
  <c r="H3425" i="5"/>
  <c r="H3424" i="5"/>
  <c r="L3422" i="5"/>
  <c r="J3422" i="5"/>
  <c r="H3421" i="5"/>
  <c r="H3420" i="5"/>
  <c r="H3419" i="5"/>
  <c r="G3415" i="5"/>
  <c r="F3415" i="5"/>
  <c r="E3415" i="5"/>
  <c r="C3415" i="5"/>
  <c r="L3414" i="5"/>
  <c r="J3414" i="5"/>
  <c r="G3414" i="5"/>
  <c r="H3414" i="5" s="1"/>
  <c r="E3414" i="5"/>
  <c r="C3414" i="5"/>
  <c r="F3406" i="5"/>
  <c r="H3403" i="5"/>
  <c r="H3402" i="5"/>
  <c r="H3401" i="5"/>
  <c r="J3401" i="5" s="1"/>
  <c r="L3399" i="5"/>
  <c r="J3399" i="5"/>
  <c r="H3398" i="5"/>
  <c r="H3397" i="5"/>
  <c r="H3396" i="5"/>
  <c r="G3392" i="5"/>
  <c r="F3392" i="5"/>
  <c r="E3392" i="5"/>
  <c r="C3392" i="5"/>
  <c r="L3391" i="5"/>
  <c r="J3391" i="5"/>
  <c r="G3391" i="5"/>
  <c r="H3391" i="5" s="1"/>
  <c r="E3391" i="5"/>
  <c r="C3391" i="5"/>
  <c r="F3382" i="5"/>
  <c r="H3379" i="5"/>
  <c r="H3378" i="5"/>
  <c r="H3377" i="5"/>
  <c r="J3377" i="5" s="1"/>
  <c r="L3375" i="5"/>
  <c r="J3375" i="5"/>
  <c r="H3374" i="5"/>
  <c r="C3373" i="5"/>
  <c r="G3372" i="5"/>
  <c r="H3372" i="5" s="1"/>
  <c r="E3372" i="5"/>
  <c r="C3372" i="5"/>
  <c r="G3368" i="5"/>
  <c r="F3368" i="5"/>
  <c r="E3368" i="5"/>
  <c r="C3368" i="5"/>
  <c r="G3367" i="5"/>
  <c r="F3367" i="5"/>
  <c r="E3367" i="5"/>
  <c r="C3367" i="5"/>
  <c r="G3366" i="5"/>
  <c r="H3366" i="5" s="1"/>
  <c r="E3366" i="5"/>
  <c r="C3366" i="5"/>
  <c r="L3365" i="5"/>
  <c r="J3365" i="5"/>
  <c r="G3365" i="5"/>
  <c r="H3365" i="5" s="1"/>
  <c r="E3365" i="5"/>
  <c r="C3365" i="5"/>
  <c r="F3356" i="5"/>
  <c r="H3353" i="5"/>
  <c r="H3352" i="5"/>
  <c r="H3351" i="5"/>
  <c r="L3349" i="5"/>
  <c r="J3349" i="5"/>
  <c r="G3348" i="5"/>
  <c r="H3348" i="5" s="1"/>
  <c r="E3348" i="5"/>
  <c r="C3348" i="5"/>
  <c r="C3347" i="5"/>
  <c r="G3346" i="5"/>
  <c r="H3346" i="5" s="1"/>
  <c r="E3346" i="5"/>
  <c r="C3346" i="5"/>
  <c r="L3345" i="5"/>
  <c r="J3345" i="5"/>
  <c r="G3345" i="5"/>
  <c r="H3345" i="5" s="1"/>
  <c r="E3345" i="5"/>
  <c r="C3345" i="5"/>
  <c r="G3341" i="5"/>
  <c r="F3341" i="5"/>
  <c r="L3341" i="5" s="1"/>
  <c r="L3343" i="5" s="1"/>
  <c r="E3341" i="5"/>
  <c r="C3341" i="5"/>
  <c r="G3340" i="5"/>
  <c r="F3340" i="5"/>
  <c r="E3340" i="5"/>
  <c r="C3340" i="5"/>
  <c r="G3339" i="5"/>
  <c r="H3339" i="5" s="1"/>
  <c r="E3339" i="5"/>
  <c r="C3339" i="5"/>
  <c r="L3338" i="5"/>
  <c r="J3338" i="5"/>
  <c r="G3338" i="5"/>
  <c r="H3338" i="5" s="1"/>
  <c r="E3338" i="5"/>
  <c r="C3338" i="5"/>
  <c r="F3329" i="5"/>
  <c r="H3326" i="5"/>
  <c r="H3325" i="5"/>
  <c r="H3324" i="5"/>
  <c r="L3322" i="5"/>
  <c r="J3322" i="5"/>
  <c r="H3321" i="5"/>
  <c r="C3320" i="5"/>
  <c r="G3319" i="5"/>
  <c r="H3319" i="5" s="1"/>
  <c r="E3319" i="5"/>
  <c r="C3319" i="5"/>
  <c r="G3315" i="5"/>
  <c r="F3315" i="5"/>
  <c r="J3315" i="5" s="1"/>
  <c r="J3317" i="5" s="1"/>
  <c r="E3315" i="5"/>
  <c r="C3315" i="5"/>
  <c r="G3314" i="5"/>
  <c r="F3314" i="5"/>
  <c r="E3314" i="5"/>
  <c r="C3314" i="5"/>
  <c r="G3313" i="5"/>
  <c r="H3313" i="5" s="1"/>
  <c r="E3313" i="5"/>
  <c r="C3313" i="5"/>
  <c r="L3312" i="5"/>
  <c r="J3312" i="5"/>
  <c r="G3312" i="5"/>
  <c r="H3312" i="5" s="1"/>
  <c r="E3312" i="5"/>
  <c r="C3312" i="5"/>
  <c r="F3303" i="5"/>
  <c r="H3300" i="5"/>
  <c r="H3299" i="5"/>
  <c r="H3298" i="5"/>
  <c r="L3296" i="5"/>
  <c r="J3296" i="5"/>
  <c r="H3295" i="5"/>
  <c r="C3294" i="5"/>
  <c r="G3293" i="5"/>
  <c r="H3293" i="5" s="1"/>
  <c r="E3293" i="5"/>
  <c r="C3293" i="5"/>
  <c r="G3289" i="5"/>
  <c r="F3289" i="5"/>
  <c r="L3289" i="5" s="1"/>
  <c r="L3291" i="5" s="1"/>
  <c r="E3289" i="5"/>
  <c r="C3289" i="5"/>
  <c r="G3288" i="5"/>
  <c r="F3288" i="5"/>
  <c r="E3288" i="5"/>
  <c r="C3288" i="5"/>
  <c r="G3287" i="5"/>
  <c r="H3287" i="5" s="1"/>
  <c r="E3287" i="5"/>
  <c r="C3287" i="5"/>
  <c r="L3286" i="5"/>
  <c r="J3286" i="5"/>
  <c r="G3286" i="5"/>
  <c r="H3286" i="5" s="1"/>
  <c r="E3286" i="5"/>
  <c r="C3286" i="5"/>
  <c r="F3277" i="5"/>
  <c r="H3274" i="5"/>
  <c r="H3273" i="5"/>
  <c r="H3272" i="5"/>
  <c r="J3272" i="5" s="1"/>
  <c r="L3270" i="5"/>
  <c r="J3270" i="5"/>
  <c r="G3269" i="5"/>
  <c r="H3269" i="5" s="1"/>
  <c r="E3269" i="5"/>
  <c r="C3269" i="5"/>
  <c r="C3268" i="5"/>
  <c r="G3267" i="5"/>
  <c r="H3267" i="5" s="1"/>
  <c r="E3267" i="5"/>
  <c r="C3267" i="5"/>
  <c r="L3266" i="5"/>
  <c r="J3266" i="5"/>
  <c r="G3266" i="5"/>
  <c r="H3266" i="5" s="1"/>
  <c r="E3266" i="5"/>
  <c r="C3266" i="5"/>
  <c r="G3262" i="5"/>
  <c r="F3262" i="5"/>
  <c r="L3262" i="5" s="1"/>
  <c r="L3264" i="5" s="1"/>
  <c r="E3262" i="5"/>
  <c r="C3262" i="5"/>
  <c r="G3261" i="5"/>
  <c r="F3261" i="5"/>
  <c r="E3261" i="5"/>
  <c r="C3261" i="5"/>
  <c r="G3260" i="5"/>
  <c r="H3260" i="5" s="1"/>
  <c r="E3260" i="5"/>
  <c r="C3260" i="5"/>
  <c r="L3259" i="5"/>
  <c r="J3259" i="5"/>
  <c r="G3259" i="5"/>
  <c r="H3259" i="5" s="1"/>
  <c r="E3259" i="5"/>
  <c r="C3259" i="5"/>
  <c r="F3250" i="5"/>
  <c r="H3247" i="5"/>
  <c r="H3246" i="5"/>
  <c r="H3245" i="5"/>
  <c r="L3243" i="5"/>
  <c r="J3243" i="5"/>
  <c r="G3242" i="5"/>
  <c r="H3242" i="5" s="1"/>
  <c r="E3242" i="5"/>
  <c r="C3242" i="5"/>
  <c r="C3241" i="5"/>
  <c r="G3240" i="5"/>
  <c r="H3240" i="5" s="1"/>
  <c r="E3240" i="5"/>
  <c r="C3240" i="5"/>
  <c r="L3239" i="5"/>
  <c r="J3239" i="5"/>
  <c r="G3239" i="5"/>
  <c r="H3239" i="5" s="1"/>
  <c r="E3239" i="5"/>
  <c r="C3239" i="5"/>
  <c r="G3235" i="5"/>
  <c r="F3235" i="5"/>
  <c r="J3235" i="5" s="1"/>
  <c r="J3237" i="5" s="1"/>
  <c r="E3235" i="5"/>
  <c r="C3235" i="5"/>
  <c r="G3234" i="5"/>
  <c r="F3234" i="5"/>
  <c r="E3234" i="5"/>
  <c r="C3234" i="5"/>
  <c r="G3233" i="5"/>
  <c r="H3233" i="5" s="1"/>
  <c r="E3233" i="5"/>
  <c r="C3233" i="5"/>
  <c r="L3232" i="5"/>
  <c r="J3232" i="5"/>
  <c r="G3232" i="5"/>
  <c r="H3232" i="5" s="1"/>
  <c r="E3232" i="5"/>
  <c r="C3232" i="5"/>
  <c r="F3223" i="5"/>
  <c r="H3220" i="5"/>
  <c r="H3219" i="5"/>
  <c r="H3218" i="5"/>
  <c r="J3218" i="5" s="1"/>
  <c r="L3216" i="5"/>
  <c r="J3216" i="5"/>
  <c r="G3215" i="5"/>
  <c r="H3215" i="5" s="1"/>
  <c r="E3215" i="5"/>
  <c r="C3215" i="5"/>
  <c r="C3214" i="5"/>
  <c r="G3213" i="5"/>
  <c r="H3213" i="5" s="1"/>
  <c r="E3213" i="5"/>
  <c r="C3213" i="5"/>
  <c r="G3209" i="5"/>
  <c r="F3209" i="5"/>
  <c r="L3209" i="5" s="1"/>
  <c r="L3211" i="5" s="1"/>
  <c r="E3209" i="5"/>
  <c r="C3209" i="5"/>
  <c r="G3208" i="5"/>
  <c r="F3208" i="5"/>
  <c r="E3208" i="5"/>
  <c r="C3208" i="5"/>
  <c r="G3207" i="5"/>
  <c r="H3207" i="5" s="1"/>
  <c r="E3207" i="5"/>
  <c r="C3207" i="5"/>
  <c r="L3206" i="5"/>
  <c r="J3206" i="5"/>
  <c r="G3206" i="5"/>
  <c r="H3206" i="5" s="1"/>
  <c r="E3206" i="5"/>
  <c r="C3206" i="5"/>
  <c r="F3197" i="5"/>
  <c r="H3194" i="5"/>
  <c r="H3193" i="5"/>
  <c r="H3192" i="5"/>
  <c r="J3192" i="5" s="1"/>
  <c r="L3190" i="5"/>
  <c r="J3190" i="5"/>
  <c r="H3189" i="5"/>
  <c r="C3188" i="5"/>
  <c r="G3187" i="5"/>
  <c r="H3187" i="5" s="1"/>
  <c r="E3187" i="5"/>
  <c r="C3187" i="5"/>
  <c r="G3183" i="5"/>
  <c r="F3183" i="5"/>
  <c r="L3183" i="5" s="1"/>
  <c r="L3185" i="5" s="1"/>
  <c r="E3183" i="5"/>
  <c r="C3183" i="5"/>
  <c r="G3182" i="5"/>
  <c r="F3182" i="5"/>
  <c r="E3182" i="5"/>
  <c r="C3182" i="5"/>
  <c r="G3181" i="5"/>
  <c r="H3181" i="5" s="1"/>
  <c r="E3181" i="5"/>
  <c r="C3181" i="5"/>
  <c r="L3180" i="5"/>
  <c r="J3180" i="5"/>
  <c r="G3180" i="5"/>
  <c r="H3180" i="5" s="1"/>
  <c r="E3180" i="5"/>
  <c r="C3180" i="5"/>
  <c r="F3171" i="5"/>
  <c r="H3168" i="5"/>
  <c r="H3167" i="5"/>
  <c r="H3166" i="5"/>
  <c r="L3164" i="5"/>
  <c r="J3164" i="5"/>
  <c r="H3163" i="5"/>
  <c r="C3162" i="5"/>
  <c r="G3161" i="5"/>
  <c r="H3161" i="5" s="1"/>
  <c r="E3161" i="5"/>
  <c r="C3161" i="5"/>
  <c r="G3157" i="5"/>
  <c r="F3157" i="5"/>
  <c r="J3157" i="5" s="1"/>
  <c r="J3159" i="5" s="1"/>
  <c r="E3157" i="5"/>
  <c r="C3157" i="5"/>
  <c r="G3156" i="5"/>
  <c r="F3156" i="5"/>
  <c r="E3156" i="5"/>
  <c r="C3156" i="5"/>
  <c r="G3155" i="5"/>
  <c r="H3155" i="5" s="1"/>
  <c r="E3155" i="5"/>
  <c r="C3155" i="5"/>
  <c r="L3154" i="5"/>
  <c r="J3154" i="5"/>
  <c r="G3154" i="5"/>
  <c r="H3154" i="5" s="1"/>
  <c r="E3154" i="5"/>
  <c r="C3154" i="5"/>
  <c r="F3145" i="5"/>
  <c r="H3142" i="5"/>
  <c r="H3141" i="5"/>
  <c r="H3140" i="5"/>
  <c r="L3138" i="5"/>
  <c r="J3138" i="5"/>
  <c r="G3137" i="5"/>
  <c r="H3137" i="5" s="1"/>
  <c r="E3137" i="5"/>
  <c r="C3137" i="5"/>
  <c r="C3136" i="5"/>
  <c r="G3135" i="5"/>
  <c r="H3135" i="5" s="1"/>
  <c r="E3135" i="5"/>
  <c r="C3135" i="5"/>
  <c r="L3134" i="5"/>
  <c r="J3134" i="5"/>
  <c r="G3134" i="5"/>
  <c r="H3134" i="5" s="1"/>
  <c r="E3134" i="5"/>
  <c r="C3134" i="5"/>
  <c r="G3130" i="5"/>
  <c r="F3130" i="5"/>
  <c r="L3130" i="5" s="1"/>
  <c r="L3132" i="5" s="1"/>
  <c r="E3130" i="5"/>
  <c r="C3130" i="5"/>
  <c r="G3129" i="5"/>
  <c r="F3129" i="5"/>
  <c r="E3129" i="5"/>
  <c r="C3129" i="5"/>
  <c r="G3128" i="5"/>
  <c r="H3128" i="5" s="1"/>
  <c r="E3128" i="5"/>
  <c r="C3128" i="5"/>
  <c r="L3127" i="5"/>
  <c r="J3127" i="5"/>
  <c r="G3127" i="5"/>
  <c r="H3127" i="5" s="1"/>
  <c r="E3127" i="5"/>
  <c r="C3127" i="5"/>
  <c r="F3118" i="5"/>
  <c r="H3115" i="5"/>
  <c r="H3114" i="5"/>
  <c r="H3113" i="5"/>
  <c r="L3111" i="5"/>
  <c r="J3111" i="5"/>
  <c r="G3110" i="5"/>
  <c r="H3110" i="5" s="1"/>
  <c r="E3110" i="5"/>
  <c r="C3110" i="5"/>
  <c r="C3109" i="5"/>
  <c r="G3108" i="5"/>
  <c r="H3108" i="5" s="1"/>
  <c r="E3108" i="5"/>
  <c r="C3108" i="5"/>
  <c r="L3107" i="5"/>
  <c r="J3107" i="5"/>
  <c r="G3107" i="5"/>
  <c r="H3107" i="5" s="1"/>
  <c r="E3107" i="5"/>
  <c r="C3107" i="5"/>
  <c r="G3103" i="5"/>
  <c r="F3103" i="5"/>
  <c r="L3103" i="5" s="1"/>
  <c r="L3105" i="5" s="1"/>
  <c r="E3103" i="5"/>
  <c r="C3103" i="5"/>
  <c r="G3102" i="5"/>
  <c r="F3102" i="5"/>
  <c r="E3102" i="5"/>
  <c r="C3102" i="5"/>
  <c r="G3101" i="5"/>
  <c r="H3101" i="5" s="1"/>
  <c r="E3101" i="5"/>
  <c r="C3101" i="5"/>
  <c r="L3100" i="5"/>
  <c r="J3100" i="5"/>
  <c r="G3100" i="5"/>
  <c r="H3100" i="5" s="1"/>
  <c r="E3100" i="5"/>
  <c r="C3100" i="5"/>
  <c r="C3030" i="5"/>
  <c r="F3091" i="5"/>
  <c r="H3088" i="5"/>
  <c r="H3087" i="5"/>
  <c r="H3086" i="5"/>
  <c r="L3084" i="5"/>
  <c r="J3084" i="5"/>
  <c r="G3083" i="5"/>
  <c r="H3083" i="5" s="1"/>
  <c r="E3083" i="5"/>
  <c r="C3083" i="5"/>
  <c r="C3082" i="5"/>
  <c r="G3081" i="5"/>
  <c r="H3081" i="5" s="1"/>
  <c r="E3081" i="5"/>
  <c r="C3081" i="5"/>
  <c r="G3077" i="5"/>
  <c r="F3077" i="5"/>
  <c r="L3077" i="5" s="1"/>
  <c r="L3079" i="5" s="1"/>
  <c r="E3077" i="5"/>
  <c r="C3077" i="5"/>
  <c r="G3076" i="5"/>
  <c r="F3076" i="5"/>
  <c r="E3076" i="5"/>
  <c r="C3076" i="5"/>
  <c r="G3075" i="5"/>
  <c r="H3075" i="5" s="1"/>
  <c r="E3075" i="5"/>
  <c r="C3075" i="5"/>
  <c r="L3074" i="5"/>
  <c r="J3074" i="5"/>
  <c r="G3074" i="5"/>
  <c r="H3074" i="5" s="1"/>
  <c r="E3074" i="5"/>
  <c r="C3074" i="5"/>
  <c r="F3065" i="5"/>
  <c r="H3062" i="5"/>
  <c r="H3061" i="5"/>
  <c r="H3060" i="5"/>
  <c r="J3060" i="5" s="1"/>
  <c r="L3058" i="5"/>
  <c r="J3058" i="5"/>
  <c r="H3057" i="5"/>
  <c r="C3056" i="5"/>
  <c r="G3055" i="5"/>
  <c r="H3055" i="5" s="1"/>
  <c r="E3055" i="5"/>
  <c r="C3055" i="5"/>
  <c r="G3051" i="5"/>
  <c r="F3051" i="5"/>
  <c r="L3051" i="5" s="1"/>
  <c r="L3053" i="5" s="1"/>
  <c r="E3051" i="5"/>
  <c r="C3051" i="5"/>
  <c r="G3050" i="5"/>
  <c r="F3050" i="5"/>
  <c r="E3050" i="5"/>
  <c r="C3050" i="5"/>
  <c r="G3049" i="5"/>
  <c r="H3049" i="5" s="1"/>
  <c r="E3049" i="5"/>
  <c r="C3049" i="5"/>
  <c r="L3048" i="5"/>
  <c r="J3048" i="5"/>
  <c r="G3048" i="5"/>
  <c r="H3048" i="5" s="1"/>
  <c r="E3048" i="5"/>
  <c r="C3048" i="5"/>
  <c r="F3039" i="5"/>
  <c r="H3036" i="5"/>
  <c r="H3035" i="5"/>
  <c r="H3034" i="5"/>
  <c r="L3032" i="5"/>
  <c r="J3032" i="5"/>
  <c r="H3031" i="5"/>
  <c r="G3029" i="5"/>
  <c r="H3029" i="5" s="1"/>
  <c r="E3029" i="5"/>
  <c r="C3029" i="5"/>
  <c r="G3025" i="5"/>
  <c r="F3025" i="5"/>
  <c r="J3025" i="5" s="1"/>
  <c r="J3027" i="5" s="1"/>
  <c r="E3025" i="5"/>
  <c r="C3025" i="5"/>
  <c r="G3024" i="5"/>
  <c r="F3024" i="5"/>
  <c r="E3024" i="5"/>
  <c r="C3024" i="5"/>
  <c r="G3023" i="5"/>
  <c r="H3023" i="5" s="1"/>
  <c r="E3023" i="5"/>
  <c r="C3023" i="5"/>
  <c r="L3022" i="5"/>
  <c r="J3022" i="5"/>
  <c r="G3022" i="5"/>
  <c r="H3022" i="5" s="1"/>
  <c r="E3022" i="5"/>
  <c r="C3022" i="5"/>
  <c r="F3013" i="5"/>
  <c r="H3010" i="5"/>
  <c r="H3009" i="5"/>
  <c r="H3008" i="5"/>
  <c r="J3008" i="5" s="1"/>
  <c r="L3006" i="5"/>
  <c r="J3006" i="5"/>
  <c r="G3005" i="5"/>
  <c r="H3005" i="5" s="1"/>
  <c r="E3005" i="5"/>
  <c r="C3005" i="5"/>
  <c r="C3004" i="5"/>
  <c r="G3003" i="5"/>
  <c r="H3003" i="5" s="1"/>
  <c r="E3003" i="5"/>
  <c r="C3003" i="5"/>
  <c r="L3002" i="5"/>
  <c r="J3002" i="5"/>
  <c r="G3002" i="5"/>
  <c r="H3002" i="5" s="1"/>
  <c r="E3002" i="5"/>
  <c r="C3002" i="5"/>
  <c r="G2998" i="5"/>
  <c r="F2998" i="5"/>
  <c r="J2998" i="5" s="1"/>
  <c r="J3000" i="5" s="1"/>
  <c r="E2998" i="5"/>
  <c r="C2998" i="5"/>
  <c r="G2997" i="5"/>
  <c r="F2997" i="5"/>
  <c r="E2997" i="5"/>
  <c r="C2997" i="5"/>
  <c r="G2996" i="5"/>
  <c r="H2996" i="5" s="1"/>
  <c r="E2996" i="5"/>
  <c r="C2996" i="5"/>
  <c r="L2995" i="5"/>
  <c r="J2995" i="5"/>
  <c r="G2995" i="5"/>
  <c r="H2995" i="5" s="1"/>
  <c r="E2995" i="5"/>
  <c r="C2995" i="5"/>
  <c r="F2986" i="5"/>
  <c r="H2983" i="5"/>
  <c r="H2982" i="5"/>
  <c r="H2981" i="5"/>
  <c r="L2979" i="5"/>
  <c r="J2979" i="5"/>
  <c r="G2978" i="5"/>
  <c r="H2978" i="5" s="1"/>
  <c r="E2978" i="5"/>
  <c r="C2978" i="5"/>
  <c r="C2977" i="5"/>
  <c r="G2976" i="5"/>
  <c r="H2976" i="5" s="1"/>
  <c r="E2976" i="5"/>
  <c r="C2976" i="5"/>
  <c r="L2975" i="5"/>
  <c r="J2975" i="5"/>
  <c r="G2975" i="5"/>
  <c r="H2975" i="5" s="1"/>
  <c r="E2975" i="5"/>
  <c r="C2975" i="5"/>
  <c r="G2971" i="5"/>
  <c r="F2971" i="5"/>
  <c r="E2971" i="5"/>
  <c r="C2971" i="5"/>
  <c r="G2970" i="5"/>
  <c r="F2970" i="5"/>
  <c r="E2970" i="5"/>
  <c r="C2970" i="5"/>
  <c r="G2969" i="5"/>
  <c r="H2969" i="5" s="1"/>
  <c r="E2969" i="5"/>
  <c r="C2969" i="5"/>
  <c r="L2968" i="5"/>
  <c r="J2968" i="5"/>
  <c r="G2968" i="5"/>
  <c r="H2968" i="5" s="1"/>
  <c r="E2968" i="5"/>
  <c r="C2968" i="5"/>
  <c r="G2951" i="5"/>
  <c r="H2951" i="5" s="1"/>
  <c r="E2951" i="5"/>
  <c r="C2951" i="5"/>
  <c r="F2959" i="5"/>
  <c r="H2956" i="5"/>
  <c r="H2955" i="5"/>
  <c r="H2954" i="5"/>
  <c r="J2954" i="5" s="1"/>
  <c r="L2952" i="5"/>
  <c r="J2952" i="5"/>
  <c r="C2950" i="5"/>
  <c r="G2949" i="5"/>
  <c r="H2949" i="5" s="1"/>
  <c r="E2949" i="5"/>
  <c r="C2949" i="5"/>
  <c r="G2945" i="5"/>
  <c r="F2945" i="5"/>
  <c r="L2945" i="5" s="1"/>
  <c r="L2947" i="5" s="1"/>
  <c r="E2945" i="5"/>
  <c r="C2945" i="5"/>
  <c r="G2944" i="5"/>
  <c r="F2944" i="5"/>
  <c r="E2944" i="5"/>
  <c r="C2944" i="5"/>
  <c r="G2943" i="5"/>
  <c r="H2943" i="5" s="1"/>
  <c r="E2943" i="5"/>
  <c r="C2943" i="5"/>
  <c r="L2942" i="5"/>
  <c r="J2942" i="5"/>
  <c r="G2942" i="5"/>
  <c r="H2942" i="5" s="1"/>
  <c r="E2942" i="5"/>
  <c r="C2942" i="5"/>
  <c r="C2924" i="5"/>
  <c r="F2933" i="5"/>
  <c r="H2930" i="5"/>
  <c r="H2929" i="5"/>
  <c r="H2928" i="5"/>
  <c r="L2926" i="5"/>
  <c r="J2926" i="5"/>
  <c r="H2925" i="5"/>
  <c r="G2923" i="5"/>
  <c r="H2923" i="5" s="1"/>
  <c r="E2923" i="5"/>
  <c r="C2923" i="5"/>
  <c r="G2919" i="5"/>
  <c r="F2919" i="5"/>
  <c r="L2919" i="5" s="1"/>
  <c r="L2921" i="5" s="1"/>
  <c r="E2919" i="5"/>
  <c r="C2919" i="5"/>
  <c r="G2918" i="5"/>
  <c r="F2918" i="5"/>
  <c r="E2918" i="5"/>
  <c r="C2918" i="5"/>
  <c r="G2917" i="5"/>
  <c r="H2917" i="5" s="1"/>
  <c r="E2917" i="5"/>
  <c r="C2917" i="5"/>
  <c r="L2916" i="5"/>
  <c r="J2916" i="5"/>
  <c r="G2916" i="5"/>
  <c r="H2916" i="5" s="1"/>
  <c r="E2916" i="5"/>
  <c r="C2916" i="5"/>
  <c r="F2907" i="5"/>
  <c r="H2904" i="5"/>
  <c r="H2903" i="5"/>
  <c r="H2902" i="5"/>
  <c r="L2900" i="5"/>
  <c r="J2900" i="5"/>
  <c r="G2899" i="5"/>
  <c r="E2899" i="5"/>
  <c r="C2899" i="5"/>
  <c r="C2898" i="5"/>
  <c r="G2897" i="5"/>
  <c r="H2897" i="5" s="1"/>
  <c r="E2897" i="5"/>
  <c r="C2897" i="5"/>
  <c r="L2896" i="5"/>
  <c r="J2896" i="5"/>
  <c r="G2896" i="5"/>
  <c r="E2896" i="5"/>
  <c r="C2896" i="5"/>
  <c r="G2892" i="5"/>
  <c r="F2892" i="5"/>
  <c r="L2892" i="5" s="1"/>
  <c r="L2894" i="5" s="1"/>
  <c r="E2892" i="5"/>
  <c r="C2892" i="5"/>
  <c r="G2891" i="5"/>
  <c r="F2891" i="5"/>
  <c r="E2891" i="5"/>
  <c r="C2891" i="5"/>
  <c r="G2890" i="5"/>
  <c r="H2890" i="5" s="1"/>
  <c r="E2890" i="5"/>
  <c r="C2890" i="5"/>
  <c r="L2889" i="5"/>
  <c r="J2889" i="5"/>
  <c r="G2889" i="5"/>
  <c r="H2889" i="5" s="1"/>
  <c r="E2889" i="5"/>
  <c r="C2889" i="5"/>
  <c r="F2880" i="5"/>
  <c r="H2877" i="5"/>
  <c r="H2876" i="5"/>
  <c r="H2875" i="5"/>
  <c r="L2873" i="5"/>
  <c r="J2873" i="5"/>
  <c r="G2872" i="5"/>
  <c r="H2872" i="5" s="1"/>
  <c r="E2872" i="5"/>
  <c r="C2872" i="5"/>
  <c r="C2871" i="5"/>
  <c r="G2870" i="5"/>
  <c r="H2870" i="5" s="1"/>
  <c r="E2870" i="5"/>
  <c r="C2870" i="5"/>
  <c r="L2869" i="5"/>
  <c r="J2869" i="5"/>
  <c r="G2869" i="5"/>
  <c r="H2869" i="5" s="1"/>
  <c r="E2869" i="5"/>
  <c r="C2869" i="5"/>
  <c r="G2865" i="5"/>
  <c r="F2865" i="5"/>
  <c r="L2865" i="5" s="1"/>
  <c r="L2867" i="5" s="1"/>
  <c r="E2865" i="5"/>
  <c r="C2865" i="5"/>
  <c r="G2864" i="5"/>
  <c r="F2864" i="5"/>
  <c r="E2864" i="5"/>
  <c r="C2864" i="5"/>
  <c r="G2863" i="5"/>
  <c r="H2863" i="5" s="1"/>
  <c r="E2863" i="5"/>
  <c r="C2863" i="5"/>
  <c r="L2862" i="5"/>
  <c r="J2862" i="5"/>
  <c r="G2862" i="5"/>
  <c r="H2862" i="5" s="1"/>
  <c r="E2862" i="5"/>
  <c r="C2862" i="5"/>
  <c r="G2845" i="5"/>
  <c r="H2845" i="5" s="1"/>
  <c r="E2845" i="5"/>
  <c r="C2845" i="5"/>
  <c r="C2844" i="5"/>
  <c r="G2843" i="5"/>
  <c r="H2843" i="5" s="1"/>
  <c r="E2843" i="5"/>
  <c r="C2843" i="5"/>
  <c r="F2853" i="5"/>
  <c r="H2850" i="5"/>
  <c r="H2849" i="5"/>
  <c r="L2846" i="5"/>
  <c r="J2846" i="5"/>
  <c r="L2842" i="5"/>
  <c r="J2842" i="5"/>
  <c r="G2842" i="5"/>
  <c r="H2842" i="5" s="1"/>
  <c r="E2842" i="5"/>
  <c r="C2842" i="5"/>
  <c r="G2838" i="5"/>
  <c r="F2838" i="5"/>
  <c r="L2838" i="5" s="1"/>
  <c r="L2840" i="5" s="1"/>
  <c r="E2838" i="5"/>
  <c r="C2838" i="5"/>
  <c r="G2837" i="5"/>
  <c r="F2837" i="5"/>
  <c r="E2837" i="5"/>
  <c r="C2837" i="5"/>
  <c r="G2836" i="5"/>
  <c r="H2836" i="5" s="1"/>
  <c r="E2836" i="5"/>
  <c r="C2836" i="5"/>
  <c r="L2835" i="5"/>
  <c r="J2835" i="5"/>
  <c r="G2835" i="5"/>
  <c r="H2835" i="5" s="1"/>
  <c r="E2835" i="5"/>
  <c r="C2835" i="5"/>
  <c r="G2821" i="5"/>
  <c r="E2821" i="5"/>
  <c r="C2821" i="5"/>
  <c r="F2826" i="5"/>
  <c r="H2823" i="5"/>
  <c r="H2822" i="5"/>
  <c r="L2819" i="5"/>
  <c r="J2819" i="5"/>
  <c r="H2818" i="5"/>
  <c r="H2817" i="5"/>
  <c r="L2816" i="5"/>
  <c r="J2816" i="5"/>
  <c r="G2816" i="5"/>
  <c r="H2816" i="5" s="1"/>
  <c r="E2816" i="5"/>
  <c r="C2816" i="5"/>
  <c r="G2812" i="5"/>
  <c r="F2812" i="5"/>
  <c r="J2812" i="5" s="1"/>
  <c r="J2814" i="5" s="1"/>
  <c r="E2812" i="5"/>
  <c r="C2812" i="5"/>
  <c r="G2811" i="5"/>
  <c r="F2811" i="5"/>
  <c r="F2821" i="5" s="1"/>
  <c r="E2811" i="5"/>
  <c r="C2811" i="5"/>
  <c r="G2810" i="5"/>
  <c r="H2810" i="5" s="1"/>
  <c r="E2810" i="5"/>
  <c r="C2810" i="5"/>
  <c r="L2809" i="5"/>
  <c r="J2809" i="5"/>
  <c r="G2809" i="5"/>
  <c r="H2809" i="5" s="1"/>
  <c r="E2809" i="5"/>
  <c r="C2809" i="5"/>
  <c r="H2792" i="5"/>
  <c r="F2800" i="5"/>
  <c r="H2797" i="5"/>
  <c r="H2796" i="5"/>
  <c r="H2795" i="5"/>
  <c r="L2793" i="5"/>
  <c r="J2793" i="5"/>
  <c r="H2791" i="5"/>
  <c r="L2790" i="5"/>
  <c r="J2790" i="5"/>
  <c r="G2790" i="5"/>
  <c r="H2790" i="5" s="1"/>
  <c r="E2790" i="5"/>
  <c r="C2790" i="5"/>
  <c r="G2786" i="5"/>
  <c r="F2786" i="5"/>
  <c r="J2786" i="5" s="1"/>
  <c r="J2788" i="5" s="1"/>
  <c r="E2786" i="5"/>
  <c r="C2786" i="5"/>
  <c r="G2785" i="5"/>
  <c r="F2785" i="5"/>
  <c r="E2785" i="5"/>
  <c r="C2785" i="5"/>
  <c r="G2784" i="5"/>
  <c r="H2784" i="5" s="1"/>
  <c r="E2784" i="5"/>
  <c r="C2784" i="5"/>
  <c r="L2783" i="5"/>
  <c r="J2783" i="5"/>
  <c r="G2783" i="5"/>
  <c r="H2783" i="5" s="1"/>
  <c r="E2783" i="5"/>
  <c r="C2783" i="5"/>
  <c r="G2770" i="5"/>
  <c r="H2770" i="5" s="1"/>
  <c r="E2770" i="5"/>
  <c r="C2770" i="5"/>
  <c r="E2764" i="5"/>
  <c r="C2764" i="5"/>
  <c r="E2763" i="5"/>
  <c r="C2763" i="5"/>
  <c r="D93" i="2"/>
  <c r="G2764" i="5" s="1"/>
  <c r="D92" i="2"/>
  <c r="G2763" i="5" s="1"/>
  <c r="H2763" i="5" s="1"/>
  <c r="F2775" i="5"/>
  <c r="H2772" i="5"/>
  <c r="H2771" i="5"/>
  <c r="L2768" i="5"/>
  <c r="J2768" i="5"/>
  <c r="G2767" i="5"/>
  <c r="H2767" i="5" s="1"/>
  <c r="E2767" i="5"/>
  <c r="C2767" i="5"/>
  <c r="N2766" i="5"/>
  <c r="L2766" i="5"/>
  <c r="J2766" i="5"/>
  <c r="C2766" i="5"/>
  <c r="L2765" i="5"/>
  <c r="J2765" i="5"/>
  <c r="C2765" i="5"/>
  <c r="L2762" i="5"/>
  <c r="J2762" i="5"/>
  <c r="G2762" i="5"/>
  <c r="H2762" i="5" s="1"/>
  <c r="E2762" i="5"/>
  <c r="C2762" i="5"/>
  <c r="G2758" i="5"/>
  <c r="F2758" i="5"/>
  <c r="J2758" i="5" s="1"/>
  <c r="J2760" i="5" s="1"/>
  <c r="E2758" i="5"/>
  <c r="C2758" i="5"/>
  <c r="G2757" i="5"/>
  <c r="F2757" i="5"/>
  <c r="E2757" i="5"/>
  <c r="C2757" i="5"/>
  <c r="G2756" i="5"/>
  <c r="H2756" i="5" s="1"/>
  <c r="E2756" i="5"/>
  <c r="C2756" i="5"/>
  <c r="L2755" i="5"/>
  <c r="J2755" i="5"/>
  <c r="G2755" i="5"/>
  <c r="H2755" i="5" s="1"/>
  <c r="E2755" i="5"/>
  <c r="C2755" i="5"/>
  <c r="F2747" i="5"/>
  <c r="H2744" i="5"/>
  <c r="H2743" i="5"/>
  <c r="H2742" i="5"/>
  <c r="J2742" i="5" s="1"/>
  <c r="L2740" i="5"/>
  <c r="J2740" i="5"/>
  <c r="G2739" i="5"/>
  <c r="H2739" i="5" s="1"/>
  <c r="E2739" i="5"/>
  <c r="C2739" i="5"/>
  <c r="N2738" i="5"/>
  <c r="L2738" i="5"/>
  <c r="J2738" i="5"/>
  <c r="C2738" i="5"/>
  <c r="L2737" i="5"/>
  <c r="J2737" i="5"/>
  <c r="C2737" i="5"/>
  <c r="L2736" i="5"/>
  <c r="J2736" i="5"/>
  <c r="G2736" i="5"/>
  <c r="H2736" i="5" s="1"/>
  <c r="E2736" i="5"/>
  <c r="C2736" i="5"/>
  <c r="G2732" i="5"/>
  <c r="F2732" i="5"/>
  <c r="L2732" i="5" s="1"/>
  <c r="L2734" i="5" s="1"/>
  <c r="E2732" i="5"/>
  <c r="C2732" i="5"/>
  <c r="G2731" i="5"/>
  <c r="F2731" i="5"/>
  <c r="E2731" i="5"/>
  <c r="C2731" i="5"/>
  <c r="G2730" i="5"/>
  <c r="H2730" i="5" s="1"/>
  <c r="E2730" i="5"/>
  <c r="C2730" i="5"/>
  <c r="L2729" i="5"/>
  <c r="J2729" i="5"/>
  <c r="G2729" i="5"/>
  <c r="H2729" i="5" s="1"/>
  <c r="E2729" i="5"/>
  <c r="C2729" i="5"/>
  <c r="F2721" i="5"/>
  <c r="H2718" i="5"/>
  <c r="H2717" i="5"/>
  <c r="H2716" i="5"/>
  <c r="L2714" i="5"/>
  <c r="J2714" i="5"/>
  <c r="G2713" i="5"/>
  <c r="H2713" i="5" s="1"/>
  <c r="E2713" i="5"/>
  <c r="C2713" i="5"/>
  <c r="N2712" i="5"/>
  <c r="L2712" i="5"/>
  <c r="J2712" i="5"/>
  <c r="C2712" i="5"/>
  <c r="L2711" i="5"/>
  <c r="J2711" i="5"/>
  <c r="C2711" i="5"/>
  <c r="L2710" i="5"/>
  <c r="J2710" i="5"/>
  <c r="G2710" i="5"/>
  <c r="H2710" i="5" s="1"/>
  <c r="E2710" i="5"/>
  <c r="C2710" i="5"/>
  <c r="G2706" i="5"/>
  <c r="F2706" i="5"/>
  <c r="L2706" i="5" s="1"/>
  <c r="L2708" i="5" s="1"/>
  <c r="E2706" i="5"/>
  <c r="C2706" i="5"/>
  <c r="G2705" i="5"/>
  <c r="F2705" i="5"/>
  <c r="E2705" i="5"/>
  <c r="C2705" i="5"/>
  <c r="G2704" i="5"/>
  <c r="H2704" i="5" s="1"/>
  <c r="E2704" i="5"/>
  <c r="C2704" i="5"/>
  <c r="L2703" i="5"/>
  <c r="J2703" i="5"/>
  <c r="G2703" i="5"/>
  <c r="H2703" i="5" s="1"/>
  <c r="E2703" i="5"/>
  <c r="C2703" i="5"/>
  <c r="F2695" i="5"/>
  <c r="H2692" i="5"/>
  <c r="H2691" i="5"/>
  <c r="H2690" i="5"/>
  <c r="L2688" i="5"/>
  <c r="J2688" i="5"/>
  <c r="G2687" i="5"/>
  <c r="H2687" i="5" s="1"/>
  <c r="E2687" i="5"/>
  <c r="C2687" i="5"/>
  <c r="N2686" i="5"/>
  <c r="L2686" i="5"/>
  <c r="J2686" i="5"/>
  <c r="C2686" i="5"/>
  <c r="L2685" i="5"/>
  <c r="J2685" i="5"/>
  <c r="C2685" i="5"/>
  <c r="L2684" i="5"/>
  <c r="J2684" i="5"/>
  <c r="G2684" i="5"/>
  <c r="H2684" i="5" s="1"/>
  <c r="E2684" i="5"/>
  <c r="C2684" i="5"/>
  <c r="G2680" i="5"/>
  <c r="F2680" i="5"/>
  <c r="L2680" i="5" s="1"/>
  <c r="L2682" i="5" s="1"/>
  <c r="E2680" i="5"/>
  <c r="C2680" i="5"/>
  <c r="G2679" i="5"/>
  <c r="F2679" i="5"/>
  <c r="E2679" i="5"/>
  <c r="C2679" i="5"/>
  <c r="G2678" i="5"/>
  <c r="H2678" i="5" s="1"/>
  <c r="E2678" i="5"/>
  <c r="C2678" i="5"/>
  <c r="L2677" i="5"/>
  <c r="J2677" i="5"/>
  <c r="G2677" i="5"/>
  <c r="H2677" i="5" s="1"/>
  <c r="E2677" i="5"/>
  <c r="C2677" i="5"/>
  <c r="D69" i="2"/>
  <c r="G2766" i="5" s="1"/>
  <c r="H2766" i="5" s="1"/>
  <c r="G2633" i="5"/>
  <c r="H2633" i="5" s="1"/>
  <c r="N2660" i="5"/>
  <c r="J2659" i="5"/>
  <c r="G2661" i="5"/>
  <c r="H2661" i="5" s="1"/>
  <c r="E2661" i="5"/>
  <c r="C2661" i="5"/>
  <c r="F2654" i="5"/>
  <c r="F2653" i="5"/>
  <c r="G2654" i="5"/>
  <c r="E2654" i="5"/>
  <c r="C2654" i="5"/>
  <c r="F2669" i="5"/>
  <c r="H2666" i="5"/>
  <c r="H2665" i="5"/>
  <c r="H2664" i="5"/>
  <c r="J2664" i="5" s="1"/>
  <c r="L2662" i="5"/>
  <c r="J2662" i="5"/>
  <c r="L2660" i="5"/>
  <c r="J2660" i="5"/>
  <c r="C2660" i="5"/>
  <c r="L2659" i="5"/>
  <c r="C2659" i="5"/>
  <c r="L2658" i="5"/>
  <c r="J2658" i="5"/>
  <c r="G2658" i="5"/>
  <c r="H2658" i="5" s="1"/>
  <c r="E2658" i="5"/>
  <c r="C2658" i="5"/>
  <c r="G2653" i="5"/>
  <c r="E2653" i="5"/>
  <c r="C2653" i="5"/>
  <c r="G2652" i="5"/>
  <c r="H2652" i="5" s="1"/>
  <c r="E2652" i="5"/>
  <c r="C2652" i="5"/>
  <c r="L2651" i="5"/>
  <c r="J2651" i="5"/>
  <c r="G2651" i="5"/>
  <c r="H2651" i="5" s="1"/>
  <c r="E2651" i="5"/>
  <c r="C2651" i="5"/>
  <c r="G2626" i="5"/>
  <c r="H2626" i="5" s="1"/>
  <c r="E2626" i="5"/>
  <c r="C2626" i="5"/>
  <c r="F2643" i="5"/>
  <c r="H2640" i="5"/>
  <c r="H2639" i="5"/>
  <c r="H2638" i="5"/>
  <c r="L2636" i="5"/>
  <c r="J2636" i="5"/>
  <c r="L2634" i="5"/>
  <c r="J2634" i="5"/>
  <c r="E2634" i="5"/>
  <c r="C2634" i="5"/>
  <c r="L2633" i="5"/>
  <c r="J2633" i="5"/>
  <c r="E2633" i="5"/>
  <c r="C2633" i="5"/>
  <c r="L2632" i="5"/>
  <c r="J2632" i="5"/>
  <c r="G2632" i="5"/>
  <c r="H2632" i="5" s="1"/>
  <c r="E2632" i="5"/>
  <c r="C2632" i="5"/>
  <c r="L2628" i="5"/>
  <c r="L2630" i="5" s="1"/>
  <c r="J2628" i="5"/>
  <c r="J2630" i="5" s="1"/>
  <c r="H2628" i="5"/>
  <c r="G2627" i="5"/>
  <c r="H2627" i="5" s="1"/>
  <c r="E2627" i="5"/>
  <c r="C2627" i="5"/>
  <c r="L2625" i="5"/>
  <c r="J2625" i="5"/>
  <c r="G2625" i="5"/>
  <c r="H2625" i="5" s="1"/>
  <c r="E2625" i="5"/>
  <c r="C2625" i="5"/>
  <c r="G2608" i="5"/>
  <c r="H2608" i="5" s="1"/>
  <c r="E2608" i="5"/>
  <c r="C2608" i="5"/>
  <c r="C2607" i="5"/>
  <c r="E2712" i="5" l="1"/>
  <c r="E2686" i="5"/>
  <c r="E2738" i="5"/>
  <c r="E2766" i="5"/>
  <c r="E2660" i="5"/>
  <c r="H3568" i="5"/>
  <c r="J3577" i="5"/>
  <c r="H3580" i="5"/>
  <c r="J3566" i="5"/>
  <c r="J3568" i="5" s="1"/>
  <c r="L3566" i="5"/>
  <c r="L3568" i="5" s="1"/>
  <c r="H3553" i="5"/>
  <c r="H3427" i="5"/>
  <c r="J3550" i="5"/>
  <c r="H3539" i="5"/>
  <c r="H3541" i="5" s="1"/>
  <c r="L3539" i="5"/>
  <c r="L3541" i="5" s="1"/>
  <c r="H3512" i="5"/>
  <c r="H3514" i="5" s="1"/>
  <c r="H3354" i="5"/>
  <c r="H3498" i="5"/>
  <c r="H3399" i="5"/>
  <c r="L3521" i="5"/>
  <c r="L3524" i="5" s="1"/>
  <c r="J3524" i="5"/>
  <c r="J3512" i="5"/>
  <c r="J3514" i="5" s="1"/>
  <c r="L3512" i="5"/>
  <c r="L3514" i="5" s="1"/>
  <c r="H3524" i="5"/>
  <c r="H3301" i="5"/>
  <c r="H3445" i="5"/>
  <c r="H3466" i="5"/>
  <c r="H3468" i="5" s="1"/>
  <c r="H3422" i="5"/>
  <c r="H3486" i="5"/>
  <c r="H3488" i="5" s="1"/>
  <c r="L3486" i="5"/>
  <c r="L3488" i="5" s="1"/>
  <c r="J3495" i="5"/>
  <c r="H3392" i="5"/>
  <c r="H3394" i="5" s="1"/>
  <c r="H3473" i="5"/>
  <c r="J3470" i="5"/>
  <c r="H3461" i="5"/>
  <c r="H3463" i="5" s="1"/>
  <c r="L3438" i="5"/>
  <c r="L3440" i="5" s="1"/>
  <c r="J3461" i="5"/>
  <c r="J3463" i="5" s="1"/>
  <c r="H3438" i="5"/>
  <c r="H3440" i="5" s="1"/>
  <c r="L3447" i="5"/>
  <c r="L3450" i="5" s="1"/>
  <c r="J3450" i="5"/>
  <c r="J3451" i="5" s="1"/>
  <c r="H3450" i="5"/>
  <c r="H3368" i="5"/>
  <c r="H3415" i="5"/>
  <c r="H3417" i="5" s="1"/>
  <c r="H3129" i="5"/>
  <c r="L3415" i="5"/>
  <c r="L3417" i="5" s="1"/>
  <c r="J3415" i="5"/>
  <c r="J3417" i="5" s="1"/>
  <c r="H3143" i="5"/>
  <c r="J3424" i="5"/>
  <c r="L3401" i="5"/>
  <c r="L3404" i="5" s="1"/>
  <c r="J3404" i="5"/>
  <c r="J3392" i="5"/>
  <c r="J3394" i="5" s="1"/>
  <c r="L3392" i="5"/>
  <c r="L3394" i="5" s="1"/>
  <c r="H3404" i="5"/>
  <c r="H3367" i="5"/>
  <c r="J3380" i="5"/>
  <c r="L3377" i="5"/>
  <c r="L3380" i="5" s="1"/>
  <c r="J3368" i="5"/>
  <c r="J3370" i="5" s="1"/>
  <c r="L3368" i="5"/>
  <c r="L3370" i="5" s="1"/>
  <c r="H3380" i="5"/>
  <c r="H3024" i="5"/>
  <c r="H3340" i="5"/>
  <c r="H3341" i="5"/>
  <c r="J3341" i="5"/>
  <c r="J3343" i="5" s="1"/>
  <c r="J3275" i="5"/>
  <c r="L3272" i="5"/>
  <c r="L3275" i="5" s="1"/>
  <c r="L3276" i="5" s="1"/>
  <c r="L3277" i="5" s="1"/>
  <c r="J3351" i="5"/>
  <c r="H2970" i="5"/>
  <c r="H3275" i="5"/>
  <c r="H3102" i="5"/>
  <c r="H3234" i="5"/>
  <c r="H3327" i="5"/>
  <c r="H3248" i="5"/>
  <c r="H3208" i="5"/>
  <c r="H3156" i="5"/>
  <c r="H3261" i="5"/>
  <c r="H3288" i="5"/>
  <c r="H3314" i="5"/>
  <c r="L3315" i="5"/>
  <c r="L3317" i="5" s="1"/>
  <c r="J3245" i="5"/>
  <c r="H3289" i="5"/>
  <c r="J3289" i="5"/>
  <c r="J3291" i="5" s="1"/>
  <c r="J3324" i="5"/>
  <c r="H3315" i="5"/>
  <c r="J3298" i="5"/>
  <c r="H3116" i="5"/>
  <c r="H2971" i="5"/>
  <c r="H3037" i="5"/>
  <c r="H3089" i="5"/>
  <c r="H3235" i="5"/>
  <c r="L3235" i="5"/>
  <c r="L3237" i="5" s="1"/>
  <c r="H3262" i="5"/>
  <c r="J3262" i="5"/>
  <c r="J3264" i="5" s="1"/>
  <c r="H3169" i="5"/>
  <c r="H3209" i="5"/>
  <c r="J3209" i="5"/>
  <c r="J3211" i="5" s="1"/>
  <c r="H3182" i="5"/>
  <c r="J3195" i="5"/>
  <c r="L3192" i="5"/>
  <c r="L3195" i="5" s="1"/>
  <c r="L3196" i="5" s="1"/>
  <c r="J3221" i="5"/>
  <c r="L3218" i="5"/>
  <c r="L3221" i="5" s="1"/>
  <c r="L3222" i="5" s="1"/>
  <c r="H3103" i="5"/>
  <c r="J3103" i="5"/>
  <c r="J3105" i="5" s="1"/>
  <c r="H3183" i="5"/>
  <c r="J3183" i="5"/>
  <c r="J3185" i="5" s="1"/>
  <c r="H3221" i="5"/>
  <c r="H3195" i="5"/>
  <c r="J3166" i="5"/>
  <c r="H3157" i="5"/>
  <c r="L3157" i="5"/>
  <c r="L3159" i="5" s="1"/>
  <c r="J3140" i="5"/>
  <c r="H2905" i="5"/>
  <c r="H3130" i="5"/>
  <c r="J3130" i="5"/>
  <c r="J3132" i="5" s="1"/>
  <c r="J3113" i="5"/>
  <c r="H2864" i="5"/>
  <c r="H2984" i="5"/>
  <c r="H3076" i="5"/>
  <c r="H3050" i="5"/>
  <c r="J3077" i="5"/>
  <c r="J3079" i="5" s="1"/>
  <c r="H3077" i="5"/>
  <c r="J3063" i="5"/>
  <c r="L3060" i="5"/>
  <c r="L3063" i="5" s="1"/>
  <c r="L3064" i="5" s="1"/>
  <c r="J3086" i="5"/>
  <c r="L3025" i="5"/>
  <c r="L3027" i="5" s="1"/>
  <c r="H3051" i="5"/>
  <c r="J3051" i="5"/>
  <c r="J3053" i="5" s="1"/>
  <c r="H3063" i="5"/>
  <c r="J3034" i="5"/>
  <c r="H3025" i="5"/>
  <c r="H2997" i="5"/>
  <c r="J3011" i="5"/>
  <c r="J3012" i="5" s="1"/>
  <c r="L3008" i="5"/>
  <c r="L3011" i="5" s="1"/>
  <c r="H3011" i="5"/>
  <c r="L2998" i="5"/>
  <c r="L3000" i="5" s="1"/>
  <c r="H2998" i="5"/>
  <c r="J2981" i="5"/>
  <c r="H2944" i="5"/>
  <c r="J2971" i="5"/>
  <c r="J2973" i="5" s="1"/>
  <c r="L2971" i="5"/>
  <c r="L2973" i="5" s="1"/>
  <c r="L2954" i="5"/>
  <c r="L2957" i="5" s="1"/>
  <c r="L2958" i="5" s="1"/>
  <c r="J2957" i="5"/>
  <c r="H2945" i="5"/>
  <c r="J2945" i="5"/>
  <c r="J2947" i="5" s="1"/>
  <c r="H2957" i="5"/>
  <c r="H2931" i="5"/>
  <c r="H2918" i="5"/>
  <c r="H2891" i="5"/>
  <c r="H2919" i="5"/>
  <c r="H2819" i="5"/>
  <c r="H2878" i="5"/>
  <c r="J2919" i="5"/>
  <c r="J2921" i="5" s="1"/>
  <c r="J2928" i="5"/>
  <c r="H2719" i="5"/>
  <c r="H2892" i="5"/>
  <c r="J2892" i="5"/>
  <c r="J2894" i="5" s="1"/>
  <c r="J2902" i="5"/>
  <c r="J2875" i="5"/>
  <c r="H2865" i="5"/>
  <c r="J2865" i="5"/>
  <c r="J2867" i="5" s="1"/>
  <c r="G2660" i="5"/>
  <c r="H2660" i="5" s="1"/>
  <c r="H2821" i="5"/>
  <c r="H2824" i="5" s="1"/>
  <c r="H2838" i="5"/>
  <c r="H2693" i="5"/>
  <c r="H2837" i="5"/>
  <c r="H2848" i="5"/>
  <c r="H2851" i="5" s="1"/>
  <c r="J2838" i="5"/>
  <c r="J2840" i="5" s="1"/>
  <c r="H2811" i="5"/>
  <c r="L2812" i="5"/>
  <c r="L2814" i="5" s="1"/>
  <c r="H2773" i="5"/>
  <c r="H2812" i="5"/>
  <c r="H2785" i="5"/>
  <c r="L2786" i="5"/>
  <c r="L2788" i="5" s="1"/>
  <c r="H2786" i="5"/>
  <c r="H2793" i="5"/>
  <c r="H2798" i="5"/>
  <c r="J2795" i="5"/>
  <c r="G2686" i="5"/>
  <c r="H2686" i="5" s="1"/>
  <c r="G2712" i="5"/>
  <c r="H2712" i="5" s="1"/>
  <c r="G2738" i="5"/>
  <c r="H2738" i="5" s="1"/>
  <c r="H2757" i="5"/>
  <c r="H2758" i="5"/>
  <c r="L2758" i="5"/>
  <c r="L2760" i="5" s="1"/>
  <c r="J2770" i="5"/>
  <c r="H2731" i="5"/>
  <c r="J2745" i="5"/>
  <c r="L2742" i="5"/>
  <c r="L2745" i="5" s="1"/>
  <c r="L2746" i="5" s="1"/>
  <c r="H2745" i="5"/>
  <c r="H2732" i="5"/>
  <c r="J2732" i="5"/>
  <c r="J2734" i="5" s="1"/>
  <c r="H2705" i="5"/>
  <c r="J2716" i="5"/>
  <c r="H2706" i="5"/>
  <c r="J2706" i="5"/>
  <c r="J2708" i="5" s="1"/>
  <c r="H2641" i="5"/>
  <c r="H2679" i="5"/>
  <c r="J2690" i="5"/>
  <c r="H2680" i="5"/>
  <c r="J2680" i="5"/>
  <c r="J2682" i="5" s="1"/>
  <c r="H2654" i="5"/>
  <c r="J2654" i="5"/>
  <c r="J2656" i="5" s="1"/>
  <c r="L2654" i="5"/>
  <c r="L2656" i="5" s="1"/>
  <c r="H2653" i="5"/>
  <c r="J2667" i="5"/>
  <c r="L2664" i="5"/>
  <c r="L2667" i="5" s="1"/>
  <c r="H2667" i="5"/>
  <c r="H2630" i="5"/>
  <c r="J2638" i="5"/>
  <c r="F2617" i="5"/>
  <c r="H2614" i="5"/>
  <c r="H2613" i="5"/>
  <c r="H2612" i="5"/>
  <c r="L2610" i="5"/>
  <c r="J2610" i="5"/>
  <c r="L2606" i="5"/>
  <c r="J2606" i="5"/>
  <c r="E2606" i="5"/>
  <c r="C2606" i="5"/>
  <c r="L2605" i="5"/>
  <c r="J2605" i="5"/>
  <c r="G2605" i="5"/>
  <c r="H2605" i="5" s="1"/>
  <c r="E2605" i="5"/>
  <c r="C2605" i="5"/>
  <c r="L2604" i="5"/>
  <c r="J2604" i="5"/>
  <c r="G2604" i="5"/>
  <c r="H2604" i="5" s="1"/>
  <c r="E2604" i="5"/>
  <c r="C2604" i="5"/>
  <c r="L2600" i="5"/>
  <c r="J2600" i="5"/>
  <c r="J2602" i="5" s="1"/>
  <c r="H2600" i="5"/>
  <c r="G2599" i="5"/>
  <c r="H2599" i="5" s="1"/>
  <c r="E2599" i="5"/>
  <c r="C2599" i="5"/>
  <c r="G2598" i="5"/>
  <c r="H2598" i="5" s="1"/>
  <c r="E2598" i="5"/>
  <c r="C2598" i="5"/>
  <c r="L2597" i="5"/>
  <c r="J2597" i="5"/>
  <c r="G2597" i="5"/>
  <c r="H2597" i="5" s="1"/>
  <c r="E2597" i="5"/>
  <c r="C2597" i="5"/>
  <c r="G2579" i="5"/>
  <c r="H2579" i="5" s="1"/>
  <c r="F2589" i="5"/>
  <c r="H2586" i="5"/>
  <c r="G2585" i="5"/>
  <c r="H2585" i="5" s="1"/>
  <c r="E2585" i="5"/>
  <c r="C2585" i="5"/>
  <c r="G2584" i="5"/>
  <c r="H2584" i="5" s="1"/>
  <c r="E2584" i="5"/>
  <c r="C2584" i="5"/>
  <c r="L2582" i="5"/>
  <c r="J2582" i="5"/>
  <c r="L2580" i="5"/>
  <c r="J2580" i="5"/>
  <c r="G2580" i="5"/>
  <c r="H2580" i="5" s="1"/>
  <c r="E2580" i="5"/>
  <c r="C2580" i="5"/>
  <c r="L2579" i="5"/>
  <c r="J2579" i="5"/>
  <c r="E2579" i="5"/>
  <c r="C2579" i="5"/>
  <c r="L2578" i="5"/>
  <c r="J2578" i="5"/>
  <c r="G2578" i="5"/>
  <c r="H2578" i="5" s="1"/>
  <c r="E2578" i="5"/>
  <c r="C2578" i="5"/>
  <c r="L2574" i="5"/>
  <c r="J2574" i="5"/>
  <c r="H2574" i="5"/>
  <c r="G2573" i="5"/>
  <c r="F2573" i="5"/>
  <c r="J2573" i="5" s="1"/>
  <c r="E2573" i="5"/>
  <c r="C2573" i="5"/>
  <c r="G2572" i="5"/>
  <c r="H2572" i="5" s="1"/>
  <c r="E2572" i="5"/>
  <c r="C2572" i="5"/>
  <c r="G2571" i="5"/>
  <c r="H2571" i="5" s="1"/>
  <c r="E2571" i="5"/>
  <c r="C2571" i="5"/>
  <c r="G2570" i="5"/>
  <c r="H2570" i="5" s="1"/>
  <c r="E2570" i="5"/>
  <c r="C2570" i="5"/>
  <c r="L2569" i="5"/>
  <c r="J2569" i="5"/>
  <c r="G2569" i="5"/>
  <c r="H2569" i="5" s="1"/>
  <c r="E2569" i="5"/>
  <c r="C2569" i="5"/>
  <c r="G2557" i="5"/>
  <c r="H2557" i="5" s="1"/>
  <c r="E2557" i="5"/>
  <c r="C2557" i="5"/>
  <c r="G2552" i="5"/>
  <c r="H2552" i="5" s="1"/>
  <c r="E2552" i="5"/>
  <c r="C2552" i="5"/>
  <c r="G2551" i="5"/>
  <c r="H2551" i="5" s="1"/>
  <c r="E2551" i="5"/>
  <c r="C2551" i="5"/>
  <c r="G2544" i="5"/>
  <c r="H2544" i="5" s="1"/>
  <c r="E2544" i="5"/>
  <c r="C2544" i="5"/>
  <c r="G2543" i="5"/>
  <c r="H2543" i="5" s="1"/>
  <c r="E2543" i="5"/>
  <c r="C2543" i="5"/>
  <c r="G2542" i="5"/>
  <c r="H2542" i="5" s="1"/>
  <c r="E2542" i="5"/>
  <c r="C2542" i="5"/>
  <c r="F2561" i="5"/>
  <c r="H2558" i="5"/>
  <c r="G2556" i="5"/>
  <c r="H2556" i="5" s="1"/>
  <c r="E2556" i="5"/>
  <c r="C2556" i="5"/>
  <c r="L2554" i="5"/>
  <c r="J2554" i="5"/>
  <c r="L2552" i="5"/>
  <c r="J2552" i="5"/>
  <c r="L2551" i="5"/>
  <c r="J2551" i="5"/>
  <c r="L2550" i="5"/>
  <c r="J2550" i="5"/>
  <c r="G2550" i="5"/>
  <c r="H2550" i="5" s="1"/>
  <c r="E2550" i="5"/>
  <c r="C2550" i="5"/>
  <c r="L2546" i="5"/>
  <c r="J2546" i="5"/>
  <c r="H2546" i="5"/>
  <c r="G2545" i="5"/>
  <c r="F2545" i="5"/>
  <c r="L2545" i="5" s="1"/>
  <c r="E2545" i="5"/>
  <c r="C2545" i="5"/>
  <c r="L2541" i="5"/>
  <c r="J2541" i="5"/>
  <c r="G2541" i="5"/>
  <c r="H2541" i="5" s="1"/>
  <c r="E2541" i="5"/>
  <c r="C2541" i="5"/>
  <c r="F2533" i="5"/>
  <c r="H2530" i="5"/>
  <c r="G2529" i="5"/>
  <c r="H2529" i="5" s="1"/>
  <c r="E2529" i="5"/>
  <c r="C2529" i="5"/>
  <c r="L2527" i="5"/>
  <c r="J2527" i="5"/>
  <c r="L2525" i="5"/>
  <c r="J2525" i="5"/>
  <c r="H2525" i="5"/>
  <c r="L2524" i="5"/>
  <c r="J2524" i="5"/>
  <c r="H2524" i="5"/>
  <c r="L2523" i="5"/>
  <c r="J2523" i="5"/>
  <c r="C2523" i="5"/>
  <c r="L2519" i="5"/>
  <c r="J2519" i="5"/>
  <c r="H2519" i="5"/>
  <c r="G2518" i="5"/>
  <c r="F2518" i="5"/>
  <c r="J2518" i="5" s="1"/>
  <c r="E2518" i="5"/>
  <c r="C2518" i="5"/>
  <c r="G2517" i="5"/>
  <c r="H2517" i="5" s="1"/>
  <c r="E2517" i="5"/>
  <c r="C2517" i="5"/>
  <c r="L2516" i="5"/>
  <c r="J2516" i="5"/>
  <c r="G2516" i="5"/>
  <c r="H2516" i="5" s="1"/>
  <c r="E2516" i="5"/>
  <c r="C2516" i="5"/>
  <c r="G2504" i="5"/>
  <c r="H2504" i="5" s="1"/>
  <c r="E2504" i="5"/>
  <c r="C2504" i="5"/>
  <c r="D135" i="2"/>
  <c r="G2498" i="5" s="1"/>
  <c r="H2498" i="5" s="1"/>
  <c r="F2508" i="5"/>
  <c r="H2505" i="5"/>
  <c r="L2502" i="5"/>
  <c r="J2502" i="5"/>
  <c r="L2500" i="5"/>
  <c r="J2500" i="5"/>
  <c r="H2500" i="5"/>
  <c r="L2499" i="5"/>
  <c r="J2499" i="5"/>
  <c r="H2499" i="5"/>
  <c r="L2498" i="5"/>
  <c r="J2498" i="5"/>
  <c r="C2498" i="5"/>
  <c r="L2494" i="5"/>
  <c r="J2494" i="5"/>
  <c r="H2494" i="5"/>
  <c r="G2493" i="5"/>
  <c r="F2493" i="5"/>
  <c r="L2493" i="5" s="1"/>
  <c r="E2493" i="5"/>
  <c r="C2493" i="5"/>
  <c r="G2492" i="5"/>
  <c r="H2492" i="5" s="1"/>
  <c r="E2492" i="5"/>
  <c r="C2492" i="5"/>
  <c r="L2491" i="5"/>
  <c r="J2491" i="5"/>
  <c r="G2491" i="5"/>
  <c r="H2491" i="5" s="1"/>
  <c r="E2491" i="5"/>
  <c r="C2491" i="5"/>
  <c r="F2483" i="5"/>
  <c r="H2480" i="5"/>
  <c r="H2479" i="5"/>
  <c r="J2479" i="5" s="1"/>
  <c r="L2477" i="5"/>
  <c r="J2477" i="5"/>
  <c r="L2475" i="5"/>
  <c r="J2475" i="5"/>
  <c r="H2475" i="5"/>
  <c r="L2474" i="5"/>
  <c r="J2474" i="5"/>
  <c r="H2474" i="5"/>
  <c r="L2473" i="5"/>
  <c r="J2473" i="5"/>
  <c r="E2473" i="5"/>
  <c r="C2473" i="5"/>
  <c r="L2469" i="5"/>
  <c r="J2469" i="5"/>
  <c r="H2469" i="5"/>
  <c r="G2468" i="5"/>
  <c r="F2468" i="5"/>
  <c r="L2468" i="5" s="1"/>
  <c r="E2468" i="5"/>
  <c r="C2468" i="5"/>
  <c r="G2467" i="5"/>
  <c r="H2467" i="5" s="1"/>
  <c r="E2467" i="5"/>
  <c r="C2467" i="5"/>
  <c r="L2466" i="5"/>
  <c r="J2466" i="5"/>
  <c r="G2466" i="5"/>
  <c r="H2466" i="5" s="1"/>
  <c r="E2466" i="5"/>
  <c r="C2466" i="5"/>
  <c r="D129" i="2"/>
  <c r="G2448" i="5" s="1"/>
  <c r="H2448" i="5" s="1"/>
  <c r="F2458" i="5"/>
  <c r="H2455" i="5"/>
  <c r="H2454" i="5"/>
  <c r="L2452" i="5"/>
  <c r="J2452" i="5"/>
  <c r="L2450" i="5"/>
  <c r="J2450" i="5"/>
  <c r="H2450" i="5"/>
  <c r="L2449" i="5"/>
  <c r="J2449" i="5"/>
  <c r="H2449" i="5"/>
  <c r="L2448" i="5"/>
  <c r="J2448" i="5"/>
  <c r="C2448" i="5"/>
  <c r="L2444" i="5"/>
  <c r="J2444" i="5"/>
  <c r="H2444" i="5"/>
  <c r="G2443" i="5"/>
  <c r="F2443" i="5"/>
  <c r="L2443" i="5" s="1"/>
  <c r="E2443" i="5"/>
  <c r="C2443" i="5"/>
  <c r="G2442" i="5"/>
  <c r="H2442" i="5" s="1"/>
  <c r="E2442" i="5"/>
  <c r="C2442" i="5"/>
  <c r="L2441" i="5"/>
  <c r="J2441" i="5"/>
  <c r="G2441" i="5"/>
  <c r="H2441" i="5" s="1"/>
  <c r="E2441" i="5"/>
  <c r="C2441" i="5"/>
  <c r="F2433" i="5"/>
  <c r="H2430" i="5"/>
  <c r="H2429" i="5"/>
  <c r="J2429" i="5" s="1"/>
  <c r="L2427" i="5"/>
  <c r="J2427" i="5"/>
  <c r="L2425" i="5"/>
  <c r="J2425" i="5"/>
  <c r="G2425" i="5"/>
  <c r="H2425" i="5" s="1"/>
  <c r="E2425" i="5"/>
  <c r="C2425" i="5"/>
  <c r="L2424" i="5"/>
  <c r="J2424" i="5"/>
  <c r="G2424" i="5"/>
  <c r="H2424" i="5" s="1"/>
  <c r="E2424" i="5"/>
  <c r="C2424" i="5"/>
  <c r="L2423" i="5"/>
  <c r="J2423" i="5"/>
  <c r="G2423" i="5"/>
  <c r="H2423" i="5" s="1"/>
  <c r="E2423" i="5"/>
  <c r="C2423" i="5"/>
  <c r="L2419" i="5"/>
  <c r="J2419" i="5"/>
  <c r="H2419" i="5"/>
  <c r="G2418" i="5"/>
  <c r="F2418" i="5"/>
  <c r="J2418" i="5" s="1"/>
  <c r="E2418" i="5"/>
  <c r="C2418" i="5"/>
  <c r="G2417" i="5"/>
  <c r="F2417" i="5"/>
  <c r="E2417" i="5"/>
  <c r="C2417" i="5"/>
  <c r="G2416" i="5"/>
  <c r="H2416" i="5" s="1"/>
  <c r="E2416" i="5"/>
  <c r="C2416" i="5"/>
  <c r="L2415" i="5"/>
  <c r="J2415" i="5"/>
  <c r="G2415" i="5"/>
  <c r="H2415" i="5" s="1"/>
  <c r="E2415" i="5"/>
  <c r="C2415" i="5"/>
  <c r="F2391" i="5"/>
  <c r="G2391" i="5"/>
  <c r="E2391" i="5"/>
  <c r="C2391" i="5"/>
  <c r="F2407" i="5"/>
  <c r="H2404" i="5"/>
  <c r="H2403" i="5"/>
  <c r="L2401" i="5"/>
  <c r="J2401" i="5"/>
  <c r="L2399" i="5"/>
  <c r="J2399" i="5"/>
  <c r="G2399" i="5"/>
  <c r="H2399" i="5" s="1"/>
  <c r="E2399" i="5"/>
  <c r="C2399" i="5"/>
  <c r="L2398" i="5"/>
  <c r="J2398" i="5"/>
  <c r="G2398" i="5"/>
  <c r="H2398" i="5" s="1"/>
  <c r="E2398" i="5"/>
  <c r="C2398" i="5"/>
  <c r="L2397" i="5"/>
  <c r="J2397" i="5"/>
  <c r="G2397" i="5"/>
  <c r="H2397" i="5" s="1"/>
  <c r="E2397" i="5"/>
  <c r="C2397" i="5"/>
  <c r="L2393" i="5"/>
  <c r="J2393" i="5"/>
  <c r="H2393" i="5"/>
  <c r="G2392" i="5"/>
  <c r="F2392" i="5"/>
  <c r="L2392" i="5" s="1"/>
  <c r="E2392" i="5"/>
  <c r="C2392" i="5"/>
  <c r="G2390" i="5"/>
  <c r="H2390" i="5" s="1"/>
  <c r="E2390" i="5"/>
  <c r="C2390" i="5"/>
  <c r="L2389" i="5"/>
  <c r="J2389" i="5"/>
  <c r="G2389" i="5"/>
  <c r="H2389" i="5" s="1"/>
  <c r="E2389" i="5"/>
  <c r="C2389" i="5"/>
  <c r="F2379" i="5"/>
  <c r="H2376" i="5"/>
  <c r="H2375" i="5"/>
  <c r="J2375" i="5" s="1"/>
  <c r="L2373" i="5"/>
  <c r="J2373" i="5"/>
  <c r="L2371" i="5"/>
  <c r="J2371" i="5"/>
  <c r="G2371" i="5"/>
  <c r="H2371" i="5" s="1"/>
  <c r="E2371" i="5"/>
  <c r="C2371" i="5"/>
  <c r="L2370" i="5"/>
  <c r="J2370" i="5"/>
  <c r="G2370" i="5"/>
  <c r="H2370" i="5" s="1"/>
  <c r="E2370" i="5"/>
  <c r="C2370" i="5"/>
  <c r="L2369" i="5"/>
  <c r="J2369" i="5"/>
  <c r="G2369" i="5"/>
  <c r="H2369" i="5" s="1"/>
  <c r="E2369" i="5"/>
  <c r="C2369" i="5"/>
  <c r="L2365" i="5"/>
  <c r="J2365" i="5"/>
  <c r="H2365" i="5"/>
  <c r="G2364" i="5"/>
  <c r="F2364" i="5"/>
  <c r="E2364" i="5"/>
  <c r="C2364" i="5"/>
  <c r="G2363" i="5"/>
  <c r="H2363" i="5" s="1"/>
  <c r="E2363" i="5"/>
  <c r="C2363" i="5"/>
  <c r="L2362" i="5"/>
  <c r="J2362" i="5"/>
  <c r="G2362" i="5"/>
  <c r="H2362" i="5" s="1"/>
  <c r="E2362" i="5"/>
  <c r="C2362" i="5"/>
  <c r="G2344" i="5"/>
  <c r="H2344" i="5" s="1"/>
  <c r="E2344" i="5"/>
  <c r="C2344" i="5"/>
  <c r="G2343" i="5"/>
  <c r="H2343" i="5" s="1"/>
  <c r="E2343" i="5"/>
  <c r="C2343" i="5"/>
  <c r="F2352" i="5"/>
  <c r="H2349" i="5"/>
  <c r="H2348" i="5"/>
  <c r="L2346" i="5"/>
  <c r="J2346" i="5"/>
  <c r="L2344" i="5"/>
  <c r="J2344" i="5"/>
  <c r="L2343" i="5"/>
  <c r="J2343" i="5"/>
  <c r="L2342" i="5"/>
  <c r="J2342" i="5"/>
  <c r="G2342" i="5"/>
  <c r="H2342" i="5" s="1"/>
  <c r="E2342" i="5"/>
  <c r="C2342" i="5"/>
  <c r="L2338" i="5"/>
  <c r="J2338" i="5"/>
  <c r="H2338" i="5"/>
  <c r="G2337" i="5"/>
  <c r="F2337" i="5"/>
  <c r="L2337" i="5" s="1"/>
  <c r="E2337" i="5"/>
  <c r="C2337" i="5"/>
  <c r="G2336" i="5"/>
  <c r="H2336" i="5" s="1"/>
  <c r="E2336" i="5"/>
  <c r="C2336" i="5"/>
  <c r="L2335" i="5"/>
  <c r="J2335" i="5"/>
  <c r="G2335" i="5"/>
  <c r="H2335" i="5" s="1"/>
  <c r="E2335" i="5"/>
  <c r="C2335" i="5"/>
  <c r="F2327" i="5"/>
  <c r="H2324" i="5"/>
  <c r="H2323" i="5"/>
  <c r="J2323" i="5" s="1"/>
  <c r="L2321" i="5"/>
  <c r="J2321" i="5"/>
  <c r="L2319" i="5"/>
  <c r="J2319" i="5"/>
  <c r="H2319" i="5"/>
  <c r="L2318" i="5"/>
  <c r="J2318" i="5"/>
  <c r="H2318" i="5"/>
  <c r="L2317" i="5"/>
  <c r="J2317" i="5"/>
  <c r="G2317" i="5"/>
  <c r="H2317" i="5" s="1"/>
  <c r="E2317" i="5"/>
  <c r="C2317" i="5"/>
  <c r="L2313" i="5"/>
  <c r="J2313" i="5"/>
  <c r="H2313" i="5"/>
  <c r="G2312" i="5"/>
  <c r="F2312" i="5"/>
  <c r="L2312" i="5" s="1"/>
  <c r="E2312" i="5"/>
  <c r="C2312" i="5"/>
  <c r="G2311" i="5"/>
  <c r="H2311" i="5" s="1"/>
  <c r="E2311" i="5"/>
  <c r="C2311" i="5"/>
  <c r="L2310" i="5"/>
  <c r="J2310" i="5"/>
  <c r="G2310" i="5"/>
  <c r="H2310" i="5" s="1"/>
  <c r="E2310" i="5"/>
  <c r="C2310" i="5"/>
  <c r="F2302" i="5"/>
  <c r="H2299" i="5"/>
  <c r="H2298" i="5"/>
  <c r="L2296" i="5"/>
  <c r="J2296" i="5"/>
  <c r="L2294" i="5"/>
  <c r="J2294" i="5"/>
  <c r="H2294" i="5"/>
  <c r="L2293" i="5"/>
  <c r="J2293" i="5"/>
  <c r="H2293" i="5"/>
  <c r="L2292" i="5"/>
  <c r="J2292" i="5"/>
  <c r="G2292" i="5"/>
  <c r="H2292" i="5" s="1"/>
  <c r="E2292" i="5"/>
  <c r="C2292" i="5"/>
  <c r="L2288" i="5"/>
  <c r="J2288" i="5"/>
  <c r="H2288" i="5"/>
  <c r="G2287" i="5"/>
  <c r="F2287" i="5"/>
  <c r="J2287" i="5" s="1"/>
  <c r="E2287" i="5"/>
  <c r="C2287" i="5"/>
  <c r="G2286" i="5"/>
  <c r="H2286" i="5" s="1"/>
  <c r="E2286" i="5"/>
  <c r="C2286" i="5"/>
  <c r="L2285" i="5"/>
  <c r="J2285" i="5"/>
  <c r="G2285" i="5"/>
  <c r="H2285" i="5" s="1"/>
  <c r="E2285" i="5"/>
  <c r="C2285" i="5"/>
  <c r="F2277" i="5"/>
  <c r="H2274" i="5"/>
  <c r="H2273" i="5"/>
  <c r="J2273" i="5" s="1"/>
  <c r="L2271" i="5"/>
  <c r="J2271" i="5"/>
  <c r="L2269" i="5"/>
  <c r="J2269" i="5"/>
  <c r="H2269" i="5"/>
  <c r="L2268" i="5"/>
  <c r="J2268" i="5"/>
  <c r="H2268" i="5"/>
  <c r="L2267" i="5"/>
  <c r="J2267" i="5"/>
  <c r="G2267" i="5"/>
  <c r="H2267" i="5" s="1"/>
  <c r="E2267" i="5"/>
  <c r="C2267" i="5"/>
  <c r="L2263" i="5"/>
  <c r="J2263" i="5"/>
  <c r="H2263" i="5"/>
  <c r="G2262" i="5"/>
  <c r="F2262" i="5"/>
  <c r="E2262" i="5"/>
  <c r="C2262" i="5"/>
  <c r="G2261" i="5"/>
  <c r="H2261" i="5" s="1"/>
  <c r="E2261" i="5"/>
  <c r="C2261" i="5"/>
  <c r="L2260" i="5"/>
  <c r="J2260" i="5"/>
  <c r="G2260" i="5"/>
  <c r="H2260" i="5" s="1"/>
  <c r="E2260" i="5"/>
  <c r="C2260" i="5"/>
  <c r="F2237" i="5"/>
  <c r="L2237" i="5" s="1"/>
  <c r="F2252" i="5"/>
  <c r="H2249" i="5"/>
  <c r="H2248" i="5"/>
  <c r="L2246" i="5"/>
  <c r="J2246" i="5"/>
  <c r="L2244" i="5"/>
  <c r="J2244" i="5"/>
  <c r="H2244" i="5"/>
  <c r="L2243" i="5"/>
  <c r="J2243" i="5"/>
  <c r="H2243" i="5"/>
  <c r="L2242" i="5"/>
  <c r="J2242" i="5"/>
  <c r="G2242" i="5"/>
  <c r="H2242" i="5" s="1"/>
  <c r="E2242" i="5"/>
  <c r="C2242" i="5"/>
  <c r="L2238" i="5"/>
  <c r="J2238" i="5"/>
  <c r="H2238" i="5"/>
  <c r="G2237" i="5"/>
  <c r="E2237" i="5"/>
  <c r="C2237" i="5"/>
  <c r="G2236" i="5"/>
  <c r="H2236" i="5" s="1"/>
  <c r="E2236" i="5"/>
  <c r="C2236" i="5"/>
  <c r="L2235" i="5"/>
  <c r="J2235" i="5"/>
  <c r="G2235" i="5"/>
  <c r="H2235" i="5" s="1"/>
  <c r="E2235" i="5"/>
  <c r="C2235" i="5"/>
  <c r="F2227" i="5"/>
  <c r="H2224" i="5"/>
  <c r="H2223" i="5"/>
  <c r="L2221" i="5"/>
  <c r="J2221" i="5"/>
  <c r="L2219" i="5"/>
  <c r="J2219" i="5"/>
  <c r="H2219" i="5"/>
  <c r="L2218" i="5"/>
  <c r="J2218" i="5"/>
  <c r="G2218" i="5"/>
  <c r="H2218" i="5" s="1"/>
  <c r="E2218" i="5"/>
  <c r="C2218" i="5"/>
  <c r="G2214" i="5"/>
  <c r="F2214" i="5"/>
  <c r="L2214" i="5" s="1"/>
  <c r="E2214" i="5"/>
  <c r="C2214" i="5"/>
  <c r="G2213" i="5"/>
  <c r="F2213" i="5"/>
  <c r="L2213" i="5" s="1"/>
  <c r="E2213" i="5"/>
  <c r="C2213" i="5"/>
  <c r="G2212" i="5"/>
  <c r="H2212" i="5" s="1"/>
  <c r="E2212" i="5"/>
  <c r="C2212" i="5"/>
  <c r="L2211" i="5"/>
  <c r="J2211" i="5"/>
  <c r="G2211" i="5"/>
  <c r="H2211" i="5" s="1"/>
  <c r="E2211" i="5"/>
  <c r="C2211" i="5"/>
  <c r="F2189" i="5"/>
  <c r="L2189" i="5" s="1"/>
  <c r="F2188" i="5"/>
  <c r="L2188" i="5" s="1"/>
  <c r="F2164" i="5"/>
  <c r="L2164" i="5" s="1"/>
  <c r="F2163" i="5"/>
  <c r="L2163" i="5" s="1"/>
  <c r="F2203" i="5"/>
  <c r="H2200" i="5"/>
  <c r="H2199" i="5"/>
  <c r="J2199" i="5" s="1"/>
  <c r="L2197" i="5"/>
  <c r="J2197" i="5"/>
  <c r="L2195" i="5"/>
  <c r="J2195" i="5"/>
  <c r="H2195" i="5"/>
  <c r="L2194" i="5"/>
  <c r="J2194" i="5"/>
  <c r="G2194" i="5"/>
  <c r="H2194" i="5" s="1"/>
  <c r="E2194" i="5"/>
  <c r="C2194" i="5"/>
  <c r="L2193" i="5"/>
  <c r="J2193" i="5"/>
  <c r="G2193" i="5"/>
  <c r="H2193" i="5" s="1"/>
  <c r="E2193" i="5"/>
  <c r="C2193" i="5"/>
  <c r="G2189" i="5"/>
  <c r="E2189" i="5"/>
  <c r="C2189" i="5"/>
  <c r="G2188" i="5"/>
  <c r="E2188" i="5"/>
  <c r="C2188" i="5"/>
  <c r="G2187" i="5"/>
  <c r="H2187" i="5" s="1"/>
  <c r="E2187" i="5"/>
  <c r="C2187" i="5"/>
  <c r="L2186" i="5"/>
  <c r="J2186" i="5"/>
  <c r="G2186" i="5"/>
  <c r="H2186" i="5" s="1"/>
  <c r="E2186" i="5"/>
  <c r="C2186" i="5"/>
  <c r="F2178" i="5"/>
  <c r="H2175" i="5"/>
  <c r="H2174" i="5"/>
  <c r="L2172" i="5"/>
  <c r="J2172" i="5"/>
  <c r="L2170" i="5"/>
  <c r="J2170" i="5"/>
  <c r="H2170" i="5"/>
  <c r="L2169" i="5"/>
  <c r="J2169" i="5"/>
  <c r="G2169" i="5"/>
  <c r="H2169" i="5" s="1"/>
  <c r="E2169" i="5"/>
  <c r="C2169" i="5"/>
  <c r="L2168" i="5"/>
  <c r="J2168" i="5"/>
  <c r="G2168" i="5"/>
  <c r="H2168" i="5" s="1"/>
  <c r="E2168" i="5"/>
  <c r="C2168" i="5"/>
  <c r="G2164" i="5"/>
  <c r="E2164" i="5"/>
  <c r="C2164" i="5"/>
  <c r="G2163" i="5"/>
  <c r="E2163" i="5"/>
  <c r="C2163" i="5"/>
  <c r="G2162" i="5"/>
  <c r="H2162" i="5" s="1"/>
  <c r="E2162" i="5"/>
  <c r="C2162" i="5"/>
  <c r="L2161" i="5"/>
  <c r="J2161" i="5"/>
  <c r="G2161" i="5"/>
  <c r="H2161" i="5" s="1"/>
  <c r="E2161" i="5"/>
  <c r="C2161" i="5"/>
  <c r="F2153" i="5"/>
  <c r="H2150" i="5"/>
  <c r="H2149" i="5"/>
  <c r="J2149" i="5" s="1"/>
  <c r="J2151" i="5" s="1"/>
  <c r="L2147" i="5"/>
  <c r="J2147" i="5"/>
  <c r="L2145" i="5"/>
  <c r="J2145" i="5"/>
  <c r="H2145" i="5"/>
  <c r="L2144" i="5"/>
  <c r="J2144" i="5"/>
  <c r="G2144" i="5"/>
  <c r="H2144" i="5" s="1"/>
  <c r="E2144" i="5"/>
  <c r="C2144" i="5"/>
  <c r="L2143" i="5"/>
  <c r="J2143" i="5"/>
  <c r="G2143" i="5"/>
  <c r="H2143" i="5" s="1"/>
  <c r="E2143" i="5"/>
  <c r="C2143" i="5"/>
  <c r="G2139" i="5"/>
  <c r="F2139" i="5"/>
  <c r="L2139" i="5" s="1"/>
  <c r="E2139" i="5"/>
  <c r="C2139" i="5"/>
  <c r="G2138" i="5"/>
  <c r="F2138" i="5"/>
  <c r="L2138" i="5" s="1"/>
  <c r="E2138" i="5"/>
  <c r="C2138" i="5"/>
  <c r="G2137" i="5"/>
  <c r="H2137" i="5" s="1"/>
  <c r="E2137" i="5"/>
  <c r="C2137" i="5"/>
  <c r="L2136" i="5"/>
  <c r="J2136" i="5"/>
  <c r="G2136" i="5"/>
  <c r="H2136" i="5" s="1"/>
  <c r="E2136" i="5"/>
  <c r="C2136" i="5"/>
  <c r="F2128" i="5"/>
  <c r="H2125" i="5"/>
  <c r="H2124" i="5"/>
  <c r="L2122" i="5"/>
  <c r="J2122" i="5"/>
  <c r="L2120" i="5"/>
  <c r="J2120" i="5"/>
  <c r="H2120" i="5"/>
  <c r="L2119" i="5"/>
  <c r="J2119" i="5"/>
  <c r="G2119" i="5"/>
  <c r="H2119" i="5" s="1"/>
  <c r="E2119" i="5"/>
  <c r="C2119" i="5"/>
  <c r="L2118" i="5"/>
  <c r="J2118" i="5"/>
  <c r="G2118" i="5"/>
  <c r="H2118" i="5" s="1"/>
  <c r="E2118" i="5"/>
  <c r="C2118" i="5"/>
  <c r="G2114" i="5"/>
  <c r="F2114" i="5"/>
  <c r="E2114" i="5"/>
  <c r="C2114" i="5"/>
  <c r="G2113" i="5"/>
  <c r="F2113" i="5"/>
  <c r="L2113" i="5" s="1"/>
  <c r="E2113" i="5"/>
  <c r="C2113" i="5"/>
  <c r="G2112" i="5"/>
  <c r="H2112" i="5" s="1"/>
  <c r="E2112" i="5"/>
  <c r="C2112" i="5"/>
  <c r="L2111" i="5"/>
  <c r="J2111" i="5"/>
  <c r="G2111" i="5"/>
  <c r="H2111" i="5" s="1"/>
  <c r="E2111" i="5"/>
  <c r="C2111" i="5"/>
  <c r="F2103" i="5"/>
  <c r="H2100" i="5"/>
  <c r="H2099" i="5"/>
  <c r="L2097" i="5"/>
  <c r="J2097" i="5"/>
  <c r="L2095" i="5"/>
  <c r="J2095" i="5"/>
  <c r="H2095" i="5"/>
  <c r="L2094" i="5"/>
  <c r="J2094" i="5"/>
  <c r="G2094" i="5"/>
  <c r="H2094" i="5" s="1"/>
  <c r="E2094" i="5"/>
  <c r="C2094" i="5"/>
  <c r="L2093" i="5"/>
  <c r="J2093" i="5"/>
  <c r="G2093" i="5"/>
  <c r="H2093" i="5" s="1"/>
  <c r="E2093" i="5"/>
  <c r="C2093" i="5"/>
  <c r="G2089" i="5"/>
  <c r="F2089" i="5"/>
  <c r="E2089" i="5"/>
  <c r="C2089" i="5"/>
  <c r="G2088" i="5"/>
  <c r="F2088" i="5"/>
  <c r="J2088" i="5" s="1"/>
  <c r="E2088" i="5"/>
  <c r="C2088" i="5"/>
  <c r="G2087" i="5"/>
  <c r="H2087" i="5" s="1"/>
  <c r="E2087" i="5"/>
  <c r="C2087" i="5"/>
  <c r="L2086" i="5"/>
  <c r="J2086" i="5"/>
  <c r="G2086" i="5"/>
  <c r="H2086" i="5" s="1"/>
  <c r="E2086" i="5"/>
  <c r="C2086" i="5"/>
  <c r="F2078" i="5"/>
  <c r="H2075" i="5"/>
  <c r="H2074" i="5"/>
  <c r="L2072" i="5"/>
  <c r="J2072" i="5"/>
  <c r="L2070" i="5"/>
  <c r="J2070" i="5"/>
  <c r="H2070" i="5"/>
  <c r="L2069" i="5"/>
  <c r="J2069" i="5"/>
  <c r="G2069" i="5"/>
  <c r="H2069" i="5" s="1"/>
  <c r="E2069" i="5"/>
  <c r="C2069" i="5"/>
  <c r="L2068" i="5"/>
  <c r="J2068" i="5"/>
  <c r="G2068" i="5"/>
  <c r="H2068" i="5" s="1"/>
  <c r="E2068" i="5"/>
  <c r="C2068" i="5"/>
  <c r="G2064" i="5"/>
  <c r="F2064" i="5"/>
  <c r="E2064" i="5"/>
  <c r="C2064" i="5"/>
  <c r="G2063" i="5"/>
  <c r="F2063" i="5"/>
  <c r="L2063" i="5" s="1"/>
  <c r="E2063" i="5"/>
  <c r="C2063" i="5"/>
  <c r="G2062" i="5"/>
  <c r="H2062" i="5" s="1"/>
  <c r="E2062" i="5"/>
  <c r="C2062" i="5"/>
  <c r="L2061" i="5"/>
  <c r="J2061" i="5"/>
  <c r="G2061" i="5"/>
  <c r="H2061" i="5" s="1"/>
  <c r="E2061" i="5"/>
  <c r="C2061" i="5"/>
  <c r="F2053" i="5"/>
  <c r="H2050" i="5"/>
  <c r="H2049" i="5"/>
  <c r="J2049" i="5" s="1"/>
  <c r="L2047" i="5"/>
  <c r="J2047" i="5"/>
  <c r="L2045" i="5"/>
  <c r="J2045" i="5"/>
  <c r="H2045" i="5"/>
  <c r="L2044" i="5"/>
  <c r="J2044" i="5"/>
  <c r="G2044" i="5"/>
  <c r="H2044" i="5" s="1"/>
  <c r="E2044" i="5"/>
  <c r="C2044" i="5"/>
  <c r="L2043" i="5"/>
  <c r="J2043" i="5"/>
  <c r="G2043" i="5"/>
  <c r="H2043" i="5" s="1"/>
  <c r="E2043" i="5"/>
  <c r="C2043" i="5"/>
  <c r="G2039" i="5"/>
  <c r="F2039" i="5"/>
  <c r="E2039" i="5"/>
  <c r="C2039" i="5"/>
  <c r="G2038" i="5"/>
  <c r="F2038" i="5"/>
  <c r="L2038" i="5" s="1"/>
  <c r="E2038" i="5"/>
  <c r="C2038" i="5"/>
  <c r="G2037" i="5"/>
  <c r="H2037" i="5" s="1"/>
  <c r="E2037" i="5"/>
  <c r="C2037" i="5"/>
  <c r="L2036" i="5"/>
  <c r="J2036" i="5"/>
  <c r="G2036" i="5"/>
  <c r="H2036" i="5" s="1"/>
  <c r="E2036" i="5"/>
  <c r="C2036" i="5"/>
  <c r="G2019" i="5"/>
  <c r="H2019" i="5" s="1"/>
  <c r="E2019" i="5"/>
  <c r="C2019" i="5"/>
  <c r="G2018" i="5"/>
  <c r="H2018" i="5" s="1"/>
  <c r="E2018" i="5"/>
  <c r="C2018" i="5"/>
  <c r="G2014" i="5"/>
  <c r="F2014" i="5"/>
  <c r="L2014" i="5" s="1"/>
  <c r="E2014" i="5"/>
  <c r="C2014" i="5"/>
  <c r="F2028" i="5"/>
  <c r="H2025" i="5"/>
  <c r="H2024" i="5"/>
  <c r="L2022" i="5"/>
  <c r="J2022" i="5"/>
  <c r="L2020" i="5"/>
  <c r="J2020" i="5"/>
  <c r="H2020" i="5"/>
  <c r="L2019" i="5"/>
  <c r="J2019" i="5"/>
  <c r="L2018" i="5"/>
  <c r="J2018" i="5"/>
  <c r="G2013" i="5"/>
  <c r="F2013" i="5"/>
  <c r="L2013" i="5" s="1"/>
  <c r="E2013" i="5"/>
  <c r="C2013" i="5"/>
  <c r="G2012" i="5"/>
  <c r="H2012" i="5" s="1"/>
  <c r="E2012" i="5"/>
  <c r="C2012" i="5"/>
  <c r="L2011" i="5"/>
  <c r="J2011" i="5"/>
  <c r="G2011" i="5"/>
  <c r="H2011" i="5" s="1"/>
  <c r="E2011" i="5"/>
  <c r="C2011" i="5"/>
  <c r="F2003" i="5"/>
  <c r="H2000" i="5"/>
  <c r="G1999" i="5"/>
  <c r="H1999" i="5" s="1"/>
  <c r="E1999" i="5"/>
  <c r="C1999" i="5"/>
  <c r="L1997" i="5"/>
  <c r="J1997" i="5"/>
  <c r="L1995" i="5"/>
  <c r="J1995" i="5"/>
  <c r="H1995" i="5"/>
  <c r="L1994" i="5"/>
  <c r="J1994" i="5"/>
  <c r="H1994" i="5"/>
  <c r="L1993" i="5"/>
  <c r="J1993" i="5"/>
  <c r="H1993" i="5"/>
  <c r="L1989" i="5"/>
  <c r="J1989" i="5"/>
  <c r="H1989" i="5"/>
  <c r="G1988" i="5"/>
  <c r="F1988" i="5"/>
  <c r="L1988" i="5" s="1"/>
  <c r="E1988" i="5"/>
  <c r="C1988" i="5"/>
  <c r="G1987" i="5"/>
  <c r="H1987" i="5" s="1"/>
  <c r="E1987" i="5"/>
  <c r="C1987" i="5"/>
  <c r="L1986" i="5"/>
  <c r="J1986" i="5"/>
  <c r="G1986" i="5"/>
  <c r="H1986" i="5" s="1"/>
  <c r="E1986" i="5"/>
  <c r="C1986" i="5"/>
  <c r="F1712" i="5"/>
  <c r="L1712" i="5" s="1"/>
  <c r="F1752" i="5"/>
  <c r="H1749" i="5"/>
  <c r="G1748" i="5"/>
  <c r="H1748" i="5" s="1"/>
  <c r="E1748" i="5"/>
  <c r="C1748" i="5"/>
  <c r="L1746" i="5"/>
  <c r="J1746" i="5"/>
  <c r="L1744" i="5"/>
  <c r="J1744" i="5"/>
  <c r="G1744" i="5"/>
  <c r="H1744" i="5" s="1"/>
  <c r="E1744" i="5"/>
  <c r="C1744" i="5"/>
  <c r="L1743" i="5"/>
  <c r="J1743" i="5"/>
  <c r="G1743" i="5"/>
  <c r="H1743" i="5" s="1"/>
  <c r="E1743" i="5"/>
  <c r="C1743" i="5"/>
  <c r="L1742" i="5"/>
  <c r="J1742" i="5"/>
  <c r="G1742" i="5"/>
  <c r="H1742" i="5" s="1"/>
  <c r="E1742" i="5"/>
  <c r="C1742" i="5"/>
  <c r="L1738" i="5"/>
  <c r="J1738" i="5"/>
  <c r="H1738" i="5"/>
  <c r="L1737" i="5"/>
  <c r="J1737" i="5"/>
  <c r="G1737" i="5"/>
  <c r="H1737" i="5" s="1"/>
  <c r="E1737" i="5"/>
  <c r="C1737" i="5"/>
  <c r="G1736" i="5"/>
  <c r="H1736" i="5" s="1"/>
  <c r="E1736" i="5"/>
  <c r="C1736" i="5"/>
  <c r="L1735" i="5"/>
  <c r="J1735" i="5"/>
  <c r="G1735" i="5"/>
  <c r="H1735" i="5" s="1"/>
  <c r="E1735" i="5"/>
  <c r="C1735" i="5"/>
  <c r="F1727" i="5"/>
  <c r="H1724" i="5"/>
  <c r="H1723" i="5"/>
  <c r="J1723" i="5" s="1"/>
  <c r="L1721" i="5"/>
  <c r="J1721" i="5"/>
  <c r="L1719" i="5"/>
  <c r="J1719" i="5"/>
  <c r="G1719" i="5"/>
  <c r="H1719" i="5" s="1"/>
  <c r="E1719" i="5"/>
  <c r="C1719" i="5"/>
  <c r="L1718" i="5"/>
  <c r="J1718" i="5"/>
  <c r="G1718" i="5"/>
  <c r="H1718" i="5" s="1"/>
  <c r="E1718" i="5"/>
  <c r="C1718" i="5"/>
  <c r="L1717" i="5"/>
  <c r="J1717" i="5"/>
  <c r="G1717" i="5"/>
  <c r="H1717" i="5" s="1"/>
  <c r="E1717" i="5"/>
  <c r="C1717" i="5"/>
  <c r="L1713" i="5"/>
  <c r="J1713" i="5"/>
  <c r="H1713" i="5"/>
  <c r="G1712" i="5"/>
  <c r="E1712" i="5"/>
  <c r="C1712" i="5"/>
  <c r="G1711" i="5"/>
  <c r="H1711" i="5" s="1"/>
  <c r="E1711" i="5"/>
  <c r="C1711" i="5"/>
  <c r="L1710" i="5"/>
  <c r="J1710" i="5"/>
  <c r="G1710" i="5"/>
  <c r="H1710" i="5" s="1"/>
  <c r="E1710" i="5"/>
  <c r="C1710" i="5"/>
  <c r="F1978" i="5"/>
  <c r="H1975" i="5"/>
  <c r="G1974" i="5"/>
  <c r="H1974" i="5" s="1"/>
  <c r="E1974" i="5"/>
  <c r="C1974" i="5"/>
  <c r="L1972" i="5"/>
  <c r="J1972" i="5"/>
  <c r="L1970" i="5"/>
  <c r="J1970" i="5"/>
  <c r="G1970" i="5"/>
  <c r="H1970" i="5" s="1"/>
  <c r="E1970" i="5"/>
  <c r="C1970" i="5"/>
  <c r="L1969" i="5"/>
  <c r="J1969" i="5"/>
  <c r="G1969" i="5"/>
  <c r="H1969" i="5" s="1"/>
  <c r="E1969" i="5"/>
  <c r="C1969" i="5"/>
  <c r="L1968" i="5"/>
  <c r="J1968" i="5"/>
  <c r="G1968" i="5"/>
  <c r="H1968" i="5" s="1"/>
  <c r="E1968" i="5"/>
  <c r="C1968" i="5"/>
  <c r="L1964" i="5"/>
  <c r="J1964" i="5"/>
  <c r="H1964" i="5"/>
  <c r="G1963" i="5"/>
  <c r="F1963" i="5"/>
  <c r="L1963" i="5" s="1"/>
  <c r="E1963" i="5"/>
  <c r="C1963" i="5"/>
  <c r="G1962" i="5"/>
  <c r="H1962" i="5" s="1"/>
  <c r="E1962" i="5"/>
  <c r="C1962" i="5"/>
  <c r="L1961" i="5"/>
  <c r="J1961" i="5"/>
  <c r="G1961" i="5"/>
  <c r="H1961" i="5" s="1"/>
  <c r="E1961" i="5"/>
  <c r="C1961" i="5"/>
  <c r="F1953" i="5"/>
  <c r="H1950" i="5"/>
  <c r="G1949" i="5"/>
  <c r="H1949" i="5" s="1"/>
  <c r="E1949" i="5"/>
  <c r="C1949" i="5"/>
  <c r="L1947" i="5"/>
  <c r="J1947" i="5"/>
  <c r="L1945" i="5"/>
  <c r="J1945" i="5"/>
  <c r="G1945" i="5"/>
  <c r="H1945" i="5" s="1"/>
  <c r="E1945" i="5"/>
  <c r="C1945" i="5"/>
  <c r="L1944" i="5"/>
  <c r="J1944" i="5"/>
  <c r="G1944" i="5"/>
  <c r="H1944" i="5" s="1"/>
  <c r="E1944" i="5"/>
  <c r="C1944" i="5"/>
  <c r="L1943" i="5"/>
  <c r="J1943" i="5"/>
  <c r="G1943" i="5"/>
  <c r="H1943" i="5" s="1"/>
  <c r="E1943" i="5"/>
  <c r="C1943" i="5"/>
  <c r="L1939" i="5"/>
  <c r="J1939" i="5"/>
  <c r="H1939" i="5"/>
  <c r="G1938" i="5"/>
  <c r="F1938" i="5"/>
  <c r="L1938" i="5" s="1"/>
  <c r="E1938" i="5"/>
  <c r="C1938" i="5"/>
  <c r="G1937" i="5"/>
  <c r="H1937" i="5" s="1"/>
  <c r="E1937" i="5"/>
  <c r="C1937" i="5"/>
  <c r="L1936" i="5"/>
  <c r="J1936" i="5"/>
  <c r="G1936" i="5"/>
  <c r="H1936" i="5" s="1"/>
  <c r="E1936" i="5"/>
  <c r="C1936" i="5"/>
  <c r="F1888" i="5"/>
  <c r="L1888" i="5" s="1"/>
  <c r="F1928" i="5"/>
  <c r="H1925" i="5"/>
  <c r="G1924" i="5"/>
  <c r="H1924" i="5" s="1"/>
  <c r="E1924" i="5"/>
  <c r="C1924" i="5"/>
  <c r="L1922" i="5"/>
  <c r="J1922" i="5"/>
  <c r="L1920" i="5"/>
  <c r="J1920" i="5"/>
  <c r="G1920" i="5"/>
  <c r="H1920" i="5" s="1"/>
  <c r="E1920" i="5"/>
  <c r="C1920" i="5"/>
  <c r="L1919" i="5"/>
  <c r="J1919" i="5"/>
  <c r="G1919" i="5"/>
  <c r="H1919" i="5" s="1"/>
  <c r="E1919" i="5"/>
  <c r="C1919" i="5"/>
  <c r="L1918" i="5"/>
  <c r="J1918" i="5"/>
  <c r="G1918" i="5"/>
  <c r="H1918" i="5" s="1"/>
  <c r="E1918" i="5"/>
  <c r="C1918" i="5"/>
  <c r="L1914" i="5"/>
  <c r="J1914" i="5"/>
  <c r="H1914" i="5"/>
  <c r="G1913" i="5"/>
  <c r="F1913" i="5"/>
  <c r="L1913" i="5" s="1"/>
  <c r="E1913" i="5"/>
  <c r="C1913" i="5"/>
  <c r="G1912" i="5"/>
  <c r="H1912" i="5" s="1"/>
  <c r="E1912" i="5"/>
  <c r="C1912" i="5"/>
  <c r="L1911" i="5"/>
  <c r="J1911" i="5"/>
  <c r="G1911" i="5"/>
  <c r="H1911" i="5" s="1"/>
  <c r="E1911" i="5"/>
  <c r="C1911" i="5"/>
  <c r="F1903" i="5"/>
  <c r="H1900" i="5"/>
  <c r="G1899" i="5"/>
  <c r="H1899" i="5" s="1"/>
  <c r="E1899" i="5"/>
  <c r="C1899" i="5"/>
  <c r="L1897" i="5"/>
  <c r="J1897" i="5"/>
  <c r="L1895" i="5"/>
  <c r="J1895" i="5"/>
  <c r="G1895" i="5"/>
  <c r="H1895" i="5" s="1"/>
  <c r="E1895" i="5"/>
  <c r="C1895" i="5"/>
  <c r="L1894" i="5"/>
  <c r="J1894" i="5"/>
  <c r="G1894" i="5"/>
  <c r="H1894" i="5" s="1"/>
  <c r="E1894" i="5"/>
  <c r="C1894" i="5"/>
  <c r="L1893" i="5"/>
  <c r="J1893" i="5"/>
  <c r="G1893" i="5"/>
  <c r="H1893" i="5" s="1"/>
  <c r="E1893" i="5"/>
  <c r="C1893" i="5"/>
  <c r="L1889" i="5"/>
  <c r="J1889" i="5"/>
  <c r="H1889" i="5"/>
  <c r="G1888" i="5"/>
  <c r="E1888" i="5"/>
  <c r="C1888" i="5"/>
  <c r="G1887" i="5"/>
  <c r="H1887" i="5" s="1"/>
  <c r="E1887" i="5"/>
  <c r="C1887" i="5"/>
  <c r="L1886" i="5"/>
  <c r="J1886" i="5"/>
  <c r="G1886" i="5"/>
  <c r="H1886" i="5" s="1"/>
  <c r="E1886" i="5"/>
  <c r="C1886" i="5"/>
  <c r="F1878" i="5"/>
  <c r="H1875" i="5"/>
  <c r="G1874" i="5"/>
  <c r="H1874" i="5" s="1"/>
  <c r="E1874" i="5"/>
  <c r="C1874" i="5"/>
  <c r="L1872" i="5"/>
  <c r="J1872" i="5"/>
  <c r="L1870" i="5"/>
  <c r="J1870" i="5"/>
  <c r="G1870" i="5"/>
  <c r="H1870" i="5" s="1"/>
  <c r="E1870" i="5"/>
  <c r="C1870" i="5"/>
  <c r="L1869" i="5"/>
  <c r="J1869" i="5"/>
  <c r="G1869" i="5"/>
  <c r="H1869" i="5" s="1"/>
  <c r="E1869" i="5"/>
  <c r="C1869" i="5"/>
  <c r="L1868" i="5"/>
  <c r="J1868" i="5"/>
  <c r="G1868" i="5"/>
  <c r="H1868" i="5" s="1"/>
  <c r="E1868" i="5"/>
  <c r="C1868" i="5"/>
  <c r="L1864" i="5"/>
  <c r="J1864" i="5"/>
  <c r="H1864" i="5"/>
  <c r="G1863" i="5"/>
  <c r="F1863" i="5"/>
  <c r="L1863" i="5" s="1"/>
  <c r="E1863" i="5"/>
  <c r="C1863" i="5"/>
  <c r="G1862" i="5"/>
  <c r="H1862" i="5" s="1"/>
  <c r="E1862" i="5"/>
  <c r="C1862" i="5"/>
  <c r="L1861" i="5"/>
  <c r="J1861" i="5"/>
  <c r="G1861" i="5"/>
  <c r="H1861" i="5" s="1"/>
  <c r="E1861" i="5"/>
  <c r="C1861" i="5"/>
  <c r="F1853" i="5"/>
  <c r="H1850" i="5"/>
  <c r="G1849" i="5"/>
  <c r="H1849" i="5" s="1"/>
  <c r="E1849" i="5"/>
  <c r="C1849" i="5"/>
  <c r="L1847" i="5"/>
  <c r="J1847" i="5"/>
  <c r="L1845" i="5"/>
  <c r="J1845" i="5"/>
  <c r="G1845" i="5"/>
  <c r="H1845" i="5" s="1"/>
  <c r="E1845" i="5"/>
  <c r="C1845" i="5"/>
  <c r="L1844" i="5"/>
  <c r="J1844" i="5"/>
  <c r="G1844" i="5"/>
  <c r="H1844" i="5" s="1"/>
  <c r="E1844" i="5"/>
  <c r="C1844" i="5"/>
  <c r="L1843" i="5"/>
  <c r="J1843" i="5"/>
  <c r="G1843" i="5"/>
  <c r="H1843" i="5" s="1"/>
  <c r="E1843" i="5"/>
  <c r="C1843" i="5"/>
  <c r="L1839" i="5"/>
  <c r="J1839" i="5"/>
  <c r="H1839" i="5"/>
  <c r="G1838" i="5"/>
  <c r="F1838" i="5"/>
  <c r="E1838" i="5"/>
  <c r="C1838" i="5"/>
  <c r="G1837" i="5"/>
  <c r="H1837" i="5" s="1"/>
  <c r="E1837" i="5"/>
  <c r="C1837" i="5"/>
  <c r="L1836" i="5"/>
  <c r="J1836" i="5"/>
  <c r="G1836" i="5"/>
  <c r="H1836" i="5" s="1"/>
  <c r="E1836" i="5"/>
  <c r="C1836" i="5"/>
  <c r="F1828" i="5"/>
  <c r="H1825" i="5"/>
  <c r="G1824" i="5"/>
  <c r="H1824" i="5" s="1"/>
  <c r="E1824" i="5"/>
  <c r="C1824" i="5"/>
  <c r="L1822" i="5"/>
  <c r="J1822" i="5"/>
  <c r="L1820" i="5"/>
  <c r="J1820" i="5"/>
  <c r="G1820" i="5"/>
  <c r="H1820" i="5" s="1"/>
  <c r="E1820" i="5"/>
  <c r="C1820" i="5"/>
  <c r="L1819" i="5"/>
  <c r="J1819" i="5"/>
  <c r="G1819" i="5"/>
  <c r="H1819" i="5" s="1"/>
  <c r="E1819" i="5"/>
  <c r="C1819" i="5"/>
  <c r="L1818" i="5"/>
  <c r="J1818" i="5"/>
  <c r="G1818" i="5"/>
  <c r="H1818" i="5" s="1"/>
  <c r="E1818" i="5"/>
  <c r="C1818" i="5"/>
  <c r="L1814" i="5"/>
  <c r="J1814" i="5"/>
  <c r="H1814" i="5"/>
  <c r="G1813" i="5"/>
  <c r="F1813" i="5"/>
  <c r="L1813" i="5" s="1"/>
  <c r="E1813" i="5"/>
  <c r="C1813" i="5"/>
  <c r="G1812" i="5"/>
  <c r="H1812" i="5" s="1"/>
  <c r="E1812" i="5"/>
  <c r="C1812" i="5"/>
  <c r="L1811" i="5"/>
  <c r="J1811" i="5"/>
  <c r="G1811" i="5"/>
  <c r="H1811" i="5" s="1"/>
  <c r="E1811" i="5"/>
  <c r="C1811" i="5"/>
  <c r="F1803" i="5"/>
  <c r="H1800" i="5"/>
  <c r="G1799" i="5"/>
  <c r="H1799" i="5" s="1"/>
  <c r="E1799" i="5"/>
  <c r="C1799" i="5"/>
  <c r="L1797" i="5"/>
  <c r="J1797" i="5"/>
  <c r="L1795" i="5"/>
  <c r="J1795" i="5"/>
  <c r="G1795" i="5"/>
  <c r="H1795" i="5" s="1"/>
  <c r="E1795" i="5"/>
  <c r="C1795" i="5"/>
  <c r="L1794" i="5"/>
  <c r="J1794" i="5"/>
  <c r="G1794" i="5"/>
  <c r="H1794" i="5" s="1"/>
  <c r="E1794" i="5"/>
  <c r="C1794" i="5"/>
  <c r="L1793" i="5"/>
  <c r="J1793" i="5"/>
  <c r="G1793" i="5"/>
  <c r="H1793" i="5" s="1"/>
  <c r="E1793" i="5"/>
  <c r="C1793" i="5"/>
  <c r="L1789" i="5"/>
  <c r="J1789" i="5"/>
  <c r="H1789" i="5"/>
  <c r="G1788" i="5"/>
  <c r="F1788" i="5"/>
  <c r="L1788" i="5" s="1"/>
  <c r="E1788" i="5"/>
  <c r="C1788" i="5"/>
  <c r="G1787" i="5"/>
  <c r="H1787" i="5" s="1"/>
  <c r="E1787" i="5"/>
  <c r="C1787" i="5"/>
  <c r="L1786" i="5"/>
  <c r="J1786" i="5"/>
  <c r="G1786" i="5"/>
  <c r="H1786" i="5" s="1"/>
  <c r="E1786" i="5"/>
  <c r="C1786" i="5"/>
  <c r="F1778" i="5"/>
  <c r="H1775" i="5"/>
  <c r="G1773" i="5"/>
  <c r="H1773" i="5" s="1"/>
  <c r="E1773" i="5"/>
  <c r="C1773" i="5"/>
  <c r="L1771" i="5"/>
  <c r="J1771" i="5"/>
  <c r="L1769" i="5"/>
  <c r="J1769" i="5"/>
  <c r="H1769" i="5"/>
  <c r="L1768" i="5"/>
  <c r="J1768" i="5"/>
  <c r="H1768" i="5"/>
  <c r="L1767" i="5"/>
  <c r="J1767" i="5"/>
  <c r="H1767" i="5"/>
  <c r="L1763" i="5"/>
  <c r="J1763" i="5"/>
  <c r="H1763" i="5"/>
  <c r="G1762" i="5"/>
  <c r="F1762" i="5"/>
  <c r="L1762" i="5" s="1"/>
  <c r="E1762" i="5"/>
  <c r="C1762" i="5"/>
  <c r="G1761" i="5"/>
  <c r="H1761" i="5" s="1"/>
  <c r="E1761" i="5"/>
  <c r="C1761" i="5"/>
  <c r="L1760" i="5"/>
  <c r="J1760" i="5"/>
  <c r="G1760" i="5"/>
  <c r="H1760" i="5" s="1"/>
  <c r="E1760" i="5"/>
  <c r="C1760" i="5"/>
  <c r="F1702" i="5"/>
  <c r="H1699" i="5"/>
  <c r="G1698" i="5"/>
  <c r="H1698" i="5" s="1"/>
  <c r="E1698" i="5"/>
  <c r="C1698" i="5"/>
  <c r="L1696" i="5"/>
  <c r="J1696" i="5"/>
  <c r="L1694" i="5"/>
  <c r="J1694" i="5"/>
  <c r="G1694" i="5"/>
  <c r="H1694" i="5" s="1"/>
  <c r="E1694" i="5"/>
  <c r="C1694" i="5"/>
  <c r="L1693" i="5"/>
  <c r="J1693" i="5"/>
  <c r="G1693" i="5"/>
  <c r="H1693" i="5" s="1"/>
  <c r="E1693" i="5"/>
  <c r="C1693" i="5"/>
  <c r="L1692" i="5"/>
  <c r="J1692" i="5"/>
  <c r="G1692" i="5"/>
  <c r="H1692" i="5" s="1"/>
  <c r="E1692" i="5"/>
  <c r="C1692" i="5"/>
  <c r="L1688" i="5"/>
  <c r="J1688" i="5"/>
  <c r="H1688" i="5"/>
  <c r="G1687" i="5"/>
  <c r="F1687" i="5"/>
  <c r="L1687" i="5" s="1"/>
  <c r="E1687" i="5"/>
  <c r="C1687" i="5"/>
  <c r="G1686" i="5"/>
  <c r="H1686" i="5" s="1"/>
  <c r="E1686" i="5"/>
  <c r="C1686" i="5"/>
  <c r="L1685" i="5"/>
  <c r="J1685" i="5"/>
  <c r="G1685" i="5"/>
  <c r="H1685" i="5" s="1"/>
  <c r="E1685" i="5"/>
  <c r="C1685" i="5"/>
  <c r="F1677" i="5"/>
  <c r="H1674" i="5"/>
  <c r="G1673" i="5"/>
  <c r="H1673" i="5" s="1"/>
  <c r="E1673" i="5"/>
  <c r="C1673" i="5"/>
  <c r="L1671" i="5"/>
  <c r="J1671" i="5"/>
  <c r="L1669" i="5"/>
  <c r="J1669" i="5"/>
  <c r="G1669" i="5"/>
  <c r="H1669" i="5" s="1"/>
  <c r="E1669" i="5"/>
  <c r="C1669" i="5"/>
  <c r="L1668" i="5"/>
  <c r="J1668" i="5"/>
  <c r="G1668" i="5"/>
  <c r="H1668" i="5" s="1"/>
  <c r="E1668" i="5"/>
  <c r="C1668" i="5"/>
  <c r="L1667" i="5"/>
  <c r="J1667" i="5"/>
  <c r="G1667" i="5"/>
  <c r="H1667" i="5" s="1"/>
  <c r="E1667" i="5"/>
  <c r="C1667" i="5"/>
  <c r="L1663" i="5"/>
  <c r="J1663" i="5"/>
  <c r="H1663" i="5"/>
  <c r="L1662" i="5"/>
  <c r="J1662" i="5"/>
  <c r="G1662" i="5"/>
  <c r="H1662" i="5" s="1"/>
  <c r="E1662" i="5"/>
  <c r="C1662" i="5"/>
  <c r="G1661" i="5"/>
  <c r="H1661" i="5" s="1"/>
  <c r="E1661" i="5"/>
  <c r="C1661" i="5"/>
  <c r="L1660" i="5"/>
  <c r="J1660" i="5"/>
  <c r="G1660" i="5"/>
  <c r="H1660" i="5" s="1"/>
  <c r="E1660" i="5"/>
  <c r="C1660" i="5"/>
  <c r="F1652" i="5"/>
  <c r="H1649" i="5"/>
  <c r="H1648" i="5"/>
  <c r="J1648" i="5" s="1"/>
  <c r="L1646" i="5"/>
  <c r="J1646" i="5"/>
  <c r="L1644" i="5"/>
  <c r="J1644" i="5"/>
  <c r="G1644" i="5"/>
  <c r="H1644" i="5" s="1"/>
  <c r="E1644" i="5"/>
  <c r="C1644" i="5"/>
  <c r="L1643" i="5"/>
  <c r="J1643" i="5"/>
  <c r="G1643" i="5"/>
  <c r="H1643" i="5" s="1"/>
  <c r="E1643" i="5"/>
  <c r="C1643" i="5"/>
  <c r="L1642" i="5"/>
  <c r="J1642" i="5"/>
  <c r="G1642" i="5"/>
  <c r="H1642" i="5" s="1"/>
  <c r="E1642" i="5"/>
  <c r="C1642" i="5"/>
  <c r="L1638" i="5"/>
  <c r="J1638" i="5"/>
  <c r="H1638" i="5"/>
  <c r="L1637" i="5"/>
  <c r="J1637" i="5"/>
  <c r="G1637" i="5"/>
  <c r="H1637" i="5" s="1"/>
  <c r="E1637" i="5"/>
  <c r="C1637" i="5"/>
  <c r="G1636" i="5"/>
  <c r="H1636" i="5" s="1"/>
  <c r="E1636" i="5"/>
  <c r="C1636" i="5"/>
  <c r="L1635" i="5"/>
  <c r="J1635" i="5"/>
  <c r="G1635" i="5"/>
  <c r="H1635" i="5" s="1"/>
  <c r="E1635" i="5"/>
  <c r="C1635" i="5"/>
  <c r="F1627" i="5"/>
  <c r="H1624" i="5"/>
  <c r="H1623" i="5"/>
  <c r="J1623" i="5" s="1"/>
  <c r="L1621" i="5"/>
  <c r="J1621" i="5"/>
  <c r="L1619" i="5"/>
  <c r="J1619" i="5"/>
  <c r="G1619" i="5"/>
  <c r="H1619" i="5" s="1"/>
  <c r="E1619" i="5"/>
  <c r="C1619" i="5"/>
  <c r="L1618" i="5"/>
  <c r="J1618" i="5"/>
  <c r="G1618" i="5"/>
  <c r="H1618" i="5" s="1"/>
  <c r="E1618" i="5"/>
  <c r="C1618" i="5"/>
  <c r="L1617" i="5"/>
  <c r="J1617" i="5"/>
  <c r="G1617" i="5"/>
  <c r="H1617" i="5" s="1"/>
  <c r="E1617" i="5"/>
  <c r="C1617" i="5"/>
  <c r="L1613" i="5"/>
  <c r="J1613" i="5"/>
  <c r="H1613" i="5"/>
  <c r="L1612" i="5"/>
  <c r="J1612" i="5"/>
  <c r="G1612" i="5"/>
  <c r="H1612" i="5" s="1"/>
  <c r="E1612" i="5"/>
  <c r="C1612" i="5"/>
  <c r="G1611" i="5"/>
  <c r="H1611" i="5" s="1"/>
  <c r="E1611" i="5"/>
  <c r="C1611" i="5"/>
  <c r="L1610" i="5"/>
  <c r="J1610" i="5"/>
  <c r="G1610" i="5"/>
  <c r="H1610" i="5" s="1"/>
  <c r="E1610" i="5"/>
  <c r="C1610" i="5"/>
  <c r="F1587" i="5"/>
  <c r="L1587" i="5" s="1"/>
  <c r="G1598" i="5"/>
  <c r="H1598" i="5" s="1"/>
  <c r="J1598" i="5" s="1"/>
  <c r="E1598" i="5"/>
  <c r="C1598" i="5"/>
  <c r="G1573" i="5"/>
  <c r="H1573" i="5" s="1"/>
  <c r="J1573" i="5" s="1"/>
  <c r="E1573" i="5"/>
  <c r="C1573" i="5"/>
  <c r="F1602" i="5"/>
  <c r="H1599" i="5"/>
  <c r="L1596" i="5"/>
  <c r="J1596" i="5"/>
  <c r="L1594" i="5"/>
  <c r="J1594" i="5"/>
  <c r="G1594" i="5"/>
  <c r="H1594" i="5" s="1"/>
  <c r="E1594" i="5"/>
  <c r="C1594" i="5"/>
  <c r="L1593" i="5"/>
  <c r="J1593" i="5"/>
  <c r="G1593" i="5"/>
  <c r="H1593" i="5" s="1"/>
  <c r="E1593" i="5"/>
  <c r="C1593" i="5"/>
  <c r="L1592" i="5"/>
  <c r="J1592" i="5"/>
  <c r="G1592" i="5"/>
  <c r="H1592" i="5" s="1"/>
  <c r="E1592" i="5"/>
  <c r="C1592" i="5"/>
  <c r="L1588" i="5"/>
  <c r="J1588" i="5"/>
  <c r="H1588" i="5"/>
  <c r="G1587" i="5"/>
  <c r="E1587" i="5"/>
  <c r="C1587" i="5"/>
  <c r="G1586" i="5"/>
  <c r="H1586" i="5" s="1"/>
  <c r="E1586" i="5"/>
  <c r="C1586" i="5"/>
  <c r="L1585" i="5"/>
  <c r="J1585" i="5"/>
  <c r="G1585" i="5"/>
  <c r="H1585" i="5" s="1"/>
  <c r="E1585" i="5"/>
  <c r="C1585" i="5"/>
  <c r="F1577" i="5"/>
  <c r="H1574" i="5"/>
  <c r="L1571" i="5"/>
  <c r="J1571" i="5"/>
  <c r="L1569" i="5"/>
  <c r="J1569" i="5"/>
  <c r="G1569" i="5"/>
  <c r="H1569" i="5" s="1"/>
  <c r="E1569" i="5"/>
  <c r="C1569" i="5"/>
  <c r="L1568" i="5"/>
  <c r="J1568" i="5"/>
  <c r="G1568" i="5"/>
  <c r="H1568" i="5" s="1"/>
  <c r="E1568" i="5"/>
  <c r="C1568" i="5"/>
  <c r="L1567" i="5"/>
  <c r="J1567" i="5"/>
  <c r="G1567" i="5"/>
  <c r="H1567" i="5" s="1"/>
  <c r="E1567" i="5"/>
  <c r="C1567" i="5"/>
  <c r="L1563" i="5"/>
  <c r="J1563" i="5"/>
  <c r="H1563" i="5"/>
  <c r="L1562" i="5"/>
  <c r="J1562" i="5"/>
  <c r="G1562" i="5"/>
  <c r="H1562" i="5" s="1"/>
  <c r="E1562" i="5"/>
  <c r="C1562" i="5"/>
  <c r="G1561" i="5"/>
  <c r="H1561" i="5" s="1"/>
  <c r="E1561" i="5"/>
  <c r="C1561" i="5"/>
  <c r="L1560" i="5"/>
  <c r="J1560" i="5"/>
  <c r="G1560" i="5"/>
  <c r="H1560" i="5" s="1"/>
  <c r="E1560" i="5"/>
  <c r="C1560" i="5"/>
  <c r="F1552" i="5"/>
  <c r="H1549" i="5"/>
  <c r="H1548" i="5"/>
  <c r="J1548" i="5" s="1"/>
  <c r="L1546" i="5"/>
  <c r="J1546" i="5"/>
  <c r="L1544" i="5"/>
  <c r="J1544" i="5"/>
  <c r="G1544" i="5"/>
  <c r="H1544" i="5" s="1"/>
  <c r="E1544" i="5"/>
  <c r="C1544" i="5"/>
  <c r="L1543" i="5"/>
  <c r="J1543" i="5"/>
  <c r="G1543" i="5"/>
  <c r="H1543" i="5" s="1"/>
  <c r="E1543" i="5"/>
  <c r="C1543" i="5"/>
  <c r="L1542" i="5"/>
  <c r="J1542" i="5"/>
  <c r="G1542" i="5"/>
  <c r="H1542" i="5" s="1"/>
  <c r="E1542" i="5"/>
  <c r="C1542" i="5"/>
  <c r="L1538" i="5"/>
  <c r="J1538" i="5"/>
  <c r="H1538" i="5"/>
  <c r="L1537" i="5"/>
  <c r="J1537" i="5"/>
  <c r="G1537" i="5"/>
  <c r="H1537" i="5" s="1"/>
  <c r="E1537" i="5"/>
  <c r="C1537" i="5"/>
  <c r="G1536" i="5"/>
  <c r="H1536" i="5" s="1"/>
  <c r="E1536" i="5"/>
  <c r="C1536" i="5"/>
  <c r="L1535" i="5"/>
  <c r="J1535" i="5"/>
  <c r="G1535" i="5"/>
  <c r="H1535" i="5" s="1"/>
  <c r="E1535" i="5"/>
  <c r="C1535" i="5"/>
  <c r="D90" i="2"/>
  <c r="G1519" i="5"/>
  <c r="H1519" i="5" s="1"/>
  <c r="E1519" i="5"/>
  <c r="C1519" i="5"/>
  <c r="G1518" i="5"/>
  <c r="H1518" i="5" s="1"/>
  <c r="E1518" i="5"/>
  <c r="C1518" i="5"/>
  <c r="G1517" i="5"/>
  <c r="H1517" i="5" s="1"/>
  <c r="E1517" i="5"/>
  <c r="C1517" i="5"/>
  <c r="G1511" i="5"/>
  <c r="H1511" i="5" s="1"/>
  <c r="E1511" i="5"/>
  <c r="C1511" i="5"/>
  <c r="F1527" i="5"/>
  <c r="H1524" i="5"/>
  <c r="H1523" i="5"/>
  <c r="L1521" i="5"/>
  <c r="J1521" i="5"/>
  <c r="L1519" i="5"/>
  <c r="J1519" i="5"/>
  <c r="L1518" i="5"/>
  <c r="J1518" i="5"/>
  <c r="L1517" i="5"/>
  <c r="J1517" i="5"/>
  <c r="L1513" i="5"/>
  <c r="J1513" i="5"/>
  <c r="H1513" i="5"/>
  <c r="G1512" i="5"/>
  <c r="L1512" i="5"/>
  <c r="E1512" i="5"/>
  <c r="C1512" i="5"/>
  <c r="L1510" i="5"/>
  <c r="J1510" i="5"/>
  <c r="G1510" i="5"/>
  <c r="H1510" i="5" s="1"/>
  <c r="E1510" i="5"/>
  <c r="C1510" i="5"/>
  <c r="F1497" i="5"/>
  <c r="C1498" i="5"/>
  <c r="G1497" i="5"/>
  <c r="E1497" i="5"/>
  <c r="C1497" i="5"/>
  <c r="D414" i="2"/>
  <c r="F1485" i="5"/>
  <c r="L1485" i="5" s="1"/>
  <c r="F1502" i="5"/>
  <c r="H1499" i="5"/>
  <c r="G1496" i="5"/>
  <c r="H1496" i="5" s="1"/>
  <c r="E1496" i="5"/>
  <c r="C1496" i="5"/>
  <c r="L1494" i="5"/>
  <c r="L1492" i="5"/>
  <c r="J1492" i="5"/>
  <c r="H1492" i="5"/>
  <c r="L1491" i="5"/>
  <c r="J1491" i="5"/>
  <c r="H1491" i="5"/>
  <c r="L1490" i="5"/>
  <c r="J1490" i="5"/>
  <c r="H1490" i="5"/>
  <c r="L1486" i="5"/>
  <c r="J1486" i="5"/>
  <c r="H1486" i="5"/>
  <c r="C1485" i="5"/>
  <c r="L1484" i="5"/>
  <c r="J1484" i="5"/>
  <c r="C1484" i="5"/>
  <c r="D313" i="2"/>
  <c r="D311" i="2"/>
  <c r="D309" i="2"/>
  <c r="G1467" i="5" s="1"/>
  <c r="D307" i="2"/>
  <c r="D305" i="2"/>
  <c r="D303" i="2"/>
  <c r="D301" i="2"/>
  <c r="G1468" i="5" s="1"/>
  <c r="D299" i="2"/>
  <c r="D297" i="2"/>
  <c r="E1468" i="5"/>
  <c r="C1468" i="5"/>
  <c r="C1467" i="5"/>
  <c r="G1466" i="5"/>
  <c r="E1466" i="5"/>
  <c r="C1466" i="5"/>
  <c r="G1465" i="5"/>
  <c r="E1465" i="5"/>
  <c r="C1465" i="5"/>
  <c r="G1464" i="5"/>
  <c r="F1465" i="5"/>
  <c r="E1464" i="5"/>
  <c r="C1464" i="5"/>
  <c r="G1463" i="5"/>
  <c r="H1463" i="5" s="1"/>
  <c r="E1463" i="5"/>
  <c r="C1463" i="5"/>
  <c r="G1462" i="5"/>
  <c r="H1462" i="5" s="1"/>
  <c r="E1462" i="5"/>
  <c r="C1462" i="5"/>
  <c r="L1463" i="5"/>
  <c r="J1463" i="5"/>
  <c r="L1462" i="5"/>
  <c r="J1462" i="5"/>
  <c r="F1457" i="5"/>
  <c r="L1457" i="5" s="1"/>
  <c r="C1457" i="5"/>
  <c r="F1476" i="5"/>
  <c r="H1473" i="5"/>
  <c r="H1472" i="5"/>
  <c r="G1471" i="5"/>
  <c r="H1471" i="5" s="1"/>
  <c r="E1471" i="5"/>
  <c r="C1471" i="5"/>
  <c r="L1458" i="5"/>
  <c r="J1458" i="5"/>
  <c r="H1458" i="5"/>
  <c r="C1456" i="5"/>
  <c r="L1455" i="5"/>
  <c r="J1455" i="5"/>
  <c r="C1455" i="5"/>
  <c r="F1447" i="5"/>
  <c r="H1444" i="5"/>
  <c r="H1443" i="5"/>
  <c r="G1442" i="5"/>
  <c r="H1442" i="5" s="1"/>
  <c r="E1442" i="5"/>
  <c r="C1442" i="5"/>
  <c r="L1439" i="5"/>
  <c r="J1439" i="5"/>
  <c r="H1439" i="5"/>
  <c r="L1438" i="5"/>
  <c r="J1438" i="5"/>
  <c r="H1438" i="5"/>
  <c r="L1437" i="5"/>
  <c r="J1437" i="5"/>
  <c r="H1437" i="5"/>
  <c r="L1433" i="5"/>
  <c r="J1433" i="5"/>
  <c r="H1433" i="5"/>
  <c r="L1432" i="5"/>
  <c r="J1432" i="5"/>
  <c r="H1432" i="5"/>
  <c r="F1431" i="5"/>
  <c r="C1431" i="5"/>
  <c r="L1430" i="5"/>
  <c r="J1430" i="5"/>
  <c r="C1430" i="5"/>
  <c r="F1422" i="5"/>
  <c r="H1419" i="5"/>
  <c r="H1418" i="5"/>
  <c r="G1417" i="5"/>
  <c r="H1417" i="5" s="1"/>
  <c r="E1417" i="5"/>
  <c r="C1417" i="5"/>
  <c r="L1414" i="5"/>
  <c r="J1414" i="5"/>
  <c r="H1414" i="5"/>
  <c r="L1413" i="5"/>
  <c r="J1413" i="5"/>
  <c r="H1413" i="5"/>
  <c r="L1412" i="5"/>
  <c r="J1412" i="5"/>
  <c r="H1412" i="5"/>
  <c r="L1408" i="5"/>
  <c r="J1408" i="5"/>
  <c r="H1408" i="5"/>
  <c r="L1407" i="5"/>
  <c r="J1407" i="5"/>
  <c r="H1407" i="5"/>
  <c r="F1406" i="5"/>
  <c r="C1406" i="5"/>
  <c r="L1405" i="5"/>
  <c r="J1405" i="5"/>
  <c r="C1405" i="5"/>
  <c r="F1381" i="5"/>
  <c r="C1381" i="5"/>
  <c r="C1380" i="5"/>
  <c r="F1397" i="5"/>
  <c r="H1394" i="5"/>
  <c r="H1393" i="5"/>
  <c r="C1392" i="5"/>
  <c r="L1389" i="5"/>
  <c r="J1389" i="5"/>
  <c r="H1389" i="5"/>
  <c r="L1388" i="5"/>
  <c r="J1388" i="5"/>
  <c r="H1388" i="5"/>
  <c r="L1387" i="5"/>
  <c r="J1387" i="5"/>
  <c r="H1387" i="5"/>
  <c r="L1383" i="5"/>
  <c r="J1383" i="5"/>
  <c r="H1383" i="5"/>
  <c r="L1382" i="5"/>
  <c r="J1382" i="5"/>
  <c r="H1382" i="5"/>
  <c r="L1380" i="5"/>
  <c r="J1380" i="5"/>
  <c r="E2448" i="5" l="1"/>
  <c r="E2523" i="5"/>
  <c r="E2498" i="5"/>
  <c r="E1467" i="5"/>
  <c r="J2958" i="5"/>
  <c r="L3577" i="5"/>
  <c r="L3580" i="5" s="1"/>
  <c r="L3581" i="5" s="1"/>
  <c r="J3580" i="5"/>
  <c r="J3581" i="5" s="1"/>
  <c r="L3381" i="5"/>
  <c r="L3382" i="5" s="1"/>
  <c r="L3383" i="5" s="1"/>
  <c r="L3405" i="5"/>
  <c r="L3406" i="5" s="1"/>
  <c r="L3407" i="5" s="1"/>
  <c r="L3550" i="5"/>
  <c r="L3553" i="5" s="1"/>
  <c r="L3554" i="5" s="1"/>
  <c r="J3553" i="5"/>
  <c r="J3554" i="5" s="1"/>
  <c r="H3343" i="5"/>
  <c r="H3428" i="5"/>
  <c r="H3429" i="5" s="1"/>
  <c r="H3430" i="5" s="1"/>
  <c r="L3525" i="5"/>
  <c r="L3526" i="5" s="1"/>
  <c r="L3527" i="5" s="1"/>
  <c r="J3525" i="5"/>
  <c r="J3526" i="5" s="1"/>
  <c r="J3527" i="5" s="1"/>
  <c r="L3451" i="5"/>
  <c r="L3452" i="5" s="1"/>
  <c r="L3453" i="5" s="1"/>
  <c r="J3498" i="5"/>
  <c r="J3499" i="5" s="1"/>
  <c r="L3495" i="5"/>
  <c r="L3498" i="5" s="1"/>
  <c r="L3499" i="5" s="1"/>
  <c r="H3474" i="5"/>
  <c r="H3475" i="5" s="1"/>
  <c r="H3476" i="5" s="1"/>
  <c r="H3132" i="5"/>
  <c r="H3027" i="5"/>
  <c r="J3473" i="5"/>
  <c r="J3474" i="5" s="1"/>
  <c r="L3470" i="5"/>
  <c r="L3473" i="5" s="1"/>
  <c r="L3474" i="5" s="1"/>
  <c r="H3451" i="5"/>
  <c r="H3452" i="5" s="1"/>
  <c r="H3453" i="5" s="1"/>
  <c r="J3452" i="5"/>
  <c r="J3453" i="5" s="1"/>
  <c r="H3370" i="5"/>
  <c r="L3424" i="5"/>
  <c r="L3427" i="5" s="1"/>
  <c r="L3428" i="5" s="1"/>
  <c r="J3427" i="5"/>
  <c r="J3428" i="5" s="1"/>
  <c r="H2973" i="5"/>
  <c r="H3237" i="5"/>
  <c r="H3105" i="5"/>
  <c r="J3405" i="5"/>
  <c r="H3291" i="5"/>
  <c r="H3405" i="5"/>
  <c r="H3211" i="5"/>
  <c r="J3276" i="5"/>
  <c r="J3277" i="5" s="1"/>
  <c r="J3278" i="5" s="1"/>
  <c r="J3381" i="5"/>
  <c r="J3354" i="5"/>
  <c r="J3355" i="5" s="1"/>
  <c r="L3351" i="5"/>
  <c r="L3354" i="5" s="1"/>
  <c r="L3355" i="5" s="1"/>
  <c r="L3278" i="5"/>
  <c r="J3064" i="5"/>
  <c r="J3065" i="5" s="1"/>
  <c r="J3066" i="5" s="1"/>
  <c r="H3159" i="5"/>
  <c r="H3317" i="5"/>
  <c r="H3079" i="5"/>
  <c r="H3264" i="5"/>
  <c r="H3185" i="5"/>
  <c r="J3248" i="5"/>
  <c r="J3249" i="5" s="1"/>
  <c r="L3245" i="5"/>
  <c r="L3248" i="5" s="1"/>
  <c r="L3249" i="5" s="1"/>
  <c r="J3222" i="5"/>
  <c r="J3223" i="5" s="1"/>
  <c r="J3224" i="5" s="1"/>
  <c r="J3327" i="5"/>
  <c r="J3328" i="5" s="1"/>
  <c r="L3324" i="5"/>
  <c r="L3327" i="5" s="1"/>
  <c r="L3328" i="5" s="1"/>
  <c r="J3301" i="5"/>
  <c r="J3302" i="5" s="1"/>
  <c r="L3298" i="5"/>
  <c r="L3301" i="5" s="1"/>
  <c r="L3302" i="5" s="1"/>
  <c r="L3223" i="5"/>
  <c r="L3224" i="5" s="1"/>
  <c r="L3197" i="5"/>
  <c r="L3198" i="5" s="1"/>
  <c r="H3053" i="5"/>
  <c r="J3169" i="5"/>
  <c r="J3170" i="5" s="1"/>
  <c r="L3166" i="5"/>
  <c r="L3169" i="5" s="1"/>
  <c r="L3170" i="5" s="1"/>
  <c r="L3113" i="5"/>
  <c r="L3116" i="5" s="1"/>
  <c r="L3117" i="5" s="1"/>
  <c r="J3116" i="5"/>
  <c r="J3117" i="5" s="1"/>
  <c r="J3143" i="5"/>
  <c r="J3144" i="5" s="1"/>
  <c r="L3140" i="5"/>
  <c r="L3143" i="5" s="1"/>
  <c r="L3144" i="5" s="1"/>
  <c r="H2867" i="5"/>
  <c r="J3196" i="5"/>
  <c r="H2947" i="5"/>
  <c r="J3037" i="5"/>
  <c r="J3038" i="5" s="1"/>
  <c r="L3034" i="5"/>
  <c r="L3037" i="5" s="1"/>
  <c r="L3038" i="5" s="1"/>
  <c r="J3089" i="5"/>
  <c r="J3090" i="5" s="1"/>
  <c r="L3086" i="5"/>
  <c r="L3089" i="5" s="1"/>
  <c r="L3090" i="5" s="1"/>
  <c r="L3012" i="5"/>
  <c r="L3013" i="5" s="1"/>
  <c r="L3014" i="5" s="1"/>
  <c r="H3000" i="5"/>
  <c r="L3065" i="5"/>
  <c r="L3066" i="5" s="1"/>
  <c r="J3013" i="5"/>
  <c r="J3014" i="5" s="1"/>
  <c r="J2984" i="5"/>
  <c r="J2985" i="5" s="1"/>
  <c r="L2981" i="5"/>
  <c r="L2984" i="5" s="1"/>
  <c r="L2985" i="5" s="1"/>
  <c r="L2959" i="5"/>
  <c r="L2960" i="5" s="1"/>
  <c r="J2959" i="5"/>
  <c r="J2960" i="5" s="1"/>
  <c r="H2894" i="5"/>
  <c r="H2921" i="5"/>
  <c r="J2931" i="5"/>
  <c r="J2932" i="5" s="1"/>
  <c r="L2928" i="5"/>
  <c r="L2931" i="5" s="1"/>
  <c r="L2932" i="5" s="1"/>
  <c r="J2905" i="5"/>
  <c r="J2906" i="5" s="1"/>
  <c r="L2902" i="5"/>
  <c r="L2905" i="5" s="1"/>
  <c r="L2906" i="5" s="1"/>
  <c r="J2878" i="5"/>
  <c r="J2879" i="5" s="1"/>
  <c r="L2875" i="5"/>
  <c r="L2878" i="5" s="1"/>
  <c r="L2879" i="5" s="1"/>
  <c r="H2814" i="5"/>
  <c r="H2825" i="5" s="1"/>
  <c r="H2826" i="5" s="1"/>
  <c r="H2827" i="5" s="1"/>
  <c r="H2840" i="5"/>
  <c r="J2821" i="5"/>
  <c r="L2821" i="5" s="1"/>
  <c r="L2824" i="5" s="1"/>
  <c r="L2825" i="5" s="1"/>
  <c r="J2746" i="5"/>
  <c r="J2747" i="5" s="1"/>
  <c r="J2748" i="5" s="1"/>
  <c r="J2848" i="5"/>
  <c r="J2851" i="5" s="1"/>
  <c r="J2852" i="5" s="1"/>
  <c r="H2788" i="5"/>
  <c r="H2799" i="5" s="1"/>
  <c r="H2800" i="5" s="1"/>
  <c r="H2801" i="5" s="1"/>
  <c r="J2798" i="5"/>
  <c r="J2799" i="5" s="1"/>
  <c r="L2795" i="5"/>
  <c r="L2798" i="5" s="1"/>
  <c r="L2799" i="5" s="1"/>
  <c r="H2760" i="5"/>
  <c r="H2734" i="5"/>
  <c r="H2708" i="5"/>
  <c r="J2773" i="5"/>
  <c r="J2774" i="5" s="1"/>
  <c r="L2770" i="5"/>
  <c r="L2773" i="5" s="1"/>
  <c r="L2774" i="5" s="1"/>
  <c r="H2682" i="5"/>
  <c r="L2747" i="5"/>
  <c r="L2748" i="5" s="1"/>
  <c r="J2719" i="5"/>
  <c r="J2720" i="5" s="1"/>
  <c r="L2716" i="5"/>
  <c r="L2719" i="5" s="1"/>
  <c r="L2720" i="5" s="1"/>
  <c r="J2693" i="5"/>
  <c r="J2694" i="5" s="1"/>
  <c r="L2690" i="5"/>
  <c r="L2693" i="5" s="1"/>
  <c r="L2694" i="5" s="1"/>
  <c r="L2668" i="5"/>
  <c r="L2669" i="5" s="1"/>
  <c r="L2670" i="5" s="1"/>
  <c r="H2656" i="5"/>
  <c r="J2668" i="5"/>
  <c r="J2669" i="5" s="1"/>
  <c r="J2670" i="5" s="1"/>
  <c r="J2576" i="5"/>
  <c r="J2641" i="5"/>
  <c r="J2642" i="5" s="1"/>
  <c r="L2638" i="5"/>
  <c r="L2641" i="5" s="1"/>
  <c r="L2642" i="5" s="1"/>
  <c r="J2612" i="5"/>
  <c r="H2615" i="5"/>
  <c r="L2602" i="5"/>
  <c r="H2602" i="5"/>
  <c r="G2523" i="5"/>
  <c r="H2523" i="5" s="1"/>
  <c r="H2527" i="5" s="1"/>
  <c r="H2587" i="5"/>
  <c r="J2584" i="5"/>
  <c r="H2582" i="5"/>
  <c r="L2573" i="5"/>
  <c r="L2576" i="5" s="1"/>
  <c r="H2573" i="5"/>
  <c r="H2576" i="5" s="1"/>
  <c r="J2521" i="5"/>
  <c r="H2456" i="5"/>
  <c r="L2446" i="5"/>
  <c r="H2554" i="5"/>
  <c r="L2496" i="5"/>
  <c r="L2548" i="5"/>
  <c r="L2471" i="5"/>
  <c r="J2556" i="5"/>
  <c r="H2559" i="5"/>
  <c r="H2545" i="5"/>
  <c r="H2548" i="5" s="1"/>
  <c r="H2506" i="5"/>
  <c r="J2545" i="5"/>
  <c r="J2548" i="5" s="1"/>
  <c r="H2502" i="5"/>
  <c r="J2529" i="5"/>
  <c r="H2531" i="5"/>
  <c r="L2395" i="5"/>
  <c r="H2518" i="5"/>
  <c r="H2521" i="5" s="1"/>
  <c r="H2405" i="5"/>
  <c r="L2518" i="5"/>
  <c r="L2521" i="5" s="1"/>
  <c r="H2493" i="5"/>
  <c r="H2496" i="5" s="1"/>
  <c r="J2493" i="5"/>
  <c r="J2496" i="5" s="1"/>
  <c r="J2504" i="5"/>
  <c r="H2468" i="5"/>
  <c r="H2471" i="5" s="1"/>
  <c r="G2473" i="5"/>
  <c r="H2473" i="5" s="1"/>
  <c r="H2477" i="5" s="1"/>
  <c r="J2468" i="5"/>
  <c r="J2471" i="5" s="1"/>
  <c r="J2481" i="5"/>
  <c r="L2479" i="5"/>
  <c r="L2481" i="5" s="1"/>
  <c r="H2481" i="5"/>
  <c r="H2452" i="5"/>
  <c r="H2262" i="5"/>
  <c r="H2265" i="5" s="1"/>
  <c r="H2443" i="5"/>
  <c r="H2446" i="5" s="1"/>
  <c r="J2443" i="5"/>
  <c r="J2446" i="5" s="1"/>
  <c r="H2417" i="5"/>
  <c r="H2300" i="5"/>
  <c r="J2421" i="5"/>
  <c r="H2221" i="5"/>
  <c r="J2454" i="5"/>
  <c r="H2427" i="5"/>
  <c r="J2431" i="5"/>
  <c r="L2429" i="5"/>
  <c r="L2431" i="5" s="1"/>
  <c r="H2431" i="5"/>
  <c r="L2418" i="5"/>
  <c r="L2421" i="5" s="1"/>
  <c r="H2418" i="5"/>
  <c r="H2391" i="5"/>
  <c r="H2401" i="5"/>
  <c r="H2373" i="5"/>
  <c r="H2189" i="5"/>
  <c r="J2403" i="5"/>
  <c r="L2315" i="5"/>
  <c r="H2392" i="5"/>
  <c r="H2364" i="5"/>
  <c r="H2367" i="5" s="1"/>
  <c r="J2392" i="5"/>
  <c r="J2395" i="5" s="1"/>
  <c r="L2340" i="5"/>
  <c r="L2240" i="5"/>
  <c r="H2350" i="5"/>
  <c r="H2176" i="5"/>
  <c r="J2364" i="5"/>
  <c r="J2367" i="5" s="1"/>
  <c r="L2364" i="5"/>
  <c r="L2367" i="5" s="1"/>
  <c r="H2225" i="5"/>
  <c r="L2375" i="5"/>
  <c r="L2377" i="5" s="1"/>
  <c r="J2377" i="5"/>
  <c r="H2377" i="5"/>
  <c r="H2346" i="5"/>
  <c r="H2337" i="5"/>
  <c r="H2340" i="5" s="1"/>
  <c r="J2337" i="5"/>
  <c r="J2340" i="5" s="1"/>
  <c r="J2290" i="5"/>
  <c r="H2321" i="5"/>
  <c r="H2246" i="5"/>
  <c r="J2312" i="5"/>
  <c r="J2315" i="5" s="1"/>
  <c r="J2348" i="5"/>
  <c r="H2296" i="5"/>
  <c r="H2312" i="5"/>
  <c r="H2315" i="5" s="1"/>
  <c r="L1866" i="5"/>
  <c r="L2323" i="5"/>
  <c r="L2325" i="5" s="1"/>
  <c r="J2325" i="5"/>
  <c r="L2287" i="5"/>
  <c r="L2290" i="5" s="1"/>
  <c r="H2325" i="5"/>
  <c r="J2262" i="5"/>
  <c r="J2265" i="5" s="1"/>
  <c r="J2298" i="5"/>
  <c r="L2262" i="5"/>
  <c r="L2265" i="5" s="1"/>
  <c r="H2271" i="5"/>
  <c r="H2287" i="5"/>
  <c r="H2290" i="5" s="1"/>
  <c r="J2275" i="5"/>
  <c r="L2273" i="5"/>
  <c r="L2275" i="5" s="1"/>
  <c r="L1740" i="5"/>
  <c r="H2275" i="5"/>
  <c r="J2188" i="5"/>
  <c r="L1715" i="5"/>
  <c r="H2039" i="5"/>
  <c r="H2114" i="5"/>
  <c r="J2237" i="5"/>
  <c r="J2240" i="5" s="1"/>
  <c r="H2237" i="5"/>
  <c r="H2240" i="5" s="1"/>
  <c r="J2248" i="5"/>
  <c r="H2250" i="5"/>
  <c r="H1838" i="5"/>
  <c r="H1841" i="5" s="1"/>
  <c r="H2064" i="5"/>
  <c r="J2214" i="5"/>
  <c r="H2072" i="5"/>
  <c r="L2216" i="5"/>
  <c r="H2214" i="5"/>
  <c r="H2101" i="5"/>
  <c r="H2213" i="5"/>
  <c r="J2223" i="5"/>
  <c r="J2213" i="5"/>
  <c r="H2089" i="5"/>
  <c r="H2151" i="5"/>
  <c r="H2188" i="5"/>
  <c r="L2191" i="5"/>
  <c r="H2197" i="5"/>
  <c r="H2097" i="5"/>
  <c r="L2141" i="5"/>
  <c r="H2172" i="5"/>
  <c r="J2189" i="5"/>
  <c r="H2147" i="5"/>
  <c r="L2166" i="5"/>
  <c r="L2199" i="5"/>
  <c r="L2201" i="5" s="1"/>
  <c r="J2201" i="5"/>
  <c r="H2138" i="5"/>
  <c r="J2138" i="5"/>
  <c r="H2163" i="5"/>
  <c r="H2126" i="5"/>
  <c r="J2163" i="5"/>
  <c r="L2149" i="5"/>
  <c r="L2151" i="5" s="1"/>
  <c r="H2201" i="5"/>
  <c r="J2174" i="5"/>
  <c r="L2114" i="5"/>
  <c r="L2116" i="5" s="1"/>
  <c r="H2139" i="5"/>
  <c r="J2139" i="5"/>
  <c r="J2114" i="5"/>
  <c r="H2164" i="5"/>
  <c r="H2122" i="5"/>
  <c r="J2164" i="5"/>
  <c r="J2124" i="5"/>
  <c r="J2113" i="5"/>
  <c r="J2089" i="5"/>
  <c r="J2091" i="5" s="1"/>
  <c r="H2047" i="5"/>
  <c r="H2113" i="5"/>
  <c r="H2076" i="5"/>
  <c r="L2089" i="5"/>
  <c r="J2099" i="5"/>
  <c r="L2088" i="5"/>
  <c r="J2064" i="5"/>
  <c r="H2088" i="5"/>
  <c r="L2064" i="5"/>
  <c r="L2066" i="5" s="1"/>
  <c r="J2063" i="5"/>
  <c r="H1997" i="5"/>
  <c r="H1712" i="5"/>
  <c r="H1715" i="5" s="1"/>
  <c r="H2063" i="5"/>
  <c r="J2074" i="5"/>
  <c r="J2039" i="5"/>
  <c r="L2039" i="5"/>
  <c r="L2041" i="5" s="1"/>
  <c r="J2051" i="5"/>
  <c r="L2049" i="5"/>
  <c r="L2051" i="5" s="1"/>
  <c r="H2051" i="5"/>
  <c r="L1941" i="5"/>
  <c r="J2013" i="5"/>
  <c r="H2038" i="5"/>
  <c r="H2014" i="5"/>
  <c r="J2038" i="5"/>
  <c r="H2022" i="5"/>
  <c r="L1991" i="5"/>
  <c r="J2014" i="5"/>
  <c r="H2013" i="5"/>
  <c r="L2016" i="5"/>
  <c r="H2026" i="5"/>
  <c r="J2024" i="5"/>
  <c r="J1712" i="5"/>
  <c r="J1715" i="5" s="1"/>
  <c r="H1740" i="5"/>
  <c r="H2001" i="5"/>
  <c r="J1999" i="5"/>
  <c r="L1891" i="5"/>
  <c r="H1988" i="5"/>
  <c r="H1991" i="5" s="1"/>
  <c r="J1740" i="5"/>
  <c r="J1988" i="5"/>
  <c r="J1991" i="5" s="1"/>
  <c r="L1916" i="5"/>
  <c r="H1746" i="5"/>
  <c r="J1725" i="5"/>
  <c r="L1723" i="5"/>
  <c r="L1725" i="5" s="1"/>
  <c r="H1721" i="5"/>
  <c r="H1750" i="5"/>
  <c r="J1748" i="5"/>
  <c r="L1966" i="5"/>
  <c r="H1725" i="5"/>
  <c r="H1888" i="5"/>
  <c r="H1891" i="5" s="1"/>
  <c r="H1972" i="5"/>
  <c r="J1888" i="5"/>
  <c r="J1891" i="5" s="1"/>
  <c r="H1947" i="5"/>
  <c r="H1951" i="5"/>
  <c r="J1949" i="5"/>
  <c r="H1976" i="5"/>
  <c r="J1974" i="5"/>
  <c r="H1938" i="5"/>
  <c r="H1941" i="5" s="1"/>
  <c r="J1938" i="5"/>
  <c r="J1941" i="5" s="1"/>
  <c r="H1963" i="5"/>
  <c r="H1966" i="5" s="1"/>
  <c r="H1922" i="5"/>
  <c r="J1963" i="5"/>
  <c r="J1966" i="5" s="1"/>
  <c r="H1897" i="5"/>
  <c r="J1899" i="5"/>
  <c r="H1901" i="5"/>
  <c r="H1926" i="5"/>
  <c r="J1924" i="5"/>
  <c r="H1615" i="5"/>
  <c r="H1913" i="5"/>
  <c r="H1916" i="5" s="1"/>
  <c r="J1913" i="5"/>
  <c r="J1916" i="5" s="1"/>
  <c r="L1816" i="5"/>
  <c r="H1872" i="5"/>
  <c r="H1847" i="5"/>
  <c r="L1615" i="5"/>
  <c r="H1851" i="5"/>
  <c r="J1849" i="5"/>
  <c r="J1874" i="5"/>
  <c r="H1876" i="5"/>
  <c r="J1838" i="5"/>
  <c r="J1841" i="5" s="1"/>
  <c r="L1838" i="5"/>
  <c r="L1841" i="5" s="1"/>
  <c r="H1863" i="5"/>
  <c r="H1866" i="5" s="1"/>
  <c r="J1615" i="5"/>
  <c r="J1863" i="5"/>
  <c r="J1866" i="5" s="1"/>
  <c r="H1822" i="5"/>
  <c r="J1813" i="5"/>
  <c r="J1816" i="5" s="1"/>
  <c r="H1813" i="5"/>
  <c r="H1816" i="5" s="1"/>
  <c r="H1826" i="5"/>
  <c r="J1824" i="5"/>
  <c r="L1640" i="5"/>
  <c r="L1791" i="5"/>
  <c r="J1799" i="5"/>
  <c r="H1801" i="5"/>
  <c r="H1797" i="5"/>
  <c r="J1788" i="5"/>
  <c r="J1791" i="5" s="1"/>
  <c r="L1590" i="5"/>
  <c r="L1690" i="5"/>
  <c r="H1788" i="5"/>
  <c r="H1791" i="5" s="1"/>
  <c r="L1665" i="5"/>
  <c r="H1646" i="5"/>
  <c r="H1665" i="5"/>
  <c r="H1640" i="5"/>
  <c r="L1765" i="5"/>
  <c r="H1776" i="5"/>
  <c r="J1773" i="5"/>
  <c r="H1771" i="5"/>
  <c r="J1665" i="5"/>
  <c r="H1762" i="5"/>
  <c r="H1765" i="5" s="1"/>
  <c r="H1587" i="5"/>
  <c r="H1590" i="5" s="1"/>
  <c r="J1762" i="5"/>
  <c r="J1765" i="5" s="1"/>
  <c r="J1587" i="5"/>
  <c r="J1590" i="5" s="1"/>
  <c r="J1640" i="5"/>
  <c r="H1650" i="5"/>
  <c r="J1565" i="5"/>
  <c r="L1565" i="5"/>
  <c r="H1671" i="5"/>
  <c r="H1625" i="5"/>
  <c r="H1621" i="5"/>
  <c r="H1700" i="5"/>
  <c r="J1698" i="5"/>
  <c r="L1623" i="5"/>
  <c r="L1625" i="5" s="1"/>
  <c r="J1625" i="5"/>
  <c r="L1648" i="5"/>
  <c r="L1650" i="5" s="1"/>
  <c r="J1650" i="5"/>
  <c r="H1675" i="5"/>
  <c r="J1673" i="5"/>
  <c r="H1696" i="5"/>
  <c r="H1596" i="5"/>
  <c r="J1540" i="5"/>
  <c r="H1687" i="5"/>
  <c r="H1690" i="5" s="1"/>
  <c r="L1540" i="5"/>
  <c r="J1687" i="5"/>
  <c r="J1690" i="5" s="1"/>
  <c r="H1497" i="5"/>
  <c r="H1571" i="5"/>
  <c r="H1565" i="5"/>
  <c r="L1598" i="5"/>
  <c r="L1600" i="5" s="1"/>
  <c r="J1600" i="5"/>
  <c r="L1573" i="5"/>
  <c r="L1575" i="5" s="1"/>
  <c r="J1575" i="5"/>
  <c r="H1575" i="5"/>
  <c r="H1600" i="5"/>
  <c r="H1540" i="5"/>
  <c r="J1550" i="5"/>
  <c r="L1548" i="5"/>
  <c r="L1550" i="5" s="1"/>
  <c r="H1546" i="5"/>
  <c r="L1515" i="5"/>
  <c r="H1550" i="5"/>
  <c r="J1385" i="5"/>
  <c r="L1385" i="5"/>
  <c r="L1435" i="5"/>
  <c r="H1521" i="5"/>
  <c r="H1525" i="5"/>
  <c r="J1523" i="5"/>
  <c r="H1512" i="5"/>
  <c r="H1515" i="5" s="1"/>
  <c r="J1512" i="5"/>
  <c r="J1515" i="5" s="1"/>
  <c r="L1488" i="5"/>
  <c r="J1494" i="5"/>
  <c r="J1496" i="5"/>
  <c r="H1494" i="5"/>
  <c r="J1485" i="5"/>
  <c r="J1488" i="5" s="1"/>
  <c r="J1464" i="5"/>
  <c r="L1464" i="5"/>
  <c r="H1464" i="5"/>
  <c r="H1465" i="5"/>
  <c r="J1466" i="5"/>
  <c r="H1466" i="5"/>
  <c r="L1466" i="5"/>
  <c r="J1465" i="5"/>
  <c r="L1465" i="5"/>
  <c r="H1440" i="5"/>
  <c r="J1440" i="5"/>
  <c r="J1457" i="5"/>
  <c r="J1460" i="5" s="1"/>
  <c r="L1460" i="5"/>
  <c r="H1415" i="5"/>
  <c r="J1415" i="5"/>
  <c r="J1471" i="5"/>
  <c r="H1474" i="5"/>
  <c r="J1435" i="5"/>
  <c r="L1410" i="5"/>
  <c r="L1440" i="5"/>
  <c r="H1445" i="5"/>
  <c r="J1442" i="5"/>
  <c r="J1410" i="5"/>
  <c r="L1415" i="5"/>
  <c r="J1417" i="5"/>
  <c r="H1420" i="5"/>
  <c r="J1390" i="5"/>
  <c r="L1390" i="5"/>
  <c r="H1390" i="5"/>
  <c r="J3582" i="5" l="1"/>
  <c r="J3583" i="5" s="1"/>
  <c r="L3582" i="5"/>
  <c r="L3583" i="5" s="1"/>
  <c r="L3555" i="5"/>
  <c r="L3556" i="5" s="1"/>
  <c r="J3555" i="5"/>
  <c r="J3556" i="5" s="1"/>
  <c r="L3500" i="5"/>
  <c r="L3501" i="5" s="1"/>
  <c r="J3500" i="5"/>
  <c r="J3501" i="5" s="1"/>
  <c r="J3475" i="5"/>
  <c r="J3476" i="5" s="1"/>
  <c r="L3475" i="5"/>
  <c r="L3476" i="5" s="1"/>
  <c r="L3429" i="5"/>
  <c r="L3430" i="5" s="1"/>
  <c r="J3429" i="5"/>
  <c r="J3430" i="5" s="1"/>
  <c r="H3406" i="5"/>
  <c r="H3407" i="5" s="1"/>
  <c r="J3406" i="5"/>
  <c r="J3407" i="5" s="1"/>
  <c r="J3382" i="5"/>
  <c r="J3383" i="5" s="1"/>
  <c r="L3356" i="5"/>
  <c r="L3357" i="5" s="1"/>
  <c r="J3356" i="5"/>
  <c r="J3357" i="5" s="1"/>
  <c r="L3250" i="5"/>
  <c r="L3251" i="5" s="1"/>
  <c r="J3303" i="5"/>
  <c r="J3304" i="5" s="1"/>
  <c r="L3329" i="5"/>
  <c r="L3330" i="5" s="1"/>
  <c r="J3250" i="5"/>
  <c r="J3251" i="5" s="1"/>
  <c r="L3303" i="5"/>
  <c r="L3304" i="5" s="1"/>
  <c r="J3329" i="5"/>
  <c r="J3330" i="5" s="1"/>
  <c r="J3145" i="5"/>
  <c r="J3146" i="5" s="1"/>
  <c r="L3171" i="5"/>
  <c r="L3172" i="5" s="1"/>
  <c r="J3171" i="5"/>
  <c r="J3172" i="5" s="1"/>
  <c r="L3145" i="5"/>
  <c r="L3146" i="5" s="1"/>
  <c r="L3118" i="5"/>
  <c r="L3119" i="5" s="1"/>
  <c r="J3197" i="5"/>
  <c r="J3198" i="5" s="1"/>
  <c r="J3118" i="5"/>
  <c r="J3119" i="5" s="1"/>
  <c r="J3091" i="5"/>
  <c r="J3092" i="5" s="1"/>
  <c r="J3039" i="5"/>
  <c r="J3040" i="5" s="1"/>
  <c r="L3039" i="5"/>
  <c r="L3040" i="5" s="1"/>
  <c r="L3091" i="5"/>
  <c r="L3092" i="5" s="1"/>
  <c r="J2986" i="5"/>
  <c r="J2987" i="5" s="1"/>
  <c r="L2986" i="5"/>
  <c r="L2987" i="5" s="1"/>
  <c r="J2933" i="5"/>
  <c r="J2934" i="5" s="1"/>
  <c r="L2933" i="5"/>
  <c r="L2934" i="5" s="1"/>
  <c r="J2907" i="5"/>
  <c r="J2908" i="5" s="1"/>
  <c r="L2907" i="5"/>
  <c r="L2908" i="5" s="1"/>
  <c r="J2880" i="5"/>
  <c r="J2881" i="5" s="1"/>
  <c r="L2880" i="5"/>
  <c r="L2881" i="5" s="1"/>
  <c r="J2824" i="5"/>
  <c r="J2825" i="5" s="1"/>
  <c r="J2826" i="5" s="1"/>
  <c r="J2827" i="5" s="1"/>
  <c r="L2848" i="5"/>
  <c r="L2851" i="5" s="1"/>
  <c r="L2852" i="5" s="1"/>
  <c r="J2853" i="5"/>
  <c r="J2854" i="5" s="1"/>
  <c r="L2826" i="5"/>
  <c r="L2827" i="5" s="1"/>
  <c r="L2800" i="5"/>
  <c r="L2801" i="5" s="1"/>
  <c r="J2800" i="5"/>
  <c r="J2801" i="5" s="1"/>
  <c r="L2775" i="5"/>
  <c r="L2776" i="5" s="1"/>
  <c r="J2775" i="5"/>
  <c r="J2776" i="5" s="1"/>
  <c r="L2721" i="5"/>
  <c r="L2722" i="5" s="1"/>
  <c r="J2721" i="5"/>
  <c r="J2722" i="5" s="1"/>
  <c r="J2695" i="5"/>
  <c r="J2696" i="5" s="1"/>
  <c r="L2432" i="5"/>
  <c r="L2433" i="5" s="1"/>
  <c r="L2434" i="5" s="1"/>
  <c r="L2695" i="5"/>
  <c r="L2696" i="5" s="1"/>
  <c r="L2643" i="5"/>
  <c r="L2644" i="5" s="1"/>
  <c r="J2643" i="5"/>
  <c r="J2644" i="5" s="1"/>
  <c r="L2482" i="5"/>
  <c r="L2483" i="5" s="1"/>
  <c r="L2484" i="5" s="1"/>
  <c r="L2612" i="5"/>
  <c r="L2615" i="5" s="1"/>
  <c r="L2616" i="5" s="1"/>
  <c r="J2615" i="5"/>
  <c r="J2616" i="5" s="1"/>
  <c r="H2588" i="5"/>
  <c r="H2589" i="5" s="1"/>
  <c r="H2590" i="5" s="1"/>
  <c r="J2587" i="5"/>
  <c r="J2588" i="5" s="1"/>
  <c r="L2584" i="5"/>
  <c r="L2587" i="5" s="1"/>
  <c r="L2588" i="5" s="1"/>
  <c r="H2560" i="5"/>
  <c r="H2561" i="5" s="1"/>
  <c r="H2562" i="5" s="1"/>
  <c r="J2482" i="5"/>
  <c r="J2483" i="5" s="1"/>
  <c r="J2484" i="5" s="1"/>
  <c r="H2507" i="5"/>
  <c r="H2508" i="5" s="1"/>
  <c r="H2509" i="5" s="1"/>
  <c r="L2556" i="5"/>
  <c r="L2559" i="5" s="1"/>
  <c r="L2560" i="5" s="1"/>
  <c r="J2559" i="5"/>
  <c r="J2560" i="5" s="1"/>
  <c r="H2532" i="5"/>
  <c r="H2533" i="5" s="1"/>
  <c r="H2534" i="5" s="1"/>
  <c r="J2531" i="5"/>
  <c r="J2532" i="5" s="1"/>
  <c r="L2529" i="5"/>
  <c r="L2531" i="5" s="1"/>
  <c r="L2532" i="5" s="1"/>
  <c r="L2378" i="5"/>
  <c r="L2379" i="5" s="1"/>
  <c r="L2380" i="5" s="1"/>
  <c r="J2506" i="5"/>
  <c r="J2507" i="5" s="1"/>
  <c r="L2504" i="5"/>
  <c r="L2506" i="5" s="1"/>
  <c r="L2507" i="5" s="1"/>
  <c r="H2482" i="5"/>
  <c r="H2483" i="5" s="1"/>
  <c r="H2484" i="5" s="1"/>
  <c r="H2457" i="5"/>
  <c r="H2458" i="5" s="1"/>
  <c r="H2459" i="5" s="1"/>
  <c r="H2421" i="5"/>
  <c r="H2432" i="5" s="1"/>
  <c r="H2433" i="5" s="1"/>
  <c r="J2432" i="5"/>
  <c r="J2433" i="5" s="1"/>
  <c r="J2456" i="5"/>
  <c r="J2457" i="5" s="1"/>
  <c r="L2454" i="5"/>
  <c r="L2456" i="5" s="1"/>
  <c r="L2457" i="5" s="1"/>
  <c r="H2395" i="5"/>
  <c r="H2406" i="5" s="1"/>
  <c r="H2407" i="5" s="1"/>
  <c r="H2408" i="5" s="1"/>
  <c r="H2191" i="5"/>
  <c r="H2202" i="5" s="1"/>
  <c r="L2326" i="5"/>
  <c r="L2327" i="5" s="1"/>
  <c r="L2328" i="5" s="1"/>
  <c r="J2405" i="5"/>
  <c r="J2406" i="5" s="1"/>
  <c r="L2403" i="5"/>
  <c r="L2405" i="5" s="1"/>
  <c r="L2406" i="5" s="1"/>
  <c r="J2378" i="5"/>
  <c r="J2379" i="5" s="1"/>
  <c r="J2380" i="5" s="1"/>
  <c r="J2326" i="5"/>
  <c r="J2327" i="5" s="1"/>
  <c r="J2328" i="5" s="1"/>
  <c r="J2191" i="5"/>
  <c r="J2202" i="5" s="1"/>
  <c r="J2203" i="5" s="1"/>
  <c r="J2204" i="5" s="1"/>
  <c r="L1601" i="5"/>
  <c r="L1602" i="5" s="1"/>
  <c r="L1603" i="5" s="1"/>
  <c r="H2378" i="5"/>
  <c r="H2379" i="5" s="1"/>
  <c r="H2380" i="5" s="1"/>
  <c r="H2351" i="5"/>
  <c r="H2352" i="5" s="1"/>
  <c r="H2353" i="5" s="1"/>
  <c r="L1726" i="5"/>
  <c r="L1727" i="5" s="1"/>
  <c r="L1728" i="5" s="1"/>
  <c r="H2276" i="5"/>
  <c r="H2277" i="5" s="1"/>
  <c r="H2278" i="5" s="1"/>
  <c r="H2041" i="5"/>
  <c r="H2052" i="5" s="1"/>
  <c r="H2116" i="5"/>
  <c r="H2127" i="5" s="1"/>
  <c r="H2128" i="5" s="1"/>
  <c r="H2129" i="5" s="1"/>
  <c r="H2326" i="5"/>
  <c r="H2327" i="5" s="1"/>
  <c r="H2251" i="5"/>
  <c r="H2252" i="5" s="1"/>
  <c r="H2253" i="5" s="1"/>
  <c r="H2301" i="5"/>
  <c r="H2302" i="5" s="1"/>
  <c r="H2303" i="5" s="1"/>
  <c r="J2350" i="5"/>
  <c r="J2351" i="5" s="1"/>
  <c r="L2348" i="5"/>
  <c r="L2350" i="5" s="1"/>
  <c r="L2351" i="5" s="1"/>
  <c r="L2276" i="5"/>
  <c r="L2277" i="5" s="1"/>
  <c r="L2278" i="5" s="1"/>
  <c r="J2276" i="5"/>
  <c r="J2277" i="5" s="1"/>
  <c r="J2278" i="5" s="1"/>
  <c r="L2298" i="5"/>
  <c r="L2300" i="5" s="1"/>
  <c r="L2301" i="5" s="1"/>
  <c r="J2300" i="5"/>
  <c r="J2301" i="5" s="1"/>
  <c r="L2202" i="5"/>
  <c r="L2203" i="5" s="1"/>
  <c r="L2204" i="5" s="1"/>
  <c r="J2216" i="5"/>
  <c r="H2216" i="5"/>
  <c r="H2226" i="5" s="1"/>
  <c r="H2227" i="5" s="1"/>
  <c r="H2228" i="5" s="1"/>
  <c r="H2016" i="5"/>
  <c r="H2027" i="5" s="1"/>
  <c r="H2028" i="5" s="1"/>
  <c r="H2029" i="5" s="1"/>
  <c r="J2250" i="5"/>
  <c r="J2251" i="5" s="1"/>
  <c r="L2248" i="5"/>
  <c r="L2250" i="5" s="1"/>
  <c r="L2251" i="5" s="1"/>
  <c r="J2066" i="5"/>
  <c r="H2091" i="5"/>
  <c r="H2102" i="5" s="1"/>
  <c r="H2066" i="5"/>
  <c r="H2077" i="5" s="1"/>
  <c r="H2078" i="5" s="1"/>
  <c r="H2079" i="5" s="1"/>
  <c r="H2166" i="5"/>
  <c r="H2177" i="5" s="1"/>
  <c r="H2178" i="5" s="1"/>
  <c r="H2179" i="5" s="1"/>
  <c r="L2223" i="5"/>
  <c r="L2225" i="5" s="1"/>
  <c r="L2226" i="5" s="1"/>
  <c r="J2225" i="5"/>
  <c r="L2152" i="5"/>
  <c r="L2153" i="5" s="1"/>
  <c r="L2154" i="5" s="1"/>
  <c r="L2091" i="5"/>
  <c r="J2166" i="5"/>
  <c r="H2141" i="5"/>
  <c r="H2152" i="5" s="1"/>
  <c r="H2153" i="5" s="1"/>
  <c r="H2154" i="5" s="1"/>
  <c r="J2141" i="5"/>
  <c r="J2152" i="5" s="1"/>
  <c r="J2153" i="5" s="1"/>
  <c r="J2154" i="5" s="1"/>
  <c r="L2174" i="5"/>
  <c r="L2176" i="5" s="1"/>
  <c r="L2177" i="5" s="1"/>
  <c r="J2176" i="5"/>
  <c r="J2116" i="5"/>
  <c r="J1726" i="5"/>
  <c r="J1727" i="5" s="1"/>
  <c r="J1728" i="5" s="1"/>
  <c r="L2124" i="5"/>
  <c r="L2126" i="5" s="1"/>
  <c r="L2127" i="5" s="1"/>
  <c r="J2126" i="5"/>
  <c r="J2016" i="5"/>
  <c r="J2101" i="5"/>
  <c r="J2102" i="5" s="1"/>
  <c r="L2099" i="5"/>
  <c r="L2101" i="5" s="1"/>
  <c r="J2076" i="5"/>
  <c r="L2074" i="5"/>
  <c r="L2076" i="5" s="1"/>
  <c r="L2077" i="5" s="1"/>
  <c r="J2041" i="5"/>
  <c r="J2052" i="5" s="1"/>
  <c r="H1952" i="5"/>
  <c r="H1953" i="5" s="1"/>
  <c r="H1954" i="5" s="1"/>
  <c r="H2002" i="5"/>
  <c r="H2003" i="5" s="1"/>
  <c r="H2004" i="5" s="1"/>
  <c r="L2052" i="5"/>
  <c r="L2053" i="5" s="1"/>
  <c r="L2054" i="5" s="1"/>
  <c r="H1852" i="5"/>
  <c r="H1853" i="5" s="1"/>
  <c r="H1854" i="5" s="1"/>
  <c r="J2026" i="5"/>
  <c r="L2024" i="5"/>
  <c r="L2026" i="5" s="1"/>
  <c r="L2027" i="5" s="1"/>
  <c r="H1977" i="5"/>
  <c r="H1978" i="5" s="1"/>
  <c r="H1979" i="5" s="1"/>
  <c r="J2001" i="5"/>
  <c r="J2002" i="5" s="1"/>
  <c r="L1999" i="5"/>
  <c r="L2001" i="5" s="1"/>
  <c r="L2002" i="5" s="1"/>
  <c r="H1902" i="5"/>
  <c r="H1903" i="5" s="1"/>
  <c r="H1904" i="5" s="1"/>
  <c r="H1751" i="5"/>
  <c r="H1752" i="5" s="1"/>
  <c r="H1726" i="5"/>
  <c r="J1750" i="5"/>
  <c r="J1751" i="5" s="1"/>
  <c r="L1748" i="5"/>
  <c r="L1750" i="5" s="1"/>
  <c r="L1751" i="5" s="1"/>
  <c r="J1576" i="5"/>
  <c r="J1577" i="5" s="1"/>
  <c r="J1578" i="5" s="1"/>
  <c r="J1976" i="5"/>
  <c r="J1977" i="5" s="1"/>
  <c r="L1974" i="5"/>
  <c r="L1976" i="5" s="1"/>
  <c r="L1977" i="5" s="1"/>
  <c r="J1951" i="5"/>
  <c r="J1952" i="5" s="1"/>
  <c r="L1949" i="5"/>
  <c r="L1951" i="5" s="1"/>
  <c r="L1952" i="5" s="1"/>
  <c r="H1927" i="5"/>
  <c r="H1928" i="5" s="1"/>
  <c r="H1929" i="5" s="1"/>
  <c r="L1626" i="5"/>
  <c r="L1627" i="5" s="1"/>
  <c r="L1628" i="5" s="1"/>
  <c r="J1901" i="5"/>
  <c r="J1902" i="5" s="1"/>
  <c r="L1899" i="5"/>
  <c r="L1901" i="5" s="1"/>
  <c r="L1902" i="5" s="1"/>
  <c r="L1924" i="5"/>
  <c r="L1926" i="5" s="1"/>
  <c r="L1927" i="5" s="1"/>
  <c r="J1926" i="5"/>
  <c r="J1927" i="5" s="1"/>
  <c r="H1877" i="5"/>
  <c r="H1878" i="5" s="1"/>
  <c r="H1879" i="5" s="1"/>
  <c r="L1849" i="5"/>
  <c r="L1851" i="5" s="1"/>
  <c r="L1852" i="5" s="1"/>
  <c r="J1851" i="5"/>
  <c r="J1852" i="5" s="1"/>
  <c r="H1827" i="5"/>
  <c r="H1828" i="5" s="1"/>
  <c r="H1829" i="5" s="1"/>
  <c r="H1676" i="5"/>
  <c r="H1677" i="5" s="1"/>
  <c r="H1678" i="5" s="1"/>
  <c r="L1651" i="5"/>
  <c r="L1652" i="5" s="1"/>
  <c r="L1653" i="5" s="1"/>
  <c r="J1626" i="5"/>
  <c r="J1627" i="5" s="1"/>
  <c r="J1628" i="5" s="1"/>
  <c r="L1576" i="5"/>
  <c r="L1577" i="5" s="1"/>
  <c r="L1578" i="5" s="1"/>
  <c r="H1626" i="5"/>
  <c r="L1874" i="5"/>
  <c r="L1876" i="5" s="1"/>
  <c r="L1877" i="5" s="1"/>
  <c r="J1876" i="5"/>
  <c r="J1877" i="5" s="1"/>
  <c r="L1551" i="5"/>
  <c r="L1552" i="5" s="1"/>
  <c r="L1553" i="5" s="1"/>
  <c r="J1651" i="5"/>
  <c r="J1652" i="5" s="1"/>
  <c r="J1653" i="5" s="1"/>
  <c r="H1802" i="5"/>
  <c r="H1803" i="5" s="1"/>
  <c r="H1804" i="5" s="1"/>
  <c r="H1651" i="5"/>
  <c r="H1652" i="5" s="1"/>
  <c r="J1826" i="5"/>
  <c r="J1827" i="5" s="1"/>
  <c r="L1824" i="5"/>
  <c r="L1826" i="5" s="1"/>
  <c r="L1827" i="5" s="1"/>
  <c r="J1801" i="5"/>
  <c r="J1802" i="5" s="1"/>
  <c r="L1799" i="5"/>
  <c r="L1801" i="5" s="1"/>
  <c r="L1802" i="5" s="1"/>
  <c r="H1701" i="5"/>
  <c r="H1702" i="5" s="1"/>
  <c r="H1703" i="5" s="1"/>
  <c r="H1777" i="5"/>
  <c r="H1778" i="5" s="1"/>
  <c r="H1779" i="5" s="1"/>
  <c r="G644" i="12" s="1"/>
  <c r="K644" i="12" s="1"/>
  <c r="J1776" i="5"/>
  <c r="J1777" i="5" s="1"/>
  <c r="L1773" i="5"/>
  <c r="L1776" i="5" s="1"/>
  <c r="L1777" i="5" s="1"/>
  <c r="J1601" i="5"/>
  <c r="J1602" i="5" s="1"/>
  <c r="J1603" i="5" s="1"/>
  <c r="J1551" i="5"/>
  <c r="J1552" i="5" s="1"/>
  <c r="J1553" i="5" s="1"/>
  <c r="L1673" i="5"/>
  <c r="L1675" i="5" s="1"/>
  <c r="L1676" i="5" s="1"/>
  <c r="J1675" i="5"/>
  <c r="J1676" i="5" s="1"/>
  <c r="L1698" i="5"/>
  <c r="L1700" i="5" s="1"/>
  <c r="L1701" i="5" s="1"/>
  <c r="J1700" i="5"/>
  <c r="J1701" i="5" s="1"/>
  <c r="H1601" i="5"/>
  <c r="H1602" i="5" s="1"/>
  <c r="H1603" i="5" s="1"/>
  <c r="H1526" i="5"/>
  <c r="H1527" i="5" s="1"/>
  <c r="H1528" i="5" s="1"/>
  <c r="H1576" i="5"/>
  <c r="H1577" i="5" s="1"/>
  <c r="H1551" i="5"/>
  <c r="H1552" i="5" s="1"/>
  <c r="H1553" i="5" s="1"/>
  <c r="L1523" i="5"/>
  <c r="L1525" i="5" s="1"/>
  <c r="L1526" i="5" s="1"/>
  <c r="J1525" i="5"/>
  <c r="J1526" i="5" s="1"/>
  <c r="L1496" i="5"/>
  <c r="L1500" i="5" s="1"/>
  <c r="L1501" i="5" s="1"/>
  <c r="J1500" i="5"/>
  <c r="J1501" i="5" s="1"/>
  <c r="L1467" i="5"/>
  <c r="L1469" i="5" s="1"/>
  <c r="J1467" i="5"/>
  <c r="J1469" i="5" s="1"/>
  <c r="H1467" i="5"/>
  <c r="H1469" i="5" s="1"/>
  <c r="J1474" i="5"/>
  <c r="L1471" i="5"/>
  <c r="L1474" i="5" s="1"/>
  <c r="J1445" i="5"/>
  <c r="J1446" i="5" s="1"/>
  <c r="L1442" i="5"/>
  <c r="L1445" i="5" s="1"/>
  <c r="L1446" i="5" s="1"/>
  <c r="J1420" i="5"/>
  <c r="J1421" i="5" s="1"/>
  <c r="L1417" i="5"/>
  <c r="L1420" i="5" s="1"/>
  <c r="L1421" i="5" s="1"/>
  <c r="D458" i="2" l="1"/>
  <c r="G646" i="12"/>
  <c r="K646" i="12" s="1"/>
  <c r="D464" i="2"/>
  <c r="G652" i="12"/>
  <c r="K652" i="12" s="1"/>
  <c r="D457" i="2"/>
  <c r="G645" i="12"/>
  <c r="K645" i="12" s="1"/>
  <c r="D447" i="2"/>
  <c r="G634" i="12"/>
  <c r="K634" i="12" s="1"/>
  <c r="D460" i="2"/>
  <c r="G648" i="12"/>
  <c r="K648" i="12" s="1"/>
  <c r="D454" i="2"/>
  <c r="G641" i="12"/>
  <c r="K641" i="12" s="1"/>
  <c r="D459" i="2"/>
  <c r="G647" i="12"/>
  <c r="K647" i="12" s="1"/>
  <c r="D463" i="2"/>
  <c r="G651" i="12"/>
  <c r="K651" i="12" s="1"/>
  <c r="D462" i="2"/>
  <c r="G650" i="12"/>
  <c r="K650" i="12" s="1"/>
  <c r="D474" i="2"/>
  <c r="D448" i="2"/>
  <c r="G635" i="12"/>
  <c r="K635" i="12" s="1"/>
  <c r="D450" i="2"/>
  <c r="G637" i="12"/>
  <c r="K637" i="12" s="1"/>
  <c r="D453" i="2"/>
  <c r="G640" i="12"/>
  <c r="K640" i="12" s="1"/>
  <c r="D461" i="2"/>
  <c r="G649" i="12"/>
  <c r="K649" i="12" s="1"/>
  <c r="G2630" i="9" s="1"/>
  <c r="H3627" i="5"/>
  <c r="H3632" i="5" s="1"/>
  <c r="H3633" i="5" s="1"/>
  <c r="H3634" i="5" s="1"/>
  <c r="L2853" i="5"/>
  <c r="L2854" i="5" s="1"/>
  <c r="G2606" i="5"/>
  <c r="H2606" i="5" s="1"/>
  <c r="G2634" i="5"/>
  <c r="H2634" i="5" s="1"/>
  <c r="H2636" i="5" s="1"/>
  <c r="H2642" i="5" s="1"/>
  <c r="L2617" i="5"/>
  <c r="L2618" i="5" s="1"/>
  <c r="J2617" i="5"/>
  <c r="J2618" i="5" s="1"/>
  <c r="L2589" i="5"/>
  <c r="L2590" i="5" s="1"/>
  <c r="J2589" i="5"/>
  <c r="J2590" i="5" s="1"/>
  <c r="J2561" i="5"/>
  <c r="J2562" i="5" s="1"/>
  <c r="L2561" i="5"/>
  <c r="L2562" i="5" s="1"/>
  <c r="L2533" i="5"/>
  <c r="L2534" i="5" s="1"/>
  <c r="J2533" i="5"/>
  <c r="J2534" i="5" s="1"/>
  <c r="J2508" i="5"/>
  <c r="J2509" i="5" s="1"/>
  <c r="L2508" i="5"/>
  <c r="L2509" i="5" s="1"/>
  <c r="J2434" i="5"/>
  <c r="H2434" i="5"/>
  <c r="J2458" i="5"/>
  <c r="J2459" i="5" s="1"/>
  <c r="L2458" i="5"/>
  <c r="L2459" i="5" s="1"/>
  <c r="J2407" i="5"/>
  <c r="J2408" i="5" s="1"/>
  <c r="L2407" i="5"/>
  <c r="L2408" i="5" s="1"/>
  <c r="H2328" i="5"/>
  <c r="L2352" i="5"/>
  <c r="L2353" i="5" s="1"/>
  <c r="J2352" i="5"/>
  <c r="J2353" i="5" s="1"/>
  <c r="L2302" i="5"/>
  <c r="L2303" i="5" s="1"/>
  <c r="L2102" i="5"/>
  <c r="L2103" i="5" s="1"/>
  <c r="L2104" i="5" s="1"/>
  <c r="J2302" i="5"/>
  <c r="J2303" i="5" s="1"/>
  <c r="J2177" i="5"/>
  <c r="J2178" i="5" s="1"/>
  <c r="J2179" i="5" s="1"/>
  <c r="J2226" i="5"/>
  <c r="J2227" i="5" s="1"/>
  <c r="J2228" i="5" s="1"/>
  <c r="L2252" i="5"/>
  <c r="L2253" i="5" s="1"/>
  <c r="J2252" i="5"/>
  <c r="J2253" i="5" s="1"/>
  <c r="H2103" i="5"/>
  <c r="H2104" i="5" s="1"/>
  <c r="J2077" i="5"/>
  <c r="J2078" i="5" s="1"/>
  <c r="J2079" i="5" s="1"/>
  <c r="L2227" i="5"/>
  <c r="L2228" i="5" s="1"/>
  <c r="H2203" i="5"/>
  <c r="H2204" i="5" s="1"/>
  <c r="L2178" i="5"/>
  <c r="L2179" i="5" s="1"/>
  <c r="J2127" i="5"/>
  <c r="J2128" i="5" s="1"/>
  <c r="J2129" i="5" s="1"/>
  <c r="L2128" i="5"/>
  <c r="L2129" i="5" s="1"/>
  <c r="J2103" i="5"/>
  <c r="J2104" i="5" s="1"/>
  <c r="J2027" i="5"/>
  <c r="J2028" i="5" s="1"/>
  <c r="J2029" i="5" s="1"/>
  <c r="L2078" i="5"/>
  <c r="L2079" i="5" s="1"/>
  <c r="J2053" i="5"/>
  <c r="J2054" i="5" s="1"/>
  <c r="H2053" i="5"/>
  <c r="H2054" i="5" s="1"/>
  <c r="L2028" i="5"/>
  <c r="L2029" i="5" s="1"/>
  <c r="J2003" i="5"/>
  <c r="J2004" i="5" s="1"/>
  <c r="L2003" i="5"/>
  <c r="L2004" i="5" s="1"/>
  <c r="H1753" i="5"/>
  <c r="L1752" i="5"/>
  <c r="L1753" i="5" s="1"/>
  <c r="J1752" i="5"/>
  <c r="J1753" i="5" s="1"/>
  <c r="H1727" i="5"/>
  <c r="H1728" i="5" s="1"/>
  <c r="J1953" i="5"/>
  <c r="J1954" i="5" s="1"/>
  <c r="J1978" i="5"/>
  <c r="J1979" i="5" s="1"/>
  <c r="L1953" i="5"/>
  <c r="L1954" i="5" s="1"/>
  <c r="L1978" i="5"/>
  <c r="L1979" i="5" s="1"/>
  <c r="J1928" i="5"/>
  <c r="J1929" i="5" s="1"/>
  <c r="H1653" i="5"/>
  <c r="J1903" i="5"/>
  <c r="J1904" i="5" s="1"/>
  <c r="L1903" i="5"/>
  <c r="L1904" i="5" s="1"/>
  <c r="L1928" i="5"/>
  <c r="L1929" i="5" s="1"/>
  <c r="H1627" i="5"/>
  <c r="H1628" i="5" s="1"/>
  <c r="J1878" i="5"/>
  <c r="J1879" i="5" s="1"/>
  <c r="J1853" i="5"/>
  <c r="J1854" i="5" s="1"/>
  <c r="L1878" i="5"/>
  <c r="L1879" i="5" s="1"/>
  <c r="L1853" i="5"/>
  <c r="L1854" i="5" s="1"/>
  <c r="L1828" i="5"/>
  <c r="L1829" i="5" s="1"/>
  <c r="J1828" i="5"/>
  <c r="J1829" i="5" s="1"/>
  <c r="J1803" i="5"/>
  <c r="J1804" i="5" s="1"/>
  <c r="L1803" i="5"/>
  <c r="L1804" i="5" s="1"/>
  <c r="J1778" i="5"/>
  <c r="J1779" i="5" s="1"/>
  <c r="L1778" i="5"/>
  <c r="L1779" i="5" s="1"/>
  <c r="J1702" i="5"/>
  <c r="J1703" i="5" s="1"/>
  <c r="J1677" i="5"/>
  <c r="J1678" i="5" s="1"/>
  <c r="L1702" i="5"/>
  <c r="L1703" i="5" s="1"/>
  <c r="L1677" i="5"/>
  <c r="L1678" i="5" s="1"/>
  <c r="H1578" i="5"/>
  <c r="J1527" i="5"/>
  <c r="J1528" i="5" s="1"/>
  <c r="L1527" i="5"/>
  <c r="L1528" i="5" s="1"/>
  <c r="J1502" i="5"/>
  <c r="J1503" i="5" s="1"/>
  <c r="L1502" i="5"/>
  <c r="L1503" i="5" s="1"/>
  <c r="J1475" i="5"/>
  <c r="J1476" i="5" s="1"/>
  <c r="J1477" i="5" s="1"/>
  <c r="L1475" i="5"/>
  <c r="L1476" i="5" s="1"/>
  <c r="L1477" i="5" s="1"/>
  <c r="L1447" i="5"/>
  <c r="L1448" i="5" s="1"/>
  <c r="J1447" i="5"/>
  <c r="J1448" i="5" s="1"/>
  <c r="J1422" i="5"/>
  <c r="J1423" i="5" s="1"/>
  <c r="L1422" i="5"/>
  <c r="L1423" i="5" s="1"/>
  <c r="E3601" i="5" l="1"/>
  <c r="E3573" i="5"/>
  <c r="E3546" i="5"/>
  <c r="H2630" i="9"/>
  <c r="H2634" i="9" s="1"/>
  <c r="H2640" i="9" s="1"/>
  <c r="H2641" i="9" s="1"/>
  <c r="H2642" i="9" s="1"/>
  <c r="D112" i="8" s="1"/>
  <c r="G3597" i="9"/>
  <c r="H3597" i="9" s="1"/>
  <c r="H3599" i="9" s="1"/>
  <c r="H3605" i="9" s="1"/>
  <c r="H3606" i="9" s="1"/>
  <c r="H3607" i="9" s="1"/>
  <c r="D149" i="8" s="1"/>
  <c r="G3570" i="9"/>
  <c r="H3570" i="9" s="1"/>
  <c r="H3572" i="9" s="1"/>
  <c r="H3578" i="9" s="1"/>
  <c r="H3579" i="9" s="1"/>
  <c r="H3580" i="9" s="1"/>
  <c r="D148" i="8" s="1"/>
  <c r="G3625" i="9"/>
  <c r="H3625" i="9" s="1"/>
  <c r="H3627" i="9" s="1"/>
  <c r="H3633" i="9" s="1"/>
  <c r="H3634" i="9" s="1"/>
  <c r="G3601" i="5"/>
  <c r="H3601" i="5" s="1"/>
  <c r="H3603" i="5" s="1"/>
  <c r="H3609" i="5" s="1"/>
  <c r="H3610" i="5" s="1"/>
  <c r="H3611" i="5" s="1"/>
  <c r="G3573" i="5"/>
  <c r="H3573" i="5" s="1"/>
  <c r="H3575" i="5" s="1"/>
  <c r="H3581" i="5" s="1"/>
  <c r="H3582" i="5" s="1"/>
  <c r="H3583" i="5" s="1"/>
  <c r="D451" i="2"/>
  <c r="G638" i="12"/>
  <c r="K638" i="12" s="1"/>
  <c r="D456" i="2"/>
  <c r="G643" i="12"/>
  <c r="K643" i="12" s="1"/>
  <c r="D452" i="2"/>
  <c r="G3546" i="5" s="1"/>
  <c r="H3546" i="5" s="1"/>
  <c r="H3548" i="5" s="1"/>
  <c r="H3554" i="5" s="1"/>
  <c r="H3555" i="5" s="1"/>
  <c r="H3556" i="5" s="1"/>
  <c r="G639" i="12"/>
  <c r="K639" i="12" s="1"/>
  <c r="D449" i="2"/>
  <c r="G636" i="12"/>
  <c r="K636" i="12" s="1"/>
  <c r="D455" i="2"/>
  <c r="G642" i="12"/>
  <c r="K642" i="12" s="1"/>
  <c r="H3705" i="5"/>
  <c r="H3708" i="5" s="1"/>
  <c r="H3713" i="5" s="1"/>
  <c r="H3714" i="5"/>
  <c r="H3715" i="5" s="1"/>
  <c r="H2643" i="5"/>
  <c r="H2644" i="5" s="1"/>
  <c r="G3679" i="5" l="1"/>
  <c r="H3679" i="5" s="1"/>
  <c r="E3679" i="5"/>
  <c r="E3651" i="5"/>
  <c r="G3675" i="9"/>
  <c r="H3675" i="9" s="1"/>
  <c r="H3678" i="9" s="1"/>
  <c r="H3683" i="9" s="1"/>
  <c r="H3684" i="9" s="1"/>
  <c r="H3685" i="9" s="1"/>
  <c r="D152" i="8" s="1"/>
  <c r="G3703" i="9"/>
  <c r="H3703" i="9" s="1"/>
  <c r="H3706" i="9" s="1"/>
  <c r="H3711" i="9" s="1"/>
  <c r="H3712" i="9" s="1"/>
  <c r="H3635" i="9"/>
  <c r="D150" i="8" s="1"/>
  <c r="G3651" i="5"/>
  <c r="H3651" i="5" s="1"/>
  <c r="H3654" i="5" s="1"/>
  <c r="H3659" i="5" s="1"/>
  <c r="H3660" i="5" s="1"/>
  <c r="H3661" i="5" s="1"/>
  <c r="F1372" i="5"/>
  <c r="H1369" i="5"/>
  <c r="H1368" i="5"/>
  <c r="G1367" i="5"/>
  <c r="H1367" i="5" s="1"/>
  <c r="J1367" i="5" s="1"/>
  <c r="J1370" i="5" s="1"/>
  <c r="E1367" i="5"/>
  <c r="C1367" i="5"/>
  <c r="L1364" i="5"/>
  <c r="J1364" i="5"/>
  <c r="H1364" i="5"/>
  <c r="L1363" i="5"/>
  <c r="J1363" i="5"/>
  <c r="H1363" i="5"/>
  <c r="L1362" i="5"/>
  <c r="J1362" i="5"/>
  <c r="H1362" i="5"/>
  <c r="L1358" i="5"/>
  <c r="J1358" i="5"/>
  <c r="H1358" i="5"/>
  <c r="L1357" i="5"/>
  <c r="J1357" i="5"/>
  <c r="H1357" i="5"/>
  <c r="H1356" i="5"/>
  <c r="L1355" i="5"/>
  <c r="J1355" i="5"/>
  <c r="H1355" i="5"/>
  <c r="F1347" i="5"/>
  <c r="H1344" i="5"/>
  <c r="E1343" i="5"/>
  <c r="C1343" i="5"/>
  <c r="G1342" i="5"/>
  <c r="H1342" i="5" s="1"/>
  <c r="E1342" i="5"/>
  <c r="C1342" i="5"/>
  <c r="L1339" i="5"/>
  <c r="J1339" i="5"/>
  <c r="H1339" i="5"/>
  <c r="L1338" i="5"/>
  <c r="J1338" i="5"/>
  <c r="H1338" i="5"/>
  <c r="L1337" i="5"/>
  <c r="J1337" i="5"/>
  <c r="H1337" i="5"/>
  <c r="L1333" i="5"/>
  <c r="J1333" i="5"/>
  <c r="H1333" i="5"/>
  <c r="L1332" i="5"/>
  <c r="J1332" i="5"/>
  <c r="H1332" i="5"/>
  <c r="H1331" i="5"/>
  <c r="L1330" i="5"/>
  <c r="J1330" i="5"/>
  <c r="H1330" i="5"/>
  <c r="E1318" i="5"/>
  <c r="C1318" i="5"/>
  <c r="F1322" i="5"/>
  <c r="H1319" i="5"/>
  <c r="G1317" i="5"/>
  <c r="H1317" i="5" s="1"/>
  <c r="E1317" i="5"/>
  <c r="C1317" i="5"/>
  <c r="L1314" i="5"/>
  <c r="J1314" i="5"/>
  <c r="H1314" i="5"/>
  <c r="L1313" i="5"/>
  <c r="J1313" i="5"/>
  <c r="H1313" i="5"/>
  <c r="L1312" i="5"/>
  <c r="J1312" i="5"/>
  <c r="H1312" i="5"/>
  <c r="L1308" i="5"/>
  <c r="J1308" i="5"/>
  <c r="H1308" i="5"/>
  <c r="L1307" i="5"/>
  <c r="J1307" i="5"/>
  <c r="C1307" i="5"/>
  <c r="C1306" i="5"/>
  <c r="L1305" i="5"/>
  <c r="J1305" i="5"/>
  <c r="C1305" i="5"/>
  <c r="F1297" i="5"/>
  <c r="H1294" i="5"/>
  <c r="H1293" i="5"/>
  <c r="G1292" i="5"/>
  <c r="H1292" i="5" s="1"/>
  <c r="E1292" i="5"/>
  <c r="C1292" i="5"/>
  <c r="L1289" i="5"/>
  <c r="J1289" i="5"/>
  <c r="H1289" i="5"/>
  <c r="L1288" i="5"/>
  <c r="J1288" i="5"/>
  <c r="H1288" i="5"/>
  <c r="L1287" i="5"/>
  <c r="J1287" i="5"/>
  <c r="H1287" i="5"/>
  <c r="L1283" i="5"/>
  <c r="J1283" i="5"/>
  <c r="H1283" i="5"/>
  <c r="L1280" i="5"/>
  <c r="J1280" i="5"/>
  <c r="C1280" i="5"/>
  <c r="C1281" i="5"/>
  <c r="L1282" i="5"/>
  <c r="J1282" i="5"/>
  <c r="C1282" i="5"/>
  <c r="G1268" i="5"/>
  <c r="H1268" i="5" s="1"/>
  <c r="E1268" i="5"/>
  <c r="C1268" i="5"/>
  <c r="G1267" i="5"/>
  <c r="H1267" i="5" s="1"/>
  <c r="E1267" i="5"/>
  <c r="C1267" i="5"/>
  <c r="F1272" i="5"/>
  <c r="G1269" i="5"/>
  <c r="H1269" i="5" s="1"/>
  <c r="E1269" i="5"/>
  <c r="C1269" i="5"/>
  <c r="G1266" i="5"/>
  <c r="H1266" i="5" s="1"/>
  <c r="E1266" i="5"/>
  <c r="C1266" i="5"/>
  <c r="G1265" i="5"/>
  <c r="H1265" i="5" s="1"/>
  <c r="J1265" i="5" s="1"/>
  <c r="E1265" i="5"/>
  <c r="C1265" i="5"/>
  <c r="L1262" i="5"/>
  <c r="J1262" i="5"/>
  <c r="H1262" i="5"/>
  <c r="L1261" i="5"/>
  <c r="J1261" i="5"/>
  <c r="H1261" i="5"/>
  <c r="L1260" i="5"/>
  <c r="J1260" i="5"/>
  <c r="H1260" i="5"/>
  <c r="L1256" i="5"/>
  <c r="J1256" i="5"/>
  <c r="H1256" i="5"/>
  <c r="L1255" i="5"/>
  <c r="J1255" i="5"/>
  <c r="C1255" i="5"/>
  <c r="C1254" i="5"/>
  <c r="L1253" i="5"/>
  <c r="J1253" i="5"/>
  <c r="C1253" i="5"/>
  <c r="F1245" i="5"/>
  <c r="G1242" i="5"/>
  <c r="H1242" i="5" s="1"/>
  <c r="E1242" i="5"/>
  <c r="C1242" i="5"/>
  <c r="G1241" i="5"/>
  <c r="H1241" i="5" s="1"/>
  <c r="E1241" i="5"/>
  <c r="C1241" i="5"/>
  <c r="G1240" i="5"/>
  <c r="H1240" i="5" s="1"/>
  <c r="E1240" i="5"/>
  <c r="C1240" i="5"/>
  <c r="L1237" i="5"/>
  <c r="J1237" i="5"/>
  <c r="H1237" i="5"/>
  <c r="L1236" i="5"/>
  <c r="J1236" i="5"/>
  <c r="H1236" i="5"/>
  <c r="L1235" i="5"/>
  <c r="J1235" i="5"/>
  <c r="H1235" i="5"/>
  <c r="L1231" i="5"/>
  <c r="J1231" i="5"/>
  <c r="H1231" i="5"/>
  <c r="L1230" i="5"/>
  <c r="J1230" i="5"/>
  <c r="C1230" i="5"/>
  <c r="C1229" i="5"/>
  <c r="L1228" i="5"/>
  <c r="J1228" i="5"/>
  <c r="C1228" i="5"/>
  <c r="F1220" i="5"/>
  <c r="G1217" i="5"/>
  <c r="H1217" i="5" s="1"/>
  <c r="E1217" i="5"/>
  <c r="C1217" i="5"/>
  <c r="G1216" i="5"/>
  <c r="H1216" i="5" s="1"/>
  <c r="E1216" i="5"/>
  <c r="C1216" i="5"/>
  <c r="G1215" i="5"/>
  <c r="H1215" i="5" s="1"/>
  <c r="E1215" i="5"/>
  <c r="C1215" i="5"/>
  <c r="L1212" i="5"/>
  <c r="J1212" i="5"/>
  <c r="H1212" i="5"/>
  <c r="L1211" i="5"/>
  <c r="J1211" i="5"/>
  <c r="H1211" i="5"/>
  <c r="L1210" i="5"/>
  <c r="J1210" i="5"/>
  <c r="H1210" i="5"/>
  <c r="L1206" i="5"/>
  <c r="J1206" i="5"/>
  <c r="H1206" i="5"/>
  <c r="L1205" i="5"/>
  <c r="J1205" i="5"/>
  <c r="C1205" i="5"/>
  <c r="C1204" i="5"/>
  <c r="L1203" i="5"/>
  <c r="J1203" i="5"/>
  <c r="C1203" i="5"/>
  <c r="H1167" i="5"/>
  <c r="F1170" i="5"/>
  <c r="G1166" i="5"/>
  <c r="H1166" i="5" s="1"/>
  <c r="E1166" i="5"/>
  <c r="C1166" i="5"/>
  <c r="C1165" i="5"/>
  <c r="L1162" i="5"/>
  <c r="J1162" i="5"/>
  <c r="H1162" i="5"/>
  <c r="L1161" i="5"/>
  <c r="J1161" i="5"/>
  <c r="H1161" i="5"/>
  <c r="L1160" i="5"/>
  <c r="J1160" i="5"/>
  <c r="H1160" i="5"/>
  <c r="L1156" i="5"/>
  <c r="J1156" i="5"/>
  <c r="H1156" i="5"/>
  <c r="L1155" i="5"/>
  <c r="J1155" i="5"/>
  <c r="C1155" i="5"/>
  <c r="C1154" i="5"/>
  <c r="L1153" i="5"/>
  <c r="J1153" i="5"/>
  <c r="C1153" i="5"/>
  <c r="F1145" i="5"/>
  <c r="G1142" i="5"/>
  <c r="H1142" i="5" s="1"/>
  <c r="E1142" i="5"/>
  <c r="C1142" i="5"/>
  <c r="G1141" i="5"/>
  <c r="H1141" i="5" s="1"/>
  <c r="E1141" i="5"/>
  <c r="C1141" i="5"/>
  <c r="E1140" i="5"/>
  <c r="C1140" i="5"/>
  <c r="L1137" i="5"/>
  <c r="J1137" i="5"/>
  <c r="H1137" i="5"/>
  <c r="L1136" i="5"/>
  <c r="J1136" i="5"/>
  <c r="H1136" i="5"/>
  <c r="L1135" i="5"/>
  <c r="J1135" i="5"/>
  <c r="H1135" i="5"/>
  <c r="L1131" i="5"/>
  <c r="J1131" i="5"/>
  <c r="H1131" i="5"/>
  <c r="L1130" i="5"/>
  <c r="J1130" i="5"/>
  <c r="C1130" i="5"/>
  <c r="C1129" i="5"/>
  <c r="L1128" i="5"/>
  <c r="J1128" i="5"/>
  <c r="C1128" i="5"/>
  <c r="G1192" i="5"/>
  <c r="H1192" i="5" s="1"/>
  <c r="E1192" i="5"/>
  <c r="C1192" i="5"/>
  <c r="C1179" i="5"/>
  <c r="G1185" i="5"/>
  <c r="H1185" i="5" s="1"/>
  <c r="E1185" i="5"/>
  <c r="F1195" i="5"/>
  <c r="G1191" i="5"/>
  <c r="H1191" i="5" s="1"/>
  <c r="E1191" i="5"/>
  <c r="C1191" i="5"/>
  <c r="C1190" i="5"/>
  <c r="L1187" i="5"/>
  <c r="J1187" i="5"/>
  <c r="H1187" i="5"/>
  <c r="L1186" i="5"/>
  <c r="J1186" i="5"/>
  <c r="H1186" i="5"/>
  <c r="L1185" i="5"/>
  <c r="J1185" i="5"/>
  <c r="C1185" i="5"/>
  <c r="L1181" i="5"/>
  <c r="J1181" i="5"/>
  <c r="H1181" i="5"/>
  <c r="L1180" i="5"/>
  <c r="J1180" i="5"/>
  <c r="C1180" i="5"/>
  <c r="L1178" i="5"/>
  <c r="J1178" i="5"/>
  <c r="C1178" i="5"/>
  <c r="G1110" i="5"/>
  <c r="H1110" i="5" s="1"/>
  <c r="C1110" i="5"/>
  <c r="F1120" i="5"/>
  <c r="H1117" i="5"/>
  <c r="G1116" i="5"/>
  <c r="H1116" i="5" s="1"/>
  <c r="E1116" i="5"/>
  <c r="C1116" i="5"/>
  <c r="E1115" i="5"/>
  <c r="C1115" i="5"/>
  <c r="L1112" i="5"/>
  <c r="J1112" i="5"/>
  <c r="H1112" i="5"/>
  <c r="L1111" i="5"/>
  <c r="J1111" i="5"/>
  <c r="H1111" i="5"/>
  <c r="L1110" i="5"/>
  <c r="J1110" i="5"/>
  <c r="L1106" i="5"/>
  <c r="J1106" i="5"/>
  <c r="H1106" i="5"/>
  <c r="L1105" i="5"/>
  <c r="J1105" i="5"/>
  <c r="C1105" i="5"/>
  <c r="L1104" i="5"/>
  <c r="J1104" i="5"/>
  <c r="C1104" i="5"/>
  <c r="C1081" i="5"/>
  <c r="C1080" i="5"/>
  <c r="L1057" i="5"/>
  <c r="C1057" i="5"/>
  <c r="C1056" i="5"/>
  <c r="F1096" i="5"/>
  <c r="H1093" i="5"/>
  <c r="G1092" i="5"/>
  <c r="H1092" i="5" s="1"/>
  <c r="E1092" i="5"/>
  <c r="C1092" i="5"/>
  <c r="E1091" i="5"/>
  <c r="C1091" i="5"/>
  <c r="L1088" i="5"/>
  <c r="J1088" i="5"/>
  <c r="H1088" i="5"/>
  <c r="L1087" i="5"/>
  <c r="J1087" i="5"/>
  <c r="H1087" i="5"/>
  <c r="L1086" i="5"/>
  <c r="J1086" i="5"/>
  <c r="H1086" i="5"/>
  <c r="L1082" i="5"/>
  <c r="J1082" i="5"/>
  <c r="H1082" i="5"/>
  <c r="L1081" i="5"/>
  <c r="J1081" i="5"/>
  <c r="L1080" i="5"/>
  <c r="J1080" i="5"/>
  <c r="F1067" i="5"/>
  <c r="F1068" i="5"/>
  <c r="G1068" i="5"/>
  <c r="E1068" i="5"/>
  <c r="C1068" i="5"/>
  <c r="F1072" i="5"/>
  <c r="H1069" i="5"/>
  <c r="E1067" i="5"/>
  <c r="C1067" i="5"/>
  <c r="L1064" i="5"/>
  <c r="J1064" i="5"/>
  <c r="H1064" i="5"/>
  <c r="L1063" i="5"/>
  <c r="J1063" i="5"/>
  <c r="H1063" i="5"/>
  <c r="L1062" i="5"/>
  <c r="J1062" i="5"/>
  <c r="H1062" i="5"/>
  <c r="L1058" i="5"/>
  <c r="J1058" i="5"/>
  <c r="H1058" i="5"/>
  <c r="F1043" i="5"/>
  <c r="F1048" i="5"/>
  <c r="H1045" i="5"/>
  <c r="H1044" i="5"/>
  <c r="E1043" i="5"/>
  <c r="C1043" i="5"/>
  <c r="L1040" i="5"/>
  <c r="J1040" i="5"/>
  <c r="H1040" i="5"/>
  <c r="L1039" i="5"/>
  <c r="J1039" i="5"/>
  <c r="H1039" i="5"/>
  <c r="L1038" i="5"/>
  <c r="J1038" i="5"/>
  <c r="H1038" i="5"/>
  <c r="L1034" i="5"/>
  <c r="J1034" i="5"/>
  <c r="H1034" i="5"/>
  <c r="L1033" i="5"/>
  <c r="J1033" i="5"/>
  <c r="H1033" i="5"/>
  <c r="L1032" i="5"/>
  <c r="J1032" i="5"/>
  <c r="H1032" i="5"/>
  <c r="F1019" i="5"/>
  <c r="F1024" i="5"/>
  <c r="H1021" i="5"/>
  <c r="H1020" i="5"/>
  <c r="E1019" i="5"/>
  <c r="C1019" i="5"/>
  <c r="L1016" i="5"/>
  <c r="J1016" i="5"/>
  <c r="H1016" i="5"/>
  <c r="L1015" i="5"/>
  <c r="J1015" i="5"/>
  <c r="H1015" i="5"/>
  <c r="L1014" i="5"/>
  <c r="J1014" i="5"/>
  <c r="H1014" i="5"/>
  <c r="L1010" i="5"/>
  <c r="J1010" i="5"/>
  <c r="H1010" i="5"/>
  <c r="L1009" i="5"/>
  <c r="J1009" i="5"/>
  <c r="H1009" i="5"/>
  <c r="L1008" i="5"/>
  <c r="J1008" i="5"/>
  <c r="H1008" i="5"/>
  <c r="F995" i="5"/>
  <c r="C995" i="5"/>
  <c r="F1000" i="5"/>
  <c r="H997" i="5"/>
  <c r="H996" i="5"/>
  <c r="L992" i="5"/>
  <c r="J992" i="5"/>
  <c r="H992" i="5"/>
  <c r="L991" i="5"/>
  <c r="J991" i="5"/>
  <c r="H991" i="5"/>
  <c r="L990" i="5"/>
  <c r="J990" i="5"/>
  <c r="H990" i="5"/>
  <c r="L986" i="5"/>
  <c r="J986" i="5"/>
  <c r="H986" i="5"/>
  <c r="L985" i="5"/>
  <c r="J985" i="5"/>
  <c r="H985" i="5"/>
  <c r="L984" i="5"/>
  <c r="J984" i="5"/>
  <c r="H984" i="5"/>
  <c r="G973" i="5"/>
  <c r="H973" i="5" s="1"/>
  <c r="E973" i="5"/>
  <c r="C973" i="5"/>
  <c r="F972" i="5"/>
  <c r="C972" i="5"/>
  <c r="G971" i="5"/>
  <c r="F971" i="5"/>
  <c r="E971" i="5"/>
  <c r="C971" i="5"/>
  <c r="F948" i="5"/>
  <c r="F947" i="5"/>
  <c r="H949" i="5"/>
  <c r="E948" i="5"/>
  <c r="C948" i="5"/>
  <c r="F852" i="5"/>
  <c r="E852" i="5"/>
  <c r="C852" i="5"/>
  <c r="F876" i="5"/>
  <c r="C876" i="5"/>
  <c r="F900" i="5"/>
  <c r="C900" i="5"/>
  <c r="F924" i="5"/>
  <c r="D411" i="2"/>
  <c r="E1165" i="5" s="1"/>
  <c r="F976" i="5"/>
  <c r="L968" i="5"/>
  <c r="J968" i="5"/>
  <c r="H968" i="5"/>
  <c r="L967" i="5"/>
  <c r="J967" i="5"/>
  <c r="H967" i="5"/>
  <c r="L966" i="5"/>
  <c r="J966" i="5"/>
  <c r="H966" i="5"/>
  <c r="L962" i="5"/>
  <c r="J962" i="5"/>
  <c r="H962" i="5"/>
  <c r="L961" i="5"/>
  <c r="J961" i="5"/>
  <c r="H961" i="5"/>
  <c r="L960" i="5"/>
  <c r="J960" i="5"/>
  <c r="H960" i="5"/>
  <c r="F952" i="5"/>
  <c r="G947" i="5"/>
  <c r="E947" i="5"/>
  <c r="C947" i="5"/>
  <c r="L944" i="5"/>
  <c r="J944" i="5"/>
  <c r="H944" i="5"/>
  <c r="L943" i="5"/>
  <c r="J943" i="5"/>
  <c r="H943" i="5"/>
  <c r="L942" i="5"/>
  <c r="J942" i="5"/>
  <c r="H942" i="5"/>
  <c r="L938" i="5"/>
  <c r="J938" i="5"/>
  <c r="H938" i="5"/>
  <c r="L937" i="5"/>
  <c r="J937" i="5"/>
  <c r="H937" i="5"/>
  <c r="L936" i="5"/>
  <c r="J936" i="5"/>
  <c r="H936" i="5"/>
  <c r="F923" i="5"/>
  <c r="E924" i="5"/>
  <c r="C924" i="5"/>
  <c r="G923" i="5"/>
  <c r="E923" i="5"/>
  <c r="C923" i="5"/>
  <c r="E899" i="5"/>
  <c r="C899" i="5"/>
  <c r="E875" i="5"/>
  <c r="C875" i="5"/>
  <c r="F928" i="5"/>
  <c r="H925" i="5"/>
  <c r="L920" i="5"/>
  <c r="J920" i="5"/>
  <c r="H920" i="5"/>
  <c r="L919" i="5"/>
  <c r="J919" i="5"/>
  <c r="H919" i="5"/>
  <c r="L918" i="5"/>
  <c r="J918" i="5"/>
  <c r="H918" i="5"/>
  <c r="L914" i="5"/>
  <c r="J914" i="5"/>
  <c r="H914" i="5"/>
  <c r="L913" i="5"/>
  <c r="J913" i="5"/>
  <c r="H913" i="5"/>
  <c r="L912" i="5"/>
  <c r="J912" i="5"/>
  <c r="H912" i="5"/>
  <c r="F904" i="5"/>
  <c r="H901" i="5"/>
  <c r="G899" i="5"/>
  <c r="H899" i="5" s="1"/>
  <c r="L896" i="5"/>
  <c r="J896" i="5"/>
  <c r="H896" i="5"/>
  <c r="L895" i="5"/>
  <c r="J895" i="5"/>
  <c r="H895" i="5"/>
  <c r="L894" i="5"/>
  <c r="J894" i="5"/>
  <c r="H894" i="5"/>
  <c r="L890" i="5"/>
  <c r="J890" i="5"/>
  <c r="H890" i="5"/>
  <c r="L889" i="5"/>
  <c r="J889" i="5"/>
  <c r="H889" i="5"/>
  <c r="L888" i="5"/>
  <c r="J888" i="5"/>
  <c r="H888" i="5"/>
  <c r="F880" i="5"/>
  <c r="H877" i="5"/>
  <c r="G875" i="5"/>
  <c r="L872" i="5"/>
  <c r="J872" i="5"/>
  <c r="H872" i="5"/>
  <c r="L871" i="5"/>
  <c r="J871" i="5"/>
  <c r="H871" i="5"/>
  <c r="L870" i="5"/>
  <c r="J870" i="5"/>
  <c r="H870" i="5"/>
  <c r="L866" i="5"/>
  <c r="J866" i="5"/>
  <c r="H866" i="5"/>
  <c r="L865" i="5"/>
  <c r="J865" i="5"/>
  <c r="H865" i="5"/>
  <c r="L864" i="5"/>
  <c r="F856" i="5"/>
  <c r="H853" i="5"/>
  <c r="G851" i="5"/>
  <c r="H851" i="5" s="1"/>
  <c r="E851" i="5"/>
  <c r="C851" i="5"/>
  <c r="L848" i="5"/>
  <c r="J848" i="5"/>
  <c r="H848" i="5"/>
  <c r="L847" i="5"/>
  <c r="J847" i="5"/>
  <c r="H847" i="5"/>
  <c r="L846" i="5"/>
  <c r="J846" i="5"/>
  <c r="H846" i="5"/>
  <c r="L842" i="5"/>
  <c r="J842" i="5"/>
  <c r="H842" i="5"/>
  <c r="L841" i="5"/>
  <c r="J841" i="5"/>
  <c r="H841" i="5"/>
  <c r="L840" i="5"/>
  <c r="J840" i="5"/>
  <c r="H840" i="5"/>
  <c r="F832" i="5"/>
  <c r="H829" i="5"/>
  <c r="G827" i="5"/>
  <c r="F827" i="5"/>
  <c r="E827" i="5"/>
  <c r="C827" i="5"/>
  <c r="L824" i="5"/>
  <c r="J824" i="5"/>
  <c r="H824" i="5"/>
  <c r="L823" i="5"/>
  <c r="J823" i="5"/>
  <c r="H823" i="5"/>
  <c r="L822" i="5"/>
  <c r="J822" i="5"/>
  <c r="H822" i="5"/>
  <c r="L818" i="5"/>
  <c r="J818" i="5"/>
  <c r="C818" i="5"/>
  <c r="L817" i="5"/>
  <c r="J817" i="5"/>
  <c r="C817" i="5"/>
  <c r="L816" i="5"/>
  <c r="J816" i="5"/>
  <c r="C816" i="5"/>
  <c r="F808" i="5"/>
  <c r="H805" i="5"/>
  <c r="G803" i="5"/>
  <c r="F803" i="5"/>
  <c r="E803" i="5"/>
  <c r="C803" i="5"/>
  <c r="L800" i="5"/>
  <c r="J800" i="5"/>
  <c r="H800" i="5"/>
  <c r="L799" i="5"/>
  <c r="J799" i="5"/>
  <c r="H799" i="5"/>
  <c r="L798" i="5"/>
  <c r="J798" i="5"/>
  <c r="H798" i="5"/>
  <c r="L794" i="5"/>
  <c r="J794" i="5"/>
  <c r="C794" i="5"/>
  <c r="L793" i="5"/>
  <c r="J793" i="5"/>
  <c r="C793" i="5"/>
  <c r="F792" i="5"/>
  <c r="L792" i="5" s="1"/>
  <c r="C792" i="5"/>
  <c r="F784" i="5"/>
  <c r="H781" i="5"/>
  <c r="G779" i="5"/>
  <c r="F779" i="5"/>
  <c r="E779" i="5"/>
  <c r="C779" i="5"/>
  <c r="L776" i="5"/>
  <c r="J776" i="5"/>
  <c r="H776" i="5"/>
  <c r="L775" i="5"/>
  <c r="J775" i="5"/>
  <c r="H775" i="5"/>
  <c r="L774" i="5"/>
  <c r="J774" i="5"/>
  <c r="H774" i="5"/>
  <c r="L770" i="5"/>
  <c r="J770" i="5"/>
  <c r="C770" i="5"/>
  <c r="L769" i="5"/>
  <c r="J769" i="5"/>
  <c r="C769" i="5"/>
  <c r="L768" i="5"/>
  <c r="J768" i="5"/>
  <c r="C768" i="5"/>
  <c r="F720" i="5"/>
  <c r="L720" i="5" s="1"/>
  <c r="F755" i="5"/>
  <c r="F731" i="5"/>
  <c r="F707" i="5"/>
  <c r="F760" i="5"/>
  <c r="H757" i="5"/>
  <c r="G755" i="5"/>
  <c r="E755" i="5"/>
  <c r="C755" i="5"/>
  <c r="L752" i="5"/>
  <c r="J752" i="5"/>
  <c r="H752" i="5"/>
  <c r="L751" i="5"/>
  <c r="J751" i="5"/>
  <c r="H751" i="5"/>
  <c r="L750" i="5"/>
  <c r="J750" i="5"/>
  <c r="H750" i="5"/>
  <c r="L746" i="5"/>
  <c r="J746" i="5"/>
  <c r="C746" i="5"/>
  <c r="L745" i="5"/>
  <c r="J745" i="5"/>
  <c r="C745" i="5"/>
  <c r="L744" i="5"/>
  <c r="J744" i="5"/>
  <c r="C744" i="5"/>
  <c r="F736" i="5"/>
  <c r="H733" i="5"/>
  <c r="G731" i="5"/>
  <c r="E731" i="5"/>
  <c r="C731" i="5"/>
  <c r="L728" i="5"/>
  <c r="J728" i="5"/>
  <c r="H728" i="5"/>
  <c r="L727" i="5"/>
  <c r="J727" i="5"/>
  <c r="H727" i="5"/>
  <c r="L726" i="5"/>
  <c r="J726" i="5"/>
  <c r="H726" i="5"/>
  <c r="L722" i="5"/>
  <c r="J722" i="5"/>
  <c r="C722" i="5"/>
  <c r="L721" i="5"/>
  <c r="J721" i="5"/>
  <c r="C721" i="5"/>
  <c r="C720" i="5"/>
  <c r="F712" i="5"/>
  <c r="H709" i="5"/>
  <c r="G707" i="5"/>
  <c r="E707" i="5"/>
  <c r="C707" i="5"/>
  <c r="L704" i="5"/>
  <c r="J704" i="5"/>
  <c r="H704" i="5"/>
  <c r="L703" i="5"/>
  <c r="J703" i="5"/>
  <c r="H703" i="5"/>
  <c r="L702" i="5"/>
  <c r="J702" i="5"/>
  <c r="H702" i="5"/>
  <c r="L698" i="5"/>
  <c r="J698" i="5"/>
  <c r="C698" i="5"/>
  <c r="L697" i="5"/>
  <c r="J697" i="5"/>
  <c r="C697" i="5"/>
  <c r="L696" i="5"/>
  <c r="J696" i="5"/>
  <c r="C696" i="5"/>
  <c r="F683" i="5"/>
  <c r="F659" i="5"/>
  <c r="F635" i="5"/>
  <c r="F688" i="5"/>
  <c r="H685" i="5"/>
  <c r="G683" i="5"/>
  <c r="E683" i="5"/>
  <c r="C683" i="5"/>
  <c r="L680" i="5"/>
  <c r="J680" i="5"/>
  <c r="H680" i="5"/>
  <c r="L679" i="5"/>
  <c r="J679" i="5"/>
  <c r="H679" i="5"/>
  <c r="L678" i="5"/>
  <c r="J678" i="5"/>
  <c r="H678" i="5"/>
  <c r="L674" i="5"/>
  <c r="J674" i="5"/>
  <c r="C674" i="5"/>
  <c r="L673" i="5"/>
  <c r="J673" i="5"/>
  <c r="C673" i="5"/>
  <c r="L672" i="5"/>
  <c r="J672" i="5"/>
  <c r="C672" i="5"/>
  <c r="F664" i="5"/>
  <c r="H661" i="5"/>
  <c r="G659" i="5"/>
  <c r="E659" i="5"/>
  <c r="C659" i="5"/>
  <c r="L656" i="5"/>
  <c r="J656" i="5"/>
  <c r="H656" i="5"/>
  <c r="L655" i="5"/>
  <c r="J655" i="5"/>
  <c r="H655" i="5"/>
  <c r="L654" i="5"/>
  <c r="J654" i="5"/>
  <c r="H654" i="5"/>
  <c r="L650" i="5"/>
  <c r="J650" i="5"/>
  <c r="C650" i="5"/>
  <c r="L649" i="5"/>
  <c r="J649" i="5"/>
  <c r="C649" i="5"/>
  <c r="L648" i="5"/>
  <c r="J648" i="5"/>
  <c r="C648" i="5"/>
  <c r="F640" i="5"/>
  <c r="H637" i="5"/>
  <c r="G635" i="5"/>
  <c r="E635" i="5"/>
  <c r="C635" i="5"/>
  <c r="L632" i="5"/>
  <c r="J632" i="5"/>
  <c r="H632" i="5"/>
  <c r="L631" i="5"/>
  <c r="J631" i="5"/>
  <c r="H631" i="5"/>
  <c r="L630" i="5"/>
  <c r="J630" i="5"/>
  <c r="H630" i="5"/>
  <c r="L626" i="5"/>
  <c r="J626" i="5"/>
  <c r="C626" i="5"/>
  <c r="L625" i="5"/>
  <c r="J625" i="5"/>
  <c r="C625" i="5"/>
  <c r="L624" i="5"/>
  <c r="J624" i="5"/>
  <c r="C624" i="5"/>
  <c r="F616" i="5"/>
  <c r="H613" i="5"/>
  <c r="G611" i="5"/>
  <c r="H611" i="5" s="1"/>
  <c r="E611" i="5"/>
  <c r="C611" i="5"/>
  <c r="L608" i="5"/>
  <c r="J608" i="5"/>
  <c r="H608" i="5"/>
  <c r="L607" i="5"/>
  <c r="J607" i="5"/>
  <c r="H607" i="5"/>
  <c r="L606" i="5"/>
  <c r="J606" i="5"/>
  <c r="H606" i="5"/>
  <c r="L602" i="5"/>
  <c r="J602" i="5"/>
  <c r="C602" i="5"/>
  <c r="L601" i="5"/>
  <c r="J601" i="5"/>
  <c r="C601" i="5"/>
  <c r="L600" i="5"/>
  <c r="J600" i="5"/>
  <c r="C600" i="5"/>
  <c r="F592" i="5"/>
  <c r="H589" i="5"/>
  <c r="G587" i="5"/>
  <c r="H587" i="5" s="1"/>
  <c r="E587" i="5"/>
  <c r="C587" i="5"/>
  <c r="L584" i="5"/>
  <c r="J584" i="5"/>
  <c r="H584" i="5"/>
  <c r="L583" i="5"/>
  <c r="J583" i="5"/>
  <c r="H583" i="5"/>
  <c r="L582" i="5"/>
  <c r="J582" i="5"/>
  <c r="H582" i="5"/>
  <c r="L578" i="5"/>
  <c r="J578" i="5"/>
  <c r="C578" i="5"/>
  <c r="L577" i="5"/>
  <c r="J577" i="5"/>
  <c r="C577" i="5"/>
  <c r="L576" i="5"/>
  <c r="J576" i="5"/>
  <c r="C576" i="5"/>
  <c r="F568" i="5"/>
  <c r="H565" i="5"/>
  <c r="G563" i="5"/>
  <c r="H563" i="5" s="1"/>
  <c r="J563" i="5" s="1"/>
  <c r="L563" i="5" s="1"/>
  <c r="L566" i="5" s="1"/>
  <c r="E563" i="5"/>
  <c r="C563" i="5"/>
  <c r="L560" i="5"/>
  <c r="J560" i="5"/>
  <c r="H560" i="5"/>
  <c r="L559" i="5"/>
  <c r="J559" i="5"/>
  <c r="H559" i="5"/>
  <c r="L558" i="5"/>
  <c r="J558" i="5"/>
  <c r="H558" i="5"/>
  <c r="L554" i="5"/>
  <c r="J554" i="5"/>
  <c r="C554" i="5"/>
  <c r="L553" i="5"/>
  <c r="J553" i="5"/>
  <c r="C553" i="5"/>
  <c r="L552" i="5"/>
  <c r="J552" i="5"/>
  <c r="C552" i="5"/>
  <c r="E876" i="5" l="1"/>
  <c r="E1392" i="5"/>
  <c r="E1498" i="5"/>
  <c r="E972" i="5"/>
  <c r="E1190" i="5"/>
  <c r="E900" i="5"/>
  <c r="E995" i="5"/>
  <c r="H3713" i="9"/>
  <c r="D153" i="8" s="1"/>
  <c r="J1365" i="5"/>
  <c r="L1365" i="5"/>
  <c r="H1335" i="5"/>
  <c r="G1067" i="5"/>
  <c r="H1067" i="5" s="1"/>
  <c r="J1067" i="5" s="1"/>
  <c r="G1498" i="5"/>
  <c r="H1498" i="5" s="1"/>
  <c r="H1500" i="5" s="1"/>
  <c r="H1360" i="5"/>
  <c r="G1115" i="5"/>
  <c r="H1115" i="5" s="1"/>
  <c r="J1115" i="5" s="1"/>
  <c r="G1318" i="5"/>
  <c r="H1318" i="5" s="1"/>
  <c r="H1320" i="5" s="1"/>
  <c r="G924" i="5"/>
  <c r="H924" i="5" s="1"/>
  <c r="G948" i="5"/>
  <c r="H948" i="5" s="1"/>
  <c r="G876" i="5"/>
  <c r="H876" i="5" s="1"/>
  <c r="G1343" i="5"/>
  <c r="H1343" i="5" s="1"/>
  <c r="H1345" i="5" s="1"/>
  <c r="G972" i="5"/>
  <c r="H972" i="5" s="1"/>
  <c r="G852" i="5"/>
  <c r="H852" i="5" s="1"/>
  <c r="H854" i="5" s="1"/>
  <c r="G1190" i="5"/>
  <c r="H1190" i="5" s="1"/>
  <c r="J1190" i="5" s="1"/>
  <c r="G900" i="5"/>
  <c r="H900" i="5" s="1"/>
  <c r="H902" i="5" s="1"/>
  <c r="G1019" i="5"/>
  <c r="H1019" i="5" s="1"/>
  <c r="J1019" i="5" s="1"/>
  <c r="G1043" i="5"/>
  <c r="H1043" i="5" s="1"/>
  <c r="J1043" i="5" s="1"/>
  <c r="G1392" i="5"/>
  <c r="H1392" i="5" s="1"/>
  <c r="G1091" i="5"/>
  <c r="H1091" i="5" s="1"/>
  <c r="H1094" i="5" s="1"/>
  <c r="G1140" i="5"/>
  <c r="H1140" i="5" s="1"/>
  <c r="J1140" i="5" s="1"/>
  <c r="J1360" i="5"/>
  <c r="H1315" i="5"/>
  <c r="J1335" i="5"/>
  <c r="J1315" i="5"/>
  <c r="L1360" i="5"/>
  <c r="L1310" i="5"/>
  <c r="H1365" i="5"/>
  <c r="H1370" i="5"/>
  <c r="L1367" i="5"/>
  <c r="L1370" i="5" s="1"/>
  <c r="H1340" i="5"/>
  <c r="J1340" i="5"/>
  <c r="L1340" i="5"/>
  <c r="J1310" i="5"/>
  <c r="L1335" i="5"/>
  <c r="J1342" i="5"/>
  <c r="L1315" i="5"/>
  <c r="J1317" i="5"/>
  <c r="H1263" i="5"/>
  <c r="H1290" i="5"/>
  <c r="L1285" i="5"/>
  <c r="J1290" i="5"/>
  <c r="L1290" i="5"/>
  <c r="J1285" i="5"/>
  <c r="J1263" i="5"/>
  <c r="L1263" i="5"/>
  <c r="J1292" i="5"/>
  <c r="H1295" i="5"/>
  <c r="L1238" i="5"/>
  <c r="J1238" i="5"/>
  <c r="G995" i="5"/>
  <c r="H995" i="5" s="1"/>
  <c r="H998" i="5" s="1"/>
  <c r="G1165" i="5"/>
  <c r="H1165" i="5" s="1"/>
  <c r="J1165" i="5" s="1"/>
  <c r="J1168" i="5" s="1"/>
  <c r="H1238" i="5"/>
  <c r="L1258" i="5"/>
  <c r="J1213" i="5"/>
  <c r="J1258" i="5"/>
  <c r="H1213" i="5"/>
  <c r="L1213" i="5"/>
  <c r="L1233" i="5"/>
  <c r="J1233" i="5"/>
  <c r="L1265" i="5"/>
  <c r="L1270" i="5" s="1"/>
  <c r="J1270" i="5"/>
  <c r="H1270" i="5"/>
  <c r="J1208" i="5"/>
  <c r="J1163" i="5"/>
  <c r="H1138" i="5"/>
  <c r="J1240" i="5"/>
  <c r="H1243" i="5"/>
  <c r="J1188" i="5"/>
  <c r="J1138" i="5"/>
  <c r="L1208" i="5"/>
  <c r="J1215" i="5"/>
  <c r="H1218" i="5"/>
  <c r="H1163" i="5"/>
  <c r="L1138" i="5"/>
  <c r="L1163" i="5"/>
  <c r="J1158" i="5"/>
  <c r="L1158" i="5"/>
  <c r="J1133" i="5"/>
  <c r="L1133" i="5"/>
  <c r="J1113" i="5"/>
  <c r="L1113" i="5"/>
  <c r="L1183" i="5"/>
  <c r="J1183" i="5"/>
  <c r="L1188" i="5"/>
  <c r="J1108" i="5"/>
  <c r="H1113" i="5"/>
  <c r="H1068" i="5"/>
  <c r="H1188" i="5"/>
  <c r="J1084" i="5"/>
  <c r="L1108" i="5"/>
  <c r="L1041" i="5"/>
  <c r="H1089" i="5"/>
  <c r="J1089" i="5"/>
  <c r="L1089" i="5"/>
  <c r="L1084" i="5"/>
  <c r="J1056" i="5"/>
  <c r="L1056" i="5"/>
  <c r="L1060" i="5" s="1"/>
  <c r="J1057" i="5"/>
  <c r="H1041" i="5"/>
  <c r="H1065" i="5"/>
  <c r="J1065" i="5"/>
  <c r="L1065" i="5"/>
  <c r="L1036" i="5"/>
  <c r="L1017" i="5"/>
  <c r="H1036" i="5"/>
  <c r="J1036" i="5"/>
  <c r="J1041" i="5"/>
  <c r="H945" i="5"/>
  <c r="H988" i="5"/>
  <c r="J988" i="5"/>
  <c r="L1012" i="5"/>
  <c r="L993" i="5"/>
  <c r="H1012" i="5"/>
  <c r="J1012" i="5"/>
  <c r="H1017" i="5"/>
  <c r="J1017" i="5"/>
  <c r="L988" i="5"/>
  <c r="H993" i="5"/>
  <c r="J993" i="5"/>
  <c r="H803" i="5"/>
  <c r="H806" i="5" s="1"/>
  <c r="J964" i="5"/>
  <c r="J921" i="5"/>
  <c r="H947" i="5"/>
  <c r="J947" i="5" s="1"/>
  <c r="H969" i="5"/>
  <c r="L921" i="5"/>
  <c r="J969" i="5"/>
  <c r="H705" i="5"/>
  <c r="H921" i="5"/>
  <c r="L969" i="5"/>
  <c r="L964" i="5"/>
  <c r="H940" i="5"/>
  <c r="H801" i="5"/>
  <c r="J940" i="5"/>
  <c r="L940" i="5"/>
  <c r="J945" i="5"/>
  <c r="H964" i="5"/>
  <c r="L945" i="5"/>
  <c r="L844" i="5"/>
  <c r="H971" i="5"/>
  <c r="J971" i="5" s="1"/>
  <c r="H827" i="5"/>
  <c r="J827" i="5" s="1"/>
  <c r="H779" i="5"/>
  <c r="H782" i="5" s="1"/>
  <c r="J844" i="5"/>
  <c r="J820" i="5"/>
  <c r="L700" i="5"/>
  <c r="L892" i="5"/>
  <c r="H923" i="5"/>
  <c r="J923" i="5" s="1"/>
  <c r="H731" i="5"/>
  <c r="J731" i="5" s="1"/>
  <c r="L731" i="5" s="1"/>
  <c r="L734" i="5" s="1"/>
  <c r="L777" i="5"/>
  <c r="H849" i="5"/>
  <c r="H873" i="5"/>
  <c r="L916" i="5"/>
  <c r="J916" i="5"/>
  <c r="H916" i="5"/>
  <c r="J873" i="5"/>
  <c r="L873" i="5"/>
  <c r="J705" i="5"/>
  <c r="H875" i="5"/>
  <c r="J875" i="5" s="1"/>
  <c r="J892" i="5"/>
  <c r="L705" i="5"/>
  <c r="L849" i="5"/>
  <c r="L772" i="5"/>
  <c r="J849" i="5"/>
  <c r="J897" i="5"/>
  <c r="L820" i="5"/>
  <c r="J628" i="5"/>
  <c r="L897" i="5"/>
  <c r="L868" i="5"/>
  <c r="H897" i="5"/>
  <c r="H844" i="5"/>
  <c r="H892" i="5"/>
  <c r="J851" i="5"/>
  <c r="J899" i="5"/>
  <c r="H777" i="5"/>
  <c r="J777" i="5"/>
  <c r="J825" i="5"/>
  <c r="L825" i="5"/>
  <c r="H825" i="5"/>
  <c r="J772" i="5"/>
  <c r="H561" i="5"/>
  <c r="L609" i="5"/>
  <c r="H864" i="5"/>
  <c r="H868" i="5" s="1"/>
  <c r="H657" i="5"/>
  <c r="J864" i="5"/>
  <c r="J868" i="5" s="1"/>
  <c r="J801" i="5"/>
  <c r="J700" i="5"/>
  <c r="L796" i="5"/>
  <c r="L801" i="5"/>
  <c r="J676" i="5"/>
  <c r="J652" i="5"/>
  <c r="L676" i="5"/>
  <c r="L753" i="5"/>
  <c r="H681" i="5"/>
  <c r="H753" i="5"/>
  <c r="J753" i="5"/>
  <c r="H633" i="5"/>
  <c r="L681" i="5"/>
  <c r="J556" i="5"/>
  <c r="J633" i="5"/>
  <c r="H729" i="5"/>
  <c r="J729" i="5"/>
  <c r="L729" i="5"/>
  <c r="H755" i="5"/>
  <c r="J755" i="5" s="1"/>
  <c r="J792" i="5"/>
  <c r="J796" i="5" s="1"/>
  <c r="H609" i="5"/>
  <c r="J609" i="5"/>
  <c r="J748" i="5"/>
  <c r="L748" i="5"/>
  <c r="L724" i="5"/>
  <c r="J720" i="5"/>
  <c r="J724" i="5" s="1"/>
  <c r="H707" i="5"/>
  <c r="H710" i="5" s="1"/>
  <c r="L633" i="5"/>
  <c r="L585" i="5"/>
  <c r="L628" i="5"/>
  <c r="L652" i="5"/>
  <c r="H585" i="5"/>
  <c r="J585" i="5"/>
  <c r="J681" i="5"/>
  <c r="J657" i="5"/>
  <c r="J561" i="5"/>
  <c r="L561" i="5"/>
  <c r="L657" i="5"/>
  <c r="H683" i="5"/>
  <c r="H686" i="5" s="1"/>
  <c r="H659" i="5"/>
  <c r="J659" i="5" s="1"/>
  <c r="H635" i="5"/>
  <c r="J635" i="5" s="1"/>
  <c r="J604" i="5"/>
  <c r="L604" i="5"/>
  <c r="L580" i="5"/>
  <c r="J580" i="5"/>
  <c r="H566" i="5"/>
  <c r="L556" i="5"/>
  <c r="H590" i="5"/>
  <c r="J587" i="5"/>
  <c r="J611" i="5"/>
  <c r="H614" i="5"/>
  <c r="J566" i="5"/>
  <c r="J1371" i="5" l="1"/>
  <c r="J1372" i="5" s="1"/>
  <c r="J1373" i="5" s="1"/>
  <c r="H1346" i="5"/>
  <c r="H1347" i="5" s="1"/>
  <c r="H1348" i="5" s="1"/>
  <c r="H1371" i="5"/>
  <c r="H1372" i="5" s="1"/>
  <c r="H1373" i="5" s="1"/>
  <c r="H1118" i="5"/>
  <c r="L1371" i="5"/>
  <c r="L1372" i="5" s="1"/>
  <c r="L1373" i="5" s="1"/>
  <c r="H1193" i="5"/>
  <c r="J1091" i="5"/>
  <c r="L1091" i="5" s="1"/>
  <c r="L1094" i="5" s="1"/>
  <c r="L1095" i="5" s="1"/>
  <c r="H1143" i="5"/>
  <c r="H1395" i="5"/>
  <c r="J1392" i="5"/>
  <c r="L1342" i="5"/>
  <c r="L1345" i="5" s="1"/>
  <c r="L1346" i="5" s="1"/>
  <c r="J1345" i="5"/>
  <c r="J1346" i="5" s="1"/>
  <c r="L1317" i="5"/>
  <c r="L1320" i="5" s="1"/>
  <c r="L1321" i="5" s="1"/>
  <c r="J1320" i="5"/>
  <c r="J1321" i="5" s="1"/>
  <c r="L1292" i="5"/>
  <c r="L1295" i="5" s="1"/>
  <c r="L1296" i="5" s="1"/>
  <c r="J1295" i="5"/>
  <c r="J1296" i="5" s="1"/>
  <c r="L1165" i="5"/>
  <c r="L1168" i="5" s="1"/>
  <c r="L1169" i="5" s="1"/>
  <c r="L1170" i="5" s="1"/>
  <c r="L1171" i="5" s="1"/>
  <c r="H1168" i="5"/>
  <c r="J1271" i="5"/>
  <c r="J1272" i="5" s="1"/>
  <c r="J1273" i="5" s="1"/>
  <c r="L1271" i="5"/>
  <c r="L1272" i="5" s="1"/>
  <c r="L1273" i="5" s="1"/>
  <c r="L1240" i="5"/>
  <c r="L1243" i="5" s="1"/>
  <c r="L1244" i="5" s="1"/>
  <c r="J1243" i="5"/>
  <c r="J1244" i="5" s="1"/>
  <c r="L1215" i="5"/>
  <c r="L1218" i="5" s="1"/>
  <c r="L1219" i="5" s="1"/>
  <c r="J1218" i="5"/>
  <c r="J1219" i="5" s="1"/>
  <c r="J1169" i="5"/>
  <c r="J1170" i="5" s="1"/>
  <c r="J1171" i="5" s="1"/>
  <c r="L1140" i="5"/>
  <c r="L1143" i="5" s="1"/>
  <c r="L1144" i="5" s="1"/>
  <c r="J1143" i="5"/>
  <c r="J1144" i="5" s="1"/>
  <c r="L1190" i="5"/>
  <c r="L1193" i="5" s="1"/>
  <c r="L1194" i="5" s="1"/>
  <c r="J1193" i="5"/>
  <c r="J1194" i="5" s="1"/>
  <c r="H974" i="5"/>
  <c r="H975" i="5" s="1"/>
  <c r="H976" i="5" s="1"/>
  <c r="H977" i="5" s="1"/>
  <c r="H1046" i="5"/>
  <c r="H1047" i="5" s="1"/>
  <c r="H1048" i="5" s="1"/>
  <c r="H1049" i="5" s="1"/>
  <c r="J1060" i="5"/>
  <c r="J995" i="5"/>
  <c r="J998" i="5" s="1"/>
  <c r="J999" i="5" s="1"/>
  <c r="H1070" i="5"/>
  <c r="L1115" i="5"/>
  <c r="L1118" i="5" s="1"/>
  <c r="L1119" i="5" s="1"/>
  <c r="J1118" i="5"/>
  <c r="J1119" i="5" s="1"/>
  <c r="H950" i="5"/>
  <c r="H951" i="5" s="1"/>
  <c r="H952" i="5" s="1"/>
  <c r="H953" i="5" s="1"/>
  <c r="H999" i="5"/>
  <c r="H1000" i="5" s="1"/>
  <c r="H1001" i="5" s="1"/>
  <c r="H1022" i="5"/>
  <c r="H1023" i="5" s="1"/>
  <c r="H1024" i="5" s="1"/>
  <c r="H1025" i="5" s="1"/>
  <c r="L1067" i="5"/>
  <c r="L1070" i="5" s="1"/>
  <c r="L1071" i="5" s="1"/>
  <c r="J1070" i="5"/>
  <c r="J1046" i="5"/>
  <c r="J1047" i="5" s="1"/>
  <c r="L1043" i="5"/>
  <c r="L1046" i="5" s="1"/>
  <c r="L1047" i="5" s="1"/>
  <c r="J1022" i="5"/>
  <c r="J1023" i="5" s="1"/>
  <c r="L1019" i="5"/>
  <c r="L1022" i="5" s="1"/>
  <c r="L1023" i="5" s="1"/>
  <c r="J803" i="5"/>
  <c r="J806" i="5" s="1"/>
  <c r="J807" i="5" s="1"/>
  <c r="H830" i="5"/>
  <c r="J779" i="5"/>
  <c r="J782" i="5" s="1"/>
  <c r="J783" i="5" s="1"/>
  <c r="J734" i="5"/>
  <c r="J735" i="5" s="1"/>
  <c r="J736" i="5" s="1"/>
  <c r="J950" i="5"/>
  <c r="J951" i="5" s="1"/>
  <c r="L947" i="5"/>
  <c r="L950" i="5" s="1"/>
  <c r="L951" i="5" s="1"/>
  <c r="J567" i="5"/>
  <c r="J568" i="5" s="1"/>
  <c r="J569" i="5" s="1"/>
  <c r="H926" i="5"/>
  <c r="H927" i="5" s="1"/>
  <c r="L971" i="5"/>
  <c r="L974" i="5" s="1"/>
  <c r="L975" i="5" s="1"/>
  <c r="J974" i="5"/>
  <c r="J975" i="5" s="1"/>
  <c r="H734" i="5"/>
  <c r="H878" i="5"/>
  <c r="H879" i="5" s="1"/>
  <c r="L735" i="5"/>
  <c r="L736" i="5" s="1"/>
  <c r="L737" i="5" s="1"/>
  <c r="J926" i="5"/>
  <c r="J927" i="5" s="1"/>
  <c r="L923" i="5"/>
  <c r="L926" i="5" s="1"/>
  <c r="L927" i="5" s="1"/>
  <c r="J902" i="5"/>
  <c r="J903" i="5" s="1"/>
  <c r="L899" i="5"/>
  <c r="L902" i="5" s="1"/>
  <c r="L903" i="5" s="1"/>
  <c r="J854" i="5"/>
  <c r="J855" i="5" s="1"/>
  <c r="L851" i="5"/>
  <c r="L854" i="5" s="1"/>
  <c r="L855" i="5" s="1"/>
  <c r="H903" i="5"/>
  <c r="H855" i="5"/>
  <c r="J878" i="5"/>
  <c r="J879" i="5" s="1"/>
  <c r="L875" i="5"/>
  <c r="L878" i="5" s="1"/>
  <c r="L879" i="5" s="1"/>
  <c r="J830" i="5"/>
  <c r="J831" i="5" s="1"/>
  <c r="L827" i="5"/>
  <c r="L830" i="5" s="1"/>
  <c r="L831" i="5" s="1"/>
  <c r="L567" i="5"/>
  <c r="L568" i="5" s="1"/>
  <c r="L569" i="5" s="1"/>
  <c r="H758" i="5"/>
  <c r="J707" i="5"/>
  <c r="L707" i="5" s="1"/>
  <c r="L710" i="5" s="1"/>
  <c r="L711" i="5" s="1"/>
  <c r="J758" i="5"/>
  <c r="J759" i="5" s="1"/>
  <c r="L755" i="5"/>
  <c r="L758" i="5" s="1"/>
  <c r="L759" i="5" s="1"/>
  <c r="H662" i="5"/>
  <c r="J683" i="5"/>
  <c r="L683" i="5" s="1"/>
  <c r="L686" i="5" s="1"/>
  <c r="L687" i="5" s="1"/>
  <c r="H638" i="5"/>
  <c r="L635" i="5"/>
  <c r="L638" i="5" s="1"/>
  <c r="L639" i="5" s="1"/>
  <c r="J638" i="5"/>
  <c r="J639" i="5" s="1"/>
  <c r="J590" i="5"/>
  <c r="J591" i="5" s="1"/>
  <c r="L587" i="5"/>
  <c r="L590" i="5" s="1"/>
  <c r="L591" i="5" s="1"/>
  <c r="J662" i="5"/>
  <c r="J663" i="5" s="1"/>
  <c r="L659" i="5"/>
  <c r="L662" i="5" s="1"/>
  <c r="L663" i="5" s="1"/>
  <c r="L611" i="5"/>
  <c r="L614" i="5" s="1"/>
  <c r="L615" i="5" s="1"/>
  <c r="J614" i="5"/>
  <c r="J615" i="5" s="1"/>
  <c r="J1094" i="5" l="1"/>
  <c r="J1095" i="5" s="1"/>
  <c r="J1096" i="5" s="1"/>
  <c r="J1097" i="5" s="1"/>
  <c r="J1395" i="5"/>
  <c r="J1396" i="5" s="1"/>
  <c r="J1397" i="5" s="1"/>
  <c r="J1398" i="5" s="1"/>
  <c r="L1392" i="5"/>
  <c r="L1395" i="5" s="1"/>
  <c r="L1396" i="5" s="1"/>
  <c r="L1397" i="5" s="1"/>
  <c r="L1398" i="5" s="1"/>
  <c r="J1347" i="5"/>
  <c r="J1348" i="5" s="1"/>
  <c r="L1347" i="5"/>
  <c r="L1348" i="5" s="1"/>
  <c r="J1322" i="5"/>
  <c r="J1323" i="5" s="1"/>
  <c r="L1322" i="5"/>
  <c r="L1323" i="5" s="1"/>
  <c r="J1297" i="5"/>
  <c r="J1298" i="5" s="1"/>
  <c r="L1297" i="5"/>
  <c r="L1298" i="5" s="1"/>
  <c r="J1245" i="5"/>
  <c r="J1246" i="5" s="1"/>
  <c r="L1245" i="5"/>
  <c r="L1246" i="5" s="1"/>
  <c r="J1220" i="5"/>
  <c r="J1221" i="5" s="1"/>
  <c r="L1220" i="5"/>
  <c r="L1221" i="5" s="1"/>
  <c r="J1071" i="5"/>
  <c r="J1072" i="5" s="1"/>
  <c r="J1073" i="5" s="1"/>
  <c r="J1145" i="5"/>
  <c r="J1146" i="5" s="1"/>
  <c r="L1145" i="5"/>
  <c r="L1146" i="5" s="1"/>
  <c r="J1195" i="5"/>
  <c r="J1196" i="5" s="1"/>
  <c r="L1195" i="5"/>
  <c r="L1196" i="5" s="1"/>
  <c r="L995" i="5"/>
  <c r="L998" i="5" s="1"/>
  <c r="L999" i="5" s="1"/>
  <c r="L1000" i="5" s="1"/>
  <c r="L1001" i="5" s="1"/>
  <c r="J1120" i="5"/>
  <c r="J1121" i="5" s="1"/>
  <c r="L1120" i="5"/>
  <c r="L1121" i="5" s="1"/>
  <c r="L1096" i="5"/>
  <c r="L1097" i="5" s="1"/>
  <c r="L1072" i="5"/>
  <c r="L1073" i="5" s="1"/>
  <c r="L803" i="5"/>
  <c r="L806" i="5" s="1"/>
  <c r="L807" i="5" s="1"/>
  <c r="L808" i="5" s="1"/>
  <c r="L809" i="5" s="1"/>
  <c r="L1048" i="5"/>
  <c r="L1049" i="5" s="1"/>
  <c r="J1048" i="5"/>
  <c r="J1049" i="5" s="1"/>
  <c r="L1024" i="5"/>
  <c r="L1025" i="5" s="1"/>
  <c r="J1024" i="5"/>
  <c r="J1025" i="5" s="1"/>
  <c r="J1000" i="5"/>
  <c r="J1001" i="5" s="1"/>
  <c r="L779" i="5"/>
  <c r="L782" i="5" s="1"/>
  <c r="L783" i="5" s="1"/>
  <c r="L784" i="5" s="1"/>
  <c r="L785" i="5" s="1"/>
  <c r="J737" i="5"/>
  <c r="J976" i="5"/>
  <c r="J977" i="5" s="1"/>
  <c r="L976" i="5"/>
  <c r="L977" i="5" s="1"/>
  <c r="L952" i="5"/>
  <c r="L953" i="5" s="1"/>
  <c r="J952" i="5"/>
  <c r="J953" i="5" s="1"/>
  <c r="H928" i="5"/>
  <c r="H929" i="5" s="1"/>
  <c r="L928" i="5"/>
  <c r="L929" i="5" s="1"/>
  <c r="J928" i="5"/>
  <c r="J929" i="5" s="1"/>
  <c r="J880" i="5"/>
  <c r="J881" i="5" s="1"/>
  <c r="H880" i="5"/>
  <c r="H881" i="5" s="1"/>
  <c r="L880" i="5"/>
  <c r="L881" i="5" s="1"/>
  <c r="H856" i="5"/>
  <c r="H857" i="5" s="1"/>
  <c r="H904" i="5"/>
  <c r="H905" i="5" s="1"/>
  <c r="L856" i="5"/>
  <c r="L857" i="5" s="1"/>
  <c r="J856" i="5"/>
  <c r="J857" i="5" s="1"/>
  <c r="L904" i="5"/>
  <c r="L905" i="5" s="1"/>
  <c r="J904" i="5"/>
  <c r="J905" i="5" s="1"/>
  <c r="J784" i="5"/>
  <c r="J785" i="5" s="1"/>
  <c r="J808" i="5"/>
  <c r="J809" i="5" s="1"/>
  <c r="L832" i="5"/>
  <c r="L833" i="5" s="1"/>
  <c r="J832" i="5"/>
  <c r="J833" i="5" s="1"/>
  <c r="J710" i="5"/>
  <c r="J711" i="5" s="1"/>
  <c r="J712" i="5" s="1"/>
  <c r="J713" i="5" s="1"/>
  <c r="J686" i="5"/>
  <c r="J687" i="5" s="1"/>
  <c r="J688" i="5" s="1"/>
  <c r="J689" i="5" s="1"/>
  <c r="L712" i="5"/>
  <c r="L713" i="5" s="1"/>
  <c r="L760" i="5"/>
  <c r="L761" i="5" s="1"/>
  <c r="J760" i="5"/>
  <c r="J761" i="5" s="1"/>
  <c r="L592" i="5"/>
  <c r="L593" i="5" s="1"/>
  <c r="J640" i="5"/>
  <c r="J641" i="5" s="1"/>
  <c r="L688" i="5"/>
  <c r="L689" i="5" s="1"/>
  <c r="J592" i="5"/>
  <c r="J593" i="5" s="1"/>
  <c r="L640" i="5"/>
  <c r="L641" i="5" s="1"/>
  <c r="J616" i="5"/>
  <c r="J617" i="5" s="1"/>
  <c r="L616" i="5"/>
  <c r="L617" i="5" s="1"/>
  <c r="L664" i="5"/>
  <c r="L665" i="5" s="1"/>
  <c r="J664" i="5"/>
  <c r="J665" i="5" s="1"/>
  <c r="F544" i="5" l="1"/>
  <c r="H541" i="5"/>
  <c r="G539" i="5"/>
  <c r="H539" i="5" s="1"/>
  <c r="E539" i="5"/>
  <c r="C539" i="5"/>
  <c r="L536" i="5"/>
  <c r="J536" i="5"/>
  <c r="H536" i="5"/>
  <c r="L535" i="5"/>
  <c r="J535" i="5"/>
  <c r="H535" i="5"/>
  <c r="L534" i="5"/>
  <c r="J534" i="5"/>
  <c r="H534" i="5"/>
  <c r="L530" i="5"/>
  <c r="J530" i="5"/>
  <c r="E530" i="5"/>
  <c r="C530" i="5"/>
  <c r="L529" i="5"/>
  <c r="J529" i="5"/>
  <c r="C529" i="5"/>
  <c r="L528" i="5"/>
  <c r="J528" i="5"/>
  <c r="E528" i="5"/>
  <c r="C528" i="5"/>
  <c r="F520" i="5"/>
  <c r="H517" i="5"/>
  <c r="G515" i="5"/>
  <c r="H515" i="5" s="1"/>
  <c r="E515" i="5"/>
  <c r="C515" i="5"/>
  <c r="L512" i="5"/>
  <c r="J512" i="5"/>
  <c r="H512" i="5"/>
  <c r="L511" i="5"/>
  <c r="J511" i="5"/>
  <c r="H511" i="5"/>
  <c r="L510" i="5"/>
  <c r="J510" i="5"/>
  <c r="H510" i="5"/>
  <c r="L506" i="5"/>
  <c r="J506" i="5"/>
  <c r="C506" i="5"/>
  <c r="L505" i="5"/>
  <c r="J505" i="5"/>
  <c r="E505" i="5"/>
  <c r="C505" i="5"/>
  <c r="L504" i="5"/>
  <c r="J504" i="5"/>
  <c r="E504" i="5"/>
  <c r="C504" i="5"/>
  <c r="G491" i="5"/>
  <c r="H491" i="5" s="1"/>
  <c r="F496" i="5"/>
  <c r="H493" i="5"/>
  <c r="E491" i="5"/>
  <c r="C491" i="5"/>
  <c r="L488" i="5"/>
  <c r="J488" i="5"/>
  <c r="H488" i="5"/>
  <c r="L487" i="5"/>
  <c r="J487" i="5"/>
  <c r="H487" i="5"/>
  <c r="L486" i="5"/>
  <c r="J486" i="5"/>
  <c r="H486" i="5"/>
  <c r="L482" i="5"/>
  <c r="J482" i="5"/>
  <c r="E482" i="5"/>
  <c r="C482" i="5"/>
  <c r="L481" i="5"/>
  <c r="J481" i="5"/>
  <c r="E481" i="5"/>
  <c r="C481" i="5"/>
  <c r="L480" i="5"/>
  <c r="J480" i="5"/>
  <c r="E480" i="5"/>
  <c r="C480" i="5"/>
  <c r="F472" i="5"/>
  <c r="H469" i="5"/>
  <c r="G467" i="5"/>
  <c r="H467" i="5" s="1"/>
  <c r="E467" i="5"/>
  <c r="C467" i="5"/>
  <c r="L464" i="5"/>
  <c r="J464" i="5"/>
  <c r="H464" i="5"/>
  <c r="L463" i="5"/>
  <c r="J463" i="5"/>
  <c r="H463" i="5"/>
  <c r="L462" i="5"/>
  <c r="J462" i="5"/>
  <c r="H462" i="5"/>
  <c r="L458" i="5"/>
  <c r="J458" i="5"/>
  <c r="E458" i="5"/>
  <c r="C458" i="5"/>
  <c r="L457" i="5"/>
  <c r="J457" i="5"/>
  <c r="E457" i="5"/>
  <c r="C457" i="5"/>
  <c r="L456" i="5"/>
  <c r="J456" i="5"/>
  <c r="C456" i="5"/>
  <c r="F448" i="5"/>
  <c r="H445" i="5"/>
  <c r="G443" i="5"/>
  <c r="H443" i="5" s="1"/>
  <c r="E443" i="5"/>
  <c r="C443" i="5"/>
  <c r="L440" i="5"/>
  <c r="J440" i="5"/>
  <c r="H440" i="5"/>
  <c r="L439" i="5"/>
  <c r="J439" i="5"/>
  <c r="H439" i="5"/>
  <c r="L438" i="5"/>
  <c r="J438" i="5"/>
  <c r="H438" i="5"/>
  <c r="L434" i="5"/>
  <c r="J434" i="5"/>
  <c r="C434" i="5"/>
  <c r="L433" i="5"/>
  <c r="J433" i="5"/>
  <c r="E433" i="5"/>
  <c r="C433" i="5"/>
  <c r="L432" i="5"/>
  <c r="J432" i="5"/>
  <c r="E432" i="5"/>
  <c r="C432" i="5"/>
  <c r="F424" i="5"/>
  <c r="H421" i="5"/>
  <c r="G419" i="5"/>
  <c r="H419" i="5" s="1"/>
  <c r="E419" i="5"/>
  <c r="C419" i="5"/>
  <c r="L416" i="5"/>
  <c r="J416" i="5"/>
  <c r="H416" i="5"/>
  <c r="L415" i="5"/>
  <c r="J415" i="5"/>
  <c r="H415" i="5"/>
  <c r="L414" i="5"/>
  <c r="J414" i="5"/>
  <c r="H414" i="5"/>
  <c r="L410" i="5"/>
  <c r="J410" i="5"/>
  <c r="E410" i="5"/>
  <c r="C410" i="5"/>
  <c r="L409" i="5"/>
  <c r="J409" i="5"/>
  <c r="E409" i="5"/>
  <c r="C409" i="5"/>
  <c r="L408" i="5"/>
  <c r="J408" i="5"/>
  <c r="E408" i="5"/>
  <c r="C408" i="5"/>
  <c r="F400" i="5"/>
  <c r="H397" i="5"/>
  <c r="G395" i="5"/>
  <c r="F395" i="5"/>
  <c r="E395" i="5"/>
  <c r="C395" i="5"/>
  <c r="L392" i="5"/>
  <c r="J392" i="5"/>
  <c r="H392" i="5"/>
  <c r="L391" i="5"/>
  <c r="J391" i="5"/>
  <c r="H391" i="5"/>
  <c r="L390" i="5"/>
  <c r="J390" i="5"/>
  <c r="H390" i="5"/>
  <c r="L386" i="5"/>
  <c r="J386" i="5"/>
  <c r="E386" i="5"/>
  <c r="C386" i="5"/>
  <c r="L385" i="5"/>
  <c r="J385" i="5"/>
  <c r="E385" i="5"/>
  <c r="C385" i="5"/>
  <c r="L384" i="5"/>
  <c r="J384" i="5"/>
  <c r="C384" i="5"/>
  <c r="F376" i="5"/>
  <c r="H373" i="5"/>
  <c r="G371" i="5"/>
  <c r="F371" i="5"/>
  <c r="E371" i="5"/>
  <c r="C371" i="5"/>
  <c r="L368" i="5"/>
  <c r="J368" i="5"/>
  <c r="H368" i="5"/>
  <c r="L367" i="5"/>
  <c r="J367" i="5"/>
  <c r="H367" i="5"/>
  <c r="L366" i="5"/>
  <c r="J366" i="5"/>
  <c r="H366" i="5"/>
  <c r="L362" i="5"/>
  <c r="J362" i="5"/>
  <c r="C362" i="5"/>
  <c r="L361" i="5"/>
  <c r="J361" i="5"/>
  <c r="E361" i="5"/>
  <c r="C361" i="5"/>
  <c r="L360" i="5"/>
  <c r="J360" i="5"/>
  <c r="E360" i="5"/>
  <c r="C360" i="5"/>
  <c r="F347" i="5"/>
  <c r="F352" i="5"/>
  <c r="H349" i="5"/>
  <c r="G347" i="5"/>
  <c r="E347" i="5"/>
  <c r="C347" i="5"/>
  <c r="L344" i="5"/>
  <c r="J344" i="5"/>
  <c r="H344" i="5"/>
  <c r="L343" i="5"/>
  <c r="J343" i="5"/>
  <c r="H343" i="5"/>
  <c r="L342" i="5"/>
  <c r="J342" i="5"/>
  <c r="H342" i="5"/>
  <c r="L338" i="5"/>
  <c r="J338" i="5"/>
  <c r="E338" i="5"/>
  <c r="C338" i="5"/>
  <c r="L337" i="5"/>
  <c r="J337" i="5"/>
  <c r="E337" i="5"/>
  <c r="C337" i="5"/>
  <c r="L336" i="5"/>
  <c r="J336" i="5"/>
  <c r="E336" i="5"/>
  <c r="C336" i="5"/>
  <c r="F328" i="5"/>
  <c r="H325" i="5"/>
  <c r="G323" i="5"/>
  <c r="H323" i="5" s="1"/>
  <c r="E323" i="5"/>
  <c r="C323" i="5"/>
  <c r="L320" i="5"/>
  <c r="J320" i="5"/>
  <c r="H320" i="5"/>
  <c r="L319" i="5"/>
  <c r="J319" i="5"/>
  <c r="H319" i="5"/>
  <c r="L318" i="5"/>
  <c r="J318" i="5"/>
  <c r="H318" i="5"/>
  <c r="L314" i="5"/>
  <c r="J314" i="5"/>
  <c r="E314" i="5"/>
  <c r="C314" i="5"/>
  <c r="L313" i="5"/>
  <c r="J313" i="5"/>
  <c r="E313" i="5"/>
  <c r="C313" i="5"/>
  <c r="L312" i="5"/>
  <c r="J312" i="5"/>
  <c r="C312" i="5"/>
  <c r="D32" i="2"/>
  <c r="F304" i="5"/>
  <c r="H301" i="5"/>
  <c r="G299" i="5"/>
  <c r="H299" i="5" s="1"/>
  <c r="E299" i="5"/>
  <c r="C299" i="5"/>
  <c r="L296" i="5"/>
  <c r="J296" i="5"/>
  <c r="H296" i="5"/>
  <c r="L295" i="5"/>
  <c r="J295" i="5"/>
  <c r="H295" i="5"/>
  <c r="L294" i="5"/>
  <c r="J294" i="5"/>
  <c r="H294" i="5"/>
  <c r="L290" i="5"/>
  <c r="J290" i="5"/>
  <c r="C290" i="5"/>
  <c r="L289" i="5"/>
  <c r="J289" i="5"/>
  <c r="E289" i="5"/>
  <c r="C289" i="5"/>
  <c r="L288" i="5"/>
  <c r="J288" i="5"/>
  <c r="E288" i="5"/>
  <c r="C288" i="5"/>
  <c r="F280" i="5"/>
  <c r="H277" i="5"/>
  <c r="G275" i="5"/>
  <c r="H275" i="5" s="1"/>
  <c r="E275" i="5"/>
  <c r="C275" i="5"/>
  <c r="L272" i="5"/>
  <c r="J272" i="5"/>
  <c r="H272" i="5"/>
  <c r="L271" i="5"/>
  <c r="J271" i="5"/>
  <c r="H271" i="5"/>
  <c r="L270" i="5"/>
  <c r="J270" i="5"/>
  <c r="H270" i="5"/>
  <c r="L266" i="5"/>
  <c r="J266" i="5"/>
  <c r="E266" i="5"/>
  <c r="C266" i="5"/>
  <c r="L265" i="5"/>
  <c r="E265" i="5"/>
  <c r="C265" i="5"/>
  <c r="L264" i="5"/>
  <c r="J264" i="5"/>
  <c r="E264" i="5"/>
  <c r="C264" i="5"/>
  <c r="G251" i="5"/>
  <c r="H251" i="5" s="1"/>
  <c r="E251" i="5"/>
  <c r="C251" i="5"/>
  <c r="E227" i="5"/>
  <c r="C227" i="5"/>
  <c r="F256" i="5"/>
  <c r="H253" i="5"/>
  <c r="L248" i="5"/>
  <c r="J248" i="5"/>
  <c r="H248" i="5"/>
  <c r="L247" i="5"/>
  <c r="J247" i="5"/>
  <c r="H247" i="5"/>
  <c r="L246" i="5"/>
  <c r="J246" i="5"/>
  <c r="H246" i="5"/>
  <c r="L242" i="5"/>
  <c r="J242" i="5"/>
  <c r="E242" i="5"/>
  <c r="C242" i="5"/>
  <c r="F241" i="5"/>
  <c r="J241" i="5" s="1"/>
  <c r="E241" i="5"/>
  <c r="C241" i="5"/>
  <c r="L240" i="5"/>
  <c r="J240" i="5"/>
  <c r="C240" i="5"/>
  <c r="H222" i="5"/>
  <c r="D431" i="2"/>
  <c r="G227" i="5" s="1"/>
  <c r="H227" i="5" s="1"/>
  <c r="D45" i="2"/>
  <c r="D43" i="2"/>
  <c r="F217" i="5"/>
  <c r="J217" i="5" s="1"/>
  <c r="F232" i="5"/>
  <c r="H229" i="5"/>
  <c r="L224" i="5"/>
  <c r="J224" i="5"/>
  <c r="H224" i="5"/>
  <c r="L223" i="5"/>
  <c r="J223" i="5"/>
  <c r="H223" i="5"/>
  <c r="L222" i="5"/>
  <c r="J222" i="5"/>
  <c r="L218" i="5"/>
  <c r="J218" i="5"/>
  <c r="G218" i="5"/>
  <c r="H218" i="5" s="1"/>
  <c r="E218" i="5"/>
  <c r="C218" i="5"/>
  <c r="G217" i="5"/>
  <c r="E217" i="5"/>
  <c r="C217" i="5"/>
  <c r="L216" i="5"/>
  <c r="J216" i="5"/>
  <c r="G216" i="5"/>
  <c r="H216" i="5" s="1"/>
  <c r="E216" i="5"/>
  <c r="C216" i="5"/>
  <c r="F208" i="5"/>
  <c r="H205" i="5"/>
  <c r="H203" i="5"/>
  <c r="L200" i="5"/>
  <c r="J200" i="5"/>
  <c r="H200" i="5"/>
  <c r="L199" i="5"/>
  <c r="J199" i="5"/>
  <c r="H199" i="5"/>
  <c r="L198" i="5"/>
  <c r="J198" i="5"/>
  <c r="H198" i="5"/>
  <c r="L194" i="5"/>
  <c r="J194" i="5"/>
  <c r="G194" i="5"/>
  <c r="H194" i="5" s="1"/>
  <c r="E194" i="5"/>
  <c r="C194" i="5"/>
  <c r="L193" i="5"/>
  <c r="J193" i="5"/>
  <c r="G193" i="5"/>
  <c r="H193" i="5" s="1"/>
  <c r="E193" i="5"/>
  <c r="C193" i="5"/>
  <c r="L192" i="5"/>
  <c r="J192" i="5"/>
  <c r="G192" i="5"/>
  <c r="H192" i="5" s="1"/>
  <c r="E192" i="5"/>
  <c r="C192" i="5"/>
  <c r="F184" i="5"/>
  <c r="H181" i="5"/>
  <c r="G179" i="5"/>
  <c r="H179" i="5" s="1"/>
  <c r="E179" i="5"/>
  <c r="C179" i="5"/>
  <c r="L176" i="5"/>
  <c r="J176" i="5"/>
  <c r="H176" i="5"/>
  <c r="L175" i="5"/>
  <c r="J175" i="5"/>
  <c r="H175" i="5"/>
  <c r="L174" i="5"/>
  <c r="J174" i="5"/>
  <c r="H174" i="5"/>
  <c r="L170" i="5"/>
  <c r="J170" i="5"/>
  <c r="G170" i="5"/>
  <c r="H170" i="5" s="1"/>
  <c r="E170" i="5"/>
  <c r="C170" i="5"/>
  <c r="L169" i="5"/>
  <c r="J169" i="5"/>
  <c r="G169" i="5"/>
  <c r="H169" i="5" s="1"/>
  <c r="E169" i="5"/>
  <c r="C169" i="5"/>
  <c r="L168" i="5"/>
  <c r="J168" i="5"/>
  <c r="G168" i="5"/>
  <c r="H168" i="5" s="1"/>
  <c r="E168" i="5"/>
  <c r="C168" i="5"/>
  <c r="F160" i="5"/>
  <c r="H157" i="5"/>
  <c r="G155" i="5"/>
  <c r="H155" i="5" s="1"/>
  <c r="E155" i="5"/>
  <c r="C155" i="5"/>
  <c r="L152" i="5"/>
  <c r="J152" i="5"/>
  <c r="H152" i="5"/>
  <c r="L151" i="5"/>
  <c r="J151" i="5"/>
  <c r="H151" i="5"/>
  <c r="L150" i="5"/>
  <c r="J150" i="5"/>
  <c r="H150" i="5"/>
  <c r="L146" i="5"/>
  <c r="J146" i="5"/>
  <c r="G146" i="5"/>
  <c r="H146" i="5" s="1"/>
  <c r="E146" i="5"/>
  <c r="C146" i="5"/>
  <c r="L145" i="5"/>
  <c r="J145" i="5"/>
  <c r="G145" i="5"/>
  <c r="H145" i="5" s="1"/>
  <c r="E145" i="5"/>
  <c r="C145" i="5"/>
  <c r="L144" i="5"/>
  <c r="J144" i="5"/>
  <c r="G144" i="5"/>
  <c r="H144" i="5" s="1"/>
  <c r="E144" i="5"/>
  <c r="C144" i="5"/>
  <c r="G131" i="5"/>
  <c r="H131" i="5" s="1"/>
  <c r="E131" i="5"/>
  <c r="C131" i="5"/>
  <c r="H133" i="5"/>
  <c r="F136" i="5"/>
  <c r="L128" i="5"/>
  <c r="J128" i="5"/>
  <c r="H128" i="5"/>
  <c r="L127" i="5"/>
  <c r="J127" i="5"/>
  <c r="H127" i="5"/>
  <c r="L126" i="5"/>
  <c r="J126" i="5"/>
  <c r="H126" i="5"/>
  <c r="L122" i="5"/>
  <c r="J122" i="5"/>
  <c r="G122" i="5"/>
  <c r="H122" i="5" s="1"/>
  <c r="E122" i="5"/>
  <c r="C122" i="5"/>
  <c r="L121" i="5"/>
  <c r="J121" i="5"/>
  <c r="G121" i="5"/>
  <c r="H121" i="5" s="1"/>
  <c r="E121" i="5"/>
  <c r="C121" i="5"/>
  <c r="L120" i="5"/>
  <c r="J120" i="5"/>
  <c r="G120" i="5"/>
  <c r="H120" i="5" s="1"/>
  <c r="E120" i="5"/>
  <c r="C120" i="5"/>
  <c r="F112" i="5"/>
  <c r="H109" i="5"/>
  <c r="H110" i="5" s="1"/>
  <c r="L106" i="5"/>
  <c r="J106" i="5"/>
  <c r="H106" i="5"/>
  <c r="L105" i="5"/>
  <c r="J105" i="5"/>
  <c r="H105" i="5"/>
  <c r="L104" i="5"/>
  <c r="J104" i="5"/>
  <c r="H104" i="5"/>
  <c r="L100" i="5"/>
  <c r="J100" i="5"/>
  <c r="G100" i="5"/>
  <c r="H100" i="5" s="1"/>
  <c r="E100" i="5"/>
  <c r="C100" i="5"/>
  <c r="L99" i="5"/>
  <c r="J99" i="5"/>
  <c r="G99" i="5"/>
  <c r="H99" i="5" s="1"/>
  <c r="E99" i="5"/>
  <c r="C99" i="5"/>
  <c r="L98" i="5"/>
  <c r="J98" i="5"/>
  <c r="G98" i="5"/>
  <c r="H98" i="5" s="1"/>
  <c r="E98" i="5"/>
  <c r="C98" i="5"/>
  <c r="F90" i="5"/>
  <c r="H87" i="5"/>
  <c r="H88" i="5" s="1"/>
  <c r="L84" i="5"/>
  <c r="J84" i="5"/>
  <c r="H84" i="5"/>
  <c r="L83" i="5"/>
  <c r="J83" i="5"/>
  <c r="H83" i="5"/>
  <c r="L82" i="5"/>
  <c r="J82" i="5"/>
  <c r="H82" i="5"/>
  <c r="L78" i="5"/>
  <c r="J78" i="5"/>
  <c r="G78" i="5"/>
  <c r="H78" i="5" s="1"/>
  <c r="E78" i="5"/>
  <c r="C78" i="5"/>
  <c r="L77" i="5"/>
  <c r="J77" i="5"/>
  <c r="G77" i="5"/>
  <c r="H77" i="5" s="1"/>
  <c r="E77" i="5"/>
  <c r="C77" i="5"/>
  <c r="L76" i="5"/>
  <c r="J76" i="5"/>
  <c r="G76" i="5"/>
  <c r="H76" i="5" s="1"/>
  <c r="E76" i="5"/>
  <c r="C76" i="5"/>
  <c r="H62" i="5"/>
  <c r="H60" i="5"/>
  <c r="F68" i="5"/>
  <c r="H65" i="5"/>
  <c r="H66" i="5" s="1"/>
  <c r="L62" i="5"/>
  <c r="J62" i="5"/>
  <c r="L61" i="5"/>
  <c r="J61" i="5"/>
  <c r="H61" i="5"/>
  <c r="L60" i="5"/>
  <c r="J60" i="5"/>
  <c r="L56" i="5"/>
  <c r="J56" i="5"/>
  <c r="G56" i="5"/>
  <c r="H56" i="5" s="1"/>
  <c r="E56" i="5"/>
  <c r="C56" i="5"/>
  <c r="L55" i="5"/>
  <c r="J55" i="5"/>
  <c r="G55" i="5"/>
  <c r="H55" i="5" s="1"/>
  <c r="E55" i="5"/>
  <c r="C55" i="5"/>
  <c r="L54" i="5"/>
  <c r="J54" i="5"/>
  <c r="G54" i="5"/>
  <c r="H54" i="5" s="1"/>
  <c r="E54" i="5"/>
  <c r="C54" i="5"/>
  <c r="G34" i="5"/>
  <c r="H34" i="5" s="1"/>
  <c r="E34" i="5"/>
  <c r="C34" i="5"/>
  <c r="G33" i="5"/>
  <c r="H33" i="5" s="1"/>
  <c r="E33" i="5"/>
  <c r="C33" i="5"/>
  <c r="G32" i="5"/>
  <c r="H32" i="5" s="1"/>
  <c r="E32" i="5"/>
  <c r="C32" i="5"/>
  <c r="G11" i="5"/>
  <c r="H11" i="5" s="1"/>
  <c r="G10" i="5"/>
  <c r="H10" i="5" s="1"/>
  <c r="G9" i="5"/>
  <c r="H9" i="5" s="1"/>
  <c r="E11" i="5"/>
  <c r="E10" i="5"/>
  <c r="E9" i="5"/>
  <c r="C11" i="5"/>
  <c r="C10" i="5"/>
  <c r="C9" i="5"/>
  <c r="D23" i="2"/>
  <c r="D24" i="2" s="1"/>
  <c r="D34" i="2"/>
  <c r="E506" i="5" s="1"/>
  <c r="D30" i="2"/>
  <c r="D28" i="2"/>
  <c r="F46" i="5"/>
  <c r="F24" i="5"/>
  <c r="H43" i="5"/>
  <c r="H44" i="5" s="1"/>
  <c r="L40" i="5"/>
  <c r="J40" i="5"/>
  <c r="H40" i="5"/>
  <c r="L39" i="5"/>
  <c r="J39" i="5"/>
  <c r="H39" i="5"/>
  <c r="L38" i="5"/>
  <c r="J38" i="5"/>
  <c r="H38" i="5"/>
  <c r="L34" i="5"/>
  <c r="J34" i="5"/>
  <c r="L33" i="5"/>
  <c r="J33" i="5"/>
  <c r="L32" i="5"/>
  <c r="J32" i="5"/>
  <c r="H21" i="5"/>
  <c r="H20" i="5"/>
  <c r="J20" i="5" s="1"/>
  <c r="L17" i="5"/>
  <c r="J17" i="5"/>
  <c r="H17" i="5"/>
  <c r="L16" i="5"/>
  <c r="J16" i="5"/>
  <c r="H16" i="5"/>
  <c r="L15" i="5"/>
  <c r="J15" i="5"/>
  <c r="H15" i="5"/>
  <c r="L12" i="5"/>
  <c r="J12" i="5"/>
  <c r="L11" i="5"/>
  <c r="J11" i="5"/>
  <c r="L10" i="5"/>
  <c r="J10" i="5"/>
  <c r="L9" i="5"/>
  <c r="J9" i="5"/>
  <c r="D208" i="2"/>
  <c r="D209" i="2" s="1"/>
  <c r="D195" i="2"/>
  <c r="D194" i="2"/>
  <c r="D193" i="2"/>
  <c r="D157" i="2"/>
  <c r="D76" i="2"/>
  <c r="D67" i="2"/>
  <c r="D21" i="2"/>
  <c r="D20" i="2"/>
  <c r="D19" i="2"/>
  <c r="D18" i="2"/>
  <c r="D15" i="2"/>
  <c r="D14" i="2"/>
  <c r="D13" i="2"/>
  <c r="D12" i="2"/>
  <c r="D11" i="2"/>
  <c r="D10" i="2"/>
  <c r="D9" i="2"/>
  <c r="G2607" i="5" l="1"/>
  <c r="H2607" i="5" s="1"/>
  <c r="H2610" i="5" s="1"/>
  <c r="H2616" i="5" s="1"/>
  <c r="H2617" i="5" s="1"/>
  <c r="H2618" i="5" s="1"/>
  <c r="E2607" i="5"/>
  <c r="G1485" i="5"/>
  <c r="H1485" i="5" s="1"/>
  <c r="E1431" i="5"/>
  <c r="E1457" i="5"/>
  <c r="E1485" i="5"/>
  <c r="E1381" i="5"/>
  <c r="E1406" i="5"/>
  <c r="E1080" i="5"/>
  <c r="E552" i="5"/>
  <c r="E600" i="5"/>
  <c r="E792" i="5"/>
  <c r="E1307" i="5"/>
  <c r="E768" i="5"/>
  <c r="E696" i="5"/>
  <c r="E816" i="5"/>
  <c r="E672" i="5"/>
  <c r="E1253" i="5"/>
  <c r="E744" i="5"/>
  <c r="E576" i="5"/>
  <c r="E1128" i="5"/>
  <c r="E648" i="5"/>
  <c r="E624" i="5"/>
  <c r="E1056" i="5"/>
  <c r="E1203" i="5"/>
  <c r="E720" i="5"/>
  <c r="E1228" i="5"/>
  <c r="E1153" i="5"/>
  <c r="E1178" i="5"/>
  <c r="E1282" i="5"/>
  <c r="E1104" i="5"/>
  <c r="G481" i="5"/>
  <c r="H481" i="5" s="1"/>
  <c r="E1456" i="5"/>
  <c r="E1154" i="5"/>
  <c r="E1179" i="5"/>
  <c r="E673" i="5"/>
  <c r="E697" i="5"/>
  <c r="E1306" i="5"/>
  <c r="E817" i="5"/>
  <c r="E1281" i="5"/>
  <c r="E1129" i="5"/>
  <c r="E721" i="5"/>
  <c r="E769" i="5"/>
  <c r="E1229" i="5"/>
  <c r="E793" i="5"/>
  <c r="E601" i="5"/>
  <c r="E1254" i="5"/>
  <c r="E745" i="5"/>
  <c r="E577" i="5"/>
  <c r="E1204" i="5"/>
  <c r="E649" i="5"/>
  <c r="E553" i="5"/>
  <c r="E625" i="5"/>
  <c r="E456" i="5"/>
  <c r="E3491" i="5"/>
  <c r="E3082" i="5"/>
  <c r="E3294" i="5"/>
  <c r="E3030" i="5"/>
  <c r="E3373" i="5"/>
  <c r="E2898" i="5"/>
  <c r="E3320" i="5"/>
  <c r="E2950" i="5"/>
  <c r="E3214" i="5"/>
  <c r="E2871" i="5"/>
  <c r="E3268" i="5"/>
  <c r="E2924" i="5"/>
  <c r="E3162" i="5"/>
  <c r="E2844" i="5"/>
  <c r="E2977" i="5"/>
  <c r="E3347" i="5"/>
  <c r="E3241" i="5"/>
  <c r="E3109" i="5"/>
  <c r="E3004" i="5"/>
  <c r="E3136" i="5"/>
  <c r="E3056" i="5"/>
  <c r="E3188" i="5"/>
  <c r="E1405" i="5"/>
  <c r="E1430" i="5"/>
  <c r="E1484" i="5"/>
  <c r="E1380" i="5"/>
  <c r="E1455" i="5"/>
  <c r="E818" i="5"/>
  <c r="E602" i="5"/>
  <c r="E674" i="5"/>
  <c r="E578" i="5"/>
  <c r="E650" i="5"/>
  <c r="E722" i="5"/>
  <c r="E770" i="5"/>
  <c r="E1280" i="5"/>
  <c r="E794" i="5"/>
  <c r="E1205" i="5"/>
  <c r="E1130" i="5"/>
  <c r="E554" i="5"/>
  <c r="E1081" i="5"/>
  <c r="E1057" i="5"/>
  <c r="E746" i="5"/>
  <c r="E1180" i="5"/>
  <c r="E1305" i="5"/>
  <c r="E1255" i="5"/>
  <c r="E1105" i="5"/>
  <c r="E698" i="5"/>
  <c r="E626" i="5"/>
  <c r="E1230" i="5"/>
  <c r="E1155" i="5"/>
  <c r="E312" i="5"/>
  <c r="E384" i="5"/>
  <c r="E2659" i="5"/>
  <c r="E2737" i="5"/>
  <c r="E2685" i="5"/>
  <c r="E2711" i="5"/>
  <c r="E2765" i="5"/>
  <c r="E240" i="5"/>
  <c r="E290" i="5"/>
  <c r="E362" i="5"/>
  <c r="E434" i="5"/>
  <c r="E529" i="5"/>
  <c r="D7" i="14"/>
  <c r="D6" i="14"/>
  <c r="G3517" i="5"/>
  <c r="H3517" i="5" s="1"/>
  <c r="H3519" i="5" s="1"/>
  <c r="H3525" i="5" s="1"/>
  <c r="H3526" i="5" s="1"/>
  <c r="H3527" i="5" s="1"/>
  <c r="G3491" i="5"/>
  <c r="H3491" i="5" s="1"/>
  <c r="H3493" i="5" s="1"/>
  <c r="H3499" i="5" s="1"/>
  <c r="H3500" i="5" s="1"/>
  <c r="H3501" i="5" s="1"/>
  <c r="D210" i="2"/>
  <c r="D211" i="2" s="1"/>
  <c r="D212" i="2" s="1"/>
  <c r="D215" i="2" s="1"/>
  <c r="D216" i="2" s="1"/>
  <c r="D217" i="2" s="1"/>
  <c r="G3214" i="5"/>
  <c r="H3214" i="5" s="1"/>
  <c r="H3216" i="5" s="1"/>
  <c r="H3222" i="5" s="1"/>
  <c r="H3223" i="5" s="1"/>
  <c r="H3224" i="5" s="1"/>
  <c r="G2950" i="5"/>
  <c r="H2950" i="5" s="1"/>
  <c r="H2952" i="5" s="1"/>
  <c r="H2958" i="5" s="1"/>
  <c r="H2959" i="5" s="1"/>
  <c r="H2960" i="5" s="1"/>
  <c r="G3373" i="5"/>
  <c r="H3373" i="5" s="1"/>
  <c r="H3375" i="5" s="1"/>
  <c r="H3381" i="5" s="1"/>
  <c r="H3382" i="5" s="1"/>
  <c r="H3383" i="5" s="1"/>
  <c r="G2898" i="5"/>
  <c r="H2898" i="5" s="1"/>
  <c r="H2900" i="5" s="1"/>
  <c r="H2906" i="5" s="1"/>
  <c r="H2907" i="5" s="1"/>
  <c r="H2908" i="5" s="1"/>
  <c r="G3320" i="5"/>
  <c r="H3320" i="5" s="1"/>
  <c r="H3322" i="5" s="1"/>
  <c r="H3328" i="5" s="1"/>
  <c r="H3329" i="5" s="1"/>
  <c r="H3330" i="5" s="1"/>
  <c r="G3268" i="5"/>
  <c r="H3268" i="5" s="1"/>
  <c r="H3270" i="5" s="1"/>
  <c r="H3276" i="5" s="1"/>
  <c r="H3277" i="5" s="1"/>
  <c r="H3278" i="5" s="1"/>
  <c r="G2844" i="5"/>
  <c r="H2844" i="5" s="1"/>
  <c r="H2846" i="5" s="1"/>
  <c r="H2852" i="5" s="1"/>
  <c r="H2853" i="5" s="1"/>
  <c r="H2854" i="5" s="1"/>
  <c r="G3294" i="5"/>
  <c r="H3294" i="5" s="1"/>
  <c r="H3296" i="5" s="1"/>
  <c r="H3302" i="5" s="1"/>
  <c r="H3303" i="5" s="1"/>
  <c r="H3304" i="5" s="1"/>
  <c r="G2871" i="5"/>
  <c r="H2871" i="5" s="1"/>
  <c r="H2873" i="5" s="1"/>
  <c r="H2879" i="5" s="1"/>
  <c r="H2880" i="5" s="1"/>
  <c r="H2881" i="5" s="1"/>
  <c r="G3109" i="5"/>
  <c r="H3109" i="5" s="1"/>
  <c r="H3111" i="5" s="1"/>
  <c r="H3117" i="5" s="1"/>
  <c r="H3118" i="5" s="1"/>
  <c r="H3119" i="5" s="1"/>
  <c r="G2977" i="5"/>
  <c r="H2977" i="5" s="1"/>
  <c r="H2979" i="5" s="1"/>
  <c r="H2985" i="5" s="1"/>
  <c r="H2986" i="5" s="1"/>
  <c r="H2987" i="5" s="1"/>
  <c r="G3188" i="5"/>
  <c r="H3188" i="5" s="1"/>
  <c r="H3190" i="5" s="1"/>
  <c r="H3196" i="5" s="1"/>
  <c r="H3197" i="5" s="1"/>
  <c r="H3198" i="5" s="1"/>
  <c r="G3136" i="5"/>
  <c r="H3136" i="5" s="1"/>
  <c r="H3138" i="5" s="1"/>
  <c r="H3144" i="5" s="1"/>
  <c r="H3145" i="5" s="1"/>
  <c r="H3146" i="5" s="1"/>
  <c r="G3004" i="5"/>
  <c r="H3004" i="5" s="1"/>
  <c r="H3006" i="5" s="1"/>
  <c r="H3012" i="5" s="1"/>
  <c r="G3030" i="5"/>
  <c r="H3030" i="5" s="1"/>
  <c r="H3032" i="5" s="1"/>
  <c r="H3038" i="5" s="1"/>
  <c r="H3039" i="5" s="1"/>
  <c r="H3040" i="5" s="1"/>
  <c r="G3056" i="5"/>
  <c r="H3056" i="5" s="1"/>
  <c r="H3058" i="5" s="1"/>
  <c r="H3064" i="5" s="1"/>
  <c r="H3065" i="5" s="1"/>
  <c r="H3066" i="5" s="1"/>
  <c r="G3347" i="5"/>
  <c r="H3347" i="5" s="1"/>
  <c r="H3349" i="5" s="1"/>
  <c r="H3355" i="5" s="1"/>
  <c r="H3356" i="5" s="1"/>
  <c r="H3357" i="5" s="1"/>
  <c r="G3162" i="5"/>
  <c r="H3162" i="5" s="1"/>
  <c r="H3164" i="5" s="1"/>
  <c r="H3170" i="5" s="1"/>
  <c r="G3241" i="5"/>
  <c r="H3241" i="5" s="1"/>
  <c r="H3243" i="5" s="1"/>
  <c r="H3249" i="5" s="1"/>
  <c r="H3250" i="5" s="1"/>
  <c r="H3251" i="5" s="1"/>
  <c r="G3082" i="5"/>
  <c r="H3082" i="5" s="1"/>
  <c r="H3084" i="5" s="1"/>
  <c r="H3090" i="5" s="1"/>
  <c r="H3091" i="5" s="1"/>
  <c r="H3092" i="5" s="1"/>
  <c r="G2924" i="5"/>
  <c r="H2924" i="5" s="1"/>
  <c r="H2926" i="5" s="1"/>
  <c r="H2932" i="5" s="1"/>
  <c r="G2711" i="5"/>
  <c r="H2711" i="5" s="1"/>
  <c r="H2714" i="5" s="1"/>
  <c r="H2720" i="5" s="1"/>
  <c r="H2721" i="5" s="1"/>
  <c r="H2722" i="5" s="1"/>
  <c r="G2737" i="5"/>
  <c r="H2737" i="5" s="1"/>
  <c r="H2740" i="5" s="1"/>
  <c r="H2746" i="5" s="1"/>
  <c r="H2747" i="5" s="1"/>
  <c r="H2748" i="5" s="1"/>
  <c r="G2765" i="5"/>
  <c r="H2765" i="5" s="1"/>
  <c r="H2768" i="5" s="1"/>
  <c r="H2774" i="5" s="1"/>
  <c r="H2775" i="5" s="1"/>
  <c r="H2776" i="5" s="1"/>
  <c r="G2685" i="5"/>
  <c r="H2685" i="5" s="1"/>
  <c r="H2688" i="5" s="1"/>
  <c r="H2694" i="5" s="1"/>
  <c r="G2659" i="5"/>
  <c r="H2659" i="5" s="1"/>
  <c r="H2662" i="5" s="1"/>
  <c r="H2668" i="5" s="1"/>
  <c r="H2669" i="5" s="1"/>
  <c r="H2670" i="5" s="1"/>
  <c r="G530" i="5"/>
  <c r="H530" i="5" s="1"/>
  <c r="G1484" i="5"/>
  <c r="H1484" i="5" s="1"/>
  <c r="H1488" i="5" s="1"/>
  <c r="H1501" i="5" s="1"/>
  <c r="H1502" i="5" s="1"/>
  <c r="H1503" i="5" s="1"/>
  <c r="G337" i="5"/>
  <c r="H337" i="5" s="1"/>
  <c r="G1456" i="5"/>
  <c r="H1456" i="5" s="1"/>
  <c r="G1306" i="5"/>
  <c r="H1306" i="5" s="1"/>
  <c r="G1281" i="5"/>
  <c r="H1281" i="5" s="1"/>
  <c r="G1431" i="5"/>
  <c r="H1431" i="5" s="1"/>
  <c r="G1381" i="5"/>
  <c r="H1381" i="5" s="1"/>
  <c r="G1406" i="5"/>
  <c r="H1406" i="5" s="1"/>
  <c r="G1457" i="5"/>
  <c r="H1457" i="5" s="1"/>
  <c r="G1307" i="5"/>
  <c r="H1307" i="5" s="1"/>
  <c r="G1282" i="5"/>
  <c r="H1282" i="5" s="1"/>
  <c r="G1455" i="5"/>
  <c r="H1455" i="5" s="1"/>
  <c r="G1380" i="5"/>
  <c r="H1380" i="5" s="1"/>
  <c r="G1430" i="5"/>
  <c r="H1430" i="5" s="1"/>
  <c r="G1405" i="5"/>
  <c r="H1405" i="5" s="1"/>
  <c r="G1305" i="5"/>
  <c r="H1305" i="5" s="1"/>
  <c r="G1280" i="5"/>
  <c r="H1280" i="5" s="1"/>
  <c r="G313" i="5"/>
  <c r="H313" i="5" s="1"/>
  <c r="G1229" i="5"/>
  <c r="H1229" i="5" s="1"/>
  <c r="G1179" i="5"/>
  <c r="H1179" i="5" s="1"/>
  <c r="G1129" i="5"/>
  <c r="H1129" i="5" s="1"/>
  <c r="G1204" i="5"/>
  <c r="H1204" i="5" s="1"/>
  <c r="G1254" i="5"/>
  <c r="H1254" i="5" s="1"/>
  <c r="G1154" i="5"/>
  <c r="H1154" i="5" s="1"/>
  <c r="G289" i="5"/>
  <c r="H289" i="5" s="1"/>
  <c r="G386" i="5"/>
  <c r="H386" i="5" s="1"/>
  <c r="G1081" i="5"/>
  <c r="H1081" i="5" s="1"/>
  <c r="G1130" i="5"/>
  <c r="H1130" i="5" s="1"/>
  <c r="G1180" i="5"/>
  <c r="H1180" i="5" s="1"/>
  <c r="G1255" i="5"/>
  <c r="H1255" i="5" s="1"/>
  <c r="G1205" i="5"/>
  <c r="H1205" i="5" s="1"/>
  <c r="G1155" i="5"/>
  <c r="H1155" i="5" s="1"/>
  <c r="G1057" i="5"/>
  <c r="H1057" i="5" s="1"/>
  <c r="G1230" i="5"/>
  <c r="H1230" i="5" s="1"/>
  <c r="G1105" i="5"/>
  <c r="H1105" i="5" s="1"/>
  <c r="G433" i="5"/>
  <c r="H433" i="5" s="1"/>
  <c r="G408" i="5"/>
  <c r="H408" i="5" s="1"/>
  <c r="G1203" i="5"/>
  <c r="H1203" i="5" s="1"/>
  <c r="G1080" i="5"/>
  <c r="H1080" i="5" s="1"/>
  <c r="G1104" i="5"/>
  <c r="H1104" i="5" s="1"/>
  <c r="G1253" i="5"/>
  <c r="H1253" i="5" s="1"/>
  <c r="G1153" i="5"/>
  <c r="H1153" i="5" s="1"/>
  <c r="G1228" i="5"/>
  <c r="H1228" i="5" s="1"/>
  <c r="G1178" i="5"/>
  <c r="H1178" i="5" s="1"/>
  <c r="G1128" i="5"/>
  <c r="H1128" i="5" s="1"/>
  <c r="G1056" i="5"/>
  <c r="H1056" i="5" s="1"/>
  <c r="G385" i="5"/>
  <c r="H385" i="5" s="1"/>
  <c r="H537" i="5"/>
  <c r="H395" i="5"/>
  <c r="J395" i="5" s="1"/>
  <c r="G290" i="5"/>
  <c r="H290" i="5" s="1"/>
  <c r="G312" i="5"/>
  <c r="H312" i="5" s="1"/>
  <c r="G505" i="5"/>
  <c r="H505" i="5" s="1"/>
  <c r="G504" i="5"/>
  <c r="H504" i="5" s="1"/>
  <c r="G360" i="5"/>
  <c r="H360" i="5" s="1"/>
  <c r="G338" i="5"/>
  <c r="H338" i="5" s="1"/>
  <c r="G241" i="5"/>
  <c r="H241" i="5" s="1"/>
  <c r="G457" i="5"/>
  <c r="H457" i="5" s="1"/>
  <c r="G288" i="5"/>
  <c r="H288" i="5" s="1"/>
  <c r="G600" i="5"/>
  <c r="H600" i="5" s="1"/>
  <c r="G552" i="5"/>
  <c r="H552" i="5" s="1"/>
  <c r="G792" i="5"/>
  <c r="H792" i="5" s="1"/>
  <c r="G696" i="5"/>
  <c r="H696" i="5" s="1"/>
  <c r="G624" i="5"/>
  <c r="H624" i="5" s="1"/>
  <c r="G720" i="5"/>
  <c r="H720" i="5" s="1"/>
  <c r="G648" i="5"/>
  <c r="H648" i="5" s="1"/>
  <c r="G576" i="5"/>
  <c r="H576" i="5" s="1"/>
  <c r="G744" i="5"/>
  <c r="H744" i="5" s="1"/>
  <c r="G768" i="5"/>
  <c r="H768" i="5" s="1"/>
  <c r="G672" i="5"/>
  <c r="H672" i="5" s="1"/>
  <c r="G816" i="5"/>
  <c r="H816" i="5" s="1"/>
  <c r="G361" i="5"/>
  <c r="H361" i="5" s="1"/>
  <c r="G409" i="5"/>
  <c r="H409" i="5" s="1"/>
  <c r="G528" i="5"/>
  <c r="H528" i="5" s="1"/>
  <c r="G266" i="5"/>
  <c r="H266" i="5" s="1"/>
  <c r="G626" i="5"/>
  <c r="H626" i="5" s="1"/>
  <c r="G818" i="5"/>
  <c r="H818" i="5" s="1"/>
  <c r="G674" i="5"/>
  <c r="H674" i="5" s="1"/>
  <c r="G770" i="5"/>
  <c r="H770" i="5" s="1"/>
  <c r="G794" i="5"/>
  <c r="H794" i="5" s="1"/>
  <c r="G722" i="5"/>
  <c r="H722" i="5" s="1"/>
  <c r="G698" i="5"/>
  <c r="H698" i="5" s="1"/>
  <c r="G746" i="5"/>
  <c r="H746" i="5" s="1"/>
  <c r="G578" i="5"/>
  <c r="H578" i="5" s="1"/>
  <c r="G650" i="5"/>
  <c r="H650" i="5" s="1"/>
  <c r="G554" i="5"/>
  <c r="H554" i="5" s="1"/>
  <c r="G602" i="5"/>
  <c r="H602" i="5" s="1"/>
  <c r="G434" i="5"/>
  <c r="H434" i="5" s="1"/>
  <c r="G242" i="5"/>
  <c r="H242" i="5" s="1"/>
  <c r="G506" i="5"/>
  <c r="H506" i="5" s="1"/>
  <c r="G264" i="5"/>
  <c r="H264" i="5" s="1"/>
  <c r="G480" i="5"/>
  <c r="H480" i="5" s="1"/>
  <c r="G745" i="5"/>
  <c r="H745" i="5" s="1"/>
  <c r="G553" i="5"/>
  <c r="H553" i="5" s="1"/>
  <c r="G601" i="5"/>
  <c r="H601" i="5" s="1"/>
  <c r="G697" i="5"/>
  <c r="H697" i="5" s="1"/>
  <c r="G577" i="5"/>
  <c r="H577" i="5" s="1"/>
  <c r="G625" i="5"/>
  <c r="H625" i="5" s="1"/>
  <c r="G769" i="5"/>
  <c r="H769" i="5" s="1"/>
  <c r="G649" i="5"/>
  <c r="H649" i="5" s="1"/>
  <c r="G793" i="5"/>
  <c r="H793" i="5" s="1"/>
  <c r="G817" i="5"/>
  <c r="H817" i="5" s="1"/>
  <c r="G673" i="5"/>
  <c r="H673" i="5" s="1"/>
  <c r="G721" i="5"/>
  <c r="H721" i="5" s="1"/>
  <c r="G456" i="5"/>
  <c r="H456" i="5" s="1"/>
  <c r="G458" i="5"/>
  <c r="H458" i="5" s="1"/>
  <c r="G432" i="5"/>
  <c r="H432" i="5" s="1"/>
  <c r="G482" i="5"/>
  <c r="H482" i="5" s="1"/>
  <c r="G336" i="5"/>
  <c r="H336" i="5" s="1"/>
  <c r="G362" i="5"/>
  <c r="H362" i="5" s="1"/>
  <c r="G384" i="5"/>
  <c r="H384" i="5" s="1"/>
  <c r="G410" i="5"/>
  <c r="H410" i="5" s="1"/>
  <c r="G529" i="5"/>
  <c r="H529" i="5" s="1"/>
  <c r="G314" i="5"/>
  <c r="H314" i="5" s="1"/>
  <c r="J537" i="5"/>
  <c r="H489" i="5"/>
  <c r="L537" i="5"/>
  <c r="H297" i="5"/>
  <c r="J345" i="5"/>
  <c r="J393" i="5"/>
  <c r="J489" i="5"/>
  <c r="H345" i="5"/>
  <c r="H393" i="5"/>
  <c r="H441" i="5"/>
  <c r="H513" i="5"/>
  <c r="H417" i="5"/>
  <c r="L532" i="5"/>
  <c r="J532" i="5"/>
  <c r="H542" i="5"/>
  <c r="J539" i="5"/>
  <c r="J513" i="5"/>
  <c r="L513" i="5"/>
  <c r="L489" i="5"/>
  <c r="L508" i="5"/>
  <c r="J508" i="5"/>
  <c r="H518" i="5"/>
  <c r="J515" i="5"/>
  <c r="J484" i="5"/>
  <c r="J460" i="5"/>
  <c r="L460" i="5"/>
  <c r="L484" i="5"/>
  <c r="J491" i="5"/>
  <c r="H494" i="5"/>
  <c r="J465" i="5"/>
  <c r="J417" i="5"/>
  <c r="L465" i="5"/>
  <c r="H465" i="5"/>
  <c r="H470" i="5"/>
  <c r="J467" i="5"/>
  <c r="L393" i="5"/>
  <c r="J441" i="5"/>
  <c r="J297" i="5"/>
  <c r="L345" i="5"/>
  <c r="L441" i="5"/>
  <c r="J436" i="5"/>
  <c r="L436" i="5"/>
  <c r="J443" i="5"/>
  <c r="H446" i="5"/>
  <c r="L412" i="5"/>
  <c r="L417" i="5"/>
  <c r="J412" i="5"/>
  <c r="H422" i="5"/>
  <c r="J419" i="5"/>
  <c r="H369" i="5"/>
  <c r="H371" i="5"/>
  <c r="H374" i="5" s="1"/>
  <c r="J369" i="5"/>
  <c r="L369" i="5"/>
  <c r="J388" i="5"/>
  <c r="L388" i="5"/>
  <c r="J364" i="5"/>
  <c r="L364" i="5"/>
  <c r="J340" i="5"/>
  <c r="J273" i="5"/>
  <c r="J292" i="5"/>
  <c r="H347" i="5"/>
  <c r="J347" i="5" s="1"/>
  <c r="L340" i="5"/>
  <c r="L321" i="5"/>
  <c r="H321" i="5"/>
  <c r="J321" i="5"/>
  <c r="J316" i="5"/>
  <c r="L316" i="5"/>
  <c r="H326" i="5"/>
  <c r="J323" i="5"/>
  <c r="L297" i="5"/>
  <c r="G265" i="5"/>
  <c r="H265" i="5" s="1"/>
  <c r="G240" i="5"/>
  <c r="H240" i="5" s="1"/>
  <c r="L292" i="5"/>
  <c r="H302" i="5"/>
  <c r="J299" i="5"/>
  <c r="H230" i="5"/>
  <c r="L273" i="5"/>
  <c r="H254" i="5"/>
  <c r="H177" i="5"/>
  <c r="H273" i="5"/>
  <c r="L268" i="5"/>
  <c r="J275" i="5"/>
  <c r="H278" i="5"/>
  <c r="H249" i="5"/>
  <c r="J249" i="5"/>
  <c r="L249" i="5"/>
  <c r="L201" i="5"/>
  <c r="J265" i="5"/>
  <c r="J268" i="5" s="1"/>
  <c r="L225" i="5"/>
  <c r="J225" i="5"/>
  <c r="J244" i="5"/>
  <c r="J251" i="5"/>
  <c r="H225" i="5"/>
  <c r="L241" i="5"/>
  <c r="L244" i="5" s="1"/>
  <c r="L217" i="5"/>
  <c r="L220" i="5" s="1"/>
  <c r="J220" i="5"/>
  <c r="H217" i="5"/>
  <c r="H220" i="5" s="1"/>
  <c r="J201" i="5"/>
  <c r="J196" i="5"/>
  <c r="H201" i="5"/>
  <c r="J227" i="5"/>
  <c r="L196" i="5"/>
  <c r="H206" i="5"/>
  <c r="J203" i="5"/>
  <c r="H196" i="5"/>
  <c r="L148" i="5"/>
  <c r="L177" i="5"/>
  <c r="J63" i="5"/>
  <c r="J177" i="5"/>
  <c r="J172" i="5"/>
  <c r="L172" i="5"/>
  <c r="H182" i="5"/>
  <c r="J179" i="5"/>
  <c r="H172" i="5"/>
  <c r="J153" i="5"/>
  <c r="J148" i="5"/>
  <c r="H134" i="5"/>
  <c r="L153" i="5"/>
  <c r="H153" i="5"/>
  <c r="H158" i="5"/>
  <c r="J155" i="5"/>
  <c r="H148" i="5"/>
  <c r="J102" i="5"/>
  <c r="J107" i="5"/>
  <c r="H107" i="5"/>
  <c r="L107" i="5"/>
  <c r="L102" i="5"/>
  <c r="H129" i="5"/>
  <c r="J129" i="5"/>
  <c r="L129" i="5"/>
  <c r="J85" i="5"/>
  <c r="L85" i="5"/>
  <c r="L124" i="5"/>
  <c r="H102" i="5"/>
  <c r="J124" i="5"/>
  <c r="H85" i="5"/>
  <c r="J80" i="5"/>
  <c r="L80" i="5"/>
  <c r="H124" i="5"/>
  <c r="J131" i="5"/>
  <c r="J58" i="5"/>
  <c r="L58" i="5"/>
  <c r="J109" i="5"/>
  <c r="H80" i="5"/>
  <c r="J87" i="5"/>
  <c r="H63" i="5"/>
  <c r="L63" i="5"/>
  <c r="H58" i="5"/>
  <c r="J65" i="5"/>
  <c r="J36" i="5"/>
  <c r="H18" i="5"/>
  <c r="J41" i="5"/>
  <c r="L36" i="5"/>
  <c r="H13" i="5"/>
  <c r="J13" i="5"/>
  <c r="L41" i="5"/>
  <c r="H22" i="5"/>
  <c r="L13" i="5"/>
  <c r="H36" i="5"/>
  <c r="J18" i="5"/>
  <c r="L18" i="5"/>
  <c r="H41" i="5"/>
  <c r="L20" i="5"/>
  <c r="J21" i="5"/>
  <c r="L21" i="5" s="1"/>
  <c r="J43" i="5"/>
  <c r="G3678" i="5" l="1"/>
  <c r="H3678" i="5" s="1"/>
  <c r="H3682" i="5" s="1"/>
  <c r="H3687" i="5" s="1"/>
  <c r="H3688" i="5" s="1"/>
  <c r="H3689" i="5" s="1"/>
  <c r="E3678" i="5"/>
  <c r="D467" i="2"/>
  <c r="D470" i="2"/>
  <c r="D466" i="2"/>
  <c r="D475" i="2"/>
  <c r="D471" i="2"/>
  <c r="D473" i="2"/>
  <c r="D469" i="2"/>
  <c r="D465" i="2"/>
  <c r="D472" i="2"/>
  <c r="D479" i="2"/>
  <c r="D478" i="2"/>
  <c r="D477" i="2"/>
  <c r="H3171" i="5"/>
  <c r="H3172" i="5" s="1"/>
  <c r="H3013" i="5"/>
  <c r="H3014" i="5" s="1"/>
  <c r="H2933" i="5"/>
  <c r="H2934" i="5" s="1"/>
  <c r="H2695" i="5"/>
  <c r="H2696" i="5" s="1"/>
  <c r="H1285" i="5"/>
  <c r="H1296" i="5" s="1"/>
  <c r="H1297" i="5" s="1"/>
  <c r="H1298" i="5" s="1"/>
  <c r="H1310" i="5"/>
  <c r="H1321" i="5" s="1"/>
  <c r="H1322" i="5" s="1"/>
  <c r="H1323" i="5" s="1"/>
  <c r="H1410" i="5"/>
  <c r="H1421" i="5" s="1"/>
  <c r="H1422" i="5" s="1"/>
  <c r="H1423" i="5" s="1"/>
  <c r="H1435" i="5"/>
  <c r="H1446" i="5" s="1"/>
  <c r="H1447" i="5" s="1"/>
  <c r="H1448" i="5" s="1"/>
  <c r="H1460" i="5"/>
  <c r="H1475" i="5" s="1"/>
  <c r="H1476" i="5" s="1"/>
  <c r="H1477" i="5" s="1"/>
  <c r="H1385" i="5"/>
  <c r="H1396" i="5" s="1"/>
  <c r="H1397" i="5" s="1"/>
  <c r="H1398" i="5" s="1"/>
  <c r="H1208" i="5"/>
  <c r="H1219" i="5" s="1"/>
  <c r="H1220" i="5" s="1"/>
  <c r="H1221" i="5" s="1"/>
  <c r="H1233" i="5"/>
  <c r="H1244" i="5" s="1"/>
  <c r="H1245" i="5" s="1"/>
  <c r="H1246" i="5" s="1"/>
  <c r="H1158" i="5"/>
  <c r="H1169" i="5" s="1"/>
  <c r="H1170" i="5" s="1"/>
  <c r="H1171" i="5" s="1"/>
  <c r="H1258" i="5"/>
  <c r="H1271" i="5" s="1"/>
  <c r="H1272" i="5" s="1"/>
  <c r="H1273" i="5" s="1"/>
  <c r="H1108" i="5"/>
  <c r="H1119" i="5" s="1"/>
  <c r="H1120" i="5" s="1"/>
  <c r="H1121" i="5" s="1"/>
  <c r="H1133" i="5"/>
  <c r="H1144" i="5" s="1"/>
  <c r="H1145" i="5" s="1"/>
  <c r="H1146" i="5" s="1"/>
  <c r="H1183" i="5"/>
  <c r="H1194" i="5" s="1"/>
  <c r="H1195" i="5" s="1"/>
  <c r="H1196" i="5" s="1"/>
  <c r="H1060" i="5"/>
  <c r="H1071" i="5" s="1"/>
  <c r="H1072" i="5" s="1"/>
  <c r="H1073" i="5" s="1"/>
  <c r="H388" i="5"/>
  <c r="H580" i="5"/>
  <c r="H591" i="5" s="1"/>
  <c r="H592" i="5" s="1"/>
  <c r="H593" i="5" s="1"/>
  <c r="H1084" i="5"/>
  <c r="H1095" i="5" s="1"/>
  <c r="H1096" i="5" s="1"/>
  <c r="H1097" i="5" s="1"/>
  <c r="H748" i="5"/>
  <c r="H759" i="5" s="1"/>
  <c r="H760" i="5" s="1"/>
  <c r="H761" i="5" s="1"/>
  <c r="H652" i="5"/>
  <c r="H663" i="5" s="1"/>
  <c r="H664" i="5" s="1"/>
  <c r="H665" i="5" s="1"/>
  <c r="H724" i="5"/>
  <c r="H735" i="5" s="1"/>
  <c r="H736" i="5" s="1"/>
  <c r="H737" i="5" s="1"/>
  <c r="H796" i="5"/>
  <c r="H807" i="5" s="1"/>
  <c r="H808" i="5" s="1"/>
  <c r="H809" i="5" s="1"/>
  <c r="H292" i="5"/>
  <c r="H303" i="5" s="1"/>
  <c r="H304" i="5" s="1"/>
  <c r="H305" i="5" s="1"/>
  <c r="H268" i="5"/>
  <c r="H279" i="5" s="1"/>
  <c r="H280" i="5" s="1"/>
  <c r="H281" i="5" s="1"/>
  <c r="H484" i="5"/>
  <c r="H495" i="5" s="1"/>
  <c r="H496" i="5" s="1"/>
  <c r="H497" i="5" s="1"/>
  <c r="H316" i="5"/>
  <c r="H327" i="5" s="1"/>
  <c r="H328" i="5" s="1"/>
  <c r="H329" i="5" s="1"/>
  <c r="H532" i="5"/>
  <c r="H543" i="5" s="1"/>
  <c r="H544" i="5" s="1"/>
  <c r="H545" i="5" s="1"/>
  <c r="H340" i="5"/>
  <c r="H772" i="5"/>
  <c r="H783" i="5" s="1"/>
  <c r="H784" i="5" s="1"/>
  <c r="H785" i="5" s="1"/>
  <c r="H628" i="5"/>
  <c r="H639" i="5" s="1"/>
  <c r="H640" i="5" s="1"/>
  <c r="H641" i="5" s="1"/>
  <c r="H700" i="5"/>
  <c r="H711" i="5" s="1"/>
  <c r="H712" i="5" s="1"/>
  <c r="H713" i="5" s="1"/>
  <c r="H412" i="5"/>
  <c r="H423" i="5" s="1"/>
  <c r="H508" i="5"/>
  <c r="H519" i="5" s="1"/>
  <c r="H676" i="5"/>
  <c r="H687" i="5" s="1"/>
  <c r="H688" i="5" s="1"/>
  <c r="H689" i="5" s="1"/>
  <c r="H436" i="5"/>
  <c r="H447" i="5" s="1"/>
  <c r="H398" i="5"/>
  <c r="H364" i="5"/>
  <c r="H375" i="5" s="1"/>
  <c r="H460" i="5"/>
  <c r="H471" i="5" s="1"/>
  <c r="H556" i="5"/>
  <c r="H567" i="5" s="1"/>
  <c r="H568" i="5" s="1"/>
  <c r="H569" i="5" s="1"/>
  <c r="H604" i="5"/>
  <c r="H615" i="5" s="1"/>
  <c r="H616" i="5" s="1"/>
  <c r="H617" i="5" s="1"/>
  <c r="H820" i="5"/>
  <c r="H831" i="5" s="1"/>
  <c r="H832" i="5" s="1"/>
  <c r="H833" i="5" s="1"/>
  <c r="J542" i="5"/>
  <c r="J543" i="5" s="1"/>
  <c r="L539" i="5"/>
  <c r="L542" i="5" s="1"/>
  <c r="L543" i="5" s="1"/>
  <c r="L515" i="5"/>
  <c r="L518" i="5" s="1"/>
  <c r="L519" i="5" s="1"/>
  <c r="J518" i="5"/>
  <c r="J519" i="5" s="1"/>
  <c r="L491" i="5"/>
  <c r="L494" i="5" s="1"/>
  <c r="L495" i="5" s="1"/>
  <c r="J494" i="5"/>
  <c r="J495" i="5" s="1"/>
  <c r="J470" i="5"/>
  <c r="J471" i="5" s="1"/>
  <c r="L467" i="5"/>
  <c r="L470" i="5" s="1"/>
  <c r="L471" i="5" s="1"/>
  <c r="J371" i="5"/>
  <c r="L371" i="5" s="1"/>
  <c r="L374" i="5" s="1"/>
  <c r="L375" i="5" s="1"/>
  <c r="J446" i="5"/>
  <c r="J447" i="5" s="1"/>
  <c r="L443" i="5"/>
  <c r="L446" i="5" s="1"/>
  <c r="L447" i="5" s="1"/>
  <c r="J422" i="5"/>
  <c r="J423" i="5" s="1"/>
  <c r="L419" i="5"/>
  <c r="L422" i="5" s="1"/>
  <c r="L423" i="5" s="1"/>
  <c r="J398" i="5"/>
  <c r="J399" i="5" s="1"/>
  <c r="L395" i="5"/>
  <c r="L398" i="5" s="1"/>
  <c r="L399" i="5" s="1"/>
  <c r="H350" i="5"/>
  <c r="J350" i="5"/>
  <c r="J351" i="5" s="1"/>
  <c r="L347" i="5"/>
  <c r="L350" i="5" s="1"/>
  <c r="L351" i="5" s="1"/>
  <c r="J326" i="5"/>
  <c r="J327" i="5" s="1"/>
  <c r="L323" i="5"/>
  <c r="L326" i="5" s="1"/>
  <c r="L327" i="5" s="1"/>
  <c r="H207" i="5"/>
  <c r="H208" i="5" s="1"/>
  <c r="H209" i="5" s="1"/>
  <c r="H231" i="5"/>
  <c r="H232" i="5" s="1"/>
  <c r="H233" i="5" s="1"/>
  <c r="H244" i="5"/>
  <c r="H255" i="5" s="1"/>
  <c r="H256" i="5" s="1"/>
  <c r="H257" i="5" s="1"/>
  <c r="J302" i="5"/>
  <c r="J303" i="5" s="1"/>
  <c r="L299" i="5"/>
  <c r="L302" i="5" s="1"/>
  <c r="L303" i="5" s="1"/>
  <c r="J278" i="5"/>
  <c r="J279" i="5" s="1"/>
  <c r="L275" i="5"/>
  <c r="L278" i="5" s="1"/>
  <c r="L279" i="5" s="1"/>
  <c r="J254" i="5"/>
  <c r="J255" i="5" s="1"/>
  <c r="L251" i="5"/>
  <c r="L254" i="5" s="1"/>
  <c r="L255" i="5" s="1"/>
  <c r="H183" i="5"/>
  <c r="H184" i="5" s="1"/>
  <c r="H185" i="5" s="1"/>
  <c r="L227" i="5"/>
  <c r="L230" i="5" s="1"/>
  <c r="L231" i="5" s="1"/>
  <c r="J230" i="5"/>
  <c r="J231" i="5" s="1"/>
  <c r="L203" i="5"/>
  <c r="L206" i="5" s="1"/>
  <c r="L207" i="5" s="1"/>
  <c r="J206" i="5"/>
  <c r="J207" i="5" s="1"/>
  <c r="H159" i="5"/>
  <c r="H160" i="5" s="1"/>
  <c r="H161" i="5" s="1"/>
  <c r="L179" i="5"/>
  <c r="L182" i="5" s="1"/>
  <c r="L183" i="5" s="1"/>
  <c r="J182" i="5"/>
  <c r="J183" i="5" s="1"/>
  <c r="J158" i="5"/>
  <c r="J159" i="5" s="1"/>
  <c r="L155" i="5"/>
  <c r="L158" i="5" s="1"/>
  <c r="L159" i="5" s="1"/>
  <c r="H111" i="5"/>
  <c r="H112" i="5" s="1"/>
  <c r="H113" i="5" s="1"/>
  <c r="H89" i="5"/>
  <c r="H90" i="5" s="1"/>
  <c r="H91" i="5" s="1"/>
  <c r="H135" i="5"/>
  <c r="H136" i="5" s="1"/>
  <c r="H137" i="5" s="1"/>
  <c r="H67" i="5"/>
  <c r="H68" i="5" s="1"/>
  <c r="H69" i="5" s="1"/>
  <c r="J110" i="5"/>
  <c r="J111" i="5" s="1"/>
  <c r="L109" i="5"/>
  <c r="L110" i="5" s="1"/>
  <c r="L111" i="5" s="1"/>
  <c r="J134" i="5"/>
  <c r="J135" i="5" s="1"/>
  <c r="L131" i="5"/>
  <c r="L134" i="5" s="1"/>
  <c r="L135" i="5" s="1"/>
  <c r="J88" i="5"/>
  <c r="J89" i="5" s="1"/>
  <c r="L87" i="5"/>
  <c r="L88" i="5" s="1"/>
  <c r="L89" i="5" s="1"/>
  <c r="J66" i="5"/>
  <c r="J67" i="5" s="1"/>
  <c r="L65" i="5"/>
  <c r="L66" i="5" s="1"/>
  <c r="L67" i="5" s="1"/>
  <c r="H23" i="5"/>
  <c r="H24" i="5" s="1"/>
  <c r="H25" i="5" s="1"/>
  <c r="H45" i="5"/>
  <c r="H46" i="5" s="1"/>
  <c r="H47" i="5" s="1"/>
  <c r="J22" i="5"/>
  <c r="J23" i="5" s="1"/>
  <c r="J24" i="5" s="1"/>
  <c r="J25" i="5" s="1"/>
  <c r="J44" i="5"/>
  <c r="J45" i="5" s="1"/>
  <c r="L43" i="5"/>
  <c r="L44" i="5" s="1"/>
  <c r="L45" i="5" s="1"/>
  <c r="L22" i="5"/>
  <c r="L23" i="5" s="1"/>
  <c r="G3945" i="5" l="1"/>
  <c r="H3945" i="5" s="1"/>
  <c r="E3945" i="5"/>
  <c r="E3866" i="5"/>
  <c r="E3893" i="5"/>
  <c r="E3919" i="5"/>
  <c r="E3839" i="5"/>
  <c r="H3968" i="9"/>
  <c r="E3944" i="5"/>
  <c r="E3865" i="5"/>
  <c r="E3892" i="5"/>
  <c r="E3918" i="5"/>
  <c r="E3838" i="5"/>
  <c r="G3894" i="5"/>
  <c r="H3894" i="5" s="1"/>
  <c r="E3867" i="5"/>
  <c r="E3894" i="5"/>
  <c r="E3920" i="5"/>
  <c r="E3840" i="5"/>
  <c r="E3946" i="5"/>
  <c r="G3865" i="5"/>
  <c r="H3865" i="5" s="1"/>
  <c r="H3891" i="9"/>
  <c r="G3944" i="5"/>
  <c r="H3944" i="5" s="1"/>
  <c r="H3864" i="9"/>
  <c r="G3838" i="5"/>
  <c r="H3838" i="5" s="1"/>
  <c r="G3918" i="5"/>
  <c r="H3918" i="5" s="1"/>
  <c r="H3889" i="9"/>
  <c r="H3916" i="9"/>
  <c r="H3862" i="9"/>
  <c r="H3944" i="9"/>
  <c r="H3918" i="9"/>
  <c r="D468" i="2"/>
  <c r="G3866" i="5"/>
  <c r="H3866" i="5" s="1"/>
  <c r="G3839" i="5"/>
  <c r="H3839" i="5" s="1"/>
  <c r="H3970" i="9"/>
  <c r="G3867" i="5"/>
  <c r="H3867" i="5" s="1"/>
  <c r="G3946" i="5"/>
  <c r="H3946" i="5" s="1"/>
  <c r="G3840" i="5"/>
  <c r="H3840" i="5" s="1"/>
  <c r="H3969" i="9"/>
  <c r="G3892" i="5"/>
  <c r="H3892" i="5" s="1"/>
  <c r="G3919" i="5"/>
  <c r="H3919" i="5" s="1"/>
  <c r="H3863" i="9"/>
  <c r="H3943" i="9"/>
  <c r="G3920" i="5"/>
  <c r="H3920" i="5" s="1"/>
  <c r="H3942" i="9"/>
  <c r="D476" i="2"/>
  <c r="H3917" i="9"/>
  <c r="H3890" i="9"/>
  <c r="G3893" i="5"/>
  <c r="H3893" i="5" s="1"/>
  <c r="H399" i="5"/>
  <c r="H400" i="5" s="1"/>
  <c r="H401" i="5" s="1"/>
  <c r="H351" i="5"/>
  <c r="H352" i="5" s="1"/>
  <c r="H353" i="5" s="1"/>
  <c r="H472" i="5"/>
  <c r="H473" i="5" s="1"/>
  <c r="J374" i="5"/>
  <c r="J375" i="5" s="1"/>
  <c r="J376" i="5" s="1"/>
  <c r="J377" i="5" s="1"/>
  <c r="L544" i="5"/>
  <c r="L545" i="5" s="1"/>
  <c r="J544" i="5"/>
  <c r="J545" i="5" s="1"/>
  <c r="H520" i="5"/>
  <c r="H521" i="5" s="1"/>
  <c r="J520" i="5"/>
  <c r="J521" i="5" s="1"/>
  <c r="L520" i="5"/>
  <c r="L521" i="5" s="1"/>
  <c r="L496" i="5"/>
  <c r="L497" i="5" s="1"/>
  <c r="J496" i="5"/>
  <c r="J497" i="5" s="1"/>
  <c r="L472" i="5"/>
  <c r="L473" i="5" s="1"/>
  <c r="J472" i="5"/>
  <c r="J473" i="5" s="1"/>
  <c r="H448" i="5"/>
  <c r="H449" i="5" s="1"/>
  <c r="L448" i="5"/>
  <c r="L449" i="5" s="1"/>
  <c r="J448" i="5"/>
  <c r="J449" i="5" s="1"/>
  <c r="H424" i="5"/>
  <c r="H425" i="5" s="1"/>
  <c r="L424" i="5"/>
  <c r="L425" i="5" s="1"/>
  <c r="J424" i="5"/>
  <c r="J425" i="5" s="1"/>
  <c r="L400" i="5"/>
  <c r="L401" i="5" s="1"/>
  <c r="J400" i="5"/>
  <c r="J401" i="5" s="1"/>
  <c r="H376" i="5"/>
  <c r="H377" i="5" s="1"/>
  <c r="L376" i="5"/>
  <c r="L377" i="5" s="1"/>
  <c r="L352" i="5"/>
  <c r="L353" i="5" s="1"/>
  <c r="J352" i="5"/>
  <c r="J353" i="5" s="1"/>
  <c r="L328" i="5"/>
  <c r="L329" i="5" s="1"/>
  <c r="J328" i="5"/>
  <c r="J329" i="5" s="1"/>
  <c r="J304" i="5"/>
  <c r="J305" i="5" s="1"/>
  <c r="L304" i="5"/>
  <c r="L305" i="5" s="1"/>
  <c r="J280" i="5"/>
  <c r="J281" i="5" s="1"/>
  <c r="L280" i="5"/>
  <c r="L281" i="5" s="1"/>
  <c r="L256" i="5"/>
  <c r="L257" i="5" s="1"/>
  <c r="J256" i="5"/>
  <c r="J257" i="5" s="1"/>
  <c r="J232" i="5"/>
  <c r="J233" i="5" s="1"/>
  <c r="L232" i="5"/>
  <c r="L233" i="5" s="1"/>
  <c r="L208" i="5"/>
  <c r="L209" i="5" s="1"/>
  <c r="J208" i="5"/>
  <c r="J209" i="5" s="1"/>
  <c r="J184" i="5"/>
  <c r="J185" i="5" s="1"/>
  <c r="L184" i="5"/>
  <c r="L185" i="5" s="1"/>
  <c r="L160" i="5"/>
  <c r="L161" i="5" s="1"/>
  <c r="J160" i="5"/>
  <c r="J161" i="5" s="1"/>
  <c r="L136" i="5"/>
  <c r="L137" i="5" s="1"/>
  <c r="J136" i="5"/>
  <c r="J137" i="5" s="1"/>
  <c r="L112" i="5"/>
  <c r="L113" i="5" s="1"/>
  <c r="J112" i="5"/>
  <c r="J113" i="5" s="1"/>
  <c r="L90" i="5"/>
  <c r="L91" i="5" s="1"/>
  <c r="J90" i="5"/>
  <c r="J91" i="5" s="1"/>
  <c r="L68" i="5"/>
  <c r="L69" i="5" s="1"/>
  <c r="J68" i="5"/>
  <c r="J69" i="5" s="1"/>
  <c r="L24" i="5"/>
  <c r="L25" i="5" s="1"/>
  <c r="L46" i="5"/>
  <c r="L47" i="5" s="1"/>
  <c r="J46" i="5"/>
  <c r="J47" i="5" s="1"/>
  <c r="H3949" i="5" l="1"/>
  <c r="H3955" i="5" s="1"/>
  <c r="H3956" i="5" s="1"/>
  <c r="H3957" i="5" s="1"/>
  <c r="H3973" i="9"/>
  <c r="H3979" i="9" s="1"/>
  <c r="H3980" i="9" s="1"/>
  <c r="H3981" i="9" s="1"/>
  <c r="H3894" i="9"/>
  <c r="H3900" i="9" s="1"/>
  <c r="H3901" i="9" s="1"/>
  <c r="H3902" i="9" s="1"/>
  <c r="H3903" i="9" s="1"/>
  <c r="D161" i="8" s="1"/>
  <c r="H3843" i="5"/>
  <c r="H3849" i="5" s="1"/>
  <c r="H3850" i="5" s="1"/>
  <c r="H3851" i="5" s="1"/>
  <c r="H3852" i="5" s="1"/>
  <c r="H3870" i="5"/>
  <c r="H3876" i="5" s="1"/>
  <c r="H3877" i="5" s="1"/>
  <c r="H3878" i="5" s="1"/>
  <c r="H3879" i="5" s="1"/>
  <c r="H3867" i="9"/>
  <c r="H3873" i="9" s="1"/>
  <c r="H3897" i="5"/>
  <c r="H3903" i="5" s="1"/>
  <c r="H3904" i="5" s="1"/>
  <c r="H3905" i="5" s="1"/>
  <c r="H3947" i="9"/>
  <c r="H3953" i="9" s="1"/>
  <c r="H3954" i="9" s="1"/>
  <c r="H3955" i="9" s="1"/>
  <c r="D163" i="8" s="1"/>
  <c r="H3921" i="9"/>
  <c r="H3927" i="9" s="1"/>
  <c r="H3928" i="9" s="1"/>
  <c r="H3923" i="5"/>
  <c r="H3929" i="5" s="1"/>
  <c r="H3930" i="5" s="1"/>
  <c r="H3931" i="5" s="1"/>
  <c r="D164" i="8" l="1"/>
  <c r="H3874" i="9"/>
  <c r="H3875" i="9" s="1"/>
  <c r="H3876" i="9" s="1"/>
  <c r="D160" i="8" s="1"/>
  <c r="H3929" i="9"/>
  <c r="D162" i="8" s="1"/>
  <c r="J20" i="15" l="1"/>
  <c r="J21" i="15" l="1"/>
  <c r="J22" i="15" s="1"/>
  <c r="J23" i="15" s="1"/>
  <c r="J24" i="15" l="1"/>
  <c r="H13" i="14"/>
  <c r="H15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<sst xmlns="http://schemas.openxmlformats.org/spreadsheetml/2006/main" count="19824" uniqueCount="2101">
  <si>
    <t>NO</t>
  </si>
  <si>
    <t>JENIS PEKERJAAN</t>
  </si>
  <si>
    <t>DAFTAR HARGA SATUAN PEKERJAAN</t>
  </si>
  <si>
    <t>KATEGORI II (SEDANG)</t>
  </si>
  <si>
    <t>KATEGORI III (SULIT)</t>
  </si>
  <si>
    <t>A</t>
  </si>
  <si>
    <t>B</t>
  </si>
  <si>
    <t>C</t>
  </si>
  <si>
    <t>D</t>
  </si>
  <si>
    <t>E</t>
  </si>
  <si>
    <t>F</t>
  </si>
  <si>
    <t>G</t>
  </si>
  <si>
    <t>I</t>
  </si>
  <si>
    <t>L</t>
  </si>
  <si>
    <t>SATUAN</t>
  </si>
  <si>
    <t>KODE</t>
  </si>
  <si>
    <t>JENIS BAHAN</t>
  </si>
  <si>
    <t>(Rp)</t>
  </si>
  <si>
    <t>OH</t>
  </si>
  <si>
    <t>Tukang Batu</t>
  </si>
  <si>
    <t>Tukang Gali</t>
  </si>
  <si>
    <t>Tukang Kayu</t>
  </si>
  <si>
    <t>Tukang Besi</t>
  </si>
  <si>
    <t>Tukang Cat</t>
  </si>
  <si>
    <t>Tukang Dempul</t>
  </si>
  <si>
    <t>Tukang Plistur</t>
  </si>
  <si>
    <t>Tukang Alumunium/Kaca</t>
  </si>
  <si>
    <t>Kepala Tukang</t>
  </si>
  <si>
    <t>Pekerja</t>
  </si>
  <si>
    <t>Pekerja Bongkar / Siram</t>
  </si>
  <si>
    <t>Mandor</t>
  </si>
  <si>
    <t>Tukang Listrik</t>
  </si>
  <si>
    <t>Tukang Las</t>
  </si>
  <si>
    <t>m³</t>
  </si>
  <si>
    <t>Batu Bulat Utuh</t>
  </si>
  <si>
    <t>Batu Belah 15 / 20 cm</t>
  </si>
  <si>
    <t>Batu Pecah 10/15</t>
  </si>
  <si>
    <t>Batu Pecah 5/7</t>
  </si>
  <si>
    <t>Batu Pecah 3/5</t>
  </si>
  <si>
    <t>Batu Pecah Mesin 2/3 cm</t>
  </si>
  <si>
    <t>kg</t>
  </si>
  <si>
    <t>Batu Pecah Mesin 2/3 cm (Kg)</t>
  </si>
  <si>
    <t>Batu Pecah 0,50 - 1 cm</t>
  </si>
  <si>
    <t>m3</t>
  </si>
  <si>
    <t>Batu pecah 0,2 - 0,5 cm</t>
  </si>
  <si>
    <t>Sirtu</t>
  </si>
  <si>
    <t>bh</t>
  </si>
  <si>
    <t>Bata merah</t>
  </si>
  <si>
    <t>Pasir Urug</t>
  </si>
  <si>
    <t>Pasir Pasang</t>
  </si>
  <si>
    <t>Pasir Beton (PB)</t>
  </si>
  <si>
    <t>Pasir Beton (Kg)</t>
  </si>
  <si>
    <t>Tanah Urug</t>
  </si>
  <si>
    <t>GENTENG</t>
  </si>
  <si>
    <t>Genteng plentong kecil</t>
  </si>
  <si>
    <t xml:space="preserve">Genteng palentong besar/Margas </t>
  </si>
  <si>
    <t>Genteng Kodok</t>
  </si>
  <si>
    <t>Genteng bubung palentong kecil</t>
  </si>
  <si>
    <t>Genteng bubung palentong besar/Margas</t>
  </si>
  <si>
    <t>Kg</t>
  </si>
  <si>
    <t>Semen Portland (kg)</t>
  </si>
  <si>
    <t>lbr</t>
  </si>
  <si>
    <t>Seng BJLS 0,2 panjang 180 cm</t>
  </si>
  <si>
    <t>m'</t>
  </si>
  <si>
    <t>Seng BJLS 0,2 lebar 55 cm</t>
  </si>
  <si>
    <t>Seng Plat BJLS 30 ( 0,90 x 1 m )</t>
  </si>
  <si>
    <t>GALVALUME, type Spandek Lysaght, tebal  0,25 mm efektif 75 cm</t>
  </si>
  <si>
    <t>GALVALUME, type Spandek Lysaght, tebal  0,30 mm efektif 75 cm</t>
  </si>
  <si>
    <t>Atap Galvalume Berpasir tebal 0,3 mm efektif 75 cm</t>
  </si>
  <si>
    <t>Galvalum sheet tebal 0,25 mm lebar 90 cm</t>
  </si>
  <si>
    <t>Galvalum sheet tebal 0,30 mm lebar 90 cm</t>
  </si>
  <si>
    <t>WATERPROOFING</t>
  </si>
  <si>
    <t>Waterproofing ex Sika / setara</t>
  </si>
  <si>
    <t>Lemkra DS 105</t>
  </si>
  <si>
    <t>INSULATION</t>
  </si>
  <si>
    <t>No Drop</t>
  </si>
  <si>
    <t>Aluminium foil Buble t = 8mm  (1,2 x 40m )</t>
  </si>
  <si>
    <t>Balok Kayu Kruing</t>
  </si>
  <si>
    <t>usuk 5 x 7cm kayu kruing</t>
  </si>
  <si>
    <t>Reng 2 x 3 cm kayu kruing</t>
  </si>
  <si>
    <t>Papan Kayu Kruing</t>
  </si>
  <si>
    <t>Papan Kayu Meranti</t>
  </si>
  <si>
    <t>Balok Kayu Meranti</t>
  </si>
  <si>
    <t>usuk kayu meranti 5/7</t>
  </si>
  <si>
    <t>usuk kayu meranti 4/6</t>
  </si>
  <si>
    <t>usuk kayu meranti</t>
  </si>
  <si>
    <t>Balok Kayu Kalba</t>
  </si>
  <si>
    <t>Kayu Kalba 5/7</t>
  </si>
  <si>
    <t>Kayu Kalba</t>
  </si>
  <si>
    <t>Papan Kayu Kalba</t>
  </si>
  <si>
    <t>Lem Kayu</t>
  </si>
  <si>
    <t>bt</t>
  </si>
  <si>
    <t>KERAMIK</t>
  </si>
  <si>
    <t>Keramik 20x20 cm Antislip (kelas A)</t>
  </si>
  <si>
    <t>Keramik 30x30 cm Motif (kelas A)</t>
  </si>
  <si>
    <t>Keramik 30x30 cm Putih (kelas A)</t>
  </si>
  <si>
    <t>Keramik 30x30 cm Motif (kelas B)</t>
  </si>
  <si>
    <t>Keramik 30x30 cm antislip (kelas B)</t>
  </si>
  <si>
    <t>Keramik 30x30 cm putih polos (kelas B)</t>
  </si>
  <si>
    <t>Keramik 40x40 cm Motif (kelas B)</t>
  </si>
  <si>
    <t>Keramik 40x40 cm putih polos (kelas B)</t>
  </si>
  <si>
    <t>Keramik Dinding 20x25 cm (kelas A)</t>
  </si>
  <si>
    <t>Keramik Dinding 25x40 cm (kelas B)</t>
  </si>
  <si>
    <t>Keramik Dinding 30x60 cm (kelas B)</t>
  </si>
  <si>
    <t>Homogenous tile 60x60 cm warna muda merkNIRO</t>
  </si>
  <si>
    <t>Homogenous tile 60x60 cm warna tua merkNIRO</t>
  </si>
  <si>
    <t>Semen Warna</t>
  </si>
  <si>
    <t>BESI</t>
  </si>
  <si>
    <t>Besi beton polos</t>
  </si>
  <si>
    <t>Besi beton ulir</t>
  </si>
  <si>
    <t>Kawat beton</t>
  </si>
  <si>
    <t>Besi Canal</t>
  </si>
  <si>
    <t>Gording Canal C</t>
  </si>
  <si>
    <t>Besi Baja IWF</t>
  </si>
  <si>
    <t>btg</t>
  </si>
  <si>
    <t>Hollow Galvanis 20x40x1,2 mm (6 mtr)</t>
  </si>
  <si>
    <t>Hollow Galvanis 20x40x1,5 mm (6 mtr)</t>
  </si>
  <si>
    <t>Hollow Galvanis 20x40x2 mm (6 mtr)</t>
  </si>
  <si>
    <t>Hollow Galvanis 20x40x2,3 mm (6 mtr)</t>
  </si>
  <si>
    <t>Hollow Galvanis 35x55x1,2 mm (6 mtr)</t>
  </si>
  <si>
    <t>Hollow Galvanis 40x40x1,2 mm (6 mtr)</t>
  </si>
  <si>
    <t>Hollow Galvanis 40x40x1,5 mm (6 mtr)</t>
  </si>
  <si>
    <t>Hollow Galvanis 40x40x2 mm (6 mtr)</t>
  </si>
  <si>
    <t>Hollow Galvanis 40x40x2,3 mm (6 mtr)</t>
  </si>
  <si>
    <t>Hollow Galvanis 40x60x1,2 mm (6 mtr)</t>
  </si>
  <si>
    <t>Hollow Galvanis 40x60x1,5 mm (6 mtr)</t>
  </si>
  <si>
    <t>Hollow Galvanis 40x60x2 mm (6 mtr)</t>
  </si>
  <si>
    <t>Hollow Galvanis 40x60x2,3 mm (6 mtr)</t>
  </si>
  <si>
    <t>Hollow Galvanis 50x100x1,2 mm (6 mtr)</t>
  </si>
  <si>
    <t>Hollow Galvanis 50x100x1,5 mm (6 mtr)</t>
  </si>
  <si>
    <t>Hollow Galvanis 50x100x2 mm (6 mtr)</t>
  </si>
  <si>
    <t>Hollow Galvanis 50x100x2,3 mm (6 mtr)</t>
  </si>
  <si>
    <t>Besi plat hitam (segala ukuran)</t>
  </si>
  <si>
    <t>Besi plat bordes PB483</t>
  </si>
  <si>
    <t>Besi Siku</t>
  </si>
  <si>
    <t>Besi Strip</t>
  </si>
  <si>
    <t>Besi Plat Baja</t>
  </si>
  <si>
    <t>Hollow Galvalum 40 x 40 x 0,3 mm (4 mtr)</t>
  </si>
  <si>
    <t>Hollow Galvalum 40 x 40 x 0,25 mm (4 mtr)</t>
  </si>
  <si>
    <t>Hollow Galvalum 35 x 35 x 0,3 mm (4 mtr)</t>
  </si>
  <si>
    <t>Hollow Galvalum 35 x 35 x 0,25 mm (4 mtr)</t>
  </si>
  <si>
    <t>Hollow Galvalum 20 x 40 x 0,3 mm (4 mtr)</t>
  </si>
  <si>
    <t>Hollow Galvalum 20 x 40 x 0,25 mm (4 mtr)</t>
  </si>
  <si>
    <t>Hollow Galvalum 17,5 x 35 x 0,30 mm (4 mtr)</t>
  </si>
  <si>
    <t>Hollow Galvalum 17,5 x 35 x 0,25 mm (4 mtr)</t>
  </si>
  <si>
    <t>Baja ringan C 75 t=0,75mm (6 mtr)</t>
  </si>
  <si>
    <t>Reng A 32mm x 0,4 mm (6 mtr)</t>
  </si>
  <si>
    <t>jaring Anyaman Tulang Tunggal (Wiremesh) M6-M8</t>
  </si>
  <si>
    <t>Jaring kawat baja dilas  besi Ø 9,6 mm jarak 15 cm</t>
  </si>
  <si>
    <t>Paku biasa</t>
  </si>
  <si>
    <t>Paku 2”-3”</t>
  </si>
  <si>
    <t>Paku 5  – 10 cm</t>
  </si>
  <si>
    <t>Paku 5 cm – 12 cm</t>
  </si>
  <si>
    <t xml:space="preserve">Paku 1 cm - 2,5 cm </t>
  </si>
  <si>
    <t>Paku biasa ½”-1”</t>
  </si>
  <si>
    <t>Paku Kait 10cm</t>
  </si>
  <si>
    <t>Paku 10 cm</t>
  </si>
  <si>
    <t>Paku 12 cm</t>
  </si>
  <si>
    <t>Paku 5-7cm</t>
  </si>
  <si>
    <t>Bh</t>
  </si>
  <si>
    <t>Skrup fixer</t>
  </si>
  <si>
    <t>Paku skrup 3,5”</t>
  </si>
  <si>
    <t>m</t>
  </si>
  <si>
    <t>lisplank GRC 0,8 x 30 cm</t>
  </si>
  <si>
    <t>Lbr</t>
  </si>
  <si>
    <t xml:space="preserve">Gypsum board tebal 9 mm </t>
  </si>
  <si>
    <t>compound gypsum</t>
  </si>
  <si>
    <t>roll</t>
  </si>
  <si>
    <t>textile tape</t>
  </si>
  <si>
    <t>Kalsiboard 120 x 240 cm tbl 3,5 mm</t>
  </si>
  <si>
    <t>m²</t>
  </si>
  <si>
    <t>multipleks bekisting 9mm</t>
  </si>
  <si>
    <t>List Gypsum 10 cm</t>
  </si>
  <si>
    <t>List kayu 5 cm</t>
  </si>
  <si>
    <t>TUBE</t>
  </si>
  <si>
    <t>Sealant</t>
  </si>
  <si>
    <t>ALLUMUNIUM</t>
  </si>
  <si>
    <t>Profil alluminium merk Alexindo silver 3" tbl=1 mm</t>
  </si>
  <si>
    <t>Profil alluminium merk Alexindo silver 4" tbl=1 mm</t>
  </si>
  <si>
    <t>Profil alluminium merk Alexindo Coklat 3" tbl=1 mm</t>
  </si>
  <si>
    <t>Profil alluminium merk Alexindo Coklat 4" tbl=1 mm</t>
  </si>
  <si>
    <t>Pintu Spandril uk. 70x200 cm (komplit aksesories)</t>
  </si>
  <si>
    <t>Pintu Spandril uk. 100x200 cm (komplit aksesories)</t>
  </si>
  <si>
    <t>Jendela kaca ukuran 60x70 cm (komplit aksesories)</t>
  </si>
  <si>
    <t>Jendela kaca ukuran 70x70 cm (komplit aksesories)</t>
  </si>
  <si>
    <t>bovenlight alluminium</t>
  </si>
  <si>
    <t>KACA</t>
  </si>
  <si>
    <t>Kaca  Bening tebal 5mm</t>
  </si>
  <si>
    <t>Kaca  Bening tebal 8mm</t>
  </si>
  <si>
    <t>Kaca  Bening tebal 10mm</t>
  </si>
  <si>
    <t>Kaca  Tempered 12mm</t>
  </si>
  <si>
    <t>Kaca ray band 5mm</t>
  </si>
  <si>
    <t>Kaca  ray band 8mm</t>
  </si>
  <si>
    <t>sticker sandblast</t>
  </si>
  <si>
    <t>kaca cermin 5mm</t>
  </si>
  <si>
    <t>CAT</t>
  </si>
  <si>
    <t>Cat menie</t>
  </si>
  <si>
    <t xml:space="preserve">Cat kayu dasar Gloss/ Doff (merk Avian) </t>
  </si>
  <si>
    <t>Cat kayu penutup Gloss/ Doff (merk Avian)</t>
  </si>
  <si>
    <t>Tinner merk Impala</t>
  </si>
  <si>
    <t>Tinner</t>
  </si>
  <si>
    <t>Cat dasar (merk Catylac untuk Interior)</t>
  </si>
  <si>
    <t>Cat penutup (merk Catylac untuk Interior)</t>
  </si>
  <si>
    <t>Cat dasar (merk Catylac untuk Eksterior)</t>
  </si>
  <si>
    <t>Cat penutup (merk Catylac untuk Eksterior)</t>
  </si>
  <si>
    <t>Cat Dasar (merk mowillex untuk Eksterior)</t>
  </si>
  <si>
    <t>Cat Penutup (merk mowillex untuk Eksterior)</t>
  </si>
  <si>
    <t>zincrhomate</t>
  </si>
  <si>
    <t>Kuas 4"</t>
  </si>
  <si>
    <t>Ampelas</t>
  </si>
  <si>
    <t>Cat penutup (merk Decolith)</t>
  </si>
  <si>
    <t>Minyak cat</t>
  </si>
  <si>
    <t>Air</t>
  </si>
  <si>
    <t>liter</t>
  </si>
  <si>
    <t>MINYAK</t>
  </si>
  <si>
    <t>Minyak bekisting</t>
  </si>
  <si>
    <t>solar (industri)</t>
  </si>
  <si>
    <t>minyak pelumas</t>
  </si>
  <si>
    <t>Kunci tanam merk Solid</t>
  </si>
  <si>
    <t>Engsel jendela merk Solid 3"</t>
  </si>
  <si>
    <t>Engsel pintu merk Solid 4"</t>
  </si>
  <si>
    <t>Engsel angin</t>
  </si>
  <si>
    <t>grendel pintu merk SOLID</t>
  </si>
  <si>
    <t>grendel jendela merk SOLID</t>
  </si>
  <si>
    <t>tarikan jendela</t>
  </si>
  <si>
    <t>SANITASI</t>
  </si>
  <si>
    <t>Closet Monoblock merk American Standart single flasher</t>
  </si>
  <si>
    <t>Closet jongkok merkamerican standar (all colour)</t>
  </si>
  <si>
    <t>Urinoir (plus aksesoris)</t>
  </si>
  <si>
    <t>Wastafel merk American Standart (plus aksesoris)</t>
  </si>
  <si>
    <t>jet shower</t>
  </si>
  <si>
    <t xml:space="preserve">Floor drain stainlesssteel merkwasser </t>
  </si>
  <si>
    <t>kran diameter ½”  merk onda</t>
  </si>
  <si>
    <t>kran Wastafel</t>
  </si>
  <si>
    <t>Sealtape</t>
  </si>
  <si>
    <t>PIPA</t>
  </si>
  <si>
    <t xml:space="preserve">Pipa PVC ( ½" )  AW Putih </t>
  </si>
  <si>
    <t xml:space="preserve">Pipa PVC (1 " )  AW Putih </t>
  </si>
  <si>
    <t xml:space="preserve">Pipa PVC (1 ½" )  AW Putih </t>
  </si>
  <si>
    <t>Pipa PVC ( 2" ) AW Putih</t>
  </si>
  <si>
    <t>Pipa PVC ( 3" ) AW Putih</t>
  </si>
  <si>
    <t>Pipa PVC ( 4" ) AW Putih</t>
  </si>
  <si>
    <t>Pipa PVC ( 3" ) tipe D</t>
  </si>
  <si>
    <t>Pipa PVC ( 4" ) tipe D</t>
  </si>
  <si>
    <t>Kawat las merkNIKO RD-260</t>
  </si>
  <si>
    <t>prasasti keramik 20x30</t>
  </si>
  <si>
    <t>Prasasti keramik uk 15x25 cm</t>
  </si>
  <si>
    <t>ijuk</t>
  </si>
  <si>
    <t>Paving Blok Natural  6 cm 20 x 10 x 6 cm</t>
  </si>
  <si>
    <t>Paving Blok K-225, t : 6 cm Yang Diproduksi dengan pasir Lokal (sek .JKB  )</t>
  </si>
  <si>
    <t>Buis Beton U 20</t>
  </si>
  <si>
    <t>Buis Beton Ø 60</t>
  </si>
  <si>
    <t>Buis Beton Ø 80</t>
  </si>
  <si>
    <t>jam</t>
  </si>
  <si>
    <t>RIAU</t>
  </si>
  <si>
    <t>JAMBI</t>
  </si>
  <si>
    <t>BENGKULU</t>
  </si>
  <si>
    <t>ACEH</t>
  </si>
  <si>
    <t>SUMATERA UTARA</t>
  </si>
  <si>
    <t>SUMATERA BARAT</t>
  </si>
  <si>
    <t>SUMATERA SELATAN</t>
  </si>
  <si>
    <t>LAMPUNG</t>
  </si>
  <si>
    <t>KEP. BANGKA BELITUNG</t>
  </si>
  <si>
    <t>KEP. RIAU</t>
  </si>
  <si>
    <t>DKI JAKARTA</t>
  </si>
  <si>
    <t>JAWA BARAT</t>
  </si>
  <si>
    <t>JAWA TENGAH</t>
  </si>
  <si>
    <t>DI. YOGYAKARTA</t>
  </si>
  <si>
    <t>JAWA TIMUR</t>
  </si>
  <si>
    <t>BANTEN</t>
  </si>
  <si>
    <t>KALIMANTAN BARAT</t>
  </si>
  <si>
    <t>KALIMANTAN TENGAH</t>
  </si>
  <si>
    <t>KALIMANTAN SELATAN</t>
  </si>
  <si>
    <t>KALIMANTAN TIMUR</t>
  </si>
  <si>
    <t>KALIMANTAN UTARA</t>
  </si>
  <si>
    <t>Kab. Simeulue</t>
  </si>
  <si>
    <t>Kab. Aceh Singkil</t>
  </si>
  <si>
    <t>Kab. Aceh Selatan</t>
  </si>
  <si>
    <t>Kab. Aceh Tenggara</t>
  </si>
  <si>
    <t>Kab. Aceh Timur</t>
  </si>
  <si>
    <t>Kab. Aceh Tengah</t>
  </si>
  <si>
    <t>Kab. Aceh Barat</t>
  </si>
  <si>
    <t>Kab. Aceh Besar</t>
  </si>
  <si>
    <t>Kab. Pidie</t>
  </si>
  <si>
    <t>Kab. Bireuen</t>
  </si>
  <si>
    <t>Kab. Aceh Utara</t>
  </si>
  <si>
    <t>Kab. Aceh Barat Daya</t>
  </si>
  <si>
    <t>Kab. Gayo Lues</t>
  </si>
  <si>
    <t>Kab. Aceh Tamiang</t>
  </si>
  <si>
    <t>Kab. Nagan Raya</t>
  </si>
  <si>
    <t>Kab. Aceh Jaya</t>
  </si>
  <si>
    <t>Kab. Bener Meriah</t>
  </si>
  <si>
    <t>Kab. Pidie Jaya</t>
  </si>
  <si>
    <t>Kota Banda Aceh</t>
  </si>
  <si>
    <t>Kota Sabang</t>
  </si>
  <si>
    <t>Kota Langsa</t>
  </si>
  <si>
    <t>Kota Lhokseumawe</t>
  </si>
  <si>
    <t>Kota Subulussalam</t>
  </si>
  <si>
    <t>Kab. Nias</t>
  </si>
  <si>
    <t>Kab. Mandailing Natal</t>
  </si>
  <si>
    <t>Kab. Tapanuli Selatan</t>
  </si>
  <si>
    <t>Kab. Tapanuli Tengah</t>
  </si>
  <si>
    <t>Kab. Tapanuli Utara</t>
  </si>
  <si>
    <t>Kab. Toba Samosir</t>
  </si>
  <si>
    <t>Kab. Labuhanbatu</t>
  </si>
  <si>
    <t>Kab. Asahan</t>
  </si>
  <si>
    <t>Kab. Simalungun</t>
  </si>
  <si>
    <t>Kab. Dairi</t>
  </si>
  <si>
    <t>Kab. Karo</t>
  </si>
  <si>
    <t>Kab. Deli Serdang</t>
  </si>
  <si>
    <t>Kab. Langkat</t>
  </si>
  <si>
    <t>Kab. Nias Selatan</t>
  </si>
  <si>
    <t>Kab. Humbang Hasundutan</t>
  </si>
  <si>
    <t>Kab. Pakpak Bharat</t>
  </si>
  <si>
    <t>Kab. Samosir</t>
  </si>
  <si>
    <t>Kab. Serdang Bedagai</t>
  </si>
  <si>
    <t>Kab. Batu Bara</t>
  </si>
  <si>
    <t>Kab. Padang Lawas Utara</t>
  </si>
  <si>
    <t>Kab. Padang Lawas</t>
  </si>
  <si>
    <t>Kab. Labuhanbatu Selatan</t>
  </si>
  <si>
    <t>Kab. Labuhanbatu Utara</t>
  </si>
  <si>
    <t>Kab. Nias Utara</t>
  </si>
  <si>
    <t>Kab. Nias Barat</t>
  </si>
  <si>
    <t>Kota Sibolga</t>
  </si>
  <si>
    <t>Kota Tanjung Balai</t>
  </si>
  <si>
    <t>Kota Pematangsiantar</t>
  </si>
  <si>
    <t>Kota Tebing Tinggi</t>
  </si>
  <si>
    <t>Kota Medan</t>
  </si>
  <si>
    <t>Kota Binjai</t>
  </si>
  <si>
    <t>Kota Padang Sidempuan</t>
  </si>
  <si>
    <t>Kota Gunungsitoli</t>
  </si>
  <si>
    <t>Kab. Kuantan Singingi</t>
  </si>
  <si>
    <t>Kab. Indragiri Hulu</t>
  </si>
  <si>
    <t>Kab. Indragiri Hilir</t>
  </si>
  <si>
    <t>Kab. Pelalawan</t>
  </si>
  <si>
    <t>Kab. Siak</t>
  </si>
  <si>
    <t>Kab. Kampar</t>
  </si>
  <si>
    <t>Kab. Rokan Hulu</t>
  </si>
  <si>
    <t>Kab. Bengkalis</t>
  </si>
  <si>
    <t>Kab. Rokan Hilir</t>
  </si>
  <si>
    <t>Kab. Kepulauan Meranti</t>
  </si>
  <si>
    <t>Kota Pekanbaru</t>
  </si>
  <si>
    <t>Kota Dumai</t>
  </si>
  <si>
    <t>Kab. Ogan Komering Ulu</t>
  </si>
  <si>
    <t>Kab. Ogan Komering Ilir</t>
  </si>
  <si>
    <t>Kab. Muara Enim</t>
  </si>
  <si>
    <t>Kab. Lahat</t>
  </si>
  <si>
    <t>Kab. Musi Rawas</t>
  </si>
  <si>
    <t>Kab. Musi Banyuasin</t>
  </si>
  <si>
    <t>Kab. Banyuasin</t>
  </si>
  <si>
    <t>Kab. Ogan Ilir</t>
  </si>
  <si>
    <t>Kab. Empat Lawang</t>
  </si>
  <si>
    <t>Kab. Penukal Abab Lematang</t>
  </si>
  <si>
    <t>Kab. Musi Rawas Utara</t>
  </si>
  <si>
    <t>Kota Palembang</t>
  </si>
  <si>
    <t>Kota Prabumulih</t>
  </si>
  <si>
    <t>Kota Pagar Alam</t>
  </si>
  <si>
    <t>Kota Lubuk Linggau</t>
  </si>
  <si>
    <t>Kab. Lampung Barat</t>
  </si>
  <si>
    <t>Kab. Tanggamus</t>
  </si>
  <si>
    <t>Kab. Lampung Selatan</t>
  </si>
  <si>
    <t>Kab. Lampung Timur</t>
  </si>
  <si>
    <t>Kab. Lampung Tengah</t>
  </si>
  <si>
    <t>Kab. Lampung Utara</t>
  </si>
  <si>
    <t>Kab. Way Kanan</t>
  </si>
  <si>
    <t>Kab. Tulang Bawang</t>
  </si>
  <si>
    <t>Kab. Pesawaran</t>
  </si>
  <si>
    <t>Kab. Pringsewu</t>
  </si>
  <si>
    <t>Kab. Mesuji</t>
  </si>
  <si>
    <t>Kab. Tulang Bawang Barat</t>
  </si>
  <si>
    <t>Kab. Pesisir Barat</t>
  </si>
  <si>
    <t>Kota Bandar Lampung</t>
  </si>
  <si>
    <t>Kota Metro</t>
  </si>
  <si>
    <t>Kab. Malinau</t>
  </si>
  <si>
    <t>Kab. Bulungan</t>
  </si>
  <si>
    <t>Kab. Tana Tidung</t>
  </si>
  <si>
    <t>Kab. Nunukan</t>
  </si>
  <si>
    <t>Kota Tarakan</t>
  </si>
  <si>
    <t>Kab. Tanah Laut</t>
  </si>
  <si>
    <t>Kab. Kotabaru</t>
  </si>
  <si>
    <t>Kab. Banjar</t>
  </si>
  <si>
    <t>Kab. Barito Kuala</t>
  </si>
  <si>
    <t>Kab. Tapin</t>
  </si>
  <si>
    <t>Kab. Hulu Sungai Selatan</t>
  </si>
  <si>
    <t>Kab. Hulu Sungai Tengah</t>
  </si>
  <si>
    <t>Kab. Hulu Sungai Utara</t>
  </si>
  <si>
    <t>Kab. Tabalong</t>
  </si>
  <si>
    <t>Kab. Tanah Bumbu</t>
  </si>
  <si>
    <t>Kab. Balangan</t>
  </si>
  <si>
    <t>Kota Banjarmasin</t>
  </si>
  <si>
    <t>Kota Banjarbaru</t>
  </si>
  <si>
    <t>Kab. Kerinci</t>
  </si>
  <si>
    <t>Kab. Merangin</t>
  </si>
  <si>
    <t>Kab. Sarolangun</t>
  </si>
  <si>
    <t>Kab. Batanghari</t>
  </si>
  <si>
    <t>Kab. Muaro Jambi</t>
  </si>
  <si>
    <t>Kab. Tanjung Jabung Timur</t>
  </si>
  <si>
    <t>Kab. Tanjung Jabung Barat</t>
  </si>
  <si>
    <t>Kab. Tebo</t>
  </si>
  <si>
    <t>Kab. Bungo</t>
  </si>
  <si>
    <t>Kota Jambi</t>
  </si>
  <si>
    <t>Kota Sungai Penuh</t>
  </si>
  <si>
    <t>:</t>
  </si>
  <si>
    <t>RENCANA ANGGARAN BIAYA</t>
  </si>
  <si>
    <t>Provinsi</t>
  </si>
  <si>
    <t>Kabupaten / Kota</t>
  </si>
  <si>
    <t>WILAYAH</t>
  </si>
  <si>
    <t>HARGA</t>
  </si>
  <si>
    <t>DAFTAR HARGA BAHAN DAN UPAH TENAGA</t>
  </si>
  <si>
    <t>No</t>
  </si>
  <si>
    <t>Uraian</t>
  </si>
  <si>
    <t>Kode</t>
  </si>
  <si>
    <t>Satuan</t>
  </si>
  <si>
    <t>Koefisien</t>
  </si>
  <si>
    <t>Harga Satuan</t>
  </si>
  <si>
    <t>Jumlah</t>
  </si>
  <si>
    <t>Harga</t>
  </si>
  <si>
    <t>TENAGA</t>
  </si>
  <si>
    <t>L.01</t>
  </si>
  <si>
    <t>L.02</t>
  </si>
  <si>
    <t>L.03</t>
  </si>
  <si>
    <t>JUMLAH TENAGA KERJA</t>
  </si>
  <si>
    <t>BAHAN</t>
  </si>
  <si>
    <t>JUMLAH HARGA BAHAN</t>
  </si>
  <si>
    <t>PERALATAN</t>
  </si>
  <si>
    <t>JUMLAH HARGA ALAT</t>
  </si>
  <si>
    <t>Jumlah (A+B+C)</t>
  </si>
  <si>
    <t>Overhead &amp; Profit (Maksimal 15 %)</t>
  </si>
  <si>
    <t>x D</t>
  </si>
  <si>
    <t>Harga Satuan Pekerjaan (D+E)</t>
  </si>
  <si>
    <t>A.1.01.a1</t>
  </si>
  <si>
    <t>1 m2 Pembersihan dan pengupasan permukaan tanah (stripping) s.d. tanaman dia. 2m</t>
  </si>
  <si>
    <t>TENAGA KERJA</t>
  </si>
  <si>
    <t>Tukang listrik</t>
  </si>
  <si>
    <t>Tukang kayu</t>
  </si>
  <si>
    <t>Tukang batu</t>
  </si>
  <si>
    <t>Tukang besi</t>
  </si>
  <si>
    <t>Tukang cat</t>
  </si>
  <si>
    <t>Tukang las</t>
  </si>
  <si>
    <t>OJ</t>
  </si>
  <si>
    <t>TANAH &amp; AGREGAT</t>
  </si>
  <si>
    <t>SEMEN PORTLAND</t>
  </si>
  <si>
    <t>Operator</t>
  </si>
  <si>
    <t>SENG / GALVALUM</t>
  </si>
  <si>
    <t>kaleng</t>
  </si>
  <si>
    <t>Dolken 6-8 cm</t>
  </si>
  <si>
    <t>Dolken 8-10 cm</t>
  </si>
  <si>
    <t>Dolken 10-12 cm</t>
  </si>
  <si>
    <t>Dolken Galam 8-10 cm</t>
  </si>
  <si>
    <t>Bambu 8-10 cm</t>
  </si>
  <si>
    <t>Bambu 10-12 cm</t>
  </si>
  <si>
    <t>KAYU, BAMBU</t>
  </si>
  <si>
    <t>PAPAN</t>
  </si>
  <si>
    <t>Multipleks 120 X 240 X  3 mm</t>
  </si>
  <si>
    <t>Multipleks 120 X 240 X  6 mm</t>
  </si>
  <si>
    <t>Multipleks 120 X 240 X  9 mm</t>
  </si>
  <si>
    <t>Multipleks 120 X 240 X  12 mm</t>
  </si>
  <si>
    <t>Multipleks 120 X 240 X  18 mm</t>
  </si>
  <si>
    <t xml:space="preserve">Pipa PVC (¾" )  AW Putih </t>
  </si>
  <si>
    <t>ALAT BERAT &amp; PERALATAN LAIN</t>
  </si>
  <si>
    <t>PAVING BLOCK</t>
  </si>
  <si>
    <t>BAHAN LAIN - LAIN</t>
  </si>
  <si>
    <t>1 m3 Galian Batu sedalam 0 s.d. 1 m, manual</t>
  </si>
  <si>
    <t>1 m3 Galian Batu sedalam 1 s.d. 2 m, manual</t>
  </si>
  <si>
    <t>1 m3 Galian Batu sedalam 2 s.d. 3 m, manual</t>
  </si>
  <si>
    <t>A.1.01.b1.1</t>
  </si>
  <si>
    <t>A.1.01.b1.2</t>
  </si>
  <si>
    <t>A.1.01.b1.3</t>
  </si>
  <si>
    <t>A.1.01.b2.1</t>
  </si>
  <si>
    <t>1 m2 Pembabadan rumput (tidak diketahui kondisi medan secara detail)</t>
  </si>
  <si>
    <t>A.2.01.b1.1</t>
  </si>
  <si>
    <t>1 m3 Galian Batu sedalam 0 s.d. 1 m, semi mekanis</t>
  </si>
  <si>
    <t>Jack Hammer drill &amp; Kompressor 75HP</t>
  </si>
  <si>
    <t>hari</t>
  </si>
  <si>
    <t>A.2.01.b1.2</t>
  </si>
  <si>
    <t>1 m3 Galian Batu sedalam 1 s.d. 2 m, semi mekanis</t>
  </si>
  <si>
    <t>A.2.01.b1.3</t>
  </si>
  <si>
    <t>1 m3 Galian Batu sedalam 2 s.d. 3 m, semi mekanis</t>
  </si>
  <si>
    <t>1 m3 Pemadatan Pasangan campuran Tanah dan Semen PC +
Pemadat Timbris</t>
  </si>
  <si>
    <t>A.2.01.c1.2</t>
  </si>
  <si>
    <t>A.2.01.c1.1</t>
  </si>
  <si>
    <t>1 m3 Pemadatan Pasangan campuran Tanah dan Semen PC dengan
Pemadat Stamper VRR</t>
  </si>
  <si>
    <t>Asphalt Mixing Plant</t>
  </si>
  <si>
    <t>Asphalt Finisher</t>
  </si>
  <si>
    <t>Asphalt Sprayer</t>
  </si>
  <si>
    <t>Concrete Mixer 0,3 - 0,6 m3</t>
  </si>
  <si>
    <t>Crane 10-15 ton</t>
  </si>
  <si>
    <t>Dump truck 3,5 ton</t>
  </si>
  <si>
    <t>Dump truck 10 ton</t>
  </si>
  <si>
    <t>Excavator 80-140 HP</t>
  </si>
  <si>
    <t>Flat Bed truck 3-4 m3</t>
  </si>
  <si>
    <t>Generator Set</t>
  </si>
  <si>
    <t>Motor Grader &gt;100 HP</t>
  </si>
  <si>
    <t>Track Loader 75-100 HP</t>
  </si>
  <si>
    <t>Wheel Loader 1,0-1,6 m3</t>
  </si>
  <si>
    <t>Three Wheel Roller 6-8 ton</t>
  </si>
  <si>
    <t>Tandem Roller 6-8 ton</t>
  </si>
  <si>
    <t>Pneumatirc Tire Roller 8-10 ton</t>
  </si>
  <si>
    <t>Vibratory Roller 5-8 ton</t>
  </si>
  <si>
    <t>Concrete Vibrator</t>
  </si>
  <si>
    <t>Water pump 70-100 mm</t>
  </si>
  <si>
    <t>Water tank 3000-4500 liter</t>
  </si>
  <si>
    <t>Pedestrian Roller</t>
  </si>
  <si>
    <t>Stamper Hand</t>
  </si>
  <si>
    <t>Jack Hammer</t>
  </si>
  <si>
    <t>Stone Crusher</t>
  </si>
  <si>
    <t>Fulvi Mixer</t>
  </si>
  <si>
    <t>Concrete Pump</t>
  </si>
  <si>
    <t>Trailer 20 T</t>
  </si>
  <si>
    <t>Crane on Track 35 Ton</t>
  </si>
  <si>
    <t>Pembantu Operator</t>
  </si>
  <si>
    <t>31100022a</t>
  </si>
  <si>
    <t>A.3.01.1b.1</t>
  </si>
  <si>
    <t>A.3.01.1b.2</t>
  </si>
  <si>
    <t>A.3.01.1b.3</t>
  </si>
  <si>
    <t>Tukang</t>
  </si>
  <si>
    <t>1 m3 Galian tanah biasa di Stockpile nomal tinggi &gt; 1 m, muat ke DT pakai Excavator std</t>
  </si>
  <si>
    <t>1 m3 Galian pasir di Stockpile nomal tinggi &gt; 1 m, muat ke DT pakai Excavator std</t>
  </si>
  <si>
    <t>1 m3 Galian tanah liat/lempung di Stockpile nomal tinggi &gt; 1 m, muat ke DT pakai Excavator std</t>
  </si>
  <si>
    <t>1 m3 Galian cadas/tanah keras di Stockpile nomal tinggi &gt; 1 m, muat ke DT pakai Excavator std</t>
  </si>
  <si>
    <t>A.3.01.1b.4</t>
  </si>
  <si>
    <t>A.3.01.1b.5</t>
  </si>
  <si>
    <t>1 m3 angkat dan muat batu belah 12-&lt;25 cm di Stockpile nomal tinggi &gt; 1 m, muat ke DT pakai Excavator std</t>
  </si>
  <si>
    <t>A.3.01.1b.6</t>
  </si>
  <si>
    <t>1 m3 angkat dan muat batu belah 25-&lt;50 cm di Stockpile nomal tinggi &gt; 1 m, muat ke DT pakai Excavator std</t>
  </si>
  <si>
    <t>A.3.01.1b.7</t>
  </si>
  <si>
    <t>1 m3 angkat dan muat batu belah 50-100 cm di Stockpile nomal tinggi &gt; 1 m, muat ke DT pakai Excavator std</t>
  </si>
  <si>
    <t>A.3.01.1c.1</t>
  </si>
  <si>
    <t>1 m3 Galian tanah biasa di BA/saluran sedalam (0-40%) Dm, atau (0-2,64)m dimuat ke DT dengan Excavator std</t>
  </si>
  <si>
    <t>A.3.01.1c.2</t>
  </si>
  <si>
    <t>1 m3 Galian tanah biasa di BA/saluran sedalam (40-75%) Dm, atau (2,64-&lt;5,0)m dimuat ke DT dengan Excavator std</t>
  </si>
  <si>
    <t>A.3.01.1c.3</t>
  </si>
  <si>
    <t>A.3.01.1c.4</t>
  </si>
  <si>
    <t>1 m3 Galian tanah biasa di BA/saluran sedalam (75-100%) Dm, atau (5,0-&lt;6,6)m dimuat ke DT dengan Excavator std</t>
  </si>
  <si>
    <t>1 m3 Galian tanah biasa di BA/saluran sedalam (0-40%) Dm, atau (0-&lt;5,4)m dimuat ke DT dengan Excavator long arm</t>
  </si>
  <si>
    <t>A.3.01.1c.5</t>
  </si>
  <si>
    <t>1 m3 Galian tanah biasa di BA/saluran sedalam (40-75%) Dm, atau (5,4-&lt;10)m dimuat ke DT dengan Excavator long arm</t>
  </si>
  <si>
    <t>A.3.01.1c.6</t>
  </si>
  <si>
    <t>1 m3 Galian tanah biasa di BA/saluran sedalam (75-100%) Dm, atau (10-&lt;13,4)m dimuat ke DT dengan Excavator long arm</t>
  </si>
  <si>
    <t>A.3.01.1d.1</t>
  </si>
  <si>
    <t>1 m3 Galian pasir di BA/saluran sedalam (0-40%) Dm, atau (0-2,64)m dimuat ke DT dengan Excavator std</t>
  </si>
  <si>
    <t>1 m3 Galian pasir di BA/saluran sedalam (40-75%) Dm, atau (2,64-&lt;5,0)m dimuat ke DT dengan Excavator std</t>
  </si>
  <si>
    <t>A.3.01.1d.2</t>
  </si>
  <si>
    <t>A.3.01.1d.3</t>
  </si>
  <si>
    <t>1 m3 Galian pasir di BA/saluran sedalam (75-100%) Dm, atau (5,0-&lt;6,6)m dimuat ke DT dengan Excavator std</t>
  </si>
  <si>
    <t>1 m3 Galian pasir di BA/saluran sedalam (0-40%) Dm, atau (0-&lt;5,4)m dimuat ke DT dengan Excavator long arm</t>
  </si>
  <si>
    <t>A.3.01.1d.4</t>
  </si>
  <si>
    <t>A.3.01.1d.5</t>
  </si>
  <si>
    <t>1 m3 Galian pasir di BA/saluran sedalam (40-75%) Dm, atau (5,4-&lt;10)m dimuat ke DT dengan Excavator long arm</t>
  </si>
  <si>
    <t>A.3.01.1d.6</t>
  </si>
  <si>
    <t>1 m3 Galian pasir di BA/saluran sedalam (75-100%) Dm, atau (10-&lt;13,4)m dimuat ke DT dengan Excavator long arm</t>
  </si>
  <si>
    <t>A.3.01.1e.1</t>
  </si>
  <si>
    <t>A.3.01.1e.3</t>
  </si>
  <si>
    <t>A.3.01.1e.2</t>
  </si>
  <si>
    <t>1 m3 Galian tanah liat/lempung di BA/saluran sedalam (40-75%) Dm, atau (2,64-&lt;5,0)m dimuat ke DT dengan Excavator std</t>
  </si>
  <si>
    <t>1 m3 Galian tanah liat/lempung di BA/saluran sedalam (75-100%) Dm, atau (5,0-&lt;6,6)m dimuat ke DT dengan Excavator std</t>
  </si>
  <si>
    <t>1 m3 Galian tanah liat/lempung di BA/saluran sedalam (0-40%) Dm, atau (0-2,64)m dimuat ke DT dengan Excavator std</t>
  </si>
  <si>
    <t>A.3.01.1f.1</t>
  </si>
  <si>
    <t>A.3.01.1f.2</t>
  </si>
  <si>
    <t>A.3.01.1f.3</t>
  </si>
  <si>
    <t>1 m3 Galian cadas/tanah keras di BA/saluran sedalam (0-40%) Dm, atau (0-2,64)m dimuat ke DT dengan Excavator std</t>
  </si>
  <si>
    <t>1 m3 Galian cadas/tanah keras di BA/saluran sedalam (40-75%) Dm, atau (2,64-&lt;5,0)m dimuat ke DT dengan Excavator std</t>
  </si>
  <si>
    <t>1 m3 Galiancadas/tanah keras di BA/saluran sedalam (75-100%) Dm, atau (5,0-&lt;6,6)m dimuat ke DT dengan Excavator std</t>
  </si>
  <si>
    <t>A.3.01.1g.1.a</t>
  </si>
  <si>
    <t>A.3.01.1g.1.b</t>
  </si>
  <si>
    <t>A.3.01.1g.2.a</t>
  </si>
  <si>
    <t>A.3.01.1g.2.b</t>
  </si>
  <si>
    <t>1 m3 Memuat tanah biasa dari SP/hasil galian ke DT dengan Excavator std, dan angkut 1 km</t>
  </si>
  <si>
    <t>1 m3 Gali dan memuat tanah biasa dari SP/hasil galian ke DT dengan Excavator std, dan angkut 1 km</t>
  </si>
  <si>
    <t>1 m3 Memuat tanah liat/lempung dari SP/hasil galian ke DT dengan Excavator std, dan angkut 1 km</t>
  </si>
  <si>
    <t>A.3.01.1g.3.a</t>
  </si>
  <si>
    <t>1 m3 Memuat cadas/tanah keras dari SP/hasil galian ke DT dengan Excavator std, dan angkut 1 km</t>
  </si>
  <si>
    <t>31100006.5</t>
  </si>
  <si>
    <t>Dump truck 7 ton</t>
  </si>
  <si>
    <t>1 m3 Gali dan memuat cadas/tanah keras dari SP/hasil galian ke DT dengan Excavator std, dan angkut 1 km</t>
  </si>
  <si>
    <t>A.3.01.1g.3.b</t>
  </si>
  <si>
    <t>A.3.01.2b.1</t>
  </si>
  <si>
    <t>1 m3 Memuat dan angkut tanah biasa menggunakan DT dengan jarak angkut 1 km</t>
  </si>
  <si>
    <t>A.3.01.2b.2</t>
  </si>
  <si>
    <t>1 m3 Memuat dan angkut cadas/tanah keras menggunakan DT dengan jarak angkut 1 km</t>
  </si>
  <si>
    <t>A.3.01.2b.3</t>
  </si>
  <si>
    <t>1 m3 Memuat dan angkut batu pecah menggunakan DT dengan jarak angkut 1 km</t>
  </si>
  <si>
    <t>A.3.01.2d.2</t>
  </si>
  <si>
    <t>1 m3 Memuat pakai excavator dan membuang limbah pohon/tunggul/akar menggunakan DT dengan jarak angkut 2 km</t>
  </si>
  <si>
    <t>A.3.01.2d.3</t>
  </si>
  <si>
    <t>1 m3 Menggali dan memuat pakai excavator dan angkut material yang tidak terpakai menggunakan DT dengan jarak angkut 2 km</t>
  </si>
  <si>
    <t>A.3.01.2d.5</t>
  </si>
  <si>
    <t>1 m3 Menggali dan memuat tanah biasa dari BA pakai excavator dan angkut material yang tidak terpakai menggunakan DT dengan jarak angkut 2 km</t>
  </si>
  <si>
    <t>(untuk tambahan bahan tanggul)</t>
  </si>
  <si>
    <t>A.3.02.1c</t>
  </si>
  <si>
    <t>1 m3 Penambahan tanah bahan tanggul dari BA menggunakan DT ke lokasi pekerjaan</t>
  </si>
  <si>
    <t>A.3.02.1a</t>
  </si>
  <si>
    <t>1 m3 Stripping/kupas top soil di BA, gali dengan Excavator dan angkut ke lokasi pekerjaan</t>
  </si>
  <si>
    <t>Bulldozer</t>
  </si>
  <si>
    <t>A.3.02.1b</t>
  </si>
  <si>
    <t>1 m3 Pembuangan material yang tidak terpakai menggunakan DT dan diangkut ke dumpsite</t>
  </si>
  <si>
    <t>A.3.02.1d.1</t>
  </si>
  <si>
    <t>1 m3 Urugan tanah di tempat sempit, tidak menggunakan vibro roller</t>
  </si>
  <si>
    <t>A.3.02.1d.2</t>
  </si>
  <si>
    <t xml:space="preserve">1 m3 Penghamparan, perataan dan pemadatan tanah ringan </t>
  </si>
  <si>
    <t>A.3.02.1d.3</t>
  </si>
  <si>
    <t>1 m3 Penghamparan, perataan dan pemadatan tanah berat</t>
  </si>
  <si>
    <t>31100017.1</t>
  </si>
  <si>
    <t>Sheep foot Roller 10-12 ton</t>
  </si>
  <si>
    <t>A.3.02.1e.1</t>
  </si>
  <si>
    <t>1 m2 Finishing badan tanggul, dipapras pakai excavator</t>
  </si>
  <si>
    <t>A.3.02.2a.1</t>
  </si>
  <si>
    <t>1 m' Pemasangan atau pengambilan gambangan secara semi mekanis</t>
  </si>
  <si>
    <t>1 m' Pemasangan atau pengambilan gambangan secara mekanis</t>
  </si>
  <si>
    <t>A.3.02.2b.1</t>
  </si>
  <si>
    <t>1 m3 Galian Tanah di Rawa menggunakan Excavator Standar</t>
  </si>
  <si>
    <t>SEWA</t>
  </si>
  <si>
    <t>A.3.02.2b.13</t>
  </si>
  <si>
    <t>1 m3 Angkut material hasil galian di rawa menggunakan DT sejauh 1,5 km</t>
  </si>
  <si>
    <t>A.3.02.3a</t>
  </si>
  <si>
    <t>1 m3 Gali dan urug posisi dekat</t>
  </si>
  <si>
    <t>1 m3 Gali dan urug posisi jauh</t>
  </si>
  <si>
    <t>A.3.02.3b</t>
  </si>
  <si>
    <t>A.3.03.2c</t>
  </si>
  <si>
    <t>1 m2 Tempat penirisan sedimen (TPS)</t>
  </si>
  <si>
    <t>wire</t>
  </si>
  <si>
    <t>lembar</t>
  </si>
  <si>
    <t>(Wiremesh) M6-M8 uk 2,1x5,4 m</t>
  </si>
  <si>
    <t>A.3.03.4a</t>
  </si>
  <si>
    <t>1 m3 Pemanenan gulma air</t>
  </si>
  <si>
    <t>Ponton besi kap 15 ton</t>
  </si>
  <si>
    <t>31100008.5</t>
  </si>
  <si>
    <t>Excavator 153 HP (long arm)</t>
  </si>
  <si>
    <t>A.1.02.1a.1</t>
  </si>
  <si>
    <t>zak</t>
  </si>
  <si>
    <t>Semen Portland (40kg)</t>
  </si>
  <si>
    <t>A.1.02.1a.6</t>
  </si>
  <si>
    <t>A.2.02.1a.1</t>
  </si>
  <si>
    <t>A.2.02.1a.6</t>
  </si>
  <si>
    <t>A.1.02.1b.1</t>
  </si>
  <si>
    <t>A.1.02.1b.6</t>
  </si>
  <si>
    <t>A.2.02.1b.1</t>
  </si>
  <si>
    <t>A.2.02.1b.6</t>
  </si>
  <si>
    <t>A.1.02.1e.1</t>
  </si>
  <si>
    <t>1 m3 Pembersihan bongkaran pasangan batu untuk dimanfaatkan kembali material batu</t>
  </si>
  <si>
    <t>A.1.02.2a.1</t>
  </si>
  <si>
    <t>A.1.02.2a.6</t>
  </si>
  <si>
    <t>A.2.02.2a.1</t>
  </si>
  <si>
    <t>A.2.02.2a.6</t>
  </si>
  <si>
    <t>1 m3 Pasangan batu belah dengan mortar tipe M (17,2 Mpa) / 1PC : 2PS / 1PC : 2PS, manual, beda tinggi 0 s.d. 1 m</t>
  </si>
  <si>
    <t>1 m3 Pasangan batu belah dengan mortar tipe M (17,2 Mpa) / 1PC : 2PS / 1PC : 2PS, manual, beda tinggi 5 s.d. 6 m</t>
  </si>
  <si>
    <t>1 m3 Pasangan batu belah dengan mortar tipe M (17,2 Mpa) / 1PC : 2PS / 1PC : 2PS, semi mekanis, beda tinggi 0 s.d. 1 m</t>
  </si>
  <si>
    <t>1 m3 Pasangan batu belah dengan mortar tipe M (17,2 Mpa) / 1PC : 2PS / 1PC : 2PS, semi mekanis, beda tinggi 5 s.d. 6 m</t>
  </si>
  <si>
    <t>1 m3 Pasangan batu merah dengan mortar tipe M (17,2 Mpa) / 1PC : 2PS, manual, beda tinggi 0 s.d. 1 m</t>
  </si>
  <si>
    <t>1 m3 Pasangan batu belah dengan mortar tipe S (12,5 Mpa) / 1PC : 3PS, manual, beda tinggi 0 s.d. 1 m</t>
  </si>
  <si>
    <t>1 m3 Pasangan batu belah dengan mortar tipe S (12,5 Mpa) / 1PC : 3PS, manual, beda tinggi 5 s.d. 6 m</t>
  </si>
  <si>
    <t>1 m3 Pasangan batu belah dengan mortar tipe S (12,5 Mpa) / 1PC : 3PS, semi mekanis, beda tinggi 0 s.d. 1 m</t>
  </si>
  <si>
    <t>1 m3 Pasangan batu belah dengan mortar tipe S (12,5 Mpa) / 1PC : 3PS, semi mekanis, beda tinggi 5 s.d. 6 m</t>
  </si>
  <si>
    <t>1 m3 Pasangan batu merah dengan mortar tipe M (17,2 Mpa) / 1PC : 2PS , semi mekanis, beda tinggi 0 s.d. 1 m</t>
  </si>
  <si>
    <t>1 m3 Pasangan batu merah dengan mortar tipe M (17,2 Mpa) / 1PC : 2PS , semi mekanis, beda tinggi 5 s.d. 6 m</t>
  </si>
  <si>
    <t>A.1.02.2b.1</t>
  </si>
  <si>
    <t>A.2.02.2b.1</t>
  </si>
  <si>
    <t>1 m3 Pasangan batu merah dengan mortar tipe S (12,5 Mpa) / 1PC : 3PS, manual, beda tinggi 0 s.d. 1 m</t>
  </si>
  <si>
    <t>1 m3 Pasangan batu merah dengan mortar tipe S (12,5 Mpa) / 1PC : 3PS, semi mekanis, beda tinggi 0 s.d. 1 m</t>
  </si>
  <si>
    <t>A.1.02.2c.1</t>
  </si>
  <si>
    <t>A.2.02.2c.1</t>
  </si>
  <si>
    <t>1 m3 Pasangan batu merah dengan mortar tipe N (5,2 Mpa) / 1PC : 4PS, manual, beda tinggi 0 s.d. 1 m</t>
  </si>
  <si>
    <t>1 m3 Pasangan batu merah dengan mortar tipe N (5,2 Mpa) / 1PC : 4PS, semi mekanis, beda tinggi 0 s.d. 1 m</t>
  </si>
  <si>
    <t>A.1.02.1c.1</t>
  </si>
  <si>
    <t>1 m3 Pasangan batu belah dengan mortar tipe N (5,2 Mpa) / 1PC : 4PS, manual, beda tinggi 0 s.d. 1 m</t>
  </si>
  <si>
    <t>1 m3 Pasangan batu belah dengan mortar tipe N (5,2 Mpa) / 1PC : 4PS, semi mekanis, beda tinggi 0 s.d. 1 m</t>
  </si>
  <si>
    <t>A.2.02.1c.2</t>
  </si>
  <si>
    <t>A.1.02.2e.1</t>
  </si>
  <si>
    <t>1 m3 Bongkar pasangan bata merah dengan jack hammer</t>
  </si>
  <si>
    <t>A.1.02.3a.1</t>
  </si>
  <si>
    <t xml:space="preserve">1 m2 Pekerjaan siaran pasangan dinding dengan mortar tipe M (17,2 Mpa) / 1PC : 2PS </t>
  </si>
  <si>
    <t xml:space="preserve">1 m2 Pekerjaan siaran pasangan dinding dengan mortar tipe S (12,5 Mpa) / 1PC : 3PS </t>
  </si>
  <si>
    <t>A.1.02.3a.2</t>
  </si>
  <si>
    <t>1 m2 Pekerjaan plesteran trasraam tebal 1 cm dengan mortar tipe M (17,2 Mpa) / 1PC : 2PS</t>
  </si>
  <si>
    <t>A.1.02.3b.2</t>
  </si>
  <si>
    <t>1 m2 Pekerjaan plesteran trasraam tebal 1 cm dengan mortar tipe S (12,5 Mpa) / 1PC : 3PS</t>
  </si>
  <si>
    <t>1 m2 Pekerjaan plesteran trasraam tebal 1 cm dengan mortar tipe N (5,2 Mpa) / 1PC : 4PS</t>
  </si>
  <si>
    <t>A.1.02.3b.5</t>
  </si>
  <si>
    <t>A.1.02.3b.7</t>
  </si>
  <si>
    <t>1 m2 Pekerjaan plesteran trasraam tebal 1,5 cm dengan mortar tipe M (17,2 Mpa) / 1PC : 2PS</t>
  </si>
  <si>
    <t>A.1.02.3b.8</t>
  </si>
  <si>
    <t>1 m2 Pekerjaan plesteran trasraam tebal 1,5 cm dengan mortar tipe S (12,5 Mpa) / 1PC : 3PS</t>
  </si>
  <si>
    <t>1 m2 Pekerjaan plesteran trasraam tebal 1,5 cm dengan mortar tipe N (5,2 Mpa) / 1PC : 4PS</t>
  </si>
  <si>
    <t>A.1.02.3b.9</t>
  </si>
  <si>
    <t>A.1.02.3c</t>
  </si>
  <si>
    <t>1 m2 Pekerjaan acian</t>
  </si>
  <si>
    <t>1 m3 Pasangan batu kosong yang teratur dan padat - sedikit rongga, beda tinggi 0 s.d 1 m</t>
  </si>
  <si>
    <t>1 m3 Pasangan batu kosong yang teratur dan padat - sedikit rongga, beda tinggi 3 s.d 4 m</t>
  </si>
  <si>
    <t>A.1.02.4a.2.a</t>
  </si>
  <si>
    <t>A.1.02.4a.2.d</t>
  </si>
  <si>
    <t>A.1.02.4a.1.d</t>
  </si>
  <si>
    <t>A.1.02.4a.1.a</t>
  </si>
  <si>
    <t>1 m3 Pasangan batu kosong tidak teratur dan kurang padat - banyak rongga, beda tinggi 0 s.d 1 m</t>
  </si>
  <si>
    <t>1 m3 Pasangan batu kosong tidak teratur dan kurang padat - banyak rongga, beda tinggi 3 s.d 4 m</t>
  </si>
  <si>
    <t>Tambang Nylon/rami</t>
  </si>
  <si>
    <t>Kawat bronjong dia 2-4 mm (galvanis) - manual</t>
  </si>
  <si>
    <t>buah</t>
  </si>
  <si>
    <t>Kawat bronjong dia 2-4 mm (galvanis), heksagonal 80x100mm uk 2x1x0,5 m3</t>
  </si>
  <si>
    <t>1 m3 Pasangan batu bronjong kawat pabrikasi, lubang heksagonal 80x100mm beda tinggi 0 s.d. 1 m</t>
  </si>
  <si>
    <t>Catatan : Untuk bronjong yang kontak langsung dengan tanah, maka menggunakan pasir pasang untuk landasan. Jika tidak maka item</t>
  </si>
  <si>
    <t>pasir pasang bisa dihilangkan.</t>
  </si>
  <si>
    <t>A.1.02.4b.2.a</t>
  </si>
  <si>
    <t>A.1.02.4b.2.d</t>
  </si>
  <si>
    <t>1 m3 Pasangan batu bronjong kawat pabrikasi, lubang heksagonal 80x100mm beda tinggi 3 s.d. 4 m</t>
  </si>
  <si>
    <t>A.1.02.5a.1</t>
  </si>
  <si>
    <t>1 m2 Pasangan Batu Muka</t>
  </si>
  <si>
    <t>Batu Muka</t>
  </si>
  <si>
    <t>Batu Candi uk. 20x40</t>
  </si>
  <si>
    <t>A.1.02.5a.2</t>
  </si>
  <si>
    <t>1 m2 Pasangan Batu Candi</t>
  </si>
  <si>
    <t>A.1.02.5b.1</t>
  </si>
  <si>
    <t>1 m2 Pasangan Geotextile tipis 100 s.d. 400 gr/m2, secara manual</t>
  </si>
  <si>
    <t>Geotekstile non woven 200 gr, uk 4x100 m</t>
  </si>
  <si>
    <t>m2</t>
  </si>
  <si>
    <t>Geotekstile non woven 200 gr</t>
  </si>
  <si>
    <t>A.1.02.5b.2</t>
  </si>
  <si>
    <t>1 m2 Pasangan Geotextile sedang 400 s.d. 800 gr/m2, secara manual</t>
  </si>
  <si>
    <t>Geotekstile non woven 600 gr, uk 4x50 m</t>
  </si>
  <si>
    <t>Geotekstile non woven 600 gr</t>
  </si>
  <si>
    <t>A.1.02.5b.4a</t>
  </si>
  <si>
    <t>1 m' Penjahitan pada geotekstil tipis 100 s.d. 400 gr/m2, secara mekanis</t>
  </si>
  <si>
    <t>Benang geotekstil</t>
  </si>
  <si>
    <t>Benang geotekstil (panjang 600m)</t>
  </si>
  <si>
    <t xml:space="preserve">Mesin jahit portable geotekstile </t>
  </si>
  <si>
    <t>1 m' Penjahitan pada geotekstil tipis 400 s.d. 800 gr/m2, secara mekanis</t>
  </si>
  <si>
    <t>A.1.02.5b.4b</t>
  </si>
  <si>
    <t>A.2.02.5c.1</t>
  </si>
  <si>
    <t>1 m2 Pekerjaan bar screen / saringan kasar pada intake, pengukur - pengatur lainnya</t>
  </si>
  <si>
    <t>Las listrik</t>
  </si>
  <si>
    <t>Bor Listrik</t>
  </si>
  <si>
    <t>A.2.02.5c.2</t>
  </si>
  <si>
    <t>1 m' Ambang ukur pada bangunan pengukur dan/atau pengatur</t>
  </si>
  <si>
    <t>PAKU, BAUT</t>
  </si>
  <si>
    <t>Dynablolt dia 8mm</t>
  </si>
  <si>
    <t>Dynablolt dia 6mm</t>
  </si>
  <si>
    <t>Dynablolt dia 10mm</t>
  </si>
  <si>
    <t>Baut dynabolt</t>
  </si>
  <si>
    <t>pcs</t>
  </si>
  <si>
    <t>21904003.1</t>
  </si>
  <si>
    <t>Besi Siku L.40.40.4</t>
  </si>
  <si>
    <t>21904003.2</t>
  </si>
  <si>
    <t>Besi Siku L.30.30.3</t>
  </si>
  <si>
    <t>A.1.02.5c.1</t>
  </si>
  <si>
    <t>1 m' Mistar duga muka air</t>
  </si>
  <si>
    <t>Kenek truk</t>
  </si>
  <si>
    <t>Tenaga ahli utama</t>
  </si>
  <si>
    <t>Tenaga ahli madya</t>
  </si>
  <si>
    <t>Tenaga ahli muda</t>
  </si>
  <si>
    <t>Tenaga ahli pratama</t>
  </si>
  <si>
    <t>Narasumber pejabat eselon II</t>
  </si>
  <si>
    <t>Narasumber pejabat eselon III</t>
  </si>
  <si>
    <t>Narasumber praktisi</t>
  </si>
  <si>
    <t>Tenaga Terampil Teknisi</t>
  </si>
  <si>
    <t>Tenaga Terampil Operator</t>
  </si>
  <si>
    <t>Tenaga Terampil Analis</t>
  </si>
  <si>
    <t>Juru ukur</t>
  </si>
  <si>
    <t>Pembantu juru ukur</t>
  </si>
  <si>
    <t>Mekanik alat berat</t>
  </si>
  <si>
    <t>PEKERJAAN LAIN-LAIN</t>
  </si>
  <si>
    <t>Mistar duga muka air /peilschall</t>
  </si>
  <si>
    <t>unit</t>
  </si>
  <si>
    <t>A.2.02.5d.3</t>
  </si>
  <si>
    <t>1 m' Pasangan pipa suling - suling</t>
  </si>
  <si>
    <t>A.1.03.1a.1</t>
  </si>
  <si>
    <r>
      <t>1 m3 Beton mutu rendah fc' 10 Mpa, slump (10</t>
    </r>
    <r>
      <rPr>
        <b/>
        <sz val="10"/>
        <rFont val="Calibri"/>
        <family val="2"/>
      </rPr>
      <t>±</t>
    </r>
    <r>
      <rPr>
        <b/>
        <sz val="10"/>
        <rFont val="Arial Narrow"/>
        <family val="2"/>
      </rPr>
      <t>2,5)cm, agregat maks 19 mm secara manual</t>
    </r>
  </si>
  <si>
    <t>=</t>
  </si>
  <si>
    <t>211100108.1</t>
  </si>
  <si>
    <t>A.1.03.1a.2</t>
  </si>
  <si>
    <r>
      <t>1 m3 Beton mutu rendah fc' 15 Mpa, slump (10</t>
    </r>
    <r>
      <rPr>
        <b/>
        <sz val="10"/>
        <rFont val="Calibri"/>
        <family val="2"/>
      </rPr>
      <t>±</t>
    </r>
    <r>
      <rPr>
        <b/>
        <sz val="10"/>
        <rFont val="Arial Narrow"/>
        <family val="2"/>
      </rPr>
      <t>2,5)cm, agregat maks 19 mm secara manual</t>
    </r>
  </si>
  <si>
    <t>A.1.03.1b.1</t>
  </si>
  <si>
    <r>
      <t>1 m3 Beton mutu sedang fc' 20 Mpa, slump (10</t>
    </r>
    <r>
      <rPr>
        <b/>
        <sz val="10"/>
        <rFont val="Calibri"/>
        <family val="2"/>
      </rPr>
      <t>±</t>
    </r>
    <r>
      <rPr>
        <b/>
        <sz val="10"/>
        <rFont val="Arial Narrow"/>
        <family val="2"/>
      </rPr>
      <t>2,5)cm, agregat maks 19 mm secara manual</t>
    </r>
  </si>
  <si>
    <t>A.1.03.1b.2</t>
  </si>
  <si>
    <r>
      <t>1 m3 Beton mutu sedang fc' 25 Mpa, slump (10</t>
    </r>
    <r>
      <rPr>
        <b/>
        <sz val="10"/>
        <rFont val="Calibri"/>
        <family val="2"/>
      </rPr>
      <t>±</t>
    </r>
    <r>
      <rPr>
        <b/>
        <sz val="10"/>
        <rFont val="Arial Narrow"/>
        <family val="2"/>
      </rPr>
      <t>2,5)cm, agregat maks 19 mm secara manual</t>
    </r>
  </si>
  <si>
    <t>A.2.03.1b.1</t>
  </si>
  <si>
    <r>
      <t>1 m3 Beton mutu sedang fc' 40 Mpa, slump (10</t>
    </r>
    <r>
      <rPr>
        <b/>
        <sz val="10"/>
        <rFont val="Calibri"/>
        <family val="2"/>
      </rPr>
      <t>±</t>
    </r>
    <r>
      <rPr>
        <b/>
        <sz val="10"/>
        <rFont val="Arial Narrow"/>
        <family val="2"/>
      </rPr>
      <t>2,5)cm, agregat maks 19 mm secara semi mekanis</t>
    </r>
  </si>
  <si>
    <t>Fly ash (20kg)</t>
  </si>
  <si>
    <t>Fly ash</t>
  </si>
  <si>
    <t>Superplastizier ex Sika</t>
  </si>
  <si>
    <t>A.1.03.1c.1</t>
  </si>
  <si>
    <t>1 m3 Beton readymix dicor secara manual</t>
  </si>
  <si>
    <t>READYMIX, BETON CETAK</t>
  </si>
  <si>
    <t>Beton Readymix CTB K 150</t>
  </si>
  <si>
    <t>Beton Readymix K B-0</t>
  </si>
  <si>
    <t>Beton Readymix K 100</t>
  </si>
  <si>
    <t>Beton Readymix K 125 (FC 10,4) NFA</t>
  </si>
  <si>
    <t>Beton Readymix K 150</t>
  </si>
  <si>
    <t>Beton Readymix K 175</t>
  </si>
  <si>
    <t>Beton Readymix K 200</t>
  </si>
  <si>
    <t>Beton Readymix K 225</t>
  </si>
  <si>
    <t>Beton Readymix K 250</t>
  </si>
  <si>
    <t>Beton Readymix K 300 (FC 25) NFA Slump 12</t>
  </si>
  <si>
    <t>Beton Readymix K 300 Screening Slump 5</t>
  </si>
  <si>
    <t>Beton Readymix K 350 (FC 30) NFA</t>
  </si>
  <si>
    <t>Beton Readymix K 350 Screening</t>
  </si>
  <si>
    <t>Beton Readymix K 400 NFA</t>
  </si>
  <si>
    <t>Beton Readymix K 400 Screening</t>
  </si>
  <si>
    <t>Beton Readymix K 450</t>
  </si>
  <si>
    <t>Beton Readymix K 475 (FC 38,7) NFA</t>
  </si>
  <si>
    <t>Beton Readymix K 500</t>
  </si>
  <si>
    <t>Beton Lantai Kerja</t>
  </si>
  <si>
    <t>Beton K 175 Site mix</t>
  </si>
  <si>
    <t>Catatan : Disesuaikan dengan mutu beton yang akan digunakan</t>
  </si>
  <si>
    <t>A.2.03.1c.1</t>
  </si>
  <si>
    <t>1 m3 Beton readymix dicor menggunakan pompa beton</t>
  </si>
  <si>
    <t>A.1.03.2b.1</t>
  </si>
  <si>
    <t>1 m2 Bekisting biasa lantai beton dengan multiplek 12 - 18 mm</t>
  </si>
  <si>
    <t>Catatan : untuk penggunaan 3x pakai</t>
  </si>
  <si>
    <t>A.1.03.2b.2</t>
  </si>
  <si>
    <t>1 m2 Bekisting expose plat lantai beton dengan multiplek 18 mm, JaTm 0,60 m</t>
  </si>
  <si>
    <t>A.1.03.2b.4</t>
  </si>
  <si>
    <t>1 m2 Perancah bekisting lantai beton dengan kaso 5/7 tinggi 4 m, JaTm 0,60 m</t>
  </si>
  <si>
    <t>A.1.03.2b.5</t>
  </si>
  <si>
    <t>A.1.03.2b.6</t>
  </si>
  <si>
    <t>1 m2 Perancah bekisting lantai beton dengan bambu dia 8-10cm tinggi 4 m, JaTm 0,60 m</t>
  </si>
  <si>
    <t>A.1.03.2d.1</t>
  </si>
  <si>
    <t>1 m2 Bekisting biasa balok beton dengan multiplek 12 - 18 mm</t>
  </si>
  <si>
    <t>A.1.03.2d.2</t>
  </si>
  <si>
    <t>1 m2 Bekisting expose balok beton dengan multiplek 18 mm, JaTm 1,0 m</t>
  </si>
  <si>
    <t>1 m2 Perancah bekisting lantai beton dengan dolken dia 8-10cm tinggi 4 m, JaTm 0,60 m</t>
  </si>
  <si>
    <t>A.1.03.2d.4</t>
  </si>
  <si>
    <t>1 m2 Perancah bekisting balok beton dengan kaso 5/7 tinggi 4 m, JaTm 1,0 m</t>
  </si>
  <si>
    <t>1 m2 Perancah bekisting balok beton dengan dolken dia 8-10cm tinggi 4 m, JaTm 1,2 m</t>
  </si>
  <si>
    <t>1 m2 Perancah bekisting balok beton dengan bambu dia 8-10cm tinggi 4 m, JaTm 1,0 m</t>
  </si>
  <si>
    <t>A.1.03.2d.5</t>
  </si>
  <si>
    <t>A.1.03.2d.6</t>
  </si>
  <si>
    <t>A.1.03.2e.1</t>
  </si>
  <si>
    <t>1 m2 Bekisting biasa kolom beton dengan multiplek 12 - 18 mm</t>
  </si>
  <si>
    <t>A.1.03.2e.2</t>
  </si>
  <si>
    <t>A.1.03.2e.4</t>
  </si>
  <si>
    <t>1 m2 Perancah bekisting kolom beton dengan kaso 5/7 tinggi 4 m, JaTm 1,0 m</t>
  </si>
  <si>
    <t>1 m2 Bekisting expose kolom beton dengan multiplek 18 mm</t>
  </si>
  <si>
    <t>A.1.03.2e.5</t>
  </si>
  <si>
    <t>A.1.03.2e.6</t>
  </si>
  <si>
    <t>1 m2 Perancah bekisting kolom beton dengan dolken dia 8-10cm tinggi 4 m, JaTm 1,2 m</t>
  </si>
  <si>
    <t>1 m2 Perancah bekisting kolom beton dengan bambu dia 8-10cm tinggi 4 m, JaTm 1,0 m</t>
  </si>
  <si>
    <t>A.1.03.2f.1</t>
  </si>
  <si>
    <t>1 m2 Bekisting biasa dinding beton dengan multiplek 12 - 18 mm</t>
  </si>
  <si>
    <t>A.1.03.2f.2</t>
  </si>
  <si>
    <t>1 m2 Bekisting expose dinding beton dengan multiplek 18 mm</t>
  </si>
  <si>
    <t>A.1.03.2f.4</t>
  </si>
  <si>
    <t>1 m2 Perancah bekisting dinding beton dengan kaso 5/7 tinggi 4 m, JaTm 1,0 m</t>
  </si>
  <si>
    <t>1 m2 Perancah bekisting balok 8/12 untuk dinding beton Tm 4,5 m</t>
  </si>
  <si>
    <t>A.1.03.2g.1</t>
  </si>
  <si>
    <t>1 m2 Bekisting biasa untuk pondasi dan sloof beton dengan multiplek 12 - 18 mm</t>
  </si>
  <si>
    <t>A.1.03.2g.3</t>
  </si>
  <si>
    <t>1 m2 Perancah bekisting  kaso 5/7 untuk pondasi dan sloof beton , Tm 2,0 m</t>
  </si>
  <si>
    <t>A.1.03.2i.1</t>
  </si>
  <si>
    <t>1 m2 Bongkar bekisting dan perancah secara biasa (beserta membereskan puing)</t>
  </si>
  <si>
    <t>A.1.03.2i.2</t>
  </si>
  <si>
    <t>1 m2 Bongkar bekisting dan perancah secara hati - hati (beserta membereskan puing)</t>
  </si>
  <si>
    <t>A.2.03.2j.2</t>
  </si>
  <si>
    <t>1 m3 Bongkar beton dengan Jack Hammer kompressor 75HP</t>
  </si>
  <si>
    <t xml:space="preserve">A.1.04.1a </t>
  </si>
  <si>
    <t>1 buah Kisdam pasir/tanah, karung plastik/bagor/goni (karung 25kg) uk 43x65 cm</t>
  </si>
  <si>
    <t xml:space="preserve">karung plastik </t>
  </si>
  <si>
    <t>tali rafia</t>
  </si>
  <si>
    <t>A.1.04.2</t>
  </si>
  <si>
    <t>1 unit kerangka kayu untuk 1m3 kisdam pasir/tanah</t>
  </si>
  <si>
    <t>asumsi dibutuhkan 47 karung (uk. 43x65cm) untuk 1 m3, dengan ketinggian 3 m + 1 m ke dalam tanah</t>
  </si>
  <si>
    <t>A.1.04.3</t>
  </si>
  <si>
    <t>1 unit kerangka profil siku L 40x40 untuk 1m3 kisdam pasir/tanah</t>
  </si>
  <si>
    <t>Baut biasa</t>
  </si>
  <si>
    <t>A.2.06.1</t>
  </si>
  <si>
    <t>1 unit Pemasangan pintu angkat</t>
  </si>
  <si>
    <t>Pintu air besi b=1m, h=1,2m , ht=2,8m</t>
  </si>
  <si>
    <t>Tackle / tripod tinggi 4-5m</t>
  </si>
  <si>
    <t>Pintu air besi …......</t>
  </si>
  <si>
    <t>A.2.06.2</t>
  </si>
  <si>
    <t>1 unit Pemasangan pintu sorong kayu</t>
  </si>
  <si>
    <t>Catatan : Contoh Pintu Sorong Kayu dengan Roda Gigi (Stang Draat Ganda) No.1; Lebar B = 1500mm; H = 1500mm; H1 = 3000mm dan TR = 3800mm</t>
  </si>
  <si>
    <t>A.2.06.3</t>
  </si>
  <si>
    <t>1 unit Pemasangan pintu sorong baja dengan roda gigi</t>
  </si>
  <si>
    <t>pintu air</t>
  </si>
  <si>
    <t>A.1.07.7a</t>
  </si>
  <si>
    <t>1 m2 Pasangan Geotekstil (land base)</t>
  </si>
  <si>
    <t>Geotekstile non woven 800 gr, uk 4x50 m</t>
  </si>
  <si>
    <t>Geotekstile non woven 800 gr</t>
  </si>
  <si>
    <t>A.1.08.1a</t>
  </si>
  <si>
    <t>1 m' Rangka baja L.40.40.4 dengan tinggi 1,8 m</t>
  </si>
  <si>
    <t>21901002.1</t>
  </si>
  <si>
    <t>kawat seng t=3mm</t>
  </si>
  <si>
    <t>A.1.08.1b</t>
  </si>
  <si>
    <t>1 m' Rangka kayu dengan tinggi 1,8 m</t>
  </si>
  <si>
    <t>Paku seng</t>
  </si>
  <si>
    <t>A.1.08.2a</t>
  </si>
  <si>
    <t>Fasilitas</t>
  </si>
  <si>
    <t>Tenaga ahli atau petugas</t>
  </si>
  <si>
    <t>Tenaga spesialis</t>
  </si>
  <si>
    <t>OB</t>
  </si>
  <si>
    <t>FASILITAS *)</t>
  </si>
  <si>
    <t>Base camp</t>
  </si>
  <si>
    <t>Kantor lapangan dan direksi keet</t>
  </si>
  <si>
    <t>Barak</t>
  </si>
  <si>
    <t>Bengkel</t>
  </si>
  <si>
    <t>Gudang, dan lain-lain</t>
  </si>
  <si>
    <t>Ruang Laboratorium</t>
  </si>
  <si>
    <t>Peralatan Laboratorium</t>
  </si>
  <si>
    <t>Ls</t>
  </si>
  <si>
    <t>A.1.08.2b</t>
  </si>
  <si>
    <t>Kebutuhan lain - lain</t>
  </si>
  <si>
    <t>Perkuatan jalan yang dilalui</t>
  </si>
  <si>
    <t>Perkuatan jembatan yang dilalui</t>
  </si>
  <si>
    <t>Biaya perbaikan infrastruktur yang rusak</t>
  </si>
  <si>
    <t>Biaya transportasi peralatan</t>
  </si>
  <si>
    <t>Papan  Nama</t>
  </si>
  <si>
    <t>Buah</t>
  </si>
  <si>
    <t>A.1.08.3a</t>
  </si>
  <si>
    <t>A.1.08.4a</t>
  </si>
  <si>
    <t>1 m3 Pengangkatan gulma dan/atau sampah apung seccara manual</t>
  </si>
  <si>
    <t>A.2.08.4a</t>
  </si>
  <si>
    <t>1 m3 Pengangkatan gulma padat dan/atau sampah ketebalan 25 cm secara manual</t>
  </si>
  <si>
    <t>1 m3 Pengangkatan gulma padat dan/atau sampah ketebalan 25 cm secara semi mekanis</t>
  </si>
  <si>
    <t>A.2.08.6a</t>
  </si>
  <si>
    <t>1 kg Pemasangan besi profil siku, IWF, INP, UNP atau pipa</t>
  </si>
  <si>
    <t>Gergaji Listrik</t>
  </si>
  <si>
    <t>Generator Set 5 KW</t>
  </si>
  <si>
    <t>31100010.1</t>
  </si>
  <si>
    <t>A.3.09.2a.1.a</t>
  </si>
  <si>
    <t>1 m' Pasangan Uditch 40x60x120 cm (tanpa seal karet)</t>
  </si>
  <si>
    <t>Catatan : Disesuaikan dengan profil apa yang akan dipasang</t>
  </si>
  <si>
    <t>U Ditch 30 x 30 cm Precast 1,2 m</t>
  </si>
  <si>
    <t>U Ditch 30 x 40 cm Precast 1,2 m</t>
  </si>
  <si>
    <t>U Ditch 30 x 50 cm Precast 1,2 m</t>
  </si>
  <si>
    <t>U Ditch 40 x 40 cm Precast 1,2 m</t>
  </si>
  <si>
    <t>U Ditch 40 x 50 cm Precast 1.2 m</t>
  </si>
  <si>
    <t>U Ditch 40 x 60 cm Precast 1,2 m</t>
  </si>
  <si>
    <t>U Ditch 50 x 40 cm Precast 1,2 m</t>
  </si>
  <si>
    <t>U Ditch 50 x 50 cm Precast 1,2 m</t>
  </si>
  <si>
    <t>U Ditch 50 x 60 cm Precast 1,2 m</t>
  </si>
  <si>
    <t>U Ditch 60 x 50 cm Precast 1,2 m</t>
  </si>
  <si>
    <t>U Ditch 60 x 60 cm Precast 1,2 m</t>
  </si>
  <si>
    <t>U Ditch 60 x 80 cm Precast 1,2 m</t>
  </si>
  <si>
    <t>U Ditch 80 x 60 cm Precast 1,2 m</t>
  </si>
  <si>
    <t>U Ditch 80 x 70 cm Precast 1,2 m</t>
  </si>
  <si>
    <t>U Ditch 80 x 80 cm Precast 1,2 m</t>
  </si>
  <si>
    <t>U Ditch 80 x 100 cm Precast 1,2 m</t>
  </si>
  <si>
    <t>U Ditch 80 x 120 cm Precast 1,2 m</t>
  </si>
  <si>
    <t>U Ditch 100 x 80 cm Precast 1,2 m</t>
  </si>
  <si>
    <t>U Ditch 100 x 100 cm Precast 1,2 m</t>
  </si>
  <si>
    <t>U Ditch 50 x 40 cm Precast 1,2 m dengan stek</t>
  </si>
  <si>
    <t>U Ditch 50 x 50 cm Precast 1,2 m dengan stek</t>
  </si>
  <si>
    <t>U Ditch 50 x 60 cm Precast 1,2 m dengan stek</t>
  </si>
  <si>
    <t xml:space="preserve">U Ditch 60 x 50 cm Precast 1,2 m dengan stek </t>
  </si>
  <si>
    <t xml:space="preserve">U Ditch 60 x 60 cm Precast 1,2 m dengan stek </t>
  </si>
  <si>
    <t xml:space="preserve">U Ditch 60 x 80 cm Precast 1,2 m dengan stek </t>
  </si>
  <si>
    <t xml:space="preserve">U Ditch 80 x 60 cm Precast 1,2 m dengan stek </t>
  </si>
  <si>
    <t xml:space="preserve">U Ditch 80 x 70 cm Precast 1,2 m dengan stek </t>
  </si>
  <si>
    <t xml:space="preserve">U Ditch 80 x 80 cm Precast 1,2 m dengan stek </t>
  </si>
  <si>
    <t xml:space="preserve">U Ditch 80 x 100 cm Precast 1,2 m dengan stek </t>
  </si>
  <si>
    <t xml:space="preserve">U Ditch 100 x 80 cm Precast 1,2 m dengan stek </t>
  </si>
  <si>
    <t xml:space="preserve">U Ditch 100 x 100 cm Precast 1,2 m dengan stek </t>
  </si>
  <si>
    <t>U Ditch 40 x 40 cm Precast 1,2 m dengan stek</t>
  </si>
  <si>
    <t>U Ditch 40 x 50 cm Precast 1.2 m dengan stek</t>
  </si>
  <si>
    <t>U Ditch 40 x 60 cm Precast 1,2 m dengan stek</t>
  </si>
  <si>
    <t>1 m3 Beton mutu rendah fc' 10 Mpa, slump (10±2,5)cm, agregat maks 19 mm secara manual</t>
  </si>
  <si>
    <t>1 m3 Beton mutu rendah fc' 15 Mpa, slump (10±2,5)cm, agregat maks 19 mm secara manual</t>
  </si>
  <si>
    <t>1 m3 Beton mutu sedang fc' 20 Mpa, slump (10±2,5)cm, agregat maks 19 mm secara manual</t>
  </si>
  <si>
    <t>1 m3 Beton mutu sedang fc' 25 Mpa, slump (10±2,5)cm, agregat maks 19 mm secara manual</t>
  </si>
  <si>
    <t>1 m3 Beton mutu sedang fc' 40 Mpa, slump (10±2,5)cm, agregat maks 19 mm secara semi mekanis</t>
  </si>
  <si>
    <t>Harga Satuan Pekerjaan /m'</t>
  </si>
  <si>
    <t>A.3.09.2a.2.a</t>
  </si>
  <si>
    <t>Box Culvert 40 x 40 cm</t>
  </si>
  <si>
    <t>Box Culvert 50 x 50 cm</t>
  </si>
  <si>
    <t>Box Culvert 60 x 60 cm</t>
  </si>
  <si>
    <t>Box Culvert 70 x 70 cm</t>
  </si>
  <si>
    <t>Box Culvert 80 x 80 cm</t>
  </si>
  <si>
    <t>Box Culvert 100 x 100 cm</t>
  </si>
  <si>
    <t>Box Culvert 120 x 120 cm</t>
  </si>
  <si>
    <t>A.3.09.2b.1.a</t>
  </si>
  <si>
    <t>1 m' Pasangan Uditch 100x100x120 cm (tanpa seal karet)</t>
  </si>
  <si>
    <t>1 m' Pasangan Box Culvert 40x40x100 cm (tanpa seal karet)</t>
  </si>
  <si>
    <t>A.3.09.2b.2.a</t>
  </si>
  <si>
    <t>1 m' Pasangan Box Culvert 60x60x100 cm (tanpa seal karet)</t>
  </si>
  <si>
    <t>A.3.09.2b.3.a</t>
  </si>
  <si>
    <t>1 m' Pasangan Box Culvert 100x100x100 cm (tanpa seal karet)</t>
  </si>
  <si>
    <t>1 m3 Galian cadas/tanah keras di BA/saluran sedalam (75-100%) Dm, atau (5,0-&lt;6,6)m dimuat ke DT dengan Excavator std</t>
  </si>
  <si>
    <t>disesuaikan mutu betonnya yang digunakan</t>
  </si>
  <si>
    <t>disesuaikan jenis pintu</t>
  </si>
  <si>
    <t>batang</t>
  </si>
  <si>
    <t>HSD</t>
  </si>
  <si>
    <t>Biaya Angkutan Material Ke Lokasi Pekerjaan</t>
  </si>
  <si>
    <t xml:space="preserve">No </t>
  </si>
  <si>
    <t>Lokasi Pekerjaan</t>
  </si>
  <si>
    <t>Ket.</t>
  </si>
  <si>
    <t>( Rp. )</t>
  </si>
  <si>
    <t>Deskripsi</t>
  </si>
  <si>
    <t>UPAH TENAGA KERJA</t>
  </si>
  <si>
    <t>II</t>
  </si>
  <si>
    <t xml:space="preserve"> BAHAN / MATERIAL</t>
  </si>
  <si>
    <t xml:space="preserve"> KELOMPOK AIR, TANAH, BATU DAN SEMEN</t>
  </si>
  <si>
    <t xml:space="preserve"> Abu Batu</t>
  </si>
  <si>
    <t xml:space="preserve"> Bahan Aditif (Caldbon, Strorox, dll)</t>
  </si>
  <si>
    <t xml:space="preserve"> Batu bata / merah bakar kelas I</t>
  </si>
  <si>
    <t>Mengangkut  1 bh bata merah dengan jarak angkut  300 m</t>
  </si>
  <si>
    <t xml:space="preserve"> Batu bata / merah bakar kelas II</t>
  </si>
  <si>
    <t xml:space="preserve"> Batu bata / merah bakar kw biasa</t>
  </si>
  <si>
    <t xml:space="preserve"> Batu bata / merah oven (Klingker)</t>
  </si>
  <si>
    <t xml:space="preserve"> Batu / batu kali/ batu belah</t>
  </si>
  <si>
    <t xml:space="preserve"> Batu brojol (Untuk bronjong)</t>
  </si>
  <si>
    <t xml:space="preserve"> Bentonit</t>
  </si>
  <si>
    <t xml:space="preserve"> Beton Ready Mixed K-175</t>
  </si>
  <si>
    <t xml:space="preserve"> Beton Ready Mixed K-200</t>
  </si>
  <si>
    <t xml:space="preserve"> Beton Ready Mixed K-225</t>
  </si>
  <si>
    <t xml:space="preserve"> Beton Ready Mixed K-250</t>
  </si>
  <si>
    <t xml:space="preserve"> Beton Ready Mixed K-275</t>
  </si>
  <si>
    <t xml:space="preserve"> Beton Ready Mixed K-325</t>
  </si>
  <si>
    <t xml:space="preserve"> Beton Ready Mixed K-350</t>
  </si>
  <si>
    <t xml:space="preserve"> Beton Ready Mixed K-375</t>
  </si>
  <si>
    <t xml:space="preserve"> Beton Ready Mixed K-400</t>
  </si>
  <si>
    <t xml:space="preserve"> Beton Ready Mixed K-425</t>
  </si>
  <si>
    <t xml:space="preserve"> Beton Ready Mixed K-450</t>
  </si>
  <si>
    <t xml:space="preserve"> Beton Ready Mixed K-500</t>
  </si>
  <si>
    <t xml:space="preserve"> Buis Beton dia 30 cm tanpa tulang, pjg 0,5m</t>
  </si>
  <si>
    <t xml:space="preserve"> Buis Beton dia 40 cm tanpa tulang, pjg 0,5m</t>
  </si>
  <si>
    <t xml:space="preserve"> Buis Beton dia 50 cm tanpa tulang, pjg 0,5m</t>
  </si>
  <si>
    <t xml:space="preserve"> Buis Beton dia 60 cm tanpa tulang, pjg 0,5m</t>
  </si>
  <si>
    <t xml:space="preserve"> Buis Beton grevel dia 20 cm tanpa tulang, pjg 1 m</t>
  </si>
  <si>
    <t xml:space="preserve"> Buis Beton grevel dia 30 cm tanpa tulang, pjg 1 m</t>
  </si>
  <si>
    <t xml:space="preserve"> Buis Beton grevel dia 40 cm tanpa tulang, pjg 1 m</t>
  </si>
  <si>
    <t xml:space="preserve"> Kapur</t>
  </si>
  <si>
    <t xml:space="preserve"> Lempengan rumput</t>
  </si>
  <si>
    <t xml:space="preserve"> Pasir teras</t>
  </si>
  <si>
    <t>Mengangkut 1 zak (50 kg) semen dengan jarak angkut 300 m</t>
  </si>
  <si>
    <t xml:space="preserve"> Sirtu</t>
  </si>
  <si>
    <t xml:space="preserve"> Tanah liat</t>
  </si>
  <si>
    <t xml:space="preserve"> Tanah urug di lokasi</t>
  </si>
  <si>
    <t xml:space="preserve"> Tanah urugan di Borrrow Area</t>
  </si>
  <si>
    <t xml:space="preserve"> Tiang pancang beton dia 20 cm</t>
  </si>
  <si>
    <t xml:space="preserve"> Tiang pancang beton dia 30 cm</t>
  </si>
  <si>
    <t xml:space="preserve"> Tiang Pancang beton tulang 30x30 cm</t>
  </si>
  <si>
    <t xml:space="preserve"> Tiang Pancang beton tulang 40x40 cm</t>
  </si>
  <si>
    <t xml:space="preserve"> Tiang pancang beton ukuran 30x30 cm</t>
  </si>
  <si>
    <t xml:space="preserve"> Tiang pancang beton ukuran 40x40 cm</t>
  </si>
  <si>
    <t xml:space="preserve"> Turap beton pre-cast ukuran 30x12 cm</t>
  </si>
  <si>
    <t xml:space="preserve"> Turap beton pre-cast ukuran 40x20 cm</t>
  </si>
  <si>
    <t xml:space="preserve"> Turap beton tulang pre-cast 30x12 cm</t>
  </si>
  <si>
    <t xml:space="preserve"> Turap beton tulang pre-cast 40x15 cm</t>
  </si>
  <si>
    <t xml:space="preserve"> Turap beton tulang pre-cast 50x22 cm</t>
  </si>
  <si>
    <t>KELOMPOK KAYU</t>
  </si>
  <si>
    <t xml:space="preserve"> Dolken kayu galam dia 10 cm, pjg 3m</t>
  </si>
  <si>
    <t xml:space="preserve"> Dolken kayu galam dia   8 cm, pjg 3m</t>
  </si>
  <si>
    <t xml:space="preserve"> Dolken kayu klas III 5 – 7 cm ,  pjg 3m</t>
  </si>
  <si>
    <t xml:space="preserve"> Dolken kayu klas III 7 – 10 cm, pjg 3m</t>
  </si>
  <si>
    <t xml:space="preserve"> Ijuk tebal 5 cm</t>
  </si>
  <si>
    <t xml:space="preserve"> Kayu balok klas 2 (Kamper Banjar)</t>
  </si>
  <si>
    <t xml:space="preserve"> Kayu balok klas 2 (Kamper Medan/Borneo Super)</t>
  </si>
  <si>
    <t xml:space="preserve"> Kayu balok klas 2 (Kamper Samarinda)</t>
  </si>
  <si>
    <t xml:space="preserve"> Kayu balok klas 3 (Albasia)</t>
  </si>
  <si>
    <t xml:space="preserve"> Kayu gelondongan diameter 20cm</t>
  </si>
  <si>
    <t xml:space="preserve"> Kayu papan bekisting kelas 3</t>
  </si>
  <si>
    <t xml:space="preserve"> Kayu papan klas 2 (Kamper Banjar)</t>
  </si>
  <si>
    <t xml:space="preserve"> Kayu papan klas 2 (Kamper Medan/Borneo Super)</t>
  </si>
  <si>
    <t xml:space="preserve"> Kayu papan klas 2 (Kamper Samarinda)</t>
  </si>
  <si>
    <t xml:space="preserve"> Kayu papan klas 3 (Albasia)</t>
  </si>
  <si>
    <t xml:space="preserve"> Kayu untuk cerucuk dia  2", pjg 2,5 m</t>
  </si>
  <si>
    <t xml:space="preserve"> Kayu untuk cerucuk dia  3", pjg 2,5 m</t>
  </si>
  <si>
    <t xml:space="preserve"> Kayu untuk cerucuk dia  4", pjg 2,5 m</t>
  </si>
  <si>
    <t xml:space="preserve"> Kayu untuk cerucuk dia  6", pjg 2,5 m</t>
  </si>
  <si>
    <t xml:space="preserve"> Kayu usuk/kaso klas 2 (Kamper Medan/B. Super)</t>
  </si>
  <si>
    <t xml:space="preserve"> Kayu usuk/kaso klas 3 (Albasia)</t>
  </si>
  <si>
    <t xml:space="preserve"> Seseg Bambu</t>
  </si>
  <si>
    <t xml:space="preserve"> Teakwood 3mm 120 x 240</t>
  </si>
  <si>
    <t xml:space="preserve"> Teakwood 3mm uk. Pintu</t>
  </si>
  <si>
    <t xml:space="preserve"> Teakwood 4mm 120 x 240</t>
  </si>
  <si>
    <t xml:space="preserve"> Teakwood 4mm uk. Pintu</t>
  </si>
  <si>
    <t xml:space="preserve"> Tiang Pancang kayu dia 8-10 cm</t>
  </si>
  <si>
    <t xml:space="preserve"> Tiang Pancang kayu dia 20 cm</t>
  </si>
  <si>
    <t xml:space="preserve"> Triflex t=3mm</t>
  </si>
  <si>
    <t xml:space="preserve"> Triflex t=4mm</t>
  </si>
  <si>
    <t xml:space="preserve"> Tusuk bambu</t>
  </si>
  <si>
    <t xml:space="preserve"> KELOMPOK LOGAM</t>
  </si>
  <si>
    <t xml:space="preserve"> Baja Pelat tebal 2 mm</t>
  </si>
  <si>
    <t xml:space="preserve"> Baja Pelat tebal 3 mm</t>
  </si>
  <si>
    <t xml:space="preserve"> Baja Pelat tebal 5 mm</t>
  </si>
  <si>
    <t xml:space="preserve"> Baja Pelat tebal 6 mm</t>
  </si>
  <si>
    <t xml:space="preserve"> Baja Pelat tebal 8 mm</t>
  </si>
  <si>
    <t xml:space="preserve"> Baja Pelat setrip</t>
  </si>
  <si>
    <t xml:space="preserve"> Baja Profil IWF Ex. Jepang</t>
  </si>
  <si>
    <t xml:space="preserve"> Baja Profil IWF Ex. DN SII</t>
  </si>
  <si>
    <t xml:space="preserve"> Baja Profil DN SII </t>
  </si>
  <si>
    <t xml:space="preserve"> Baja Profil Ex. Luar Negeri</t>
  </si>
  <si>
    <t xml:space="preserve"> Baja Profil INP</t>
  </si>
  <si>
    <t xml:space="preserve"> Baja Profil siku</t>
  </si>
  <si>
    <t xml:space="preserve"> Baja Profil UNP</t>
  </si>
  <si>
    <t xml:space="preserve"> Baja Tulangan U 32 Ulir</t>
  </si>
  <si>
    <t xml:space="preserve"> Baja Tulangan U 39 Ulir</t>
  </si>
  <si>
    <t xml:space="preserve"> Baja Tulangan U 42 Ulir</t>
  </si>
  <si>
    <t xml:space="preserve"> Baja Tulangan U 24 (besi beton biasa) Polos</t>
  </si>
  <si>
    <t xml:space="preserve"> Baja Tulangan U 32 Polos</t>
  </si>
  <si>
    <t xml:space="preserve"> Baut dia 10 mm panjang 5 cm</t>
  </si>
  <si>
    <t xml:space="preserve"> Baut dia 10 mm panjang 10 cm</t>
  </si>
  <si>
    <t xml:space="preserve"> Baut dia 12 mm panjang 10 cm</t>
  </si>
  <si>
    <t xml:space="preserve"> Baut dia 12 mm panjang 20 cm</t>
  </si>
  <si>
    <t xml:space="preserve"> Kabel baja/sling</t>
  </si>
  <si>
    <t xml:space="preserve"> Kabel prestress</t>
  </si>
  <si>
    <t xml:space="preserve"> Kawat beton / Bendrat</t>
  </si>
  <si>
    <t xml:space="preserve"> Paku biasa 1 cm - 3 cm</t>
  </si>
  <si>
    <t>Pintu Angkat Type I.B = 0,30 m</t>
  </si>
  <si>
    <t>Pintu Angkat Type I.B = 0,40 m</t>
  </si>
  <si>
    <t>Pintu Angkat Type I.B = 0,50 m</t>
  </si>
  <si>
    <t>Pintu Angkat Type II.B = 0,30 m</t>
  </si>
  <si>
    <t>Pintu Angkat Type II.B = 0,40 m</t>
  </si>
  <si>
    <t>Pintu Angkat Type II.B = 0,50 m</t>
  </si>
  <si>
    <t>Pintu Sorong Baja (satu draad) stang</t>
  </si>
  <si>
    <t>b = 0,30 ,  h = 0,30</t>
  </si>
  <si>
    <t>b = 0,30 ,  h = 0,50</t>
  </si>
  <si>
    <t>b = 0,30 ,  h = 1,00</t>
  </si>
  <si>
    <t>b = 0,40 ,  h = 0,30</t>
  </si>
  <si>
    <t>b = 0,40 ,  h = 0,50</t>
  </si>
  <si>
    <t>b = 0,40 ,  h = 1,00</t>
  </si>
  <si>
    <t>b = 0,50 ,  h = 0,30</t>
  </si>
  <si>
    <t>B = 0,50,   h = 0,50</t>
  </si>
  <si>
    <t>b = 0,50 ,  h = 1,00</t>
  </si>
  <si>
    <t>b = 0,60 ,  h = 0,30</t>
  </si>
  <si>
    <t>b = 0,60 ,  h = 0,50</t>
  </si>
  <si>
    <t>b = 0,60 ,  h = 1,00</t>
  </si>
  <si>
    <t>b = 0,70 ,  h = 0,30</t>
  </si>
  <si>
    <t>b = 0,70 ,  h = 0,50</t>
  </si>
  <si>
    <t>b = 0,70 ,  h =1,00</t>
  </si>
  <si>
    <t>b = 0,80,   h = 0,30</t>
  </si>
  <si>
    <t>b = 0,80,   h = 0,50</t>
  </si>
  <si>
    <t>b = 0,80,   h =1,00</t>
  </si>
  <si>
    <t>b = 0,90 ,  h = 0,30</t>
  </si>
  <si>
    <t>b = 0,90 ,  h = 0,50</t>
  </si>
  <si>
    <t>b = 0,90,   h = 1,00</t>
  </si>
  <si>
    <t>b =1,00 ,  h = 0,30</t>
  </si>
  <si>
    <t>b =1,00 ,  h = 0,50</t>
  </si>
  <si>
    <t>b =1,00 ,  h = 1,00</t>
  </si>
  <si>
    <t>b = 1,50,  h = 0,30</t>
  </si>
  <si>
    <t>b = 1,50,  h = 0,50</t>
  </si>
  <si>
    <t>b = 1,50,  h = 1,00</t>
  </si>
  <si>
    <t>b = 2.00  h = 0.30</t>
  </si>
  <si>
    <t>b = 2.00  h = 0.50</t>
  </si>
  <si>
    <t>b = 2,00,  h = 1,00</t>
  </si>
  <si>
    <t>Pintu Sorong Baja (dua draad) stang</t>
  </si>
  <si>
    <t>b = 1,20,  h = 1,00</t>
  </si>
  <si>
    <t>b = 1,20,  h = 1,50</t>
  </si>
  <si>
    <t>b = 1,20,  h = 2.00</t>
  </si>
  <si>
    <t>b = 1,30,  h = 1,00</t>
  </si>
  <si>
    <t>b = 1,30,  h = 1,50</t>
  </si>
  <si>
    <t>b = 1,30,  h = 2,00</t>
  </si>
  <si>
    <t>b = 1,40,  h = 1,00</t>
  </si>
  <si>
    <t>b = 1,40,  h = 1,50</t>
  </si>
  <si>
    <t>b = 1,40,  h = 2,00</t>
  </si>
  <si>
    <t>b = 1,50,  h = 1,50</t>
  </si>
  <si>
    <t>b = 1,50,  h = 2,00</t>
  </si>
  <si>
    <t>b = 1,60,  h = 1,00</t>
  </si>
  <si>
    <t>b = 1,60,  h = 1,50</t>
  </si>
  <si>
    <t>b = 1,60,  h = 2,00</t>
  </si>
  <si>
    <t>b = 1,70,  h = 1,00</t>
  </si>
  <si>
    <t>b = 1,70,  h = 1,50</t>
  </si>
  <si>
    <t>b = 1,70,  h = 2,00</t>
  </si>
  <si>
    <t>b = 1,80,  h = 1,00</t>
  </si>
  <si>
    <t>b = 1,80,  h = 1,50</t>
  </si>
  <si>
    <t>b = 1,80,  h = 2,00</t>
  </si>
  <si>
    <t>b = 1,90,  h = 1,00</t>
  </si>
  <si>
    <t>b = 1,90,  h = 1,50</t>
  </si>
  <si>
    <t>b = 1,90,  h = 2,00</t>
  </si>
  <si>
    <t>b = 2,00,  h = 1,50</t>
  </si>
  <si>
    <t>b = 2,00,  h = 2,00</t>
  </si>
  <si>
    <t xml:space="preserve"> Seng gelombang uk. 0,9 x 1,8, t=0,02</t>
  </si>
  <si>
    <t xml:space="preserve"> Seng gelombang uk. 0,9 x 1,8, t=0,025</t>
  </si>
  <si>
    <t xml:space="preserve"> Seng gelombang uk. 0,9 x 1,8, t=0,03</t>
  </si>
  <si>
    <t xml:space="preserve"> Seng gelombang uk. 0,9 x 1,8, t=0,05</t>
  </si>
  <si>
    <t xml:space="preserve"> Seng pelat BJLS-30 lebar 0,6 m' </t>
  </si>
  <si>
    <t xml:space="preserve"> Seng pelat lebar 0,9 m' t=0,02</t>
  </si>
  <si>
    <t xml:space="preserve"> Seng pelat lebar 0,9 m' t=0,025</t>
  </si>
  <si>
    <t xml:space="preserve"> Seng pelat lebar 0,9 m' t=0,03</t>
  </si>
  <si>
    <t xml:space="preserve"> Seng pelat lebar 0,9 m' t=0,04</t>
  </si>
  <si>
    <t xml:space="preserve"> Seng pelat lebar 0,9 m' t=0,05</t>
  </si>
  <si>
    <t xml:space="preserve"> Stang besi polos diameter 12 mm</t>
  </si>
  <si>
    <t xml:space="preserve"> Stang besi ulir diameter 16 mm</t>
  </si>
  <si>
    <t xml:space="preserve"> Stang besi ulir diameter 16 mm + gear</t>
  </si>
  <si>
    <t xml:space="preserve"> Stang besi ulir diameter 20 mm</t>
  </si>
  <si>
    <t xml:space="preserve"> Stang ulir diameter 20 mm + gear</t>
  </si>
  <si>
    <t xml:space="preserve"> Tiang Pancang Baja dia 30 cm</t>
  </si>
  <si>
    <t xml:space="preserve"> Tiang Pancang baja kotak 30 x 30 cm</t>
  </si>
  <si>
    <t xml:space="preserve"> Turap baja profi larsen lebar 350 mm</t>
  </si>
  <si>
    <t xml:space="preserve"> Wiremesh untuk pelat lantai beton</t>
  </si>
  <si>
    <t xml:space="preserve"> Wiremesh utk bronjong dia 6 mm  (buatan pabrik)</t>
  </si>
  <si>
    <t xml:space="preserve"> Wiremesh utk bronjong dia 8 mm (buatan pabrik)</t>
  </si>
  <si>
    <t xml:space="preserve"> Wiremesh utk bronjong dia 10 mm (buatan pabrik)</t>
  </si>
  <si>
    <t xml:space="preserve"> KELOMPOK PIPA</t>
  </si>
  <si>
    <t>Pipa Black Steel dia 1/2"</t>
  </si>
  <si>
    <t>Pipa Black Steel dia 3/4"</t>
  </si>
  <si>
    <t>Pipa Black Steel dia 1"</t>
  </si>
  <si>
    <t>Pipa Black Steel dia 1,5"</t>
  </si>
  <si>
    <t>Pipa Black Steel dia 2,5"</t>
  </si>
  <si>
    <t>Pipa Black Steel dia 2"</t>
  </si>
  <si>
    <t>Pipa Black Steel dia 3"</t>
  </si>
  <si>
    <t>Pipa Black Steel dia 4"</t>
  </si>
  <si>
    <t>Pipa Black Steel dia 6"</t>
  </si>
  <si>
    <t>Pipa Black Steel dia 8"</t>
  </si>
  <si>
    <t>Pipa DCI dia 4"</t>
  </si>
  <si>
    <t>Pipa DCI dia 6"</t>
  </si>
  <si>
    <t>Pipa DCI dia 8"</t>
  </si>
  <si>
    <t>Pipa DCI dia 10"</t>
  </si>
  <si>
    <t>Pipa DCI dia 12"</t>
  </si>
  <si>
    <t>Pipa DCI dia 14"</t>
  </si>
  <si>
    <t>Pipa DCI dia 400mm</t>
  </si>
  <si>
    <t>Pipa DCI dia 600mm</t>
  </si>
  <si>
    <t>Pipa DCI dia 800mm</t>
  </si>
  <si>
    <t>Pipa DCI dia 1000mm</t>
  </si>
  <si>
    <t>Pipa DCI dia 1200mm</t>
  </si>
  <si>
    <t>Pipa GI tebal Class dia 1/2"</t>
  </si>
  <si>
    <t>Pipa GI Medium Class dia 1/2"</t>
  </si>
  <si>
    <t>Pipa GI Medium Class dia 3/4"</t>
  </si>
  <si>
    <t>Pipa GI Medium Class dia 1 1/2"</t>
  </si>
  <si>
    <t>Pipa GI Medium Class dia 2"</t>
  </si>
  <si>
    <t>Pipa GI Medium Class dia 2 1/2"</t>
  </si>
  <si>
    <t>Pipa GI Medium Class dia 3"</t>
  </si>
  <si>
    <t>Pipa GI Medium Class dia 4"</t>
  </si>
  <si>
    <t>Pipa PVC dia. 20 mm S.10</t>
  </si>
  <si>
    <t>Pipa PVC dia. 25 mm S.10</t>
  </si>
  <si>
    <t>Pipa PVC dia. 32 mm S.10</t>
  </si>
  <si>
    <t>Pipa PVC dia. 40 mm S.10</t>
  </si>
  <si>
    <t>Pipa PVC dia. 50 mm S.10</t>
  </si>
  <si>
    <t>Pipa PVC dia. 63 mm S.12.5</t>
  </si>
  <si>
    <t>Pipa PVC dia. 75 mm S.12.5</t>
  </si>
  <si>
    <t>Pipa PVC dia. 90 mm S.12.5</t>
  </si>
  <si>
    <t>Pipa PVC dia. 110 mm S.12,5</t>
  </si>
  <si>
    <t>Pipa PVC dia. 140 mm S.12,5</t>
  </si>
  <si>
    <t>Pipa PVC dia. 160 mm S.12,5</t>
  </si>
  <si>
    <t>Pipa PVC dia. 200 mm S.12,5</t>
  </si>
  <si>
    <t>Pipa PVC dia. 225 mm S.12,5</t>
  </si>
  <si>
    <t>Pipa PVC dia. 250 mm S.12,5</t>
  </si>
  <si>
    <t>Pipa PVC dia. 315 mm S.12,5</t>
  </si>
  <si>
    <t>Pipa PVC dia. 355 mm S.12,5</t>
  </si>
  <si>
    <t>Pipa PVC dia. 400 mm S.12,5</t>
  </si>
  <si>
    <t>Pipa PVC dia. 500 mm S.12,5</t>
  </si>
  <si>
    <t>Pipa PVC dia. 630 mm S.12,5</t>
  </si>
  <si>
    <t>Screen 4'' low carbon</t>
  </si>
  <si>
    <t>Screen 6'' low carbon</t>
  </si>
  <si>
    <t>Screen 8'' low carbon</t>
  </si>
  <si>
    <t>III</t>
  </si>
  <si>
    <t xml:space="preserve"> KELOMPOK PERALATAN</t>
  </si>
  <si>
    <t xml:space="preserve"> Alat Hammer 0,5 - 1  ton</t>
  </si>
  <si>
    <t>Sewa-hari</t>
  </si>
  <si>
    <t xml:space="preserve"> Alat Hammer 1 - 2 ton</t>
  </si>
  <si>
    <t xml:space="preserve"> Alat pancang + Hammer 1 ton</t>
  </si>
  <si>
    <t>Sewa-jam</t>
  </si>
  <si>
    <t xml:space="preserve"> Alat pancang + Hammer 2 ton</t>
  </si>
  <si>
    <t xml:space="preserve"> Alat penyambung tiang pancang beton</t>
  </si>
  <si>
    <t xml:space="preserve"> Alat penyambung turap beton</t>
  </si>
  <si>
    <t xml:space="preserve"> Alat penyambung tiang pancang dolken</t>
  </si>
  <si>
    <t xml:space="preserve"> Chainsaw</t>
  </si>
  <si>
    <t xml:space="preserve"> Crane 2.5 ton</t>
  </si>
  <si>
    <t xml:space="preserve"> Crane 5-10  ton</t>
  </si>
  <si>
    <t xml:space="preserve"> Crane &gt; 10  ton</t>
  </si>
  <si>
    <t xml:space="preserve"> Dump truck 3,5 ton</t>
  </si>
  <si>
    <t xml:space="preserve"> Dump truck 5 ton</t>
  </si>
  <si>
    <t xml:space="preserve"> Drilling Rig</t>
  </si>
  <si>
    <t xml:space="preserve"> Excavator (standar)/Backhoe</t>
  </si>
  <si>
    <t xml:space="preserve"> Geo Listrik</t>
  </si>
  <si>
    <t xml:space="preserve"> Jack Stressing</t>
  </si>
  <si>
    <t xml:space="preserve"> Las listrik 250 A diesel</t>
  </si>
  <si>
    <t xml:space="preserve"> Lift sampai dengan tinggi maksimum 12m</t>
  </si>
  <si>
    <t xml:space="preserve"> Wheel Loader</t>
  </si>
  <si>
    <t xml:space="preserve"> Track Loader</t>
  </si>
  <si>
    <t xml:space="preserve"> Mesin pancang kompresor udara 8 ton</t>
  </si>
  <si>
    <t xml:space="preserve"> Mesin pancang tenaga diesel 8 ton</t>
  </si>
  <si>
    <t xml:space="preserve"> Mesin pancang tenaga uap 8 ton</t>
  </si>
  <si>
    <t xml:space="preserve"> Molen (Concrete Mixer 0.35 m3)</t>
  </si>
  <si>
    <t xml:space="preserve"> Pick up (Mobil)</t>
  </si>
  <si>
    <t xml:space="preserve"> Pompa air diesel 5 KW; 3"</t>
  </si>
  <si>
    <t xml:space="preserve"> Pompa air diesel 10 KW</t>
  </si>
  <si>
    <t xml:space="preserve"> Pompa air diesel 20 KW</t>
  </si>
  <si>
    <t xml:space="preserve"> Pompa dan Conveyor Beton</t>
  </si>
  <si>
    <t xml:space="preserve"> Perahu</t>
  </si>
  <si>
    <t xml:space="preserve"> Ponton kecil</t>
  </si>
  <si>
    <t xml:space="preserve"> Ponton sedang</t>
  </si>
  <si>
    <t xml:space="preserve"> Ponton besar</t>
  </si>
  <si>
    <t xml:space="preserve"> Roller, Steel wheel</t>
  </si>
  <si>
    <t xml:space="preserve"> Roller, Tandem</t>
  </si>
  <si>
    <t xml:space="preserve"> Speedboat, Motor 10 HP</t>
  </si>
  <si>
    <t xml:space="preserve"> Theodolit</t>
  </si>
  <si>
    <t xml:space="preserve"> Tongkang 500 ton</t>
  </si>
  <si>
    <t xml:space="preserve"> Tongkang 1000 ton</t>
  </si>
  <si>
    <t xml:space="preserve"> Tongkang 2000 ton</t>
  </si>
  <si>
    <t xml:space="preserve"> Trawl diameter lubang 5mm</t>
  </si>
  <si>
    <t xml:space="preserve"> Waterpass</t>
  </si>
  <si>
    <t>IV</t>
  </si>
  <si>
    <t>LAIN-LAIN</t>
  </si>
  <si>
    <t>a.</t>
  </si>
  <si>
    <t xml:space="preserve"> Peralatan Kecil Penunjang</t>
  </si>
  <si>
    <t xml:space="preserve"> Bodem</t>
  </si>
  <si>
    <t xml:space="preserve"> Ember</t>
  </si>
  <si>
    <t xml:space="preserve"> Gergaji besi (mata gergaji)</t>
  </si>
  <si>
    <t xml:space="preserve"> Gunting pemotong baja</t>
  </si>
  <si>
    <t xml:space="preserve"> Kamera SLR</t>
  </si>
  <si>
    <t xml:space="preserve"> Kayu Kasut</t>
  </si>
  <si>
    <t xml:space="preserve"> Kayu pemikul + tampar</t>
  </si>
  <si>
    <t xml:space="preserve"> Kereta dorong</t>
  </si>
  <si>
    <t xml:space="preserve"> Kotak adukan (dolak kayu)</t>
  </si>
  <si>
    <t xml:space="preserve"> Kuas</t>
  </si>
  <si>
    <t xml:space="preserve"> Kunci pembengkok tulangan (baja keras)</t>
  </si>
  <si>
    <t xml:space="preserve"> Linggis (Baja keras)</t>
  </si>
  <si>
    <t xml:space="preserve"> Pahat Beton (baja keras)</t>
  </si>
  <si>
    <t xml:space="preserve"> Palu/godam pemecah batu</t>
  </si>
  <si>
    <t xml:space="preserve"> Tang / alat pemotong kawat</t>
  </si>
  <si>
    <t xml:space="preserve"> Timbris</t>
  </si>
  <si>
    <t>b.</t>
  </si>
  <si>
    <t>Bahan / Peralatan Lain Penunjang</t>
  </si>
  <si>
    <t xml:space="preserve"> Ajir acuan tanaman</t>
  </si>
  <si>
    <t xml:space="preserve"> Asbes gelombang besar uk. 105 x 180, 5mm</t>
  </si>
  <si>
    <t xml:space="preserve"> Asbes gelombang kecil uk. 80 x 180, 4mm</t>
  </si>
  <si>
    <t xml:space="preserve"> Asbes uk 1 x 1 m2</t>
  </si>
  <si>
    <t xml:space="preserve"> Aspal Panas</t>
  </si>
  <si>
    <t>ltr</t>
  </si>
  <si>
    <t xml:space="preserve"> Bibit Mangrove</t>
  </si>
  <si>
    <t xml:space="preserve"> Blue/black print uk A1</t>
  </si>
  <si>
    <t xml:space="preserve"> Blue/black print uk A2</t>
  </si>
  <si>
    <t xml:space="preserve"> Blue/black print uk A3</t>
  </si>
  <si>
    <t xml:space="preserve"> Cat besi</t>
  </si>
  <si>
    <t xml:space="preserve"> Cat meni</t>
  </si>
  <si>
    <t xml:space="preserve"> Cat tembok</t>
  </si>
  <si>
    <t xml:space="preserve"> Cetakan armor</t>
  </si>
  <si>
    <t xml:space="preserve"> Copy CD (soft file)</t>
  </si>
  <si>
    <t xml:space="preserve"> Cuka Bibit</t>
  </si>
  <si>
    <t xml:space="preserve"> Foto Album</t>
  </si>
  <si>
    <t xml:space="preserve"> Foto cuci film Selulosa Kimia</t>
  </si>
  <si>
    <t>rol</t>
  </si>
  <si>
    <t xml:space="preserve"> Foto Film Selulosa Kimia</t>
  </si>
  <si>
    <t xml:space="preserve"> Foto printing</t>
  </si>
  <si>
    <t xml:space="preserve"> Foto copy kalkir A1 ke kalkir</t>
  </si>
  <si>
    <t xml:space="preserve"> Foto copy kertas Letter, Legal, A4</t>
  </si>
  <si>
    <t xml:space="preserve"> Geotekstil A</t>
  </si>
  <si>
    <t xml:space="preserve"> Geotekstil B (Polyfelt, dll.)</t>
  </si>
  <si>
    <t xml:space="preserve"> Geotekstil C</t>
  </si>
  <si>
    <t xml:space="preserve"> Geotekstil tali</t>
  </si>
  <si>
    <t xml:space="preserve"> Geotekstil mesin jahit</t>
  </si>
  <si>
    <t xml:space="preserve"> Karung plastik / bagor </t>
  </si>
  <si>
    <t xml:space="preserve"> Karung goni/terpal</t>
  </si>
  <si>
    <t xml:space="preserve"> Kertas HVS 80 gr ukuran A0</t>
  </si>
  <si>
    <t xml:space="preserve"> Kertas HVS 80 gr ukuran A1</t>
  </si>
  <si>
    <t xml:space="preserve"> Kertas HVS 80 gr ukuran A2</t>
  </si>
  <si>
    <t xml:space="preserve"> Kertas HVS 80 gr ukuran A3</t>
  </si>
  <si>
    <t xml:space="preserve"> Kertas HVS 70 gr ukuran A4/legal/letter/B5</t>
  </si>
  <si>
    <t xml:space="preserve"> Kertas HVS 80 gr ukuran A4/legal/letter/B5</t>
  </si>
  <si>
    <t xml:space="preserve"> Kertas Kalkir 80 gr ukuran A0 (lebar 90 cm)</t>
  </si>
  <si>
    <t xml:space="preserve"> Kertas Kalkir 80 gr ukuran A1 (lebar 60 cm)</t>
  </si>
  <si>
    <t xml:space="preserve"> Meni / ter / solinem</t>
  </si>
  <si>
    <t xml:space="preserve"> Menjilid pakai kertas di lakban A4</t>
  </si>
  <si>
    <t>*</t>
  </si>
  <si>
    <t xml:space="preserve"> Menjilid pakai kertas langsung A4</t>
  </si>
  <si>
    <t xml:space="preserve"> Menjilid pakai kertas langsung A4 + laminasi</t>
  </si>
  <si>
    <t xml:space="preserve"> Menjilid uk A1</t>
  </si>
  <si>
    <t xml:space="preserve"> Menjilid uk A2</t>
  </si>
  <si>
    <t xml:space="preserve"> Menjilid uk A3</t>
  </si>
  <si>
    <t xml:space="preserve"> Mimic panel untuk 6 channel pintu air</t>
  </si>
  <si>
    <t>set</t>
  </si>
  <si>
    <t xml:space="preserve"> Minyak tanah</t>
  </si>
  <si>
    <t xml:space="preserve"> Motor 2 KW 1350 rpm + pengkabelan</t>
  </si>
  <si>
    <t xml:space="preserve"> Motor 5 KW 1350 rpm + pengkabelan</t>
  </si>
  <si>
    <t xml:space="preserve"> Motor 10 KW 1350 rpm + pengkabelan</t>
  </si>
  <si>
    <t xml:space="preserve"> Olie mesin (Mesran 40 SAE)</t>
  </si>
  <si>
    <t xml:space="preserve"> Oli hidraulic</t>
  </si>
  <si>
    <t xml:space="preserve"> Oli transmisi</t>
  </si>
  <si>
    <t xml:space="preserve"> Pemotong Rumput</t>
  </si>
  <si>
    <t xml:space="preserve"> Pena Rapido</t>
  </si>
  <si>
    <t xml:space="preserve"> Perlengkapan ruang jaga meja kursi</t>
  </si>
  <si>
    <t xml:space="preserve"> Rakit</t>
  </si>
  <si>
    <t xml:space="preserve"> Reduksi kalkir A2 ke kertas A4</t>
  </si>
  <si>
    <t xml:space="preserve"> Reduksi kalkir dari A1 ke A2</t>
  </si>
  <si>
    <t xml:space="preserve"> Sewa Komputer utk drafting CAD</t>
  </si>
  <si>
    <t>sewa-bulan</t>
  </si>
  <si>
    <t xml:space="preserve"> Sewa Scaner A4</t>
  </si>
  <si>
    <t xml:space="preserve"> Sewa Plotter uk. A1</t>
  </si>
  <si>
    <t xml:space="preserve"> Solar bersubsidi</t>
  </si>
  <si>
    <t xml:space="preserve"> Solar non subsidi</t>
  </si>
  <si>
    <t xml:space="preserve"> Tali pengikat/Tambang Nylon</t>
  </si>
  <si>
    <t xml:space="preserve"> Tinta Printer</t>
  </si>
  <si>
    <t>botol</t>
  </si>
  <si>
    <t xml:space="preserve"> Tinta Rapido (Hitam)</t>
  </si>
  <si>
    <t xml:space="preserve"> Waterstop PVC.150</t>
  </si>
  <si>
    <t xml:space="preserve"> Waterstop PVC.200</t>
  </si>
  <si>
    <t xml:space="preserve"> Waterstop PVC.270</t>
  </si>
  <si>
    <t xml:space="preserve"> Waterstop Rubber lebar 150mm - 200mm</t>
  </si>
  <si>
    <t xml:space="preserve">Keterangan:  * item tambahan </t>
  </si>
  <si>
    <t xml:space="preserve"> Multiplek tebal 6 mm</t>
  </si>
  <si>
    <t xml:space="preserve"> Multiplek tebal 9 mm</t>
  </si>
  <si>
    <t>Kayu balok 8/12</t>
  </si>
  <si>
    <t>M.01</t>
  </si>
  <si>
    <t>M.02</t>
  </si>
  <si>
    <t>M.03</t>
  </si>
  <si>
    <t>M.04.a</t>
  </si>
  <si>
    <t>M.04.b</t>
  </si>
  <si>
    <t>M.04.c</t>
  </si>
  <si>
    <t>M.04.d</t>
  </si>
  <si>
    <t>M.04.e</t>
  </si>
  <si>
    <t>M.05</t>
  </si>
  <si>
    <t>M.06</t>
  </si>
  <si>
    <t>M.07a</t>
  </si>
  <si>
    <t>M.07b</t>
  </si>
  <si>
    <t>M.08</t>
  </si>
  <si>
    <t>M.09.a</t>
  </si>
  <si>
    <t>M.09.b</t>
  </si>
  <si>
    <t>M.09.c</t>
  </si>
  <si>
    <t>M.09.d</t>
  </si>
  <si>
    <t>M.09.e</t>
  </si>
  <si>
    <t>M.09.f</t>
  </si>
  <si>
    <t>M.09.g</t>
  </si>
  <si>
    <t>M.09.h</t>
  </si>
  <si>
    <t>M.09.i</t>
  </si>
  <si>
    <t>M.09.j</t>
  </si>
  <si>
    <t>M.09.k</t>
  </si>
  <si>
    <t>M.09.l</t>
  </si>
  <si>
    <t>M.09.m</t>
  </si>
  <si>
    <t>M.10.a</t>
  </si>
  <si>
    <t>M.10.b</t>
  </si>
  <si>
    <t>M.10.c</t>
  </si>
  <si>
    <t>M.10.d</t>
  </si>
  <si>
    <t>M.10.e</t>
  </si>
  <si>
    <t>M.10.f</t>
  </si>
  <si>
    <t>M.10.g</t>
  </si>
  <si>
    <t>M.11</t>
  </si>
  <si>
    <t>M.13</t>
  </si>
  <si>
    <t>M.14.a</t>
  </si>
  <si>
    <t>M.14.b</t>
  </si>
  <si>
    <t>M.14.c</t>
  </si>
  <si>
    <t>M.14.d</t>
  </si>
  <si>
    <t>M.15</t>
  </si>
  <si>
    <t>M.16</t>
  </si>
  <si>
    <t>M.17.a</t>
  </si>
  <si>
    <t>M.17.b</t>
  </si>
  <si>
    <t>M.17.c</t>
  </si>
  <si>
    <t>M.18.a</t>
  </si>
  <si>
    <t>M.18.b</t>
  </si>
  <si>
    <t>M.18.c</t>
  </si>
  <si>
    <t>M.18.d</t>
  </si>
  <si>
    <t>M.18.e</t>
  </si>
  <si>
    <t>M.18.f</t>
  </si>
  <si>
    <t>M.19.a</t>
  </si>
  <si>
    <t>M.19.b</t>
  </si>
  <si>
    <t>M.19.c</t>
  </si>
  <si>
    <t>M.19.d</t>
  </si>
  <si>
    <t>M.19.e</t>
  </si>
  <si>
    <t>M.30.a</t>
  </si>
  <si>
    <t>M.30.b</t>
  </si>
  <si>
    <t>M.31.a</t>
  </si>
  <si>
    <t>M.31.b</t>
  </si>
  <si>
    <t>M.31.c</t>
  </si>
  <si>
    <t>M.31.d</t>
  </si>
  <si>
    <t>M.32</t>
  </si>
  <si>
    <t>M.33.a</t>
  </si>
  <si>
    <t>M.33.b</t>
  </si>
  <si>
    <t>M.33.c</t>
  </si>
  <si>
    <t>M.33.d</t>
  </si>
  <si>
    <t>M.35.a</t>
  </si>
  <si>
    <t>M.35.b</t>
  </si>
  <si>
    <t>M.35.c</t>
  </si>
  <si>
    <t>M.35.d</t>
  </si>
  <si>
    <t>M.35.e</t>
  </si>
  <si>
    <t>M.36.a</t>
  </si>
  <si>
    <t>M.36.b</t>
  </si>
  <si>
    <t>M.36.c</t>
  </si>
  <si>
    <t>M.36.d</t>
  </si>
  <si>
    <t>M.37.a</t>
  </si>
  <si>
    <t>M.37.b</t>
  </si>
  <si>
    <t>M.38.a</t>
  </si>
  <si>
    <t>M.38.b</t>
  </si>
  <si>
    <t>M.38.c</t>
  </si>
  <si>
    <t>M.38.d</t>
  </si>
  <si>
    <t>M.39</t>
  </si>
  <si>
    <t>M.40.a</t>
  </si>
  <si>
    <t>M.40.b</t>
  </si>
  <si>
    <t>M.40.c</t>
  </si>
  <si>
    <t>M.40.d</t>
  </si>
  <si>
    <t>M.41.a</t>
  </si>
  <si>
    <t>M.42.b</t>
  </si>
  <si>
    <t>M.42.a</t>
  </si>
  <si>
    <t>M.42.c</t>
  </si>
  <si>
    <t>M.53.a</t>
  </si>
  <si>
    <t>M.53.b</t>
  </si>
  <si>
    <t>M.53.c</t>
  </si>
  <si>
    <t>M.53.d</t>
  </si>
  <si>
    <t>M.53.e</t>
  </si>
  <si>
    <t>M.53.f</t>
  </si>
  <si>
    <t>M.54.a</t>
  </si>
  <si>
    <t>M.54.b</t>
  </si>
  <si>
    <t>M.54.c</t>
  </si>
  <si>
    <t>M.54.d</t>
  </si>
  <si>
    <t>M.54.e</t>
  </si>
  <si>
    <t>M.54.f</t>
  </si>
  <si>
    <t>M.54.g</t>
  </si>
  <si>
    <t>M.54.h</t>
  </si>
  <si>
    <t>M.55.a</t>
  </si>
  <si>
    <t>M.55.b</t>
  </si>
  <si>
    <t>M.55.c</t>
  </si>
  <si>
    <t>M.55.d</t>
  </si>
  <si>
    <t>M.55.e</t>
  </si>
  <si>
    <t>M.56.a</t>
  </si>
  <si>
    <t>M.56.b</t>
  </si>
  <si>
    <t>M.56.c</t>
  </si>
  <si>
    <t>M.56.d</t>
  </si>
  <si>
    <t>M.57</t>
  </si>
  <si>
    <t>M.58</t>
  </si>
  <si>
    <t>M.59</t>
  </si>
  <si>
    <t>M.60</t>
  </si>
  <si>
    <t>M.61</t>
  </si>
  <si>
    <t>M.62</t>
  </si>
  <si>
    <t>M.63</t>
  </si>
  <si>
    <t>M.64.a</t>
  </si>
  <si>
    <t>M.65.b</t>
  </si>
  <si>
    <t>M.66.c</t>
  </si>
  <si>
    <t>M.67.a</t>
  </si>
  <si>
    <t>M.67.b</t>
  </si>
  <si>
    <t>M.67.c</t>
  </si>
  <si>
    <t>M.68.a</t>
  </si>
  <si>
    <t>M.68.b</t>
  </si>
  <si>
    <t>M.68.c</t>
  </si>
  <si>
    <t>M.69.a</t>
  </si>
  <si>
    <t>M.69.b</t>
  </si>
  <si>
    <t>M.69.c</t>
  </si>
  <si>
    <t>M.70.a</t>
  </si>
  <si>
    <t>M.70.b</t>
  </si>
  <si>
    <t>M.70.c</t>
  </si>
  <si>
    <t>M.71.a</t>
  </si>
  <si>
    <t>M.71.b</t>
  </si>
  <si>
    <t>M.71.c</t>
  </si>
  <si>
    <t>M.72.a</t>
  </si>
  <si>
    <t>M.72.b</t>
  </si>
  <si>
    <t>M.72.c</t>
  </si>
  <si>
    <t>M.73.a</t>
  </si>
  <si>
    <t>M.73.b</t>
  </si>
  <si>
    <t>M.73.c</t>
  </si>
  <si>
    <t>M.74.a</t>
  </si>
  <si>
    <t>M.74.b</t>
  </si>
  <si>
    <t>M.74.c</t>
  </si>
  <si>
    <t>M.75.a</t>
  </si>
  <si>
    <t>M.75.b</t>
  </si>
  <si>
    <t>M.75.c</t>
  </si>
  <si>
    <t>M.76.a</t>
  </si>
  <si>
    <t>M.76.b</t>
  </si>
  <si>
    <t>M.76.c</t>
  </si>
  <si>
    <t>M.77.a</t>
  </si>
  <si>
    <t>M.77.b</t>
  </si>
  <si>
    <t>M.77.c</t>
  </si>
  <si>
    <t>M.78.a</t>
  </si>
  <si>
    <t>M.78.b</t>
  </si>
  <si>
    <t>M.78.c</t>
  </si>
  <si>
    <t>M.79.a</t>
  </si>
  <si>
    <t>M.79.b</t>
  </si>
  <si>
    <t>M.79.c</t>
  </si>
  <si>
    <t>M.80.a</t>
  </si>
  <si>
    <t>M.80.b</t>
  </si>
  <si>
    <t>M.80.c</t>
  </si>
  <si>
    <t>M.81.a</t>
  </si>
  <si>
    <t>M.81.b</t>
  </si>
  <si>
    <t>M.81.c</t>
  </si>
  <si>
    <t>M.82.a</t>
  </si>
  <si>
    <t>M.82.b</t>
  </si>
  <si>
    <t>M.82.c</t>
  </si>
  <si>
    <t>M.83.a</t>
  </si>
  <si>
    <t>M.83.b</t>
  </si>
  <si>
    <t>M.83.c</t>
  </si>
  <si>
    <t>M.84.a</t>
  </si>
  <si>
    <t>M.84.b</t>
  </si>
  <si>
    <t>M.84.c</t>
  </si>
  <si>
    <t>M.85.a</t>
  </si>
  <si>
    <t>M.85.b</t>
  </si>
  <si>
    <t>M.85.c</t>
  </si>
  <si>
    <t>M.86.a</t>
  </si>
  <si>
    <t>M.86.b</t>
  </si>
  <si>
    <t>M.86.c</t>
  </si>
  <si>
    <t>M.87.a</t>
  </si>
  <si>
    <t>M.87.b</t>
  </si>
  <si>
    <t>M.87.c</t>
  </si>
  <si>
    <t>M.88.a</t>
  </si>
  <si>
    <t>M.88.b</t>
  </si>
  <si>
    <t>M.88.c</t>
  </si>
  <si>
    <t>M.88.d</t>
  </si>
  <si>
    <t>M.89.a</t>
  </si>
  <si>
    <t>M.89.b</t>
  </si>
  <si>
    <t>M.90.a</t>
  </si>
  <si>
    <t>M.90.b</t>
  </si>
  <si>
    <t>M.90.c</t>
  </si>
  <si>
    <t>M.90.d</t>
  </si>
  <si>
    <t>M.90.e</t>
  </si>
  <si>
    <t>M.91.a</t>
  </si>
  <si>
    <t>M.91.b</t>
  </si>
  <si>
    <t>M.91.c</t>
  </si>
  <si>
    <t>M.91.d</t>
  </si>
  <si>
    <t>M.91.e</t>
  </si>
  <si>
    <t>M.92.a</t>
  </si>
  <si>
    <t>M.92.b</t>
  </si>
  <si>
    <t>M.93</t>
  </si>
  <si>
    <t>M.94.a</t>
  </si>
  <si>
    <t>M.94.b</t>
  </si>
  <si>
    <t>M.94.c</t>
  </si>
  <si>
    <t>M.94.d</t>
  </si>
  <si>
    <t>M.104.a</t>
  </si>
  <si>
    <t>M.104.b</t>
  </si>
  <si>
    <t>M.104.c</t>
  </si>
  <si>
    <t>M.104.d</t>
  </si>
  <si>
    <t>M.104.e</t>
  </si>
  <si>
    <t>M.104.f</t>
  </si>
  <si>
    <t>M.104.g</t>
  </si>
  <si>
    <t>M.104.h</t>
  </si>
  <si>
    <t>M.104.i</t>
  </si>
  <si>
    <t>M.104.j</t>
  </si>
  <si>
    <t>M.105.a</t>
  </si>
  <si>
    <t>M.105.b</t>
  </si>
  <si>
    <t>M.105.c</t>
  </si>
  <si>
    <t>M.105.d</t>
  </si>
  <si>
    <t>M.105.e</t>
  </si>
  <si>
    <t>M.105.f</t>
  </si>
  <si>
    <t>M.105.g</t>
  </si>
  <si>
    <t>M.105.h</t>
  </si>
  <si>
    <t>M.105.i</t>
  </si>
  <si>
    <t>M.105.j</t>
  </si>
  <si>
    <t>M.105.k</t>
  </si>
  <si>
    <t>M.106.a</t>
  </si>
  <si>
    <t>M.106.b</t>
  </si>
  <si>
    <t>M.106.c</t>
  </si>
  <si>
    <t>M.106.d</t>
  </si>
  <si>
    <t>M.106.e</t>
  </si>
  <si>
    <t>M.106.f</t>
  </si>
  <si>
    <t>M.106.g</t>
  </si>
  <si>
    <t>M.106.h</t>
  </si>
  <si>
    <t>M.107.a</t>
  </si>
  <si>
    <t>M.107.b</t>
  </si>
  <si>
    <t>M.107.c</t>
  </si>
  <si>
    <t>M.107.d</t>
  </si>
  <si>
    <t>M.107.e</t>
  </si>
  <si>
    <t>M.107.f</t>
  </si>
  <si>
    <t>M.107.g</t>
  </si>
  <si>
    <t>M.107.h</t>
  </si>
  <si>
    <t>M.107.i</t>
  </si>
  <si>
    <t>M.107.j</t>
  </si>
  <si>
    <t>M.107.k</t>
  </si>
  <si>
    <t>M.107.l</t>
  </si>
  <si>
    <t>M.107.m</t>
  </si>
  <si>
    <t>M.107.n</t>
  </si>
  <si>
    <t>M.107.o</t>
  </si>
  <si>
    <t>M.107.p</t>
  </si>
  <si>
    <t>M.107.q</t>
  </si>
  <si>
    <t>M.107.r</t>
  </si>
  <si>
    <t>M.107.s</t>
  </si>
  <si>
    <t>M.108.a</t>
  </si>
  <si>
    <t>M.108.b</t>
  </si>
  <si>
    <t>M.108.c</t>
  </si>
  <si>
    <t>E.01.a</t>
  </si>
  <si>
    <t>E.01.b</t>
  </si>
  <si>
    <t>E.01.c</t>
  </si>
  <si>
    <t>E.01.d</t>
  </si>
  <si>
    <t>E.02.a</t>
  </si>
  <si>
    <t>E.02.b</t>
  </si>
  <si>
    <t>E.02.c</t>
  </si>
  <si>
    <t>E.05</t>
  </si>
  <si>
    <t>E.06</t>
  </si>
  <si>
    <t>E.07.a</t>
  </si>
  <si>
    <t>E.07.b</t>
  </si>
  <si>
    <t>E.07.c</t>
  </si>
  <si>
    <t>E.08.a</t>
  </si>
  <si>
    <t>E.08.b</t>
  </si>
  <si>
    <t>E.09</t>
  </si>
  <si>
    <t>E.11.a</t>
  </si>
  <si>
    <t>E.11.b</t>
  </si>
  <si>
    <t>E.121</t>
  </si>
  <si>
    <t>E.14</t>
  </si>
  <si>
    <t>E.15</t>
  </si>
  <si>
    <t>E.22</t>
  </si>
  <si>
    <t>E.23</t>
  </si>
  <si>
    <t>E.25a</t>
  </si>
  <si>
    <t>E.25b</t>
  </si>
  <si>
    <t>E.26</t>
  </si>
  <si>
    <t>E.27.a</t>
  </si>
  <si>
    <t>E.27.b</t>
  </si>
  <si>
    <t>E.27.c</t>
  </si>
  <si>
    <t>E.28.a</t>
  </si>
  <si>
    <t>E.28.b</t>
  </si>
  <si>
    <t>E.31</t>
  </si>
  <si>
    <t>E.32</t>
  </si>
  <si>
    <t>E.34.a</t>
  </si>
  <si>
    <t>E.34.b</t>
  </si>
  <si>
    <t>E.34.c</t>
  </si>
  <si>
    <t>E.35</t>
  </si>
  <si>
    <t>E.36</t>
  </si>
  <si>
    <t>E.37.a</t>
  </si>
  <si>
    <t>E.37.b</t>
  </si>
  <si>
    <t>E.37.c</t>
  </si>
  <si>
    <t>E.38.a</t>
  </si>
  <si>
    <t>E.38.b</t>
  </si>
  <si>
    <t>E.39</t>
  </si>
  <si>
    <t>E.41</t>
  </si>
  <si>
    <t>E.43a</t>
  </si>
  <si>
    <t>E.43b</t>
  </si>
  <si>
    <t>E.43c</t>
  </si>
  <si>
    <t>E.44</t>
  </si>
  <si>
    <t>E.45</t>
  </si>
  <si>
    <t>E.47</t>
  </si>
  <si>
    <t>E.48</t>
  </si>
  <si>
    <t>E.49</t>
  </si>
  <si>
    <t>E.50</t>
  </si>
  <si>
    <t>To.01</t>
  </si>
  <si>
    <t>To.02</t>
  </si>
  <si>
    <t>To.03</t>
  </si>
  <si>
    <t>To.04</t>
  </si>
  <si>
    <t>To.05</t>
  </si>
  <si>
    <t>To.06</t>
  </si>
  <si>
    <t>To.07</t>
  </si>
  <si>
    <t>To.08</t>
  </si>
  <si>
    <t>To.09</t>
  </si>
  <si>
    <t>To.10</t>
  </si>
  <si>
    <t>To.11</t>
  </si>
  <si>
    <t>To.12</t>
  </si>
  <si>
    <t>To.13</t>
  </si>
  <si>
    <t>To.14</t>
  </si>
  <si>
    <t>To.15</t>
  </si>
  <si>
    <t>To.16</t>
  </si>
  <si>
    <t>To.17</t>
  </si>
  <si>
    <t>To.18</t>
  </si>
  <si>
    <t>M.109</t>
  </si>
  <si>
    <t>M.110.a</t>
  </si>
  <si>
    <t>M.110.b</t>
  </si>
  <si>
    <t>M.110.c</t>
  </si>
  <si>
    <t>M.111</t>
  </si>
  <si>
    <t>M.112.a</t>
  </si>
  <si>
    <t>M.112.b</t>
  </si>
  <si>
    <t>M.113</t>
  </si>
  <si>
    <t>M.114.a</t>
  </si>
  <si>
    <t>M.114.b</t>
  </si>
  <si>
    <t>M.114.c</t>
  </si>
  <si>
    <t>M.115.a</t>
  </si>
  <si>
    <t>M.115.b</t>
  </si>
  <si>
    <t>M.115.c</t>
  </si>
  <si>
    <t>M.115.d</t>
  </si>
  <si>
    <t>M.116</t>
  </si>
  <si>
    <t>M.117</t>
  </si>
  <si>
    <t>M.118</t>
  </si>
  <si>
    <t>M.119a</t>
  </si>
  <si>
    <t>M.119b</t>
  </si>
  <si>
    <t>M.119c</t>
  </si>
  <si>
    <t>M.119d</t>
  </si>
  <si>
    <t>M.120.a</t>
  </si>
  <si>
    <t>M.120.b</t>
  </si>
  <si>
    <t>M.122.a</t>
  </si>
  <si>
    <t>M.122.b</t>
  </si>
  <si>
    <t>M.122.c</t>
  </si>
  <si>
    <t>M.122.d</t>
  </si>
  <si>
    <t>M.122.e</t>
  </si>
  <si>
    <t>M.123.a</t>
  </si>
  <si>
    <t>M.123.b</t>
  </si>
  <si>
    <t>M.124.a</t>
  </si>
  <si>
    <t>M.125.b</t>
  </si>
  <si>
    <t>M.125.c</t>
  </si>
  <si>
    <t>M.125.d</t>
  </si>
  <si>
    <t>M.125.e</t>
  </si>
  <si>
    <t>M.125.f</t>
  </si>
  <si>
    <t>M.125.g</t>
  </si>
  <si>
    <t>M.125.h</t>
  </si>
  <si>
    <t>M.126</t>
  </si>
  <si>
    <t>M.127.a</t>
  </si>
  <si>
    <t>M.127.b</t>
  </si>
  <si>
    <t>M.127.c</t>
  </si>
  <si>
    <t>M.127.d</t>
  </si>
  <si>
    <t>M.127.e</t>
  </si>
  <si>
    <t>M.127.f</t>
  </si>
  <si>
    <t>M.128</t>
  </si>
  <si>
    <t>M.129</t>
  </si>
  <si>
    <t>M.130</t>
  </si>
  <si>
    <t>M.131.a</t>
  </si>
  <si>
    <t>M.131.b</t>
  </si>
  <si>
    <t>M.131.c</t>
  </si>
  <si>
    <t>M.132a</t>
  </si>
  <si>
    <t>M.132b</t>
  </si>
  <si>
    <t>M.132c</t>
  </si>
  <si>
    <t>M.133</t>
  </si>
  <si>
    <t>M.134</t>
  </si>
  <si>
    <t>M.135</t>
  </si>
  <si>
    <t>M.136</t>
  </si>
  <si>
    <t>M.137.a</t>
  </si>
  <si>
    <t>M.137.b</t>
  </si>
  <si>
    <t>M.139.a</t>
  </si>
  <si>
    <t>M.139.b</t>
  </si>
  <si>
    <t>M.139.c</t>
  </si>
  <si>
    <t>M.140a</t>
  </si>
  <si>
    <t>M.140b</t>
  </si>
  <si>
    <t>M.141</t>
  </si>
  <si>
    <t>M.143a</t>
  </si>
  <si>
    <t>M.143b</t>
  </si>
  <si>
    <t>M.144.a</t>
  </si>
  <si>
    <t>M.144.b</t>
  </si>
  <si>
    <t>M.144.c</t>
  </si>
  <si>
    <t>M.144.d</t>
  </si>
  <si>
    <t>Nama Lokas Pekerjaan</t>
  </si>
  <si>
    <t>Pake biaya angkut manual ?  (Ya=1; Tidak=0)</t>
  </si>
  <si>
    <t>c.</t>
  </si>
  <si>
    <t xml:space="preserve">Contoh untuk jarak angkut horizontal </t>
  </si>
  <si>
    <t>Bambu dia 8-10 cm, panjang 4-6 m</t>
  </si>
  <si>
    <t>Bambu dia 6-8 cm, panjang 4 m</t>
  </si>
  <si>
    <t>1 m3 Bongkar pasangan  Batu bata / merah bakar pres dengan jack hammer</t>
  </si>
  <si>
    <t>Batu bata / merah bakar pres</t>
  </si>
  <si>
    <t>Batu alam/Batu Kali 12-25cm</t>
  </si>
  <si>
    <t>T.15a.8)</t>
  </si>
  <si>
    <t>Mengangkut  1 m3 material dengan jarak angkut  300 m</t>
  </si>
  <si>
    <t>Batu Candi</t>
  </si>
  <si>
    <t>M.12.a</t>
  </si>
  <si>
    <t>M.12.b</t>
  </si>
  <si>
    <t>Kerikil/Koral/Agregat Beton</t>
  </si>
  <si>
    <t>Baut dia 12 mm panjang 5 cm</t>
  </si>
  <si>
    <t>Baja Tulangan BJTS 280</t>
  </si>
  <si>
    <t>Baja Tulangan BJTP 280</t>
  </si>
  <si>
    <t>Baja Tulangan BJTS 520</t>
  </si>
  <si>
    <t>Baja Tulangan BJTS 700</t>
  </si>
  <si>
    <t>Baja Profil siku L.40.40.4</t>
  </si>
  <si>
    <t>Baja Profil siku L.50.50.5</t>
  </si>
  <si>
    <t xml:space="preserve">Baja Profil siku L.40.40.4 </t>
  </si>
  <si>
    <t>Pelat setrip / 3x30x300mm</t>
  </si>
  <si>
    <t xml:space="preserve"> Beton Ready Mixed K-300 (fc' 25 Mpa)</t>
  </si>
  <si>
    <t>Beton Ready Mixed K-300 (fc' 25 Mpa)</t>
  </si>
  <si>
    <t>Box Culvert 40 x 40 x 100 cm; Bcrat 0,43 l Ton</t>
  </si>
  <si>
    <t>Box Culvert 50 x 50 x 100 cm; Berat 0,576 Ton</t>
  </si>
  <si>
    <t>Box Culvert 60 x 60 x 100 cm; Berat 0,837 Ton</t>
  </si>
  <si>
    <t>Box Culvert 80 x 80 x 100 cm; Berat 1,375 Ton</t>
  </si>
  <si>
    <t>Box Culvert 100 x 100 x 100 cm; &amp;rat 1,7 Ton</t>
  </si>
  <si>
    <t>Box Culvert 120 x 120 x 100 cm; Beret 2,2 Ton</t>
  </si>
  <si>
    <t>Box Culvert 140 x 140 x 100 cm; &amp;rat 2,75 Ton</t>
  </si>
  <si>
    <t>Box Culvert 150 x 150 x 100 cm; &amp;rat 3,095 Ton</t>
  </si>
  <si>
    <t>Box Culvert 180 x 180 x 100 cm; &amp;rat 4,035 Ton</t>
  </si>
  <si>
    <t>Box Culvert 200 x 200 x 100 cm; &amp;rat 4,973 Ton</t>
  </si>
  <si>
    <t>Box Culvert 300 x 300 x 100 cm; &amp;rat 8,827 Ton</t>
  </si>
  <si>
    <t>Box Culvert 40 x 40 x 100 cm; Berat 0,431 Ton</t>
  </si>
  <si>
    <t>Box Culvert 100 x 100 x 100 cm; Berat 1,7 Ton</t>
  </si>
  <si>
    <t>Bulldozer 50-60 HP</t>
  </si>
  <si>
    <t>Bulldozer 105 HP</t>
  </si>
  <si>
    <t>Bulldozer 155 HP</t>
  </si>
  <si>
    <t>Bulldozer 220 HP, 21 Ton</t>
  </si>
  <si>
    <t>Molen (Concrete Mixer 0.35 m3)</t>
  </si>
  <si>
    <t>Pompa beton (D) 13,5 KW, 14 bar, T=10 m</t>
  </si>
  <si>
    <t>Pompa beton (D) 10 KW, 14 bar, T=10 m</t>
  </si>
  <si>
    <t>Pompa beton (D) 7,5 KW, 8 bar, T=5 m</t>
  </si>
  <si>
    <t xml:space="preserve"> Dolken kayu galam dia 8-10</t>
  </si>
  <si>
    <t>Dolken kayu galam dia 8-10</t>
  </si>
  <si>
    <t>Dynabolt/raamset dia 8 mm panjang 4-5 cm</t>
  </si>
  <si>
    <t>Excavator (standar)/Backhoe</t>
  </si>
  <si>
    <t>Excavator (long arm)</t>
  </si>
  <si>
    <t>Fly Ash</t>
  </si>
  <si>
    <t>Superplastizier</t>
  </si>
  <si>
    <t>Gcoteksti1 Non-Woven 150 g/m.2</t>
  </si>
  <si>
    <t>Geotekstil Woven 400 g/m2</t>
  </si>
  <si>
    <t>Geotekstil Non-Woven 500 g/m2</t>
  </si>
  <si>
    <t>Geotekstil Woven 600 g/m2</t>
  </si>
  <si>
    <t>Geotekstil Non-Woven 600 g/m2</t>
  </si>
  <si>
    <t>Geotekstil Woven 800 g/m2</t>
  </si>
  <si>
    <t>Geotekstil Woven 150 g/m.2</t>
  </si>
  <si>
    <t>Geotekstil Non-Woven 250 g/m2</t>
  </si>
  <si>
    <t>Geotekstil Non-Woven 400 g/m2</t>
  </si>
  <si>
    <t>Geotekstil Woven 500 g/m2</t>
  </si>
  <si>
    <t>Geotekstil Woven 250 g/m2</t>
  </si>
  <si>
    <t>Geotekstil Non-Woven 800 g/m2</t>
  </si>
  <si>
    <t>Geotekstil Woven 1200 g/ m2</t>
  </si>
  <si>
    <t>Geotekstil Non-Woven 1200 g/m2</t>
  </si>
  <si>
    <t>Gergaji listrik</t>
  </si>
  <si>
    <t>Baja Profil CNP</t>
  </si>
  <si>
    <t>Ijuk tebal 5 cm</t>
  </si>
  <si>
    <t>Jack hammer</t>
  </si>
  <si>
    <t>Baja Wiremesh M7 ; 2,1 m x 5,4 m; 47.31 kg</t>
  </si>
  <si>
    <t>Baja Wiremesh M11; 2,1 m x 5,4 m; 116.82 kg</t>
  </si>
  <si>
    <t>Baja Wiremesh M12; 2,1 m x 5,4 m; 140.62kg</t>
  </si>
  <si>
    <t>Baja Wiremesh M4 ; 2,1 m x 5,4 m; 15.45 kg</t>
  </si>
  <si>
    <t>Baja Wiremesh M5 ; 2,1 m x 5,4 m; 24.14 kg</t>
  </si>
  <si>
    <t>Baja Wiremesh M6 ; 2,1 m x 5,4 m; 34.76 kg</t>
  </si>
  <si>
    <t>Baja Wiremesh M8 ; 2,1 m x 5,4 m; 61.79 kg</t>
  </si>
  <si>
    <t>Baja Wiremesh M9 ; 2,1m x 5,4 m; 78.21 kg</t>
  </si>
  <si>
    <t>Baja Wiremesh M10; 2,1m x 5,4 m; 96.55 kg</t>
  </si>
  <si>
    <t xml:space="preserve">Karung plastik / bagor </t>
  </si>
  <si>
    <t>1 buah Kisdam pasir/tanah, Karung plastik / bagor /bagor/goni (karung 25kg) uk 43x65 cm</t>
  </si>
  <si>
    <t xml:space="preserve">Kawat bronjong dia 2 - 4 mm </t>
  </si>
  <si>
    <t>kawat las</t>
  </si>
  <si>
    <t>Kawat las listrik</t>
  </si>
  <si>
    <t>Kawat seng t=3mm</t>
  </si>
  <si>
    <t>Kayu kaso 5/7</t>
  </si>
  <si>
    <t>Paku 5 - 7cm</t>
  </si>
  <si>
    <t>Paku seng gelombang</t>
  </si>
  <si>
    <t xml:space="preserve">Paku seng gelombang </t>
  </si>
  <si>
    <t>Paku seng gelombang  gelombang</t>
  </si>
  <si>
    <t>Pipa PVC 2 inch AW Putih</t>
  </si>
  <si>
    <t>Pipa PVC 4 inch AW Putih</t>
  </si>
  <si>
    <t xml:space="preserve">Pipa PVC 1 inch AW Putih </t>
  </si>
  <si>
    <t>Seng pelat BJLS-30 lebar 0,9 m'</t>
  </si>
  <si>
    <t>Stamper Hand (hari)</t>
  </si>
  <si>
    <t>Stamper Hand (jam)</t>
  </si>
  <si>
    <t>Tanah urug</t>
  </si>
  <si>
    <t>Mandor (jam)</t>
  </si>
  <si>
    <t>Kepala Tukang (jam)</t>
  </si>
  <si>
    <t>Tukang (jam)</t>
  </si>
  <si>
    <t>Pekerja (jam)</t>
  </si>
  <si>
    <t>Operator (jam)</t>
  </si>
  <si>
    <t>Pembantu Operator (jam)</t>
  </si>
  <si>
    <t>Molen (Concrete Mixer 0.125 m3)</t>
  </si>
  <si>
    <t>Batu candi</t>
  </si>
  <si>
    <t>Batu muka</t>
  </si>
  <si>
    <t>Bor listrik</t>
  </si>
  <si>
    <t>Pekerjaan</t>
  </si>
  <si>
    <t>Pasangan batu belah dengan mortar tipe M (17,2 Mpa) / 1PC : 2PS / 1PC : 2PS, manual, beda tinggi 0 s.d. 1 m</t>
  </si>
  <si>
    <t>Pasangan batu belah dengan mortar tipe M (17,2 Mpa) / 1PC : 2PS / 1PC : 2PS, manual, beda tinggi 5 s.d. 6 m</t>
  </si>
  <si>
    <t>Pasangan batu belah dengan mortar tipe M (17,2 Mpa) / 1PC : 2PS / 1PC : 2PS, semi mekanis, beda tinggi 0 s.d. 1 m</t>
  </si>
  <si>
    <t>Pasangan batu belah dengan mortar tipe M (17,2 Mpa) / 1PC : 2PS / 1PC : 2PS, semi mekanis, beda tinggi 5 s.d. 6 m</t>
  </si>
  <si>
    <t>Pasangan batu belah dengan mortar tipe S (12,5 Mpa) / 1PC : 3PS, manual, beda tinggi 0 s.d. 1 m</t>
  </si>
  <si>
    <t>Pasangan batu belah dengan mortar tipe S (12,5 Mpa) / 1PC : 3PS, manual, beda tinggi 5 s.d. 6 m</t>
  </si>
  <si>
    <t>Pasangan batu belah dengan mortar tipe S (12,5 Mpa) / 1PC : 3PS, semi mekanis, beda tinggi 0 s.d. 1 m</t>
  </si>
  <si>
    <t>Pasangan batu belah dengan mortar tipe S (12,5 Mpa) / 1PC : 3PS, semi mekanis, beda tinggi 5 s.d. 6 m</t>
  </si>
  <si>
    <t>Pasangan batu belah dengan mortar tipe N (5,2 Mpa) / 1PC : 4PS, manual, beda tinggi 0 s.d. 1 m</t>
  </si>
  <si>
    <t>Pasangan batu belah dengan mortar tipe N (5,2 Mpa) / 1PC : 4PS, semi mekanis, beda tinggi 0 s.d. 1 m</t>
  </si>
  <si>
    <t>Pasangan batu merah dengan mortar tipe M (17,2 Mpa) / 1PC : 2PS, manual, beda tinggi 0 s.d. 1 m</t>
  </si>
  <si>
    <t>Pasangan batu merah dengan mortar tipe M (17,2 Mpa) / 1PC : 2PS , semi mekanis, beda tinggi 0 s.d. 1 m</t>
  </si>
  <si>
    <t>Pasangan batu merah dengan mortar tipe M (17,2 Mpa) / 1PC : 2PS , semi mekanis, beda tinggi 5 s.d. 6 m</t>
  </si>
  <si>
    <t>Pasangan batu merah dengan mortar tipe S (12,5 Mpa) / 1PC : 3PS, manual, beda tinggi 0 s.d. 1 m</t>
  </si>
  <si>
    <t>Pasangan batu merah dengan mortar tipe S (12,5 Mpa) / 1PC : 3PS, semi mekanis, beda tinggi 0 s.d. 1 m</t>
  </si>
  <si>
    <t>Pasangan batu merah dengan mortar tipe N (5,2 Mpa) / 1PC : 4PS, manual, beda tinggi 0 s.d. 1 m</t>
  </si>
  <si>
    <t>Pasangan batu merah dengan mortar tipe N (5,2 Mpa) / 1PC : 4PS, semi mekanis, beda tinggi 0 s.d. 1 m</t>
  </si>
  <si>
    <t>Pembersihan bongkaran pasangan batu untuk dimanfaatkan kembali material batu</t>
  </si>
  <si>
    <t>Kerikil/Koral/Agregat Beton (m3)</t>
  </si>
  <si>
    <t>Bekisting biasa dinding beton dengan multiplek 12 - 18 mm</t>
  </si>
  <si>
    <t>Beton mutu sedang fc' 40 Mpa, slump (10±2,5)cm, agregat maks 19 mm secara semi mekanis</t>
  </si>
  <si>
    <t>Beton mutu rendah fc' 10 Mpa, slump (10±2,5)cm, agregat maks 19 mm secara manual</t>
  </si>
  <si>
    <t>Bekisting biasa lantai beton dengan multiplek 12 - 18 mm</t>
  </si>
  <si>
    <t>Bekisting expose plat lantai beton dengan multiplek 18 mm, JaTm 0,60 m</t>
  </si>
  <si>
    <t>Bekisting biasa balok beton dengan multiplek 12 - 18 mm</t>
  </si>
  <si>
    <t>Bekisting expose balok beton dengan multiplek 18 mm, JaTm 1,0 m</t>
  </si>
  <si>
    <t>Bekisting biasa kolom beton dengan multiplek 12 - 18 mm</t>
  </si>
  <si>
    <t>Bekisting expose kolom beton dengan multiplek 18 mm</t>
  </si>
  <si>
    <t>Bekisting expose dinding beton dengan multiplek 18 mm</t>
  </si>
  <si>
    <t>Bekisting biasa untuk pondasi dan sloof beton dengan multiplek 12 - 18 mm</t>
  </si>
  <si>
    <t>Bongkar bekisting dan perancah secara biasa (beserta membereskan puing)</t>
  </si>
  <si>
    <t>Bongkar bekisting dan perancah secara hati - hati (beserta membereskan puing)</t>
  </si>
  <si>
    <t>Beton mutu rendah fc' 15 Mpa, slump (10±2,5)cm, agregat maks 19 mm secara manual</t>
  </si>
  <si>
    <t>Beton mutu sedang fc' 20 Mpa, slump (10±2,5)cm, agregat maks 19 mm secara manual</t>
  </si>
  <si>
    <t>Beton mutu sedang fc' 25 Mpa, slump (10±2,5)cm, agregat maks 19 mm secara manual</t>
  </si>
  <si>
    <t>REKAPITULASI</t>
  </si>
  <si>
    <t>RENCANA ANGGARAN BIAYA (RAB)</t>
  </si>
  <si>
    <t>NAMA PEKERJAAN</t>
  </si>
  <si>
    <t>LOKASI KEGIATAN</t>
  </si>
  <si>
    <t>TAHUN ANGGARAN</t>
  </si>
  <si>
    <t>SURVEI, INVESTIGASI DAN DESAIN (SID) 
OPTIMALISASI LAHAN RAWA UNTUK PENGEMBANGAN PERTANIAN</t>
  </si>
  <si>
    <t>URAIAN PEKERJAAN</t>
  </si>
  <si>
    <t>JUMLAH</t>
  </si>
  <si>
    <t>A.</t>
  </si>
  <si>
    <t>B.</t>
  </si>
  <si>
    <t>PEKERJAAN PERSIAPAN</t>
  </si>
  <si>
    <t>TOTAL PEKERJAAN</t>
  </si>
  <si>
    <t>VOLUME</t>
  </si>
  <si>
    <t>SAT</t>
  </si>
  <si>
    <t>HARGA
SATUAN (Rp)</t>
  </si>
  <si>
    <t>JUMLAH
HARGA (Rp)</t>
  </si>
  <si>
    <t>6 = 3 x 5</t>
  </si>
  <si>
    <t xml:space="preserve">DAFTAR HARGA SATUAN DASAR </t>
  </si>
  <si>
    <t>TENAGA KERJA, BAHAN DAN  ALAT</t>
  </si>
  <si>
    <t>1.</t>
  </si>
  <si>
    <t>Pengadaan dan pemasangan papan nama proyek</t>
  </si>
  <si>
    <t>3.</t>
  </si>
  <si>
    <t>2.</t>
  </si>
  <si>
    <t>PEKERJAAN OPTIMALISASI LAHAN</t>
  </si>
  <si>
    <t>4.</t>
  </si>
  <si>
    <t>5.</t>
  </si>
  <si>
    <t>1 kg Pemasangan besi biasa, profil siku, IWF, INP, UNP atau pipa</t>
  </si>
  <si>
    <t>A.3.02.2b.3</t>
  </si>
  <si>
    <t>A.1.02.3b.1</t>
  </si>
  <si>
    <t>A.3.05.3a.1.b</t>
  </si>
  <si>
    <t>A.3.05.3a.1.c</t>
  </si>
  <si>
    <t>1 m' Pemancangan cerucuk bambu 8-10 cm</t>
  </si>
  <si>
    <t>1 m' Pemancangan dolken galam 8-10 cm</t>
  </si>
  <si>
    <t>Sub Total Pekerjaan B</t>
  </si>
  <si>
    <t>TOTAL HARGA PEKERJAAN</t>
  </si>
  <si>
    <t>PROVINSI</t>
  </si>
  <si>
    <t>1 Buah Papan nama proyek</t>
  </si>
  <si>
    <t>Cat kayu</t>
  </si>
  <si>
    <t>Pintu Kleb Fiber</t>
  </si>
  <si>
    <t>Pembantu operator</t>
  </si>
  <si>
    <t xml:space="preserve"> Pertalite non subsidi</t>
  </si>
  <si>
    <t>ANALISIS BIAYA OPERASI ALAT BERAT UNTUK GALIAN TANAH, ANGKUTAN DUMP TRUCK DAN PEMADATAN</t>
  </si>
  <si>
    <t>SATUAN PEMBAYARAN      :  Rupiah/jam</t>
  </si>
  <si>
    <t xml:space="preserve">         URAIAN ANALISA HARGA SATUAN</t>
  </si>
  <si>
    <t>Perhitungan Biaya Operasi Peralatan</t>
  </si>
  <si>
    <t>KETERANGAN</t>
  </si>
  <si>
    <t>No.</t>
  </si>
  <si>
    <t>U R A I A N</t>
  </si>
  <si>
    <r>
      <rPr>
        <b/>
        <sz val="12"/>
        <rFont val="Arial"/>
        <family val="2"/>
      </rPr>
      <t>A.</t>
    </r>
  </si>
  <si>
    <r>
      <rPr>
        <b/>
        <sz val="12"/>
        <rFont val="Arial"/>
        <family val="2"/>
      </rPr>
      <t>URAIAN PERALATAN</t>
    </r>
    <r>
      <rPr>
        <sz val="12"/>
        <rFont val="Arial"/>
        <family val="2"/>
      </rPr>
      <t xml:space="preserve">                </t>
    </r>
  </si>
  <si>
    <t xml:space="preserve">Excavator                 </t>
  </si>
  <si>
    <t>Dump Truck</t>
  </si>
  <si>
    <t>Roller Vibro</t>
  </si>
  <si>
    <t>Water Tanker</t>
  </si>
  <si>
    <t xml:space="preserve">1.  </t>
  </si>
  <si>
    <t>Jenis Peralatan</t>
  </si>
  <si>
    <t>(Standard)</t>
  </si>
  <si>
    <t xml:space="preserve">2. </t>
  </si>
  <si>
    <t xml:space="preserve">   Merk / Tipe</t>
  </si>
  <si>
    <t>-</t>
  </si>
  <si>
    <t>80-140 HP</t>
  </si>
  <si>
    <t>3-4 M3</t>
  </si>
  <si>
    <t>100-150 HP</t>
  </si>
  <si>
    <t xml:space="preserve"> 5-8 Ton</t>
  </si>
  <si>
    <t>3000-4500 L</t>
  </si>
  <si>
    <t xml:space="preserve">3. </t>
  </si>
  <si>
    <t>Tenaga</t>
  </si>
  <si>
    <t>Pw</t>
  </si>
  <si>
    <t>HP</t>
  </si>
  <si>
    <t xml:space="preserve">4. </t>
  </si>
  <si>
    <t>Kapasitas</t>
  </si>
  <si>
    <t>Cp</t>
  </si>
  <si>
    <t xml:space="preserve">5. </t>
  </si>
  <si>
    <t>Umur Ekonomis</t>
  </si>
  <si>
    <t>Tahun</t>
  </si>
  <si>
    <t xml:space="preserve">6. </t>
  </si>
  <si>
    <t>Jam Operasi dalam 1 Tahun</t>
  </si>
  <si>
    <t>W</t>
  </si>
  <si>
    <t>Jam</t>
  </si>
  <si>
    <t xml:space="preserve">7. </t>
  </si>
  <si>
    <t>Harga Alat</t>
  </si>
  <si>
    <t>Rp</t>
  </si>
  <si>
    <t>BIAYA PASTI PER JAM KERJA</t>
  </si>
  <si>
    <t xml:space="preserve">1. </t>
  </si>
  <si>
    <t>1Nilai Sisa Alat</t>
  </si>
  <si>
    <t xml:space="preserve"> Tingkat suku bunga</t>
  </si>
  <si>
    <t xml:space="preserve"> </t>
  </si>
  <si>
    <t>Faktor Angsuran Modal</t>
  </si>
  <si>
    <t xml:space="preserve"> i =</t>
  </si>
  <si>
    <t>Biaya Pasti per Jam  :</t>
  </si>
  <si>
    <t>a.  Biaya Pengembalian Modal</t>
  </si>
  <si>
    <t>Rp/jam</t>
  </si>
  <si>
    <t xml:space="preserve"> Biaya asuransi</t>
  </si>
  <si>
    <t>b.  Asuransi, dll.</t>
  </si>
  <si>
    <t xml:space="preserve"> p=</t>
  </si>
  <si>
    <t>Biaya Pasti per Jam          G = (E + F)</t>
  </si>
  <si>
    <t>C.</t>
  </si>
  <si>
    <t>BIAYA OPERASI PER JAM KERJA</t>
  </si>
  <si>
    <t>H</t>
  </si>
  <si>
    <t>Biaya bengkel        = (6,25% - 8,75%)</t>
  </si>
  <si>
    <t>J</t>
  </si>
  <si>
    <t>Perawatan dan       = (12,5%-17,5%)</t>
  </si>
  <si>
    <t>K</t>
  </si>
  <si>
    <t xml:space="preserve"> perbaikan</t>
  </si>
  <si>
    <t>Operator                     = (m orang/jam) x U1</t>
  </si>
  <si>
    <t>M</t>
  </si>
  <si>
    <t>Pembantu operator   = (n orang/jam)  x U2</t>
  </si>
  <si>
    <t>Biaya Operasi (per Jam)        =</t>
  </si>
  <si>
    <t>P</t>
  </si>
  <si>
    <t>D.</t>
  </si>
  <si>
    <t>BIAYA OPERASI ALAT / JAM  = (G + P)</t>
  </si>
  <si>
    <t>S</t>
  </si>
  <si>
    <t>E.</t>
  </si>
  <si>
    <t>LAIN - LAIN</t>
  </si>
  <si>
    <t>Mb</t>
  </si>
  <si>
    <t>Liter</t>
  </si>
  <si>
    <t>Bahan Bakar Solar        (non subsidi)</t>
  </si>
  <si>
    <t>Ms</t>
  </si>
  <si>
    <t>Minyak Pelumas</t>
  </si>
  <si>
    <t>Mp</t>
  </si>
  <si>
    <t>A.3.01.1a.2</t>
  </si>
  <si>
    <t>1 m3 Pengerukan sampah / lumpur / sedimen di saluran/sungai</t>
  </si>
  <si>
    <t xml:space="preserve">Bahan Bakar         = (10%-12%) x Pw x Ms </t>
  </si>
  <si>
    <t>Pelumas                = (0,25%-0,35%) x Pw x Mp</t>
  </si>
  <si>
    <t>Bahan Bakar Pertalite (non subsidi)</t>
  </si>
  <si>
    <t>Minyak pelumas</t>
  </si>
  <si>
    <t>JENIS ALAT                        :  Excavator, Dump Truck, Buldozer, Roller Vibro dan Water Tanker</t>
  </si>
  <si>
    <t>(Long Arm)</t>
  </si>
  <si>
    <t>120-165 HP</t>
  </si>
  <si>
    <t>4-6 M3</t>
  </si>
  <si>
    <t>Dump Truck
7 ton</t>
  </si>
  <si>
    <t>Sheep Foot</t>
  </si>
  <si>
    <t>Roller</t>
  </si>
  <si>
    <t>10-12 Ton</t>
  </si>
  <si>
    <t>Pneumatic Tire</t>
  </si>
  <si>
    <t>8-12 Ton</t>
  </si>
  <si>
    <t>Ponton Besi</t>
  </si>
  <si>
    <t>(mesin 3x50 HP)</t>
  </si>
  <si>
    <t>15-20 Ton</t>
  </si>
  <si>
    <t>SK_Bupati/</t>
  </si>
  <si>
    <t>Pekerjaan Persiapan dan Pembersihan Hasil Pekerjaan</t>
  </si>
  <si>
    <t>BULUNGAN</t>
  </si>
  <si>
    <t>Penerapan SMMK3L</t>
  </si>
  <si>
    <t>1 m2 Pembersihan dan pengupasan permukaan tanah (stripping) s.d. tanaman dia.</t>
  </si>
  <si>
    <t>Galian tanah saluran</t>
  </si>
  <si>
    <t>A.1.04.1a</t>
  </si>
  <si>
    <t>Bogor,     Desember 2024</t>
  </si>
  <si>
    <t>Asdianto, S.P., M.T.</t>
  </si>
  <si>
    <t>NIP. 19780101 200212 1 006</t>
  </si>
  <si>
    <t>(Ketua Tim)</t>
  </si>
  <si>
    <t>Elbow pipa PVC dia 8 inch</t>
  </si>
  <si>
    <t>Pipa PVC dia 8 inch tipe AW</t>
  </si>
  <si>
    <t>Pipa PVC dia 6 inch tipe AW</t>
  </si>
  <si>
    <t>Pipa PVC dia 4 inch tipe AW</t>
  </si>
  <si>
    <t>1 m' Pemasangan pipa PVC 8 inch</t>
  </si>
  <si>
    <t>Mobilisasi dan Demobilisasi</t>
  </si>
  <si>
    <t>Perapihan</t>
  </si>
  <si>
    <t>1 m3 Stripping/kupas t0 soil di BA, gali dengan Excavator dan angkut ke lokasi pekerjaan</t>
  </si>
  <si>
    <t>Bulungan</t>
  </si>
  <si>
    <t>Elbow pipa PVC dia 4 inch</t>
  </si>
  <si>
    <t>Kecamatan</t>
  </si>
  <si>
    <t>Desa</t>
  </si>
  <si>
    <t>SURVEI, INVESTIGASI DAN DESAIN (SID) 
OPTIMASI LAHAN RAWA UNTUK PENGEMBANGAN PERTANIAN</t>
  </si>
  <si>
    <t>Pintu Sorong Kayu</t>
  </si>
  <si>
    <t>DESA SALIMBATU, KECAMATAN TANJUNG PALAS TENGAH, KABUPATEN BULUNGAN</t>
  </si>
  <si>
    <t>SALIMBATU</t>
  </si>
  <si>
    <t>TANJUNG PALAS TENGAH</t>
  </si>
  <si>
    <t>TERBILANG : TIGA MILIAR TUJUH RATUS TUJUH PULUH DUA JUTA RUPIAH</t>
  </si>
  <si>
    <t xml:space="preserve">Pekerjaan Normalisasi Saluran Irigasi </t>
  </si>
  <si>
    <t>Pekerjaan Normalisasi Saluran Irigasi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</si>
</sst>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1" formatCode="_-* #,##0_-;\-* #,##0_-;_-* &quot;-&quot;_-;_-@_-"/>
    <numFmt numFmtId="43" formatCode="_-* #,##0.00_-;\-* #,##0.00_-;_-* &quot;-&quot;??_-;_-@_-"/>
    <numFmt numFmtId="164" formatCode="_-&quot;Rp&quot;* #,##0.00_-;\-&quot;Rp&quot;* #,##0.00_-;_-&quot;Rp&quot;* &quot;-&quot;??_-;_-@_-"/>
    <numFmt numFmtId="165" formatCode="_(* #,##0.00_);_(* \(#,##0.00\);_(* &quot;-&quot;_);_(@_)"/>
    <numFmt numFmtId="166" formatCode="_(* #,##0.00_);_(* \(#,##0.00\);_(* &quot;-&quot;??_);_(@_)"/>
    <numFmt numFmtId="167" formatCode="0.000"/>
    <numFmt numFmtId="168" formatCode="_(* #,##0_);_(* \(#,##0\);_(* &quot;-&quot;_);_(@_)"/>
    <numFmt numFmtId="169" formatCode="#,##0.0_);\(#,##0.0\)"/>
    <numFmt numFmtId="170" formatCode="#,##0.00000_);\(#,##0.00000\)"/>
    <numFmt numFmtId="171" formatCode="0.0%"/>
    <numFmt numFmtId="172" formatCode="_-&quot;Rp&quot;* #,##0_-;\-&quot;Rp&quot;* #,##0_-;_-&quot;Rp&quot;* &quot;-&quot;??_-;_-@_-"/>
    <numFmt numFmtId="173" formatCode="_-* #,##0_-;\-* #,##0_-;_-* &quot;-&quot;??_-;_-@_-"/>
  </numFmts>
  <fonts count="4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 Narrow"/>
      <family val="2"/>
    </font>
    <font>
      <sz val="10"/>
      <name val="Arial Narrow"/>
      <family val="2"/>
    </font>
    <font>
      <sz val="10"/>
      <color theme="1"/>
      <name val="Arial Narrow"/>
      <family val="2"/>
    </font>
    <font>
      <b/>
      <i/>
      <sz val="10"/>
      <name val="Arial Narrow"/>
      <family val="2"/>
    </font>
    <font>
      <sz val="11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name val="Arial Narrow"/>
      <family val="2"/>
    </font>
    <font>
      <b/>
      <sz val="11"/>
      <name val="Arial Narrow"/>
      <family val="2"/>
    </font>
    <font>
      <sz val="11"/>
      <name val="Arial Narrow"/>
      <family val="2"/>
    </font>
    <font>
      <sz val="11"/>
      <color theme="1"/>
      <name val="Calibri"/>
      <family val="2"/>
      <charset val="1"/>
      <scheme val="minor"/>
    </font>
    <font>
      <b/>
      <sz val="12"/>
      <name val="Times New Roman"/>
      <family val="1"/>
    </font>
    <font>
      <b/>
      <sz val="10"/>
      <name val="Arial"/>
      <family val="2"/>
    </font>
    <font>
      <b/>
      <sz val="18"/>
      <name val="Arial Black"/>
      <family val="2"/>
    </font>
    <font>
      <b/>
      <sz val="14"/>
      <name val="Times New Roman"/>
      <family val="1"/>
    </font>
    <font>
      <b/>
      <sz val="10"/>
      <color rgb="FF92D050"/>
      <name val="Arial"/>
      <family val="2"/>
    </font>
    <font>
      <b/>
      <sz val="28"/>
      <color rgb="FF92D050"/>
      <name val="Times New Roman"/>
      <family val="1"/>
    </font>
    <font>
      <b/>
      <sz val="14"/>
      <color theme="1"/>
      <name val="Times New Roman"/>
      <family val="1"/>
    </font>
    <font>
      <b/>
      <sz val="9"/>
      <color rgb="FFFF0000"/>
      <name val="Times New Roman"/>
      <family val="1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4"/>
      <name val="Agency FB"/>
      <family val="2"/>
    </font>
    <font>
      <sz val="11"/>
      <name val="Agency FB"/>
      <family val="2"/>
    </font>
    <font>
      <sz val="11"/>
      <color indexed="8"/>
      <name val="Calibri"/>
      <family val="2"/>
      <charset val="1"/>
    </font>
    <font>
      <b/>
      <sz val="11"/>
      <color theme="1"/>
      <name val="Arial Narrow"/>
      <family val="2"/>
    </font>
    <font>
      <b/>
      <sz val="10"/>
      <color rgb="FFFF0000"/>
      <name val="Arial Narrow"/>
      <family val="2"/>
    </font>
    <font>
      <sz val="10"/>
      <color rgb="FFFF0000"/>
      <name val="Arial Narrow"/>
      <family val="2"/>
    </font>
    <font>
      <sz val="8"/>
      <name val="Artifakt Element Black"/>
      <family val="2"/>
    </font>
    <font>
      <sz val="8"/>
      <name val="Calibri"/>
      <family val="2"/>
      <scheme val="minor"/>
    </font>
    <font>
      <b/>
      <sz val="10"/>
      <name val="Calibri"/>
      <family val="2"/>
    </font>
    <font>
      <i/>
      <sz val="11"/>
      <color rgb="FFFF0000"/>
      <name val="Calibri"/>
      <family val="2"/>
      <scheme val="minor"/>
    </font>
    <font>
      <b/>
      <sz val="12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b/>
      <sz val="16"/>
      <color theme="1"/>
      <name val="Arial"/>
      <family val="2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sz val="14"/>
      <color theme="1"/>
      <name val="Arial"/>
      <family val="2"/>
    </font>
    <font>
      <b/>
      <sz val="14"/>
      <name val="Arial"/>
      <family val="2"/>
    </font>
    <font>
      <b/>
      <i/>
      <sz val="10"/>
      <color theme="1"/>
      <name val="Arial"/>
      <family val="2"/>
    </font>
    <font>
      <sz val="10"/>
      <name val="Helv"/>
    </font>
    <font>
      <b/>
      <sz val="16"/>
      <name val="Arial"/>
      <family val="2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9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/>
      <top style="thin">
        <color indexed="9"/>
      </top>
      <bottom style="thin">
        <color auto="1"/>
      </bottom>
      <diagonal/>
    </border>
    <border>
      <left/>
      <right/>
      <top style="thin">
        <color indexed="9"/>
      </top>
      <bottom style="thin">
        <color auto="1"/>
      </bottom>
      <diagonal/>
    </border>
    <border>
      <left/>
      <right style="thin">
        <color auto="1"/>
      </right>
      <top style="thin">
        <color indexed="9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theme="0" tint="-0.14996795556505021"/>
      </bottom>
      <diagonal/>
    </border>
    <border>
      <left/>
      <right/>
      <top style="double">
        <color indexed="64"/>
      </top>
      <bottom style="thin">
        <color theme="0" tint="-0.14996795556505021"/>
      </bottom>
      <diagonal/>
    </border>
    <border>
      <left/>
      <right style="thin">
        <color indexed="64"/>
      </right>
      <top style="double">
        <color indexed="64"/>
      </top>
      <bottom style="thin">
        <color theme="0" tint="-0.14996795556505021"/>
      </bottom>
      <diagonal/>
    </border>
    <border>
      <left/>
      <right style="medium">
        <color indexed="64"/>
      </right>
      <top style="double">
        <color indexed="64"/>
      </top>
      <bottom style="thin">
        <color theme="0" tint="-0.14996795556505021"/>
      </bottom>
      <diagonal/>
    </border>
    <border>
      <left style="medium">
        <color indexed="64"/>
      </left>
      <right style="thin">
        <color indexed="64"/>
      </right>
      <top/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/>
      <right style="thin">
        <color indexed="64"/>
      </right>
      <top/>
      <bottom style="thin">
        <color theme="0" tint="-0.14996795556505021"/>
      </bottom>
      <diagonal/>
    </border>
    <border>
      <left/>
      <right style="medium">
        <color indexed="64"/>
      </right>
      <top/>
      <bottom style="thin">
        <color theme="0" tint="-0.1499679555650502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8"/>
      </left>
      <right/>
      <top style="double">
        <color indexed="8"/>
      </top>
      <bottom/>
      <diagonal/>
    </border>
    <border>
      <left/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 style="thin">
        <color auto="1"/>
      </left>
      <right style="medium">
        <color indexed="64"/>
      </right>
      <top/>
      <bottom/>
      <diagonal/>
    </border>
  </borders>
  <cellStyleXfs count="17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12" fillId="0" borderId="0"/>
    <xf numFmtId="0" fontId="2" fillId="0" borderId="0" applyNumberFormat="0" applyFill="0" applyBorder="0" applyAlignment="0" applyProtection="0">
      <alignment vertical="top"/>
    </xf>
    <xf numFmtId="168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5" fillId="0" borderId="0"/>
    <xf numFmtId="0" fontId="45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6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492">
    <xf numFmtId="0" fontId="0" fillId="0" borderId="0" xfId="0"/>
    <xf numFmtId="0" fontId="11" fillId="0" borderId="0" xfId="5" applyFont="1"/>
    <xf numFmtId="0" fontId="10" fillId="0" borderId="17" xfId="5" applyFont="1" applyBorder="1" applyAlignment="1">
      <alignment horizontal="center" vertical="center" wrapText="1"/>
    </xf>
    <xf numFmtId="0" fontId="10" fillId="0" borderId="0" xfId="5" applyFont="1"/>
    <xf numFmtId="0" fontId="10" fillId="0" borderId="3" xfId="5" applyFont="1" applyBorder="1" applyAlignment="1">
      <alignment horizontal="center" vertical="center" wrapText="1"/>
    </xf>
    <xf numFmtId="0" fontId="10" fillId="0" borderId="13" xfId="5" applyFont="1" applyBorder="1" applyAlignment="1">
      <alignment horizontal="center" vertical="center" wrapText="1"/>
    </xf>
    <xf numFmtId="0" fontId="11" fillId="0" borderId="0" xfId="5" applyFont="1" applyAlignment="1">
      <alignment horizontal="center" vertical="center"/>
    </xf>
    <xf numFmtId="0" fontId="3" fillId="7" borderId="24" xfId="5" applyFont="1" applyFill="1" applyBorder="1" applyAlignment="1">
      <alignment horizontal="center" vertical="center"/>
    </xf>
    <xf numFmtId="0" fontId="3" fillId="7" borderId="0" xfId="5" applyFont="1" applyFill="1" applyAlignment="1">
      <alignment horizontal="center" vertical="center"/>
    </xf>
    <xf numFmtId="0" fontId="11" fillId="0" borderId="27" xfId="0" applyFont="1" applyBorder="1" applyAlignment="1">
      <alignment horizontal="left" vertical="center" wrapText="1"/>
    </xf>
    <xf numFmtId="0" fontId="11" fillId="0" borderId="3" xfId="0" applyFont="1" applyBorder="1" applyAlignment="1">
      <alignment horizontal="left" vertical="center" wrapText="1"/>
    </xf>
    <xf numFmtId="0" fontId="11" fillId="0" borderId="0" xfId="5" applyFont="1" applyAlignment="1">
      <alignment horizontal="center"/>
    </xf>
    <xf numFmtId="0" fontId="11" fillId="0" borderId="0" xfId="5" applyFont="1" applyAlignment="1">
      <alignment horizontal="left"/>
    </xf>
    <xf numFmtId="0" fontId="10" fillId="0" borderId="22" xfId="5" applyFont="1" applyBorder="1" applyAlignment="1">
      <alignment horizontal="center"/>
    </xf>
    <xf numFmtId="0" fontId="3" fillId="0" borderId="26" xfId="5" applyFont="1" applyBorder="1" applyAlignment="1">
      <alignment horizontal="center" vertical="center"/>
    </xf>
    <xf numFmtId="3" fontId="11" fillId="0" borderId="28" xfId="0" applyNumberFormat="1" applyFont="1" applyBorder="1" applyAlignment="1">
      <alignment horizontal="right" vertical="center" wrapText="1"/>
    </xf>
    <xf numFmtId="0" fontId="11" fillId="0" borderId="30" xfId="0" applyFont="1" applyBorder="1" applyAlignment="1">
      <alignment horizontal="left" vertical="center" wrapText="1"/>
    </xf>
    <xf numFmtId="0" fontId="13" fillId="2" borderId="0" xfId="7" applyFont="1" applyFill="1">
      <alignment vertical="top"/>
    </xf>
    <xf numFmtId="0" fontId="14" fillId="2" borderId="0" xfId="7" applyFont="1" applyFill="1">
      <alignment vertical="top"/>
    </xf>
    <xf numFmtId="0" fontId="13" fillId="2" borderId="1" xfId="7" applyFont="1" applyFill="1" applyBorder="1">
      <alignment vertical="top"/>
    </xf>
    <xf numFmtId="0" fontId="13" fillId="2" borderId="2" xfId="7" applyFont="1" applyFill="1" applyBorder="1" applyAlignment="1">
      <alignment horizontal="centerContinuous"/>
    </xf>
    <xf numFmtId="0" fontId="14" fillId="2" borderId="2" xfId="7" applyFont="1" applyFill="1" applyBorder="1" applyAlignment="1">
      <alignment horizontal="centerContinuous"/>
    </xf>
    <xf numFmtId="0" fontId="13" fillId="2" borderId="4" xfId="7" applyFont="1" applyFill="1" applyBorder="1">
      <alignment vertical="top"/>
    </xf>
    <xf numFmtId="0" fontId="13" fillId="2" borderId="0" xfId="7" applyFont="1" applyFill="1" applyBorder="1" applyAlignment="1">
      <alignment horizontal="centerContinuous"/>
    </xf>
    <xf numFmtId="0" fontId="14" fillId="2" borderId="0" xfId="7" applyFont="1" applyFill="1" applyBorder="1" applyAlignment="1">
      <alignment horizontal="centerContinuous"/>
    </xf>
    <xf numFmtId="0" fontId="15" fillId="2" borderId="0" xfId="7" applyFont="1" applyFill="1" applyBorder="1" applyAlignment="1">
      <alignment horizontal="centerContinuous"/>
    </xf>
    <xf numFmtId="0" fontId="14" fillId="2" borderId="0" xfId="7" applyFont="1" applyFill="1" applyBorder="1">
      <alignment vertical="top"/>
    </xf>
    <xf numFmtId="0" fontId="13" fillId="2" borderId="0" xfId="7" applyFont="1" applyFill="1" applyBorder="1">
      <alignment vertical="top"/>
    </xf>
    <xf numFmtId="0" fontId="16" fillId="2" borderId="0" xfId="7" applyFont="1" applyFill="1">
      <alignment vertical="top"/>
    </xf>
    <xf numFmtId="0" fontId="16" fillId="2" borderId="4" xfId="7" applyFont="1" applyFill="1" applyBorder="1">
      <alignment vertical="top"/>
    </xf>
    <xf numFmtId="0" fontId="16" fillId="2" borderId="0" xfId="7" applyFont="1" applyFill="1" applyBorder="1">
      <alignment vertical="top"/>
    </xf>
    <xf numFmtId="0" fontId="16" fillId="2" borderId="0" xfId="7" applyFont="1" applyFill="1" applyAlignment="1">
      <alignment horizontal="left"/>
    </xf>
    <xf numFmtId="0" fontId="16" fillId="2" borderId="4" xfId="7" applyFont="1" applyFill="1" applyBorder="1" applyAlignment="1">
      <alignment horizontal="left"/>
    </xf>
    <xf numFmtId="0" fontId="16" fillId="2" borderId="34" xfId="7" applyFont="1" applyFill="1" applyBorder="1">
      <alignment vertical="top"/>
    </xf>
    <xf numFmtId="0" fontId="16" fillId="2" borderId="33" xfId="7" applyFont="1" applyFill="1" applyBorder="1">
      <alignment vertical="top"/>
    </xf>
    <xf numFmtId="0" fontId="13" fillId="2" borderId="23" xfId="7" applyFont="1" applyFill="1" applyBorder="1" applyAlignment="1">
      <alignment horizontal="centerContinuous"/>
    </xf>
    <xf numFmtId="0" fontId="14" fillId="2" borderId="23" xfId="7" applyFont="1" applyFill="1" applyBorder="1" applyAlignment="1">
      <alignment horizontal="centerContinuous"/>
    </xf>
    <xf numFmtId="0" fontId="14" fillId="2" borderId="9" xfId="7" applyFont="1" applyFill="1" applyBorder="1" applyAlignment="1">
      <alignment horizontal="centerContinuous"/>
    </xf>
    <xf numFmtId="0" fontId="14" fillId="2" borderId="35" xfId="7" applyFont="1" applyFill="1" applyBorder="1">
      <alignment vertical="top"/>
    </xf>
    <xf numFmtId="0" fontId="14" fillId="2" borderId="36" xfId="7" applyFont="1" applyFill="1" applyBorder="1">
      <alignment vertical="top"/>
    </xf>
    <xf numFmtId="0" fontId="13" fillId="2" borderId="36" xfId="7" applyFont="1" applyFill="1" applyBorder="1">
      <alignment vertical="top"/>
    </xf>
    <xf numFmtId="0" fontId="16" fillId="2" borderId="36" xfId="7" applyFont="1" applyFill="1" applyBorder="1">
      <alignment vertical="top"/>
    </xf>
    <xf numFmtId="0" fontId="16" fillId="2" borderId="37" xfId="7" applyFont="1" applyFill="1" applyBorder="1">
      <alignment vertical="top"/>
    </xf>
    <xf numFmtId="0" fontId="16" fillId="2" borderId="38" xfId="7" applyFont="1" applyFill="1" applyBorder="1">
      <alignment vertical="top"/>
    </xf>
    <xf numFmtId="0" fontId="16" fillId="2" borderId="39" xfId="7" applyFont="1" applyFill="1" applyBorder="1">
      <alignment vertical="top"/>
    </xf>
    <xf numFmtId="0" fontId="16" fillId="2" borderId="15" xfId="7" applyFont="1" applyFill="1" applyBorder="1">
      <alignment vertical="top"/>
    </xf>
    <xf numFmtId="0" fontId="16" fillId="2" borderId="23" xfId="7" applyFont="1" applyFill="1" applyBorder="1">
      <alignment vertical="top"/>
    </xf>
    <xf numFmtId="0" fontId="16" fillId="2" borderId="9" xfId="7" applyFont="1" applyFill="1" applyBorder="1">
      <alignment vertical="top"/>
    </xf>
    <xf numFmtId="9" fontId="16" fillId="2" borderId="15" xfId="7" applyNumberFormat="1" applyFont="1" applyFill="1" applyBorder="1" applyAlignment="1">
      <alignment horizontal="left"/>
    </xf>
    <xf numFmtId="9" fontId="16" fillId="2" borderId="23" xfId="7" applyNumberFormat="1" applyFont="1" applyFill="1" applyBorder="1" applyAlignment="1">
      <alignment horizontal="left"/>
    </xf>
    <xf numFmtId="0" fontId="17" fillId="2" borderId="23" xfId="7" applyFont="1" applyFill="1" applyBorder="1" applyAlignment="1">
      <alignment horizontal="centerContinuous"/>
    </xf>
    <xf numFmtId="0" fontId="18" fillId="2" borderId="15" xfId="7" applyFont="1" applyFill="1" applyBorder="1" applyAlignment="1">
      <alignment horizontal="centerContinuous"/>
    </xf>
    <xf numFmtId="0" fontId="19" fillId="2" borderId="32" xfId="7" applyFont="1" applyFill="1" applyBorder="1">
      <alignment vertical="top"/>
    </xf>
    <xf numFmtId="0" fontId="20" fillId="2" borderId="0" xfId="7" applyFont="1" applyFill="1" applyAlignment="1">
      <alignment vertical="center"/>
    </xf>
    <xf numFmtId="0" fontId="3" fillId="7" borderId="24" xfId="5" applyFont="1" applyFill="1" applyBorder="1" applyAlignment="1">
      <alignment vertical="center"/>
    </xf>
    <xf numFmtId="0" fontId="21" fillId="2" borderId="0" xfId="0" applyFont="1" applyFill="1" applyAlignment="1">
      <alignment horizontal="center"/>
    </xf>
    <xf numFmtId="0" fontId="21" fillId="2" borderId="0" xfId="0" applyFont="1" applyFill="1"/>
    <xf numFmtId="0" fontId="22" fillId="2" borderId="0" xfId="0" applyFont="1" applyFill="1"/>
    <xf numFmtId="0" fontId="23" fillId="5" borderId="0" xfId="0" applyFont="1" applyFill="1" applyAlignment="1">
      <alignment horizontal="center"/>
    </xf>
    <xf numFmtId="0" fontId="23" fillId="5" borderId="0" xfId="0" applyFont="1" applyFill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0" fontId="22" fillId="2" borderId="0" xfId="0" applyFont="1" applyFill="1" applyAlignment="1">
      <alignment horizontal="center"/>
    </xf>
    <xf numFmtId="0" fontId="11" fillId="0" borderId="0" xfId="0" applyFont="1" applyAlignment="1">
      <alignment horizontal="left" vertical="center" wrapText="1"/>
    </xf>
    <xf numFmtId="4" fontId="11" fillId="0" borderId="0" xfId="0" applyNumberFormat="1" applyFont="1" applyAlignment="1">
      <alignment horizontal="right" vertical="center" wrapText="1"/>
    </xf>
    <xf numFmtId="3" fontId="11" fillId="0" borderId="0" xfId="0" applyNumberFormat="1" applyFont="1" applyAlignment="1">
      <alignment horizontal="right" vertical="center" wrapText="1"/>
    </xf>
    <xf numFmtId="0" fontId="24" fillId="7" borderId="0" xfId="5" applyFont="1" applyFill="1" applyAlignment="1">
      <alignment horizontal="center" vertical="center"/>
    </xf>
    <xf numFmtId="0" fontId="25" fillId="0" borderId="15" xfId="5" applyFont="1" applyBorder="1" applyAlignment="1">
      <alignment horizontal="center" vertical="center"/>
    </xf>
    <xf numFmtId="0" fontId="25" fillId="0" borderId="29" xfId="5" applyFont="1" applyBorder="1" applyAlignment="1">
      <alignment horizontal="center" vertical="center"/>
    </xf>
    <xf numFmtId="0" fontId="25" fillId="0" borderId="6" xfId="5" applyFont="1" applyBorder="1" applyAlignment="1">
      <alignment horizontal="center" vertical="center"/>
    </xf>
    <xf numFmtId="0" fontId="25" fillId="0" borderId="0" xfId="5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5" applyFont="1" applyAlignment="1">
      <alignment horizontal="center"/>
    </xf>
    <xf numFmtId="0" fontId="6" fillId="9" borderId="0" xfId="0" applyFont="1" applyFill="1" applyAlignment="1">
      <alignment horizontal="left" vertical="center"/>
    </xf>
    <xf numFmtId="0" fontId="4" fillId="9" borderId="0" xfId="5" applyFont="1" applyFill="1" applyAlignment="1">
      <alignment horizontal="center" vertical="center"/>
    </xf>
    <xf numFmtId="0" fontId="4" fillId="0" borderId="0" xfId="6" applyFont="1" applyAlignment="1">
      <alignment vertical="center"/>
    </xf>
    <xf numFmtId="0" fontId="9" fillId="10" borderId="7" xfId="6" applyFont="1" applyFill="1" applyBorder="1" applyAlignment="1">
      <alignment horizontal="center" vertical="center"/>
    </xf>
    <xf numFmtId="0" fontId="9" fillId="0" borderId="7" xfId="6" applyFont="1" applyBorder="1" applyAlignment="1">
      <alignment horizontal="center" vertical="center" wrapText="1"/>
    </xf>
    <xf numFmtId="0" fontId="9" fillId="0" borderId="41" xfId="6" applyFont="1" applyBorder="1" applyAlignment="1">
      <alignment horizontal="center" vertical="center" wrapText="1"/>
    </xf>
    <xf numFmtId="0" fontId="9" fillId="0" borderId="31" xfId="6" applyFont="1" applyBorder="1" applyAlignment="1">
      <alignment horizontal="center" vertical="center" wrapText="1"/>
    </xf>
    <xf numFmtId="0" fontId="4" fillId="0" borderId="42" xfId="6" applyFont="1" applyBorder="1" applyAlignment="1">
      <alignment horizontal="center" vertical="center" wrapText="1"/>
    </xf>
    <xf numFmtId="0" fontId="4" fillId="0" borderId="42" xfId="6" applyFont="1" applyBorder="1" applyAlignment="1">
      <alignment horizontal="justify" vertical="center" wrapText="1"/>
    </xf>
    <xf numFmtId="0" fontId="9" fillId="0" borderId="42" xfId="6" applyFont="1" applyBorder="1" applyAlignment="1">
      <alignment horizontal="justify" vertical="center" wrapText="1"/>
    </xf>
    <xf numFmtId="0" fontId="9" fillId="0" borderId="31" xfId="6" applyFont="1" applyBorder="1" applyAlignment="1">
      <alignment horizontal="justify" vertical="center" wrapText="1"/>
    </xf>
    <xf numFmtId="0" fontId="4" fillId="0" borderId="31" xfId="6" applyFont="1" applyBorder="1" applyAlignment="1">
      <alignment horizontal="center" vertical="center" wrapText="1"/>
    </xf>
    <xf numFmtId="0" fontId="4" fillId="0" borderId="31" xfId="6" applyFont="1" applyBorder="1" applyAlignment="1">
      <alignment vertical="center" wrapText="1"/>
    </xf>
    <xf numFmtId="167" fontId="4" fillId="0" borderId="31" xfId="6" applyNumberFormat="1" applyFont="1" applyBorder="1" applyAlignment="1">
      <alignment horizontal="center" vertical="center" wrapText="1"/>
    </xf>
    <xf numFmtId="165" fontId="4" fillId="0" borderId="31" xfId="8" applyNumberFormat="1" applyFont="1" applyFill="1" applyBorder="1" applyAlignment="1">
      <alignment horizontal="justify" vertical="center" wrapText="1"/>
    </xf>
    <xf numFmtId="0" fontId="4" fillId="0" borderId="31" xfId="6" applyFont="1" applyBorder="1" applyAlignment="1">
      <alignment horizontal="justify" vertical="center" wrapText="1"/>
    </xf>
    <xf numFmtId="0" fontId="4" fillId="0" borderId="27" xfId="6" applyFont="1" applyBorder="1" applyAlignment="1">
      <alignment horizontal="right" vertical="center"/>
    </xf>
    <xf numFmtId="0" fontId="9" fillId="0" borderId="27" xfId="6" applyFont="1" applyBorder="1" applyAlignment="1">
      <alignment horizontal="center" vertical="center" wrapText="1"/>
    </xf>
    <xf numFmtId="0" fontId="9" fillId="0" borderId="27" xfId="6" applyFont="1" applyBorder="1" applyAlignment="1">
      <alignment horizontal="justify" vertical="center" wrapText="1"/>
    </xf>
    <xf numFmtId="0" fontId="4" fillId="0" borderId="27" xfId="6" applyFont="1" applyBorder="1" applyAlignment="1">
      <alignment vertical="center" wrapText="1"/>
    </xf>
    <xf numFmtId="0" fontId="4" fillId="0" borderId="43" xfId="6" applyFont="1" applyBorder="1" applyAlignment="1">
      <alignment vertical="center" wrapText="1"/>
    </xf>
    <xf numFmtId="0" fontId="4" fillId="0" borderId="41" xfId="6" applyFont="1" applyBorder="1" applyAlignment="1">
      <alignment vertical="center" wrapText="1"/>
    </xf>
    <xf numFmtId="9" fontId="4" fillId="0" borderId="31" xfId="9" applyFont="1" applyFill="1" applyBorder="1" applyAlignment="1">
      <alignment vertical="center" wrapText="1"/>
    </xf>
    <xf numFmtId="165" fontId="9" fillId="0" borderId="31" xfId="8" applyNumberFormat="1" applyFont="1" applyFill="1" applyBorder="1" applyAlignment="1">
      <alignment horizontal="justify" vertical="center" wrapText="1"/>
    </xf>
    <xf numFmtId="0" fontId="9" fillId="0" borderId="41" xfId="6" applyFont="1" applyBorder="1" applyAlignment="1">
      <alignment vertical="center" wrapText="1"/>
    </xf>
    <xf numFmtId="0" fontId="4" fillId="0" borderId="0" xfId="6" applyFont="1" applyAlignment="1">
      <alignment horizontal="center" vertical="center" wrapText="1"/>
    </xf>
    <xf numFmtId="0" fontId="4" fillId="0" borderId="0" xfId="6" applyFont="1" applyAlignment="1">
      <alignment horizontal="justify" vertical="center" wrapText="1"/>
    </xf>
    <xf numFmtId="165" fontId="4" fillId="0" borderId="0" xfId="8" applyNumberFormat="1" applyFont="1" applyFill="1" applyBorder="1" applyAlignment="1">
      <alignment horizontal="justify" vertical="center" wrapText="1"/>
    </xf>
    <xf numFmtId="0" fontId="4" fillId="0" borderId="31" xfId="6" applyFont="1" applyBorder="1" applyAlignment="1">
      <alignment vertical="center"/>
    </xf>
    <xf numFmtId="167" fontId="4" fillId="0" borderId="27" xfId="6" applyNumberFormat="1" applyFont="1" applyBorder="1" applyAlignment="1">
      <alignment horizontal="center" vertical="center" wrapText="1"/>
    </xf>
    <xf numFmtId="0" fontId="4" fillId="0" borderId="27" xfId="6" applyFont="1" applyBorder="1" applyAlignment="1">
      <alignment vertical="center"/>
    </xf>
    <xf numFmtId="0" fontId="4" fillId="0" borderId="43" xfId="6" applyFont="1" applyBorder="1" applyAlignment="1">
      <alignment vertical="center"/>
    </xf>
    <xf numFmtId="0" fontId="4" fillId="0" borderId="41" xfId="6" applyFont="1" applyBorder="1" applyAlignment="1">
      <alignment vertical="center"/>
    </xf>
    <xf numFmtId="0" fontId="4" fillId="0" borderId="7" xfId="6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6" xfId="5" applyFont="1" applyBorder="1" applyAlignment="1">
      <alignment horizontal="left" vertical="center" wrapText="1"/>
    </xf>
    <xf numFmtId="0" fontId="11" fillId="0" borderId="6" xfId="5" applyFont="1" applyBorder="1" applyAlignment="1">
      <alignment horizontal="center" vertical="center" wrapText="1"/>
    </xf>
    <xf numFmtId="0" fontId="10" fillId="0" borderId="0" xfId="0" applyFont="1" applyAlignment="1">
      <alignment horizontal="left" vertical="center"/>
    </xf>
    <xf numFmtId="0" fontId="11" fillId="0" borderId="0" xfId="5" applyFont="1" applyAlignment="1">
      <alignment horizontal="left" vertical="center" wrapText="1"/>
    </xf>
    <xf numFmtId="0" fontId="11" fillId="0" borderId="0" xfId="5" applyFont="1" applyAlignment="1">
      <alignment horizontal="center" vertical="center" wrapText="1"/>
    </xf>
    <xf numFmtId="0" fontId="10" fillId="0" borderId="0" xfId="0" applyFont="1" applyAlignment="1">
      <alignment horizontal="left" vertical="center" wrapText="1"/>
    </xf>
    <xf numFmtId="0" fontId="11" fillId="0" borderId="0" xfId="0" applyFont="1" applyAlignment="1">
      <alignment horizontal="center" vertical="center"/>
    </xf>
    <xf numFmtId="0" fontId="11" fillId="0" borderId="0" xfId="6" applyFont="1" applyAlignment="1">
      <alignment vertical="center" wrapText="1"/>
    </xf>
    <xf numFmtId="0" fontId="7" fillId="0" borderId="0" xfId="6" applyFont="1"/>
    <xf numFmtId="0" fontId="11" fillId="0" borderId="0" xfId="6" applyFont="1" applyAlignment="1">
      <alignment horizontal="justify" vertical="center" wrapText="1"/>
    </xf>
    <xf numFmtId="0" fontId="11" fillId="0" borderId="0" xfId="6" applyFont="1" applyAlignment="1">
      <alignment horizontal="center" vertical="center" wrapText="1"/>
    </xf>
    <xf numFmtId="0" fontId="27" fillId="0" borderId="0" xfId="6" applyFont="1"/>
    <xf numFmtId="0" fontId="28" fillId="7" borderId="24" xfId="5" applyFont="1" applyFill="1" applyBorder="1" applyAlignment="1">
      <alignment horizontal="center" vertical="center"/>
    </xf>
    <xf numFmtId="0" fontId="29" fillId="0" borderId="6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2" fontId="4" fillId="0" borderId="27" xfId="6" applyNumberFormat="1" applyFont="1" applyBorder="1" applyAlignment="1">
      <alignment horizontal="center" vertical="center" wrapText="1"/>
    </xf>
    <xf numFmtId="165" fontId="9" fillId="0" borderId="0" xfId="8" applyNumberFormat="1" applyFont="1" applyFill="1" applyBorder="1" applyAlignment="1">
      <alignment horizontal="justify" vertical="center" wrapText="1"/>
    </xf>
    <xf numFmtId="0" fontId="9" fillId="0" borderId="0" xfId="6" applyFont="1" applyAlignment="1">
      <alignment vertical="center" wrapText="1"/>
    </xf>
    <xf numFmtId="0" fontId="4" fillId="0" borderId="27" xfId="6" applyFont="1" applyBorder="1" applyAlignment="1">
      <alignment horizontal="center" vertical="center"/>
    </xf>
    <xf numFmtId="167" fontId="4" fillId="0" borderId="27" xfId="6" applyNumberFormat="1" applyFont="1" applyBorder="1" applyAlignment="1">
      <alignment horizontal="center" vertical="center"/>
    </xf>
    <xf numFmtId="0" fontId="4" fillId="0" borderId="31" xfId="6" applyFont="1" applyBorder="1" applyAlignment="1">
      <alignment horizontal="right" vertical="center"/>
    </xf>
    <xf numFmtId="0" fontId="4" fillId="6" borderId="31" xfId="6" applyFont="1" applyFill="1" applyBorder="1" applyAlignment="1">
      <alignment vertical="center" wrapText="1"/>
    </xf>
    <xf numFmtId="0" fontId="4" fillId="6" borderId="31" xfId="6" applyFont="1" applyFill="1" applyBorder="1" applyAlignment="1">
      <alignment horizontal="center" vertical="center" wrapText="1"/>
    </xf>
    <xf numFmtId="167" fontId="4" fillId="6" borderId="27" xfId="6" applyNumberFormat="1" applyFont="1" applyFill="1" applyBorder="1" applyAlignment="1">
      <alignment horizontal="center" vertical="center"/>
    </xf>
    <xf numFmtId="165" fontId="4" fillId="6" borderId="31" xfId="8" applyNumberFormat="1" applyFont="1" applyFill="1" applyBorder="1" applyAlignment="1">
      <alignment horizontal="justify" vertical="center" wrapText="1"/>
    </xf>
    <xf numFmtId="0" fontId="30" fillId="0" borderId="0" xfId="6" applyFont="1" applyAlignment="1">
      <alignment vertical="center"/>
    </xf>
    <xf numFmtId="0" fontId="10" fillId="0" borderId="0" xfId="6" applyFont="1" applyAlignment="1">
      <alignment horizontal="justify" vertical="center" wrapText="1"/>
    </xf>
    <xf numFmtId="0" fontId="11" fillId="0" borderId="0" xfId="5" applyFont="1" applyAlignment="1">
      <alignment horizontal="left" wrapText="1"/>
    </xf>
    <xf numFmtId="0" fontId="11" fillId="0" borderId="0" xfId="5" applyFont="1" applyAlignment="1">
      <alignment horizontal="center" wrapText="1"/>
    </xf>
    <xf numFmtId="0" fontId="11" fillId="0" borderId="0" xfId="5" applyFont="1" applyAlignment="1">
      <alignment wrapText="1"/>
    </xf>
    <xf numFmtId="0" fontId="11" fillId="0" borderId="0" xfId="5" applyFont="1" applyAlignment="1">
      <alignment horizontal="left" vertical="top" wrapText="1"/>
    </xf>
    <xf numFmtId="43" fontId="0" fillId="0" borderId="0" xfId="1" applyFont="1"/>
    <xf numFmtId="0" fontId="33" fillId="0" borderId="0" xfId="0" applyFont="1"/>
    <xf numFmtId="0" fontId="14" fillId="0" borderId="29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165" fontId="2" fillId="0" borderId="5" xfId="2" applyNumberFormat="1" applyFont="1" applyBorder="1" applyAlignment="1">
      <alignment horizontal="center"/>
    </xf>
    <xf numFmtId="0" fontId="2" fillId="0" borderId="5" xfId="0" applyFont="1" applyBorder="1"/>
    <xf numFmtId="43" fontId="0" fillId="0" borderId="5" xfId="1" applyFont="1" applyBorder="1"/>
    <xf numFmtId="0" fontId="2" fillId="0" borderId="0" xfId="0" applyFont="1"/>
    <xf numFmtId="165" fontId="2" fillId="0" borderId="5" xfId="2" applyNumberFormat="1" applyFont="1" applyBorder="1"/>
    <xf numFmtId="0" fontId="2" fillId="0" borderId="5" xfId="2" applyNumberFormat="1" applyFont="1" applyBorder="1"/>
    <xf numFmtId="165" fontId="2" fillId="0" borderId="21" xfId="2" applyNumberFormat="1" applyFont="1" applyBorder="1" applyAlignment="1">
      <alignment horizontal="center"/>
    </xf>
    <xf numFmtId="0" fontId="35" fillId="0" borderId="29" xfId="0" applyFont="1" applyBorder="1" applyAlignment="1">
      <alignment horizontal="center"/>
    </xf>
    <xf numFmtId="0" fontId="35" fillId="0" borderId="5" xfId="0" applyFont="1" applyBorder="1" applyAlignment="1">
      <alignment horizontal="center"/>
    </xf>
    <xf numFmtId="0" fontId="36" fillId="0" borderId="5" xfId="0" applyFont="1" applyBorder="1" applyAlignment="1">
      <alignment horizontal="center"/>
    </xf>
    <xf numFmtId="0" fontId="36" fillId="0" borderId="5" xfId="0" applyFont="1" applyBorder="1"/>
    <xf numFmtId="0" fontId="36" fillId="0" borderId="21" xfId="0" applyFont="1" applyBorder="1" applyAlignment="1">
      <alignment horizontal="center"/>
    </xf>
    <xf numFmtId="43" fontId="2" fillId="0" borderId="5" xfId="1" applyFont="1" applyBorder="1"/>
    <xf numFmtId="43" fontId="2" fillId="4" borderId="5" xfId="1" applyFont="1" applyFill="1" applyBorder="1"/>
    <xf numFmtId="0" fontId="36" fillId="4" borderId="5" xfId="0" applyFont="1" applyFill="1" applyBorder="1" applyAlignment="1">
      <alignment horizontal="center"/>
    </xf>
    <xf numFmtId="165" fontId="2" fillId="4" borderId="5" xfId="2" applyNumberFormat="1" applyFont="1" applyFill="1" applyBorder="1" applyAlignment="1">
      <alignment horizontal="center"/>
    </xf>
    <xf numFmtId="0" fontId="2" fillId="4" borderId="5" xfId="0" applyFont="1" applyFill="1" applyBorder="1"/>
    <xf numFmtId="0" fontId="2" fillId="4" borderId="5" xfId="0" applyFont="1" applyFill="1" applyBorder="1" applyAlignment="1">
      <alignment horizontal="center"/>
    </xf>
    <xf numFmtId="0" fontId="2" fillId="4" borderId="5" xfId="2" applyNumberFormat="1" applyFont="1" applyFill="1" applyBorder="1"/>
    <xf numFmtId="43" fontId="2" fillId="0" borderId="5" xfId="1" applyFont="1" applyFill="1" applyBorder="1"/>
    <xf numFmtId="165" fontId="2" fillId="0" borderId="5" xfId="2" applyNumberFormat="1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43" fontId="14" fillId="0" borderId="29" xfId="1" applyFont="1" applyBorder="1" applyAlignment="1">
      <alignment horizontal="center"/>
    </xf>
    <xf numFmtId="43" fontId="14" fillId="0" borderId="5" xfId="1" applyFont="1" applyBorder="1" applyAlignment="1">
      <alignment horizontal="center"/>
    </xf>
    <xf numFmtId="43" fontId="14" fillId="0" borderId="5" xfId="1" applyFont="1" applyBorder="1"/>
    <xf numFmtId="43" fontId="2" fillId="0" borderId="21" xfId="1" applyFont="1" applyBorder="1"/>
    <xf numFmtId="0" fontId="14" fillId="0" borderId="0" xfId="0" applyFont="1" applyAlignment="1">
      <alignment horizontal="center"/>
    </xf>
    <xf numFmtId="166" fontId="2" fillId="4" borderId="5" xfId="0" applyNumberFormat="1" applyFont="1" applyFill="1" applyBorder="1" applyAlignment="1">
      <alignment horizontal="center"/>
    </xf>
    <xf numFmtId="43" fontId="2" fillId="4" borderId="21" xfId="1" applyFont="1" applyFill="1" applyBorder="1"/>
    <xf numFmtId="165" fontId="2" fillId="0" borderId="5" xfId="2" applyNumberFormat="1" applyFont="1" applyFill="1" applyBorder="1"/>
    <xf numFmtId="0" fontId="14" fillId="0" borderId="5" xfId="0" applyFont="1" applyBorder="1"/>
    <xf numFmtId="0" fontId="37" fillId="0" borderId="0" xfId="0" applyFont="1"/>
    <xf numFmtId="43" fontId="2" fillId="4" borderId="31" xfId="1" applyFont="1" applyFill="1" applyBorder="1" applyAlignment="1">
      <alignment vertical="center" wrapText="1"/>
    </xf>
    <xf numFmtId="0" fontId="5" fillId="0" borderId="7" xfId="0" applyFont="1" applyBorder="1"/>
    <xf numFmtId="0" fontId="5" fillId="0" borderId="7" xfId="0" applyFont="1" applyBorder="1" applyAlignment="1">
      <alignment wrapText="1"/>
    </xf>
    <xf numFmtId="43" fontId="5" fillId="0" borderId="7" xfId="1" applyFont="1" applyBorder="1"/>
    <xf numFmtId="0" fontId="2" fillId="0" borderId="0" xfId="0" applyFont="1" applyAlignment="1">
      <alignment horizontal="left"/>
    </xf>
    <xf numFmtId="43" fontId="2" fillId="0" borderId="0" xfId="1" applyFont="1" applyAlignment="1">
      <alignment horizontal="left"/>
    </xf>
    <xf numFmtId="0" fontId="22" fillId="0" borderId="0" xfId="0" applyFont="1"/>
    <xf numFmtId="0" fontId="22" fillId="0" borderId="7" xfId="0" applyFont="1" applyBorder="1" applyAlignment="1">
      <alignment horizontal="center"/>
    </xf>
    <xf numFmtId="43" fontId="22" fillId="0" borderId="7" xfId="1" applyFont="1" applyBorder="1" applyAlignment="1">
      <alignment horizontal="center"/>
    </xf>
    <xf numFmtId="0" fontId="36" fillId="0" borderId="7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7" xfId="0" applyFont="1" applyBorder="1" applyAlignment="1">
      <alignment horizontal="left"/>
    </xf>
    <xf numFmtId="0" fontId="22" fillId="0" borderId="5" xfId="0" applyFont="1" applyBorder="1"/>
    <xf numFmtId="43" fontId="22" fillId="0" borderId="5" xfId="1" applyFont="1" applyBorder="1"/>
    <xf numFmtId="0" fontId="22" fillId="0" borderId="3" xfId="0" applyFont="1" applyBorder="1"/>
    <xf numFmtId="0" fontId="22" fillId="0" borderId="5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22" fillId="0" borderId="5" xfId="0" applyFont="1" applyBorder="1" applyAlignment="1">
      <alignment horizontal="center"/>
    </xf>
    <xf numFmtId="165" fontId="2" fillId="0" borderId="5" xfId="2" applyNumberFormat="1" applyFont="1" applyBorder="1" applyAlignment="1">
      <alignment horizontal="left"/>
    </xf>
    <xf numFmtId="0" fontId="22" fillId="0" borderId="3" xfId="0" applyFont="1" applyBorder="1" applyAlignment="1">
      <alignment horizontal="center"/>
    </xf>
    <xf numFmtId="165" fontId="22" fillId="0" borderId="5" xfId="2" applyNumberFormat="1" applyFont="1" applyBorder="1" applyAlignment="1">
      <alignment horizontal="center"/>
    </xf>
    <xf numFmtId="165" fontId="22" fillId="0" borderId="5" xfId="2" applyNumberFormat="1" applyFont="1" applyBorder="1"/>
    <xf numFmtId="166" fontId="22" fillId="0" borderId="5" xfId="0" applyNumberFormat="1" applyFont="1" applyBorder="1" applyAlignment="1">
      <alignment horizontal="center"/>
    </xf>
    <xf numFmtId="165" fontId="2" fillId="4" borderId="5" xfId="2" applyNumberFormat="1" applyFont="1" applyFill="1" applyBorder="1" applyAlignment="1">
      <alignment horizontal="left"/>
    </xf>
    <xf numFmtId="0" fontId="22" fillId="4" borderId="3" xfId="0" applyFont="1" applyFill="1" applyBorder="1" applyAlignment="1">
      <alignment horizontal="center"/>
    </xf>
    <xf numFmtId="0" fontId="22" fillId="4" borderId="5" xfId="0" applyFont="1" applyFill="1" applyBorder="1" applyAlignment="1">
      <alignment horizontal="center"/>
    </xf>
    <xf numFmtId="166" fontId="22" fillId="4" borderId="5" xfId="0" applyNumberFormat="1" applyFont="1" applyFill="1" applyBorder="1" applyAlignment="1">
      <alignment horizontal="center"/>
    </xf>
    <xf numFmtId="43" fontId="22" fillId="4" borderId="5" xfId="1" applyFont="1" applyFill="1" applyBorder="1"/>
    <xf numFmtId="0" fontId="22" fillId="4" borderId="0" xfId="0" applyFont="1" applyFill="1"/>
    <xf numFmtId="43" fontId="22" fillId="4" borderId="0" xfId="1" applyFont="1" applyFill="1"/>
    <xf numFmtId="165" fontId="2" fillId="0" borderId="5" xfId="2" applyNumberFormat="1" applyFont="1" applyFill="1" applyBorder="1" applyAlignment="1">
      <alignment horizontal="left"/>
    </xf>
    <xf numFmtId="0" fontId="22" fillId="0" borderId="21" xfId="0" applyFont="1" applyBorder="1" applyAlignment="1">
      <alignment horizontal="center"/>
    </xf>
    <xf numFmtId="43" fontId="22" fillId="0" borderId="21" xfId="1" applyFont="1" applyBorder="1"/>
    <xf numFmtId="0" fontId="22" fillId="0" borderId="13" xfId="0" applyFont="1" applyBorder="1" applyAlignment="1">
      <alignment horizontal="center"/>
    </xf>
    <xf numFmtId="0" fontId="22" fillId="4" borderId="21" xfId="0" applyFont="1" applyFill="1" applyBorder="1" applyAlignment="1">
      <alignment horizontal="center"/>
    </xf>
    <xf numFmtId="0" fontId="22" fillId="4" borderId="13" xfId="0" applyFont="1" applyFill="1" applyBorder="1"/>
    <xf numFmtId="0" fontId="22" fillId="4" borderId="21" xfId="0" applyFont="1" applyFill="1" applyBorder="1"/>
    <xf numFmtId="0" fontId="22" fillId="4" borderId="5" xfId="0" applyFont="1" applyFill="1" applyBorder="1"/>
    <xf numFmtId="43" fontId="22" fillId="0" borderId="5" xfId="1" applyFont="1" applyFill="1" applyBorder="1"/>
    <xf numFmtId="168" fontId="22" fillId="0" borderId="0" xfId="0" applyNumberFormat="1" applyFont="1"/>
    <xf numFmtId="0" fontId="22" fillId="0" borderId="0" xfId="0" applyFont="1" applyAlignment="1">
      <alignment horizontal="center"/>
    </xf>
    <xf numFmtId="0" fontId="22" fillId="4" borderId="3" xfId="0" applyFont="1" applyFill="1" applyBorder="1"/>
    <xf numFmtId="0" fontId="22" fillId="4" borderId="0" xfId="0" applyFont="1" applyFill="1" applyAlignment="1">
      <alignment horizontal="center"/>
    </xf>
    <xf numFmtId="165" fontId="2" fillId="0" borderId="21" xfId="2" applyNumberFormat="1" applyFont="1" applyBorder="1" applyAlignment="1">
      <alignment horizontal="left"/>
    </xf>
    <xf numFmtId="43" fontId="22" fillId="0" borderId="0" xfId="1" applyFont="1"/>
    <xf numFmtId="0" fontId="36" fillId="0" borderId="0" xfId="0" applyFont="1"/>
    <xf numFmtId="0" fontId="2" fillId="0" borderId="5" xfId="0" applyFont="1" applyBorder="1" applyAlignment="1">
      <alignment horizontal="center" vertical="center"/>
    </xf>
    <xf numFmtId="43" fontId="2" fillId="0" borderId="5" xfId="1" applyFont="1" applyBorder="1" applyAlignment="1">
      <alignment vertical="center"/>
    </xf>
    <xf numFmtId="0" fontId="15" fillId="2" borderId="15" xfId="7" applyFont="1" applyFill="1" applyBorder="1" applyAlignment="1">
      <alignment horizontal="centerContinuous" vertical="center" wrapText="1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38" fillId="0" borderId="0" xfId="0" applyFont="1" applyAlignment="1">
      <alignment horizontal="centerContinuous" vertical="center"/>
    </xf>
    <xf numFmtId="0" fontId="39" fillId="0" borderId="48" xfId="0" applyFont="1" applyBorder="1" applyAlignment="1">
      <alignment vertical="center"/>
    </xf>
    <xf numFmtId="0" fontId="37" fillId="0" borderId="0" xfId="0" applyFont="1" applyAlignment="1">
      <alignment vertical="center"/>
    </xf>
    <xf numFmtId="0" fontId="39" fillId="0" borderId="54" xfId="0" applyFont="1" applyBorder="1" applyAlignment="1">
      <alignment vertical="center"/>
    </xf>
    <xf numFmtId="0" fontId="39" fillId="0" borderId="58" xfId="0" applyFont="1" applyBorder="1" applyAlignment="1">
      <alignment vertical="center"/>
    </xf>
    <xf numFmtId="0" fontId="37" fillId="0" borderId="49" xfId="0" applyFont="1" applyBorder="1"/>
    <xf numFmtId="0" fontId="37" fillId="0" borderId="47" xfId="0" applyFont="1" applyBorder="1" applyAlignment="1">
      <alignment vertical="center"/>
    </xf>
    <xf numFmtId="0" fontId="37" fillId="0" borderId="1" xfId="0" applyFont="1" applyBorder="1"/>
    <xf numFmtId="0" fontId="37" fillId="10" borderId="4" xfId="0" applyFont="1" applyFill="1" applyBorder="1"/>
    <xf numFmtId="0" fontId="37" fillId="0" borderId="37" xfId="0" applyFont="1" applyBorder="1"/>
    <xf numFmtId="0" fontId="22" fillId="0" borderId="0" xfId="0" applyFont="1" applyAlignment="1">
      <alignment vertical="top"/>
    </xf>
    <xf numFmtId="0" fontId="22" fillId="0" borderId="0" xfId="0" applyFont="1" applyAlignment="1">
      <alignment horizontal="left"/>
    </xf>
    <xf numFmtId="0" fontId="22" fillId="0" borderId="0" xfId="0" applyFont="1" applyAlignment="1">
      <alignment horizontal="center" vertical="center"/>
    </xf>
    <xf numFmtId="0" fontId="40" fillId="0" borderId="45" xfId="0" applyFont="1" applyBorder="1" applyAlignment="1">
      <alignment horizontal="centerContinuous" vertical="center"/>
    </xf>
    <xf numFmtId="0" fontId="40" fillId="0" borderId="53" xfId="0" applyFont="1" applyBorder="1" applyAlignment="1">
      <alignment horizontal="centerContinuous" vertical="center"/>
    </xf>
    <xf numFmtId="0" fontId="40" fillId="0" borderId="46" xfId="0" applyFont="1" applyBorder="1" applyAlignment="1">
      <alignment horizontal="center" vertical="center"/>
    </xf>
    <xf numFmtId="0" fontId="40" fillId="0" borderId="55" xfId="0" applyFont="1" applyBorder="1" applyAlignment="1">
      <alignment vertical="center"/>
    </xf>
    <xf numFmtId="0" fontId="22" fillId="0" borderId="55" xfId="0" applyFont="1" applyBorder="1" applyAlignment="1">
      <alignment vertical="center"/>
    </xf>
    <xf numFmtId="0" fontId="22" fillId="0" borderId="56" xfId="0" applyFont="1" applyBorder="1" applyAlignment="1">
      <alignment vertical="center"/>
    </xf>
    <xf numFmtId="0" fontId="40" fillId="0" borderId="59" xfId="0" applyFont="1" applyBorder="1" applyAlignment="1">
      <alignment vertical="center"/>
    </xf>
    <xf numFmtId="0" fontId="22" fillId="0" borderId="59" xfId="0" applyFont="1" applyBorder="1" applyAlignment="1">
      <alignment vertical="center"/>
    </xf>
    <xf numFmtId="0" fontId="22" fillId="0" borderId="60" xfId="0" applyFont="1" applyBorder="1" applyAlignment="1">
      <alignment vertical="center"/>
    </xf>
    <xf numFmtId="0" fontId="22" fillId="0" borderId="12" xfId="0" applyFont="1" applyBorder="1"/>
    <xf numFmtId="0" fontId="22" fillId="0" borderId="36" xfId="0" applyFont="1" applyBorder="1"/>
    <xf numFmtId="0" fontId="22" fillId="0" borderId="50" xfId="0" applyFont="1" applyBorder="1" applyAlignment="1">
      <alignment vertical="center"/>
    </xf>
    <xf numFmtId="0" fontId="40" fillId="0" borderId="50" xfId="0" applyFont="1" applyBorder="1" applyAlignment="1">
      <alignment vertical="center"/>
    </xf>
    <xf numFmtId="0" fontId="40" fillId="0" borderId="52" xfId="0" applyFont="1" applyBorder="1" applyAlignment="1">
      <alignment horizontal="right" vertical="center"/>
    </xf>
    <xf numFmtId="0" fontId="41" fillId="10" borderId="0" xfId="0" applyFont="1" applyFill="1" applyAlignment="1">
      <alignment horizontal="centerContinuous" vertical="center"/>
    </xf>
    <xf numFmtId="0" fontId="41" fillId="10" borderId="36" xfId="0" applyFont="1" applyFill="1" applyBorder="1" applyAlignment="1">
      <alignment horizontal="centerContinuous" vertical="center"/>
    </xf>
    <xf numFmtId="0" fontId="22" fillId="0" borderId="38" xfId="0" applyFont="1" applyBorder="1"/>
    <xf numFmtId="0" fontId="22" fillId="0" borderId="39" xfId="0" applyFont="1" applyBorder="1"/>
    <xf numFmtId="0" fontId="22" fillId="0" borderId="0" xfId="0" applyFont="1" applyAlignment="1">
      <alignment vertical="center"/>
    </xf>
    <xf numFmtId="0" fontId="14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14" fillId="0" borderId="0" xfId="0" applyFont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43" fillId="0" borderId="0" xfId="0" applyFont="1" applyAlignment="1">
      <alignment horizontal="center" vertical="top" wrapText="1"/>
    </xf>
    <xf numFmtId="43" fontId="22" fillId="0" borderId="0" xfId="1" applyFont="1" applyAlignment="1">
      <alignment vertical="center"/>
    </xf>
    <xf numFmtId="0" fontId="5" fillId="0" borderId="7" xfId="0" applyFont="1" applyBorder="1" applyAlignment="1">
      <alignment vertical="top"/>
    </xf>
    <xf numFmtId="0" fontId="5" fillId="0" borderId="7" xfId="0" applyFont="1" applyBorder="1" applyAlignment="1">
      <alignment vertical="top" wrapText="1"/>
    </xf>
    <xf numFmtId="43" fontId="5" fillId="0" borderId="7" xfId="1" applyFont="1" applyBorder="1" applyAlignment="1">
      <alignment vertical="top"/>
    </xf>
    <xf numFmtId="0" fontId="22" fillId="0" borderId="62" xfId="0" applyFont="1" applyBorder="1" applyAlignment="1">
      <alignment horizontal="right" vertical="center"/>
    </xf>
    <xf numFmtId="0" fontId="40" fillId="0" borderId="62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40" fillId="0" borderId="67" xfId="0" applyFont="1" applyBorder="1" applyAlignment="1">
      <alignment horizontal="center" vertical="center"/>
    </xf>
    <xf numFmtId="0" fontId="40" fillId="0" borderId="68" xfId="0" applyFont="1" applyBorder="1" applyAlignment="1">
      <alignment horizontal="centerContinuous" vertical="center"/>
    </xf>
    <xf numFmtId="0" fontId="40" fillId="0" borderId="68" xfId="0" applyFont="1" applyBorder="1" applyAlignment="1">
      <alignment horizontal="center" vertical="center"/>
    </xf>
    <xf numFmtId="0" fontId="40" fillId="0" borderId="68" xfId="0" applyFont="1" applyBorder="1" applyAlignment="1">
      <alignment horizontal="center" vertical="center" wrapText="1"/>
    </xf>
    <xf numFmtId="0" fontId="40" fillId="0" borderId="69" xfId="0" applyFont="1" applyBorder="1" applyAlignment="1">
      <alignment horizontal="center" vertical="center" wrapText="1"/>
    </xf>
    <xf numFmtId="0" fontId="40" fillId="0" borderId="70" xfId="0" applyFont="1" applyBorder="1" applyAlignment="1">
      <alignment horizontal="center"/>
    </xf>
    <xf numFmtId="0" fontId="22" fillId="0" borderId="21" xfId="0" applyFont="1" applyBorder="1"/>
    <xf numFmtId="0" fontId="22" fillId="0" borderId="71" xfId="0" applyFont="1" applyBorder="1"/>
    <xf numFmtId="0" fontId="40" fillId="0" borderId="47" xfId="0" applyFont="1" applyBorder="1" applyAlignment="1">
      <alignment horizontal="center"/>
    </xf>
    <xf numFmtId="0" fontId="40" fillId="0" borderId="72" xfId="0" applyFont="1" applyBorder="1" applyAlignment="1">
      <alignment horizontal="center"/>
    </xf>
    <xf numFmtId="0" fontId="40" fillId="0" borderId="73" xfId="0" applyFont="1" applyBorder="1" applyAlignment="1">
      <alignment horizontal="center"/>
    </xf>
    <xf numFmtId="0" fontId="40" fillId="0" borderId="74" xfId="0" applyFont="1" applyBorder="1" applyAlignment="1">
      <alignment horizontal="centerContinuous" vertical="center"/>
    </xf>
    <xf numFmtId="0" fontId="40" fillId="0" borderId="50" xfId="0" applyFont="1" applyBorder="1" applyAlignment="1">
      <alignment horizontal="centerContinuous" vertical="center"/>
    </xf>
    <xf numFmtId="0" fontId="40" fillId="0" borderId="52" xfId="0" applyFont="1" applyBorder="1" applyAlignment="1">
      <alignment horizontal="centerContinuous" vertical="center"/>
    </xf>
    <xf numFmtId="0" fontId="40" fillId="0" borderId="13" xfId="0" applyFont="1" applyBorder="1"/>
    <xf numFmtId="0" fontId="22" fillId="0" borderId="44" xfId="0" applyFont="1" applyBorder="1"/>
    <xf numFmtId="0" fontId="22" fillId="0" borderId="14" xfId="0" applyFont="1" applyBorder="1"/>
    <xf numFmtId="0" fontId="22" fillId="0" borderId="15" xfId="0" applyFont="1" applyBorder="1" applyAlignment="1">
      <alignment vertical="center"/>
    </xf>
    <xf numFmtId="0" fontId="22" fillId="0" borderId="23" xfId="0" applyFont="1" applyBorder="1" applyAlignment="1">
      <alignment vertical="center"/>
    </xf>
    <xf numFmtId="0" fontId="22" fillId="0" borderId="9" xfId="0" applyFont="1" applyBorder="1" applyAlignment="1">
      <alignment vertical="center"/>
    </xf>
    <xf numFmtId="0" fontId="40" fillId="0" borderId="15" xfId="0" applyFont="1" applyBorder="1" applyAlignment="1">
      <alignment vertical="center"/>
    </xf>
    <xf numFmtId="0" fontId="40" fillId="0" borderId="75" xfId="0" applyFont="1" applyBorder="1" applyAlignment="1">
      <alignment vertical="center"/>
    </xf>
    <xf numFmtId="0" fontId="40" fillId="0" borderId="76" xfId="0" applyFont="1" applyBorder="1" applyAlignment="1">
      <alignment vertical="center"/>
    </xf>
    <xf numFmtId="0" fontId="40" fillId="0" borderId="77" xfId="0" applyFont="1" applyBorder="1" applyAlignment="1">
      <alignment vertical="center"/>
    </xf>
    <xf numFmtId="0" fontId="22" fillId="0" borderId="8" xfId="0" applyFont="1" applyBorder="1" applyAlignment="1">
      <alignment vertical="center"/>
    </xf>
    <xf numFmtId="0" fontId="22" fillId="0" borderId="10" xfId="0" applyFont="1" applyBorder="1" applyAlignment="1">
      <alignment vertical="center"/>
    </xf>
    <xf numFmtId="0" fontId="22" fillId="0" borderId="11" xfId="0" applyFont="1" applyBorder="1" applyAlignment="1">
      <alignment vertical="center"/>
    </xf>
    <xf numFmtId="0" fontId="40" fillId="0" borderId="13" xfId="0" applyFont="1" applyBorder="1" applyAlignment="1">
      <alignment vertical="center"/>
    </xf>
    <xf numFmtId="0" fontId="41" fillId="0" borderId="50" xfId="0" applyFont="1" applyBorder="1" applyAlignment="1">
      <alignment vertical="center"/>
    </xf>
    <xf numFmtId="0" fontId="41" fillId="0" borderId="52" xfId="0" applyFont="1" applyBorder="1" applyAlignment="1">
      <alignment vertical="center"/>
    </xf>
    <xf numFmtId="0" fontId="22" fillId="0" borderId="44" xfId="0" applyFont="1" applyBorder="1" applyAlignment="1">
      <alignment vertical="center"/>
    </xf>
    <xf numFmtId="0" fontId="22" fillId="0" borderId="14" xfId="0" applyFont="1" applyBorder="1" applyAlignment="1">
      <alignment vertical="center"/>
    </xf>
    <xf numFmtId="0" fontId="40" fillId="0" borderId="74" xfId="0" applyFont="1" applyBorder="1" applyAlignment="1">
      <alignment vertical="center"/>
    </xf>
    <xf numFmtId="0" fontId="44" fillId="0" borderId="50" xfId="0" applyFont="1" applyBorder="1" applyAlignment="1">
      <alignment vertical="center"/>
    </xf>
    <xf numFmtId="0" fontId="44" fillId="0" borderId="52" xfId="0" applyFont="1" applyBorder="1" applyAlignment="1">
      <alignment vertical="center"/>
    </xf>
    <xf numFmtId="0" fontId="22" fillId="0" borderId="79" xfId="0" applyFont="1" applyBorder="1" applyAlignment="1">
      <alignment horizontal="right" vertical="center"/>
    </xf>
    <xf numFmtId="0" fontId="40" fillId="0" borderId="70" xfId="0" applyFont="1" applyBorder="1" applyAlignment="1">
      <alignment horizontal="center" vertical="center"/>
    </xf>
    <xf numFmtId="0" fontId="22" fillId="0" borderId="47" xfId="0" applyFont="1" applyBorder="1" applyAlignment="1">
      <alignment horizontal="center" vertical="center"/>
    </xf>
    <xf numFmtId="0" fontId="22" fillId="0" borderId="74" xfId="0" applyFont="1" applyBorder="1" applyAlignment="1">
      <alignment vertical="center"/>
    </xf>
    <xf numFmtId="0" fontId="40" fillId="0" borderId="52" xfId="0" applyFont="1" applyBorder="1" applyAlignment="1">
      <alignment vertical="center"/>
    </xf>
    <xf numFmtId="0" fontId="2" fillId="6" borderId="0" xfId="0" applyFont="1" applyFill="1" applyAlignment="1">
      <alignment horizontal="left"/>
    </xf>
    <xf numFmtId="0" fontId="14" fillId="6" borderId="0" xfId="0" applyFont="1" applyFill="1" applyAlignment="1">
      <alignment horizontal="center"/>
    </xf>
    <xf numFmtId="165" fontId="2" fillId="6" borderId="5" xfId="2" applyNumberFormat="1" applyFont="1" applyFill="1" applyBorder="1" applyAlignment="1">
      <alignment horizontal="center"/>
    </xf>
    <xf numFmtId="0" fontId="2" fillId="0" borderId="0" xfId="10" applyFont="1"/>
    <xf numFmtId="0" fontId="2" fillId="0" borderId="0" xfId="10" applyFont="1" applyAlignment="1">
      <alignment horizontal="left" indent="1"/>
    </xf>
    <xf numFmtId="0" fontId="2" fillId="0" borderId="0" xfId="3"/>
    <xf numFmtId="0" fontId="34" fillId="0" borderId="0" xfId="10" applyFont="1"/>
    <xf numFmtId="0" fontId="34" fillId="0" borderId="0" xfId="10" applyFont="1" applyAlignment="1">
      <alignment horizontal="right" indent="1"/>
    </xf>
    <xf numFmtId="0" fontId="47" fillId="0" borderId="0" xfId="10" applyFont="1"/>
    <xf numFmtId="0" fontId="34" fillId="0" borderId="0" xfId="10" applyFont="1" applyAlignment="1">
      <alignment horizontal="left" indent="1"/>
    </xf>
    <xf numFmtId="0" fontId="47" fillId="0" borderId="0" xfId="10" applyFont="1" applyAlignment="1">
      <alignment horizontal="right"/>
    </xf>
    <xf numFmtId="0" fontId="47" fillId="0" borderId="0" xfId="10" applyFont="1" applyAlignment="1">
      <alignment horizontal="left" indent="1"/>
    </xf>
    <xf numFmtId="0" fontId="47" fillId="0" borderId="80" xfId="10" applyFont="1" applyBorder="1"/>
    <xf numFmtId="0" fontId="47" fillId="0" borderId="81" xfId="10" applyFont="1" applyBorder="1" applyAlignment="1">
      <alignment horizontal="left" indent="1"/>
    </xf>
    <xf numFmtId="0" fontId="47" fillId="0" borderId="82" xfId="10" applyFont="1" applyBorder="1"/>
    <xf numFmtId="0" fontId="34" fillId="0" borderId="84" xfId="10" applyFont="1" applyBorder="1" applyAlignment="1">
      <alignment horizontal="center"/>
    </xf>
    <xf numFmtId="0" fontId="34" fillId="0" borderId="85" xfId="10" applyFont="1" applyBorder="1" applyAlignment="1">
      <alignment horizontal="center"/>
    </xf>
    <xf numFmtId="0" fontId="34" fillId="0" borderId="86" xfId="10" applyFont="1" applyBorder="1" applyAlignment="1">
      <alignment horizontal="center"/>
    </xf>
    <xf numFmtId="0" fontId="47" fillId="0" borderId="88" xfId="10" applyFont="1" applyBorder="1"/>
    <xf numFmtId="0" fontId="47" fillId="0" borderId="89" xfId="10" applyFont="1" applyBorder="1" applyAlignment="1">
      <alignment horizontal="left" indent="1"/>
    </xf>
    <xf numFmtId="0" fontId="47" fillId="0" borderId="90" xfId="10" applyFont="1" applyBorder="1"/>
    <xf numFmtId="0" fontId="47" fillId="0" borderId="84" xfId="10" applyFont="1" applyBorder="1"/>
    <xf numFmtId="0" fontId="47" fillId="0" borderId="85" xfId="10" applyFont="1" applyBorder="1" applyAlignment="1">
      <alignment horizontal="left" indent="1"/>
    </xf>
    <xf numFmtId="0" fontId="47" fillId="0" borderId="86" xfId="10" applyFont="1" applyBorder="1"/>
    <xf numFmtId="39" fontId="47" fillId="0" borderId="85" xfId="10" applyNumberFormat="1" applyFont="1" applyBorder="1"/>
    <xf numFmtId="39" fontId="47" fillId="0" borderId="86" xfId="10" applyNumberFormat="1" applyFont="1" applyBorder="1"/>
    <xf numFmtId="0" fontId="47" fillId="0" borderId="83" xfId="10" applyFont="1" applyBorder="1"/>
    <xf numFmtId="0" fontId="47" fillId="0" borderId="92" xfId="10" quotePrefix="1" applyFont="1" applyBorder="1" applyAlignment="1">
      <alignment horizontal="center" vertical="center" wrapText="1"/>
    </xf>
    <xf numFmtId="0" fontId="47" fillId="0" borderId="31" xfId="10" applyFont="1" applyBorder="1" applyAlignment="1">
      <alignment horizontal="left" vertical="center" wrapText="1"/>
    </xf>
    <xf numFmtId="0" fontId="34" fillId="0" borderId="31" xfId="10" applyFont="1" applyBorder="1" applyAlignment="1">
      <alignment horizontal="center" vertical="center"/>
    </xf>
    <xf numFmtId="0" fontId="47" fillId="0" borderId="27" xfId="11" applyFont="1" applyBorder="1" applyAlignment="1">
      <alignment horizontal="center" vertical="center"/>
    </xf>
    <xf numFmtId="0" fontId="34" fillId="0" borderId="31" xfId="10" applyFont="1" applyBorder="1" applyAlignment="1">
      <alignment horizontal="center" vertical="center" wrapText="1"/>
    </xf>
    <xf numFmtId="0" fontId="34" fillId="0" borderId="27" xfId="10" applyFont="1" applyBorder="1" applyAlignment="1">
      <alignment horizontal="center" vertical="center"/>
    </xf>
    <xf numFmtId="0" fontId="34" fillId="0" borderId="94" xfId="10" applyFont="1" applyBorder="1" applyAlignment="1">
      <alignment horizontal="center" vertical="center"/>
    </xf>
    <xf numFmtId="0" fontId="47" fillId="0" borderId="84" xfId="10" quotePrefix="1" applyFont="1" applyBorder="1" applyAlignment="1">
      <alignment horizontal="center" vertical="top"/>
    </xf>
    <xf numFmtId="0" fontId="47" fillId="0" borderId="85" xfId="10" applyFont="1" applyBorder="1" applyAlignment="1">
      <alignment horizontal="left" vertical="top"/>
    </xf>
    <xf numFmtId="0" fontId="34" fillId="0" borderId="86" xfId="10" applyFont="1" applyBorder="1" applyAlignment="1">
      <alignment horizontal="centerContinuous"/>
    </xf>
    <xf numFmtId="169" fontId="47" fillId="0" borderId="86" xfId="10" applyNumberFormat="1" applyFont="1" applyBorder="1" applyAlignment="1">
      <alignment horizontal="center"/>
    </xf>
    <xf numFmtId="0" fontId="34" fillId="0" borderId="31" xfId="10" applyFont="1" applyBorder="1" applyAlignment="1">
      <alignment horizontal="centerContinuous"/>
    </xf>
    <xf numFmtId="0" fontId="34" fillId="0" borderId="31" xfId="10" applyFont="1" applyBorder="1" applyAlignment="1">
      <alignment horizontal="center"/>
    </xf>
    <xf numFmtId="0" fontId="34" fillId="0" borderId="87" xfId="10" applyFont="1" applyBorder="1" applyAlignment="1">
      <alignment horizontal="center" vertical="center"/>
    </xf>
    <xf numFmtId="0" fontId="47" fillId="0" borderId="84" xfId="10" quotePrefix="1" applyFont="1" applyBorder="1" applyAlignment="1">
      <alignment horizontal="center"/>
    </xf>
    <xf numFmtId="0" fontId="47" fillId="0" borderId="86" xfId="10" applyFont="1" applyBorder="1" applyAlignment="1">
      <alignment horizontal="center"/>
    </xf>
    <xf numFmtId="169" fontId="47" fillId="0" borderId="85" xfId="10" applyNumberFormat="1" applyFont="1" applyBorder="1"/>
    <xf numFmtId="169" fontId="47" fillId="0" borderId="86" xfId="10" applyNumberFormat="1" applyFont="1" applyBorder="1"/>
    <xf numFmtId="0" fontId="47" fillId="0" borderId="87" xfId="10" applyFont="1" applyBorder="1" applyAlignment="1">
      <alignment horizontal="center"/>
    </xf>
    <xf numFmtId="37" fontId="47" fillId="0" borderId="85" xfId="10" applyNumberFormat="1" applyFont="1" applyBorder="1" applyAlignment="1">
      <alignment horizontal="center"/>
    </xf>
    <xf numFmtId="37" fontId="47" fillId="0" borderId="85" xfId="10" applyNumberFormat="1" applyFont="1" applyBorder="1"/>
    <xf numFmtId="37" fontId="47" fillId="0" borderId="86" xfId="10" applyNumberFormat="1" applyFont="1" applyBorder="1"/>
    <xf numFmtId="0" fontId="47" fillId="0" borderId="85" xfId="10" applyFont="1" applyBorder="1"/>
    <xf numFmtId="0" fontId="34" fillId="0" borderId="85" xfId="10" applyFont="1" applyBorder="1" applyAlignment="1">
      <alignment horizontal="left" indent="1"/>
    </xf>
    <xf numFmtId="0" fontId="47" fillId="0" borderId="84" xfId="10" quotePrefix="1" applyFont="1" applyBorder="1" applyAlignment="1">
      <alignment horizontal="right"/>
    </xf>
    <xf numFmtId="0" fontId="47" fillId="0" borderId="85" xfId="10" applyFont="1" applyBorder="1" applyAlignment="1">
      <alignment horizontal="center"/>
    </xf>
    <xf numFmtId="170" fontId="47" fillId="0" borderId="85" xfId="10" applyNumberFormat="1" applyFont="1" applyBorder="1"/>
    <xf numFmtId="170" fontId="47" fillId="0" borderId="86" xfId="10" applyNumberFormat="1" applyFont="1" applyBorder="1" applyAlignment="1">
      <alignment horizontal="right"/>
    </xf>
    <xf numFmtId="9" fontId="47" fillId="0" borderId="87" xfId="10" applyNumberFormat="1" applyFont="1" applyBorder="1" applyAlignment="1">
      <alignment horizontal="left"/>
    </xf>
    <xf numFmtId="0" fontId="2" fillId="0" borderId="85" xfId="3" applyBorder="1"/>
    <xf numFmtId="39" fontId="47" fillId="0" borderId="86" xfId="10" applyNumberFormat="1" applyFont="1" applyBorder="1" applyAlignment="1">
      <alignment horizontal="right"/>
    </xf>
    <xf numFmtId="171" fontId="47" fillId="0" borderId="87" xfId="10" applyNumberFormat="1" applyFont="1" applyBorder="1" applyAlignment="1">
      <alignment horizontal="left"/>
    </xf>
    <xf numFmtId="0" fontId="34" fillId="0" borderId="31" xfId="10" applyFont="1" applyBorder="1" applyAlignment="1">
      <alignment horizontal="left" indent="1"/>
    </xf>
    <xf numFmtId="0" fontId="47" fillId="0" borderId="31" xfId="10" applyFont="1" applyBorder="1" applyAlignment="1">
      <alignment horizontal="center"/>
    </xf>
    <xf numFmtId="39" fontId="34" fillId="0" borderId="31" xfId="10" applyNumberFormat="1" applyFont="1" applyBorder="1"/>
    <xf numFmtId="39" fontId="34" fillId="0" borderId="27" xfId="10" applyNumberFormat="1" applyFont="1" applyBorder="1"/>
    <xf numFmtId="39" fontId="34" fillId="0" borderId="86" xfId="10" applyNumberFormat="1" applyFont="1" applyBorder="1"/>
    <xf numFmtId="0" fontId="2" fillId="0" borderId="86" xfId="3" applyBorder="1"/>
    <xf numFmtId="0" fontId="47" fillId="0" borderId="85" xfId="11" applyFont="1" applyBorder="1" applyAlignment="1">
      <alignment horizontal="left" indent="1"/>
    </xf>
    <xf numFmtId="39" fontId="47" fillId="0" borderId="85" xfId="11" quotePrefix="1" applyNumberFormat="1" applyFont="1" applyBorder="1"/>
    <xf numFmtId="39" fontId="47" fillId="0" borderId="86" xfId="11" quotePrefix="1" applyNumberFormat="1" applyFont="1" applyBorder="1"/>
    <xf numFmtId="10" fontId="47" fillId="0" borderId="87" xfId="10" applyNumberFormat="1" applyFont="1" applyBorder="1" applyAlignment="1">
      <alignment horizontal="right" indent="4"/>
    </xf>
    <xf numFmtId="0" fontId="47" fillId="0" borderId="84" xfId="10" applyFont="1" applyBorder="1" applyAlignment="1">
      <alignment horizontal="right"/>
    </xf>
    <xf numFmtId="0" fontId="47" fillId="0" borderId="87" xfId="10" applyFont="1" applyBorder="1" applyAlignment="1">
      <alignment horizontal="right" indent="4"/>
    </xf>
    <xf numFmtId="0" fontId="47" fillId="0" borderId="85" xfId="11" applyFont="1" applyBorder="1" applyAlignment="1">
      <alignment horizontal="center"/>
    </xf>
    <xf numFmtId="39" fontId="47" fillId="0" borderId="85" xfId="11" applyNumberFormat="1" applyFont="1" applyBorder="1"/>
    <xf numFmtId="39" fontId="47" fillId="0" borderId="86" xfId="11" applyNumberFormat="1" applyFont="1" applyBorder="1"/>
    <xf numFmtId="0" fontId="47" fillId="0" borderId="86" xfId="11" applyFont="1" applyBorder="1" applyAlignment="1">
      <alignment horizontal="center"/>
    </xf>
    <xf numFmtId="0" fontId="47" fillId="0" borderId="85" xfId="11" applyFont="1" applyBorder="1"/>
    <xf numFmtId="0" fontId="47" fillId="0" borderId="86" xfId="11" applyFont="1" applyBorder="1"/>
    <xf numFmtId="0" fontId="47" fillId="0" borderId="87" xfId="10" applyFont="1" applyBorder="1"/>
    <xf numFmtId="0" fontId="34" fillId="0" borderId="84" xfId="10" applyFont="1" applyBorder="1"/>
    <xf numFmtId="39" fontId="34" fillId="0" borderId="85" xfId="10" applyNumberFormat="1" applyFont="1" applyBorder="1"/>
    <xf numFmtId="0" fontId="34" fillId="0" borderId="92" xfId="10" applyFont="1" applyBorder="1" applyAlignment="1">
      <alignment horizontal="center"/>
    </xf>
    <xf numFmtId="0" fontId="34" fillId="0" borderId="27" xfId="10" applyFont="1" applyBorder="1" applyAlignment="1">
      <alignment horizontal="center"/>
    </xf>
    <xf numFmtId="0" fontId="34" fillId="0" borderId="89" xfId="10" applyFont="1" applyBorder="1"/>
    <xf numFmtId="39" fontId="47" fillId="0" borderId="89" xfId="10" applyNumberFormat="1" applyFont="1" applyBorder="1"/>
    <xf numFmtId="0" fontId="2" fillId="0" borderId="95" xfId="3" applyBorder="1"/>
    <xf numFmtId="39" fontId="47" fillId="0" borderId="90" xfId="10" applyNumberFormat="1" applyFont="1" applyBorder="1"/>
    <xf numFmtId="0" fontId="47" fillId="0" borderId="91" xfId="10" applyFont="1" applyBorder="1"/>
    <xf numFmtId="0" fontId="34" fillId="0" borderId="93" xfId="10" applyFont="1" applyBorder="1" applyAlignment="1">
      <alignment horizontal="center" vertical="center"/>
    </xf>
    <xf numFmtId="0" fontId="34" fillId="0" borderId="42" xfId="10" applyFont="1" applyBorder="1" applyAlignment="1">
      <alignment horizontal="center" vertical="center"/>
    </xf>
    <xf numFmtId="0" fontId="34" fillId="0" borderId="93" xfId="10" applyFont="1" applyBorder="1" applyAlignment="1">
      <alignment horizontal="center" vertical="center" wrapText="1"/>
    </xf>
    <xf numFmtId="0" fontId="34" fillId="0" borderId="42" xfId="10" applyFont="1" applyBorder="1" applyAlignment="1">
      <alignment horizontal="center" vertical="center" wrapText="1"/>
    </xf>
    <xf numFmtId="9" fontId="16" fillId="2" borderId="32" xfId="7" applyNumberFormat="1" applyFont="1" applyFill="1" applyBorder="1">
      <alignment vertical="top"/>
    </xf>
    <xf numFmtId="164" fontId="44" fillId="10" borderId="0" xfId="0" applyNumberFormat="1" applyFont="1" applyFill="1" applyAlignment="1">
      <alignment horizontal="centerContinuous" vertical="center" wrapText="1"/>
    </xf>
    <xf numFmtId="164" fontId="37" fillId="0" borderId="0" xfId="12" applyFont="1"/>
    <xf numFmtId="0" fontId="4" fillId="10" borderId="7" xfId="6" applyFont="1" applyFill="1" applyBorder="1" applyAlignment="1">
      <alignment horizontal="left" vertical="center"/>
    </xf>
    <xf numFmtId="172" fontId="40" fillId="0" borderId="61" xfId="0" applyNumberFormat="1" applyFont="1" applyBorder="1" applyAlignment="1">
      <alignment vertical="center"/>
    </xf>
    <xf numFmtId="172" fontId="40" fillId="0" borderId="57" xfId="0" applyNumberFormat="1" applyFont="1" applyBorder="1" applyAlignment="1">
      <alignment vertical="center"/>
    </xf>
    <xf numFmtId="172" fontId="40" fillId="0" borderId="51" xfId="0" applyNumberFormat="1" applyFont="1" applyBorder="1" applyAlignment="1">
      <alignment vertical="center"/>
    </xf>
    <xf numFmtId="172" fontId="22" fillId="0" borderId="36" xfId="0" applyNumberFormat="1" applyFont="1" applyBorder="1"/>
    <xf numFmtId="173" fontId="22" fillId="0" borderId="7" xfId="1" applyNumberFormat="1" applyFont="1" applyBorder="1" applyAlignment="1">
      <alignment vertical="center"/>
    </xf>
    <xf numFmtId="173" fontId="22" fillId="0" borderId="7" xfId="0" applyNumberFormat="1" applyFont="1" applyBorder="1" applyAlignment="1">
      <alignment horizontal="center" vertical="center"/>
    </xf>
    <xf numFmtId="173" fontId="22" fillId="0" borderId="7" xfId="1" applyNumberFormat="1" applyFont="1" applyFill="1" applyBorder="1" applyAlignment="1">
      <alignment vertical="center"/>
    </xf>
    <xf numFmtId="173" fontId="22" fillId="0" borderId="63" xfId="1" applyNumberFormat="1" applyFont="1" applyBorder="1" applyAlignment="1">
      <alignment vertical="center"/>
    </xf>
    <xf numFmtId="173" fontId="22" fillId="0" borderId="29" xfId="1" applyNumberFormat="1" applyFont="1" applyBorder="1" applyAlignment="1">
      <alignment vertical="center"/>
    </xf>
    <xf numFmtId="173" fontId="22" fillId="0" borderId="29" xfId="0" applyNumberFormat="1" applyFont="1" applyBorder="1" applyAlignment="1">
      <alignment horizontal="center" vertical="center"/>
    </xf>
    <xf numFmtId="173" fontId="22" fillId="0" borderId="29" xfId="1" applyNumberFormat="1" applyFont="1" applyFill="1" applyBorder="1" applyAlignment="1">
      <alignment vertical="center"/>
    </xf>
    <xf numFmtId="173" fontId="22" fillId="0" borderId="78" xfId="1" applyNumberFormat="1" applyFont="1" applyBorder="1" applyAlignment="1">
      <alignment vertical="center"/>
    </xf>
    <xf numFmtId="173" fontId="22" fillId="0" borderId="72" xfId="1" applyNumberFormat="1" applyFont="1" applyBorder="1" applyAlignment="1">
      <alignment horizontal="centerContinuous" vertical="center"/>
    </xf>
    <xf numFmtId="173" fontId="44" fillId="0" borderId="72" xfId="1" applyNumberFormat="1" applyFont="1" applyBorder="1" applyAlignment="1">
      <alignment vertical="center"/>
    </xf>
    <xf numFmtId="173" fontId="44" fillId="0" borderId="72" xfId="0" applyNumberFormat="1" applyFont="1" applyBorder="1" applyAlignment="1">
      <alignment horizontal="center" vertical="center"/>
    </xf>
    <xf numFmtId="173" fontId="44" fillId="0" borderId="72" xfId="1" applyNumberFormat="1" applyFont="1" applyBorder="1" applyAlignment="1">
      <alignment horizontal="centerContinuous" vertical="center"/>
    </xf>
    <xf numFmtId="173" fontId="22" fillId="0" borderId="73" xfId="1" applyNumberFormat="1" applyFont="1" applyBorder="1" applyAlignment="1">
      <alignment vertical="center"/>
    </xf>
    <xf numFmtId="173" fontId="22" fillId="0" borderId="21" xfId="1" applyNumberFormat="1" applyFont="1" applyBorder="1" applyAlignment="1">
      <alignment vertical="center"/>
    </xf>
    <xf numFmtId="173" fontId="22" fillId="0" borderId="21" xfId="0" applyNumberFormat="1" applyFont="1" applyBorder="1" applyAlignment="1">
      <alignment horizontal="center" vertical="center"/>
    </xf>
    <xf numFmtId="173" fontId="22" fillId="0" borderId="71" xfId="1" applyNumberFormat="1" applyFont="1" applyBorder="1" applyAlignment="1">
      <alignment vertical="center"/>
    </xf>
    <xf numFmtId="173" fontId="41" fillId="0" borderId="72" xfId="1" applyNumberFormat="1" applyFont="1" applyBorder="1" applyAlignment="1">
      <alignment vertical="center"/>
    </xf>
    <xf numFmtId="173" fontId="41" fillId="0" borderId="72" xfId="0" applyNumberFormat="1" applyFont="1" applyBorder="1" applyAlignment="1">
      <alignment horizontal="center" vertical="center"/>
    </xf>
    <xf numFmtId="173" fontId="41" fillId="0" borderId="72" xfId="1" applyNumberFormat="1" applyFont="1" applyBorder="1" applyAlignment="1">
      <alignment horizontal="centerContinuous" vertical="center"/>
    </xf>
    <xf numFmtId="173" fontId="40" fillId="0" borderId="72" xfId="1" applyNumberFormat="1" applyFont="1" applyBorder="1" applyAlignment="1">
      <alignment vertical="center"/>
    </xf>
    <xf numFmtId="173" fontId="40" fillId="0" borderId="72" xfId="0" applyNumberFormat="1" applyFont="1" applyBorder="1" applyAlignment="1">
      <alignment horizontal="center" vertical="center"/>
    </xf>
    <xf numFmtId="173" fontId="40" fillId="0" borderId="73" xfId="1" applyNumberFormat="1" applyFont="1" applyBorder="1" applyAlignment="1">
      <alignment vertical="center"/>
    </xf>
    <xf numFmtId="173" fontId="40" fillId="0" borderId="65" xfId="1" applyNumberFormat="1" applyFont="1" applyBorder="1" applyAlignment="1">
      <alignment vertical="center"/>
    </xf>
    <xf numFmtId="173" fontId="40" fillId="0" borderId="65" xfId="0" applyNumberFormat="1" applyFont="1" applyBorder="1" applyAlignment="1">
      <alignment horizontal="center" vertical="center"/>
    </xf>
    <xf numFmtId="173" fontId="40" fillId="0" borderId="66" xfId="1" applyNumberFormat="1" applyFont="1" applyBorder="1" applyAlignment="1">
      <alignment vertical="center"/>
    </xf>
    <xf numFmtId="0" fontId="16" fillId="2" borderId="49" xfId="7" applyFont="1" applyFill="1" applyBorder="1">
      <alignment vertical="top"/>
    </xf>
    <xf numFmtId="0" fontId="16" fillId="2" borderId="96" xfId="7" applyFont="1" applyFill="1" applyBorder="1">
      <alignment vertical="top"/>
    </xf>
    <xf numFmtId="0" fontId="22" fillId="0" borderId="0" xfId="0" applyFont="1" applyAlignment="1">
      <alignment horizontal="left" vertical="top" wrapText="1"/>
    </xf>
    <xf numFmtId="0" fontId="37" fillId="0" borderId="0" xfId="0" applyFont="1" applyAlignment="1">
      <alignment horizontal="left"/>
    </xf>
    <xf numFmtId="0" fontId="37" fillId="0" borderId="0" xfId="0" applyFont="1" applyAlignment="1">
      <alignment horizontal="left" wrapText="1"/>
    </xf>
    <xf numFmtId="0" fontId="42" fillId="0" borderId="0" xfId="0" applyFont="1" applyAlignment="1">
      <alignment horizontal="center" vertical="center"/>
    </xf>
    <xf numFmtId="0" fontId="8" fillId="3" borderId="7" xfId="0" applyFont="1" applyFill="1" applyBorder="1" applyAlignment="1">
      <alignment horizontal="center" vertical="center" wrapText="1"/>
    </xf>
    <xf numFmtId="0" fontId="8" fillId="3" borderId="29" xfId="0" applyFont="1" applyFill="1" applyBorder="1" applyAlignment="1">
      <alignment horizontal="center" vertical="center" wrapText="1"/>
    </xf>
    <xf numFmtId="0" fontId="8" fillId="3" borderId="9" xfId="0" applyFont="1" applyFill="1" applyBorder="1" applyAlignment="1">
      <alignment horizontal="center" vertical="center" wrapText="1"/>
    </xf>
    <xf numFmtId="0" fontId="8" fillId="3" borderId="11" xfId="0" applyFont="1" applyFill="1" applyBorder="1" applyAlignment="1">
      <alignment horizontal="center" vertical="center" wrapText="1"/>
    </xf>
    <xf numFmtId="165" fontId="9" fillId="3" borderId="8" xfId="2" applyNumberFormat="1" applyFont="1" applyFill="1" applyBorder="1" applyAlignment="1">
      <alignment horizontal="center" vertical="center" wrapText="1"/>
    </xf>
    <xf numFmtId="165" fontId="9" fillId="3" borderId="3" xfId="2" applyNumberFormat="1" applyFont="1" applyFill="1" applyBorder="1" applyAlignment="1">
      <alignment horizontal="center" vertical="center" wrapText="1"/>
    </xf>
    <xf numFmtId="0" fontId="5" fillId="0" borderId="7" xfId="6" applyFont="1" applyBorder="1" applyAlignment="1">
      <alignment horizontal="center" vertical="center"/>
    </xf>
    <xf numFmtId="0" fontId="5" fillId="0" borderId="29" xfId="6" applyFont="1" applyBorder="1" applyAlignment="1">
      <alignment horizontal="center" vertical="center"/>
    </xf>
    <xf numFmtId="0" fontId="5" fillId="0" borderId="5" xfId="6" applyFont="1" applyBorder="1" applyAlignment="1">
      <alignment horizontal="center" vertical="center"/>
    </xf>
    <xf numFmtId="0" fontId="5" fillId="0" borderId="21" xfId="6" applyFont="1" applyBorder="1" applyAlignment="1">
      <alignment horizontal="center" vertical="center"/>
    </xf>
    <xf numFmtId="0" fontId="5" fillId="0" borderId="0" xfId="6" applyFont="1" applyAlignment="1">
      <alignment vertical="center"/>
    </xf>
    <xf numFmtId="0" fontId="5" fillId="10" borderId="9" xfId="6" applyFont="1" applyFill="1" applyBorder="1" applyAlignment="1">
      <alignment horizontal="center" vertical="center"/>
    </xf>
    <xf numFmtId="0" fontId="5" fillId="10" borderId="7" xfId="6" applyFont="1" applyFill="1" applyBorder="1" applyAlignment="1">
      <alignment horizontal="center" vertical="center"/>
    </xf>
    <xf numFmtId="0" fontId="9" fillId="10" borderId="15" xfId="6" applyFont="1" applyFill="1" applyBorder="1" applyAlignment="1">
      <alignment horizontal="left" vertical="center" wrapText="1"/>
    </xf>
    <xf numFmtId="0" fontId="9" fillId="10" borderId="23" xfId="6" applyFont="1" applyFill="1" applyBorder="1" applyAlignment="1">
      <alignment horizontal="left" vertical="center" wrapText="1"/>
    </xf>
    <xf numFmtId="0" fontId="3" fillId="7" borderId="24" xfId="5" applyFont="1" applyFill="1" applyBorder="1" applyAlignment="1">
      <alignment horizontal="center" vertical="center"/>
    </xf>
    <xf numFmtId="0" fontId="3" fillId="7" borderId="25" xfId="5" applyFont="1" applyFill="1" applyBorder="1" applyAlignment="1">
      <alignment horizontal="center" vertical="center"/>
    </xf>
    <xf numFmtId="0" fontId="10" fillId="0" borderId="16" xfId="5" applyFont="1" applyBorder="1" applyAlignment="1">
      <alignment horizontal="center" vertical="center"/>
    </xf>
    <xf numFmtId="0" fontId="10" fillId="0" borderId="19" xfId="5" applyFont="1" applyBorder="1" applyAlignment="1">
      <alignment horizontal="center" vertical="center"/>
    </xf>
    <xf numFmtId="0" fontId="10" fillId="0" borderId="40" xfId="5" applyFont="1" applyBorder="1" applyAlignment="1">
      <alignment horizontal="center" vertical="center"/>
    </xf>
    <xf numFmtId="0" fontId="10" fillId="0" borderId="17" xfId="5" applyFont="1" applyBorder="1" applyAlignment="1">
      <alignment horizontal="center" vertical="center" wrapText="1"/>
    </xf>
    <xf numFmtId="0" fontId="10" fillId="0" borderId="3" xfId="5" applyFont="1" applyBorder="1" applyAlignment="1">
      <alignment horizontal="center" vertical="center" wrapText="1"/>
    </xf>
    <xf numFmtId="0" fontId="10" fillId="0" borderId="13" xfId="5" applyFont="1" applyBorder="1" applyAlignment="1">
      <alignment horizontal="center" vertical="center" wrapText="1"/>
    </xf>
    <xf numFmtId="0" fontId="10" fillId="0" borderId="18" xfId="5" applyFont="1" applyBorder="1" applyAlignment="1">
      <alignment horizontal="center" vertical="center" wrapText="1"/>
    </xf>
    <xf numFmtId="0" fontId="10" fillId="0" borderId="20" xfId="5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0" fontId="14" fillId="0" borderId="13" xfId="0" applyFont="1" applyBorder="1" applyAlignment="1">
      <alignment horizontal="center"/>
    </xf>
    <xf numFmtId="0" fontId="14" fillId="0" borderId="44" xfId="0" applyFont="1" applyBorder="1" applyAlignment="1">
      <alignment horizontal="center"/>
    </xf>
    <xf numFmtId="0" fontId="14" fillId="0" borderId="14" xfId="0" applyFont="1" applyBorder="1" applyAlignment="1">
      <alignment horizontal="center"/>
    </xf>
    <xf numFmtId="0" fontId="34" fillId="0" borderId="0" xfId="0" applyFont="1" applyAlignment="1">
      <alignment horizontal="center"/>
    </xf>
    <xf numFmtId="0" fontId="46" fillId="0" borderId="0" xfId="10" applyFont="1" applyAlignment="1">
      <alignment horizontal="center"/>
    </xf>
    <xf numFmtId="39" fontId="34" fillId="0" borderId="81" xfId="10" applyNumberFormat="1" applyFont="1" applyBorder="1" applyAlignment="1">
      <alignment horizontal="center" vertical="center"/>
    </xf>
    <xf numFmtId="0" fontId="2" fillId="0" borderId="81" xfId="3" applyBorder="1" applyAlignment="1">
      <alignment horizontal="center" vertical="center"/>
    </xf>
    <xf numFmtId="0" fontId="2" fillId="0" borderId="85" xfId="3" applyBorder="1" applyAlignment="1">
      <alignment horizontal="center" vertical="center"/>
    </xf>
    <xf numFmtId="0" fontId="2" fillId="0" borderId="89" xfId="3" applyBorder="1" applyAlignment="1">
      <alignment horizontal="center" vertical="center"/>
    </xf>
    <xf numFmtId="0" fontId="34" fillId="0" borderId="82" xfId="10" applyFont="1" applyBorder="1" applyAlignment="1">
      <alignment horizontal="center" vertical="center"/>
    </xf>
    <xf numFmtId="0" fontId="0" fillId="0" borderId="83" xfId="0" applyBorder="1" applyAlignment="1">
      <alignment vertical="center"/>
    </xf>
    <xf numFmtId="0" fontId="0" fillId="0" borderId="86" xfId="0" applyBorder="1" applyAlignment="1">
      <alignment vertical="center"/>
    </xf>
    <xf numFmtId="0" fontId="0" fillId="0" borderId="87" xfId="0" applyBorder="1" applyAlignment="1">
      <alignment vertical="center"/>
    </xf>
    <xf numFmtId="0" fontId="0" fillId="0" borderId="90" xfId="0" applyBorder="1" applyAlignment="1">
      <alignment vertical="center"/>
    </xf>
    <xf numFmtId="0" fontId="0" fillId="0" borderId="91" xfId="0" applyBorder="1" applyAlignment="1">
      <alignment vertical="center"/>
    </xf>
    <xf numFmtId="0" fontId="34" fillId="0" borderId="93" xfId="10" applyFont="1" applyBorder="1" applyAlignment="1">
      <alignment horizontal="center" vertical="center"/>
    </xf>
    <xf numFmtId="0" fontId="34" fillId="0" borderId="42" xfId="10" applyFont="1" applyBorder="1" applyAlignment="1">
      <alignment horizontal="center" vertical="center"/>
    </xf>
    <xf numFmtId="0" fontId="34" fillId="0" borderId="93" xfId="10" applyFont="1" applyBorder="1" applyAlignment="1">
      <alignment horizontal="center" vertical="center" wrapText="1"/>
    </xf>
    <xf numFmtId="0" fontId="34" fillId="0" borderId="42" xfId="10" applyFont="1" applyBorder="1" applyAlignment="1">
      <alignment horizontal="center" vertical="center" wrapText="1"/>
    </xf>
  </cellXfs>
  <cellStyles count="17">
    <cellStyle name="Comma" xfId="1" builtinId="3"/>
    <cellStyle name="Comma [0]" xfId="2" builtinId="6"/>
    <cellStyle name="Comma [0] 2" xfId="8" xr:uid="{460DEE1D-61BB-40CF-A8DB-AD4C0BF9B618}"/>
    <cellStyle name="Comma [0] 2 2" xfId="15" xr:uid="{CD3468EC-0304-4058-BCA9-DCFB5491D552}"/>
    <cellStyle name="Comma [0] 3" xfId="14" xr:uid="{2EF74C15-EA1F-433C-B477-E817EFC7DB6E}"/>
    <cellStyle name="Comma 2" xfId="13" xr:uid="{2D1C232A-E945-4416-9BE9-037FDC432C4E}"/>
    <cellStyle name="Currency" xfId="12" builtinId="4"/>
    <cellStyle name="Currency 2" xfId="16" xr:uid="{AD9AF4CB-645B-4E5C-B7D1-1DEBEBF1DE1D}"/>
    <cellStyle name="Normal" xfId="0" builtinId="0"/>
    <cellStyle name="Normal 10" xfId="6" xr:uid="{62D04F51-AC55-47B1-B9AF-5CE8B6A15167}"/>
    <cellStyle name="Normal 2" xfId="7" xr:uid="{62D2B3B0-897F-4899-980C-176FAAF4C3C3}"/>
    <cellStyle name="Normal 2 2" xfId="3" xr:uid="{00714AD9-F917-4F9A-816F-2AC22FA0745E}"/>
    <cellStyle name="Normal 2 2 2 3" xfId="4" xr:uid="{FBD1A062-FF64-48EC-A6A0-80D0537D653F}"/>
    <cellStyle name="Normal 3 2" xfId="5" xr:uid="{E6D5B3B1-36BC-483F-B70F-2A2938F09DCB}"/>
    <cellStyle name="Normal_3-DIV9" xfId="10" xr:uid="{12243C9D-75C7-4321-997A-0B303B76D1C8}"/>
    <cellStyle name="Normal_5-ALAT" xfId="11" xr:uid="{1E191C81-09CA-4674-8AB5-489A46E613DB}"/>
    <cellStyle name="Percent 10" xfId="9" xr:uid="{F13E5397-D909-43D5-993F-55D0DAB7BB8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6.xml"/><Relationship Id="rId21" Type="http://schemas.openxmlformats.org/officeDocument/2006/relationships/externalLink" Target="externalLinks/externalLink10.xml"/><Relationship Id="rId42" Type="http://schemas.openxmlformats.org/officeDocument/2006/relationships/externalLink" Target="externalLinks/externalLink31.xml"/><Relationship Id="rId63" Type="http://schemas.openxmlformats.org/officeDocument/2006/relationships/externalLink" Target="externalLinks/externalLink52.xml"/><Relationship Id="rId84" Type="http://schemas.openxmlformats.org/officeDocument/2006/relationships/externalLink" Target="externalLinks/externalLink73.xml"/><Relationship Id="rId138" Type="http://schemas.openxmlformats.org/officeDocument/2006/relationships/externalLink" Target="externalLinks/externalLink127.xml"/><Relationship Id="rId159" Type="http://schemas.openxmlformats.org/officeDocument/2006/relationships/externalLink" Target="externalLinks/externalLink148.xml"/><Relationship Id="rId170" Type="http://schemas.openxmlformats.org/officeDocument/2006/relationships/externalLink" Target="externalLinks/externalLink159.xml"/><Relationship Id="rId191" Type="http://schemas.openxmlformats.org/officeDocument/2006/relationships/externalLink" Target="externalLinks/externalLink180.xml"/><Relationship Id="rId107" Type="http://schemas.openxmlformats.org/officeDocument/2006/relationships/externalLink" Target="externalLinks/externalLink96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21.xml"/><Relationship Id="rId53" Type="http://schemas.openxmlformats.org/officeDocument/2006/relationships/externalLink" Target="externalLinks/externalLink42.xml"/><Relationship Id="rId74" Type="http://schemas.openxmlformats.org/officeDocument/2006/relationships/externalLink" Target="externalLinks/externalLink63.xml"/><Relationship Id="rId128" Type="http://schemas.openxmlformats.org/officeDocument/2006/relationships/externalLink" Target="externalLinks/externalLink117.xml"/><Relationship Id="rId149" Type="http://schemas.openxmlformats.org/officeDocument/2006/relationships/externalLink" Target="externalLinks/externalLink138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4.xml"/><Relationship Id="rId160" Type="http://schemas.openxmlformats.org/officeDocument/2006/relationships/externalLink" Target="externalLinks/externalLink149.xml"/><Relationship Id="rId181" Type="http://schemas.openxmlformats.org/officeDocument/2006/relationships/externalLink" Target="externalLinks/externalLink170.xml"/><Relationship Id="rId22" Type="http://schemas.openxmlformats.org/officeDocument/2006/relationships/externalLink" Target="externalLinks/externalLink11.xml"/><Relationship Id="rId43" Type="http://schemas.openxmlformats.org/officeDocument/2006/relationships/externalLink" Target="externalLinks/externalLink32.xml"/><Relationship Id="rId64" Type="http://schemas.openxmlformats.org/officeDocument/2006/relationships/externalLink" Target="externalLinks/externalLink53.xml"/><Relationship Id="rId118" Type="http://schemas.openxmlformats.org/officeDocument/2006/relationships/externalLink" Target="externalLinks/externalLink107.xml"/><Relationship Id="rId139" Type="http://schemas.openxmlformats.org/officeDocument/2006/relationships/externalLink" Target="externalLinks/externalLink128.xml"/><Relationship Id="rId85" Type="http://schemas.openxmlformats.org/officeDocument/2006/relationships/externalLink" Target="externalLinks/externalLink74.xml"/><Relationship Id="rId150" Type="http://schemas.openxmlformats.org/officeDocument/2006/relationships/externalLink" Target="externalLinks/externalLink139.xml"/><Relationship Id="rId171" Type="http://schemas.openxmlformats.org/officeDocument/2006/relationships/externalLink" Target="externalLinks/externalLink160.xml"/><Relationship Id="rId192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33" Type="http://schemas.openxmlformats.org/officeDocument/2006/relationships/externalLink" Target="externalLinks/externalLink22.xml"/><Relationship Id="rId108" Type="http://schemas.openxmlformats.org/officeDocument/2006/relationships/externalLink" Target="externalLinks/externalLink97.xml"/><Relationship Id="rId129" Type="http://schemas.openxmlformats.org/officeDocument/2006/relationships/externalLink" Target="externalLinks/externalLink118.xml"/><Relationship Id="rId54" Type="http://schemas.openxmlformats.org/officeDocument/2006/relationships/externalLink" Target="externalLinks/externalLink43.xml"/><Relationship Id="rId75" Type="http://schemas.openxmlformats.org/officeDocument/2006/relationships/externalLink" Target="externalLinks/externalLink64.xml"/><Relationship Id="rId96" Type="http://schemas.openxmlformats.org/officeDocument/2006/relationships/externalLink" Target="externalLinks/externalLink85.xml"/><Relationship Id="rId140" Type="http://schemas.openxmlformats.org/officeDocument/2006/relationships/externalLink" Target="externalLinks/externalLink129.xml"/><Relationship Id="rId161" Type="http://schemas.openxmlformats.org/officeDocument/2006/relationships/externalLink" Target="externalLinks/externalLink150.xml"/><Relationship Id="rId182" Type="http://schemas.openxmlformats.org/officeDocument/2006/relationships/externalLink" Target="externalLinks/externalLink17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2.xml"/><Relationship Id="rId119" Type="http://schemas.openxmlformats.org/officeDocument/2006/relationships/externalLink" Target="externalLinks/externalLink108.xml"/><Relationship Id="rId44" Type="http://schemas.openxmlformats.org/officeDocument/2006/relationships/externalLink" Target="externalLinks/externalLink33.xml"/><Relationship Id="rId65" Type="http://schemas.openxmlformats.org/officeDocument/2006/relationships/externalLink" Target="externalLinks/externalLink54.xml"/><Relationship Id="rId86" Type="http://schemas.openxmlformats.org/officeDocument/2006/relationships/externalLink" Target="externalLinks/externalLink75.xml"/><Relationship Id="rId130" Type="http://schemas.openxmlformats.org/officeDocument/2006/relationships/externalLink" Target="externalLinks/externalLink119.xml"/><Relationship Id="rId151" Type="http://schemas.openxmlformats.org/officeDocument/2006/relationships/externalLink" Target="externalLinks/externalLink140.xml"/><Relationship Id="rId172" Type="http://schemas.openxmlformats.org/officeDocument/2006/relationships/externalLink" Target="externalLinks/externalLink161.xml"/><Relationship Id="rId193" Type="http://schemas.openxmlformats.org/officeDocument/2006/relationships/styles" Target="styles.xml"/><Relationship Id="rId13" Type="http://schemas.openxmlformats.org/officeDocument/2006/relationships/externalLink" Target="externalLinks/externalLink2.xml"/><Relationship Id="rId109" Type="http://schemas.openxmlformats.org/officeDocument/2006/relationships/externalLink" Target="externalLinks/externalLink98.xml"/><Relationship Id="rId34" Type="http://schemas.openxmlformats.org/officeDocument/2006/relationships/externalLink" Target="externalLinks/externalLink23.xml"/><Relationship Id="rId50" Type="http://schemas.openxmlformats.org/officeDocument/2006/relationships/externalLink" Target="externalLinks/externalLink39.xml"/><Relationship Id="rId55" Type="http://schemas.openxmlformats.org/officeDocument/2006/relationships/externalLink" Target="externalLinks/externalLink44.xml"/><Relationship Id="rId76" Type="http://schemas.openxmlformats.org/officeDocument/2006/relationships/externalLink" Target="externalLinks/externalLink65.xml"/><Relationship Id="rId97" Type="http://schemas.openxmlformats.org/officeDocument/2006/relationships/externalLink" Target="externalLinks/externalLink86.xml"/><Relationship Id="rId104" Type="http://schemas.openxmlformats.org/officeDocument/2006/relationships/externalLink" Target="externalLinks/externalLink93.xml"/><Relationship Id="rId120" Type="http://schemas.openxmlformats.org/officeDocument/2006/relationships/externalLink" Target="externalLinks/externalLink109.xml"/><Relationship Id="rId125" Type="http://schemas.openxmlformats.org/officeDocument/2006/relationships/externalLink" Target="externalLinks/externalLink114.xml"/><Relationship Id="rId141" Type="http://schemas.openxmlformats.org/officeDocument/2006/relationships/externalLink" Target="externalLinks/externalLink130.xml"/><Relationship Id="rId146" Type="http://schemas.openxmlformats.org/officeDocument/2006/relationships/externalLink" Target="externalLinks/externalLink135.xml"/><Relationship Id="rId167" Type="http://schemas.openxmlformats.org/officeDocument/2006/relationships/externalLink" Target="externalLinks/externalLink156.xml"/><Relationship Id="rId188" Type="http://schemas.openxmlformats.org/officeDocument/2006/relationships/externalLink" Target="externalLinks/externalLink177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0.xml"/><Relationship Id="rId92" Type="http://schemas.openxmlformats.org/officeDocument/2006/relationships/externalLink" Target="externalLinks/externalLink81.xml"/><Relationship Id="rId162" Type="http://schemas.openxmlformats.org/officeDocument/2006/relationships/externalLink" Target="externalLinks/externalLink151.xml"/><Relationship Id="rId183" Type="http://schemas.openxmlformats.org/officeDocument/2006/relationships/externalLink" Target="externalLinks/externalLink172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8.xml"/><Relationship Id="rId24" Type="http://schemas.openxmlformats.org/officeDocument/2006/relationships/externalLink" Target="externalLinks/externalLink13.xml"/><Relationship Id="rId40" Type="http://schemas.openxmlformats.org/officeDocument/2006/relationships/externalLink" Target="externalLinks/externalLink29.xml"/><Relationship Id="rId45" Type="http://schemas.openxmlformats.org/officeDocument/2006/relationships/externalLink" Target="externalLinks/externalLink34.xml"/><Relationship Id="rId66" Type="http://schemas.openxmlformats.org/officeDocument/2006/relationships/externalLink" Target="externalLinks/externalLink55.xml"/><Relationship Id="rId87" Type="http://schemas.openxmlformats.org/officeDocument/2006/relationships/externalLink" Target="externalLinks/externalLink76.xml"/><Relationship Id="rId110" Type="http://schemas.openxmlformats.org/officeDocument/2006/relationships/externalLink" Target="externalLinks/externalLink99.xml"/><Relationship Id="rId115" Type="http://schemas.openxmlformats.org/officeDocument/2006/relationships/externalLink" Target="externalLinks/externalLink104.xml"/><Relationship Id="rId131" Type="http://schemas.openxmlformats.org/officeDocument/2006/relationships/externalLink" Target="externalLinks/externalLink120.xml"/><Relationship Id="rId136" Type="http://schemas.openxmlformats.org/officeDocument/2006/relationships/externalLink" Target="externalLinks/externalLink125.xml"/><Relationship Id="rId157" Type="http://schemas.openxmlformats.org/officeDocument/2006/relationships/externalLink" Target="externalLinks/externalLink146.xml"/><Relationship Id="rId178" Type="http://schemas.openxmlformats.org/officeDocument/2006/relationships/externalLink" Target="externalLinks/externalLink167.xml"/><Relationship Id="rId61" Type="http://schemas.openxmlformats.org/officeDocument/2006/relationships/externalLink" Target="externalLinks/externalLink50.xml"/><Relationship Id="rId82" Type="http://schemas.openxmlformats.org/officeDocument/2006/relationships/externalLink" Target="externalLinks/externalLink71.xml"/><Relationship Id="rId152" Type="http://schemas.openxmlformats.org/officeDocument/2006/relationships/externalLink" Target="externalLinks/externalLink141.xml"/><Relationship Id="rId173" Type="http://schemas.openxmlformats.org/officeDocument/2006/relationships/externalLink" Target="externalLinks/externalLink162.xml"/><Relationship Id="rId194" Type="http://schemas.openxmlformats.org/officeDocument/2006/relationships/sharedStrings" Target="sharedStrings.xml"/><Relationship Id="rId1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3.xml"/><Relationship Id="rId30" Type="http://schemas.openxmlformats.org/officeDocument/2006/relationships/externalLink" Target="externalLinks/externalLink19.xml"/><Relationship Id="rId35" Type="http://schemas.openxmlformats.org/officeDocument/2006/relationships/externalLink" Target="externalLinks/externalLink24.xml"/><Relationship Id="rId56" Type="http://schemas.openxmlformats.org/officeDocument/2006/relationships/externalLink" Target="externalLinks/externalLink45.xml"/><Relationship Id="rId77" Type="http://schemas.openxmlformats.org/officeDocument/2006/relationships/externalLink" Target="externalLinks/externalLink66.xml"/><Relationship Id="rId100" Type="http://schemas.openxmlformats.org/officeDocument/2006/relationships/externalLink" Target="externalLinks/externalLink89.xml"/><Relationship Id="rId105" Type="http://schemas.openxmlformats.org/officeDocument/2006/relationships/externalLink" Target="externalLinks/externalLink94.xml"/><Relationship Id="rId126" Type="http://schemas.openxmlformats.org/officeDocument/2006/relationships/externalLink" Target="externalLinks/externalLink115.xml"/><Relationship Id="rId147" Type="http://schemas.openxmlformats.org/officeDocument/2006/relationships/externalLink" Target="externalLinks/externalLink136.xml"/><Relationship Id="rId168" Type="http://schemas.openxmlformats.org/officeDocument/2006/relationships/externalLink" Target="externalLinks/externalLink157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0.xml"/><Relationship Id="rId72" Type="http://schemas.openxmlformats.org/officeDocument/2006/relationships/externalLink" Target="externalLinks/externalLink61.xml"/><Relationship Id="rId93" Type="http://schemas.openxmlformats.org/officeDocument/2006/relationships/externalLink" Target="externalLinks/externalLink82.xml"/><Relationship Id="rId98" Type="http://schemas.openxmlformats.org/officeDocument/2006/relationships/externalLink" Target="externalLinks/externalLink87.xml"/><Relationship Id="rId121" Type="http://schemas.openxmlformats.org/officeDocument/2006/relationships/externalLink" Target="externalLinks/externalLink110.xml"/><Relationship Id="rId142" Type="http://schemas.openxmlformats.org/officeDocument/2006/relationships/externalLink" Target="externalLinks/externalLink131.xml"/><Relationship Id="rId163" Type="http://schemas.openxmlformats.org/officeDocument/2006/relationships/externalLink" Target="externalLinks/externalLink152.xml"/><Relationship Id="rId184" Type="http://schemas.openxmlformats.org/officeDocument/2006/relationships/externalLink" Target="externalLinks/externalLink173.xml"/><Relationship Id="rId189" Type="http://schemas.openxmlformats.org/officeDocument/2006/relationships/externalLink" Target="externalLinks/externalLink17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4.xml"/><Relationship Id="rId46" Type="http://schemas.openxmlformats.org/officeDocument/2006/relationships/externalLink" Target="externalLinks/externalLink35.xml"/><Relationship Id="rId67" Type="http://schemas.openxmlformats.org/officeDocument/2006/relationships/externalLink" Target="externalLinks/externalLink56.xml"/><Relationship Id="rId116" Type="http://schemas.openxmlformats.org/officeDocument/2006/relationships/externalLink" Target="externalLinks/externalLink105.xml"/><Relationship Id="rId137" Type="http://schemas.openxmlformats.org/officeDocument/2006/relationships/externalLink" Target="externalLinks/externalLink126.xml"/><Relationship Id="rId158" Type="http://schemas.openxmlformats.org/officeDocument/2006/relationships/externalLink" Target="externalLinks/externalLink147.xml"/><Relationship Id="rId20" Type="http://schemas.openxmlformats.org/officeDocument/2006/relationships/externalLink" Target="externalLinks/externalLink9.xml"/><Relationship Id="rId41" Type="http://schemas.openxmlformats.org/officeDocument/2006/relationships/externalLink" Target="externalLinks/externalLink30.xml"/><Relationship Id="rId62" Type="http://schemas.openxmlformats.org/officeDocument/2006/relationships/externalLink" Target="externalLinks/externalLink51.xml"/><Relationship Id="rId83" Type="http://schemas.openxmlformats.org/officeDocument/2006/relationships/externalLink" Target="externalLinks/externalLink72.xml"/><Relationship Id="rId88" Type="http://schemas.openxmlformats.org/officeDocument/2006/relationships/externalLink" Target="externalLinks/externalLink77.xml"/><Relationship Id="rId111" Type="http://schemas.openxmlformats.org/officeDocument/2006/relationships/externalLink" Target="externalLinks/externalLink100.xml"/><Relationship Id="rId132" Type="http://schemas.openxmlformats.org/officeDocument/2006/relationships/externalLink" Target="externalLinks/externalLink121.xml"/><Relationship Id="rId153" Type="http://schemas.openxmlformats.org/officeDocument/2006/relationships/externalLink" Target="externalLinks/externalLink142.xml"/><Relationship Id="rId174" Type="http://schemas.openxmlformats.org/officeDocument/2006/relationships/externalLink" Target="externalLinks/externalLink163.xml"/><Relationship Id="rId179" Type="http://schemas.openxmlformats.org/officeDocument/2006/relationships/externalLink" Target="externalLinks/externalLink168.xml"/><Relationship Id="rId195" Type="http://schemas.openxmlformats.org/officeDocument/2006/relationships/sheetMetadata" Target="metadata.xml"/><Relationship Id="rId190" Type="http://schemas.openxmlformats.org/officeDocument/2006/relationships/externalLink" Target="externalLinks/externalLink179.xml"/><Relationship Id="rId15" Type="http://schemas.openxmlformats.org/officeDocument/2006/relationships/externalLink" Target="externalLinks/externalLink4.xml"/><Relationship Id="rId36" Type="http://schemas.openxmlformats.org/officeDocument/2006/relationships/externalLink" Target="externalLinks/externalLink25.xml"/><Relationship Id="rId57" Type="http://schemas.openxmlformats.org/officeDocument/2006/relationships/externalLink" Target="externalLinks/externalLink46.xml"/><Relationship Id="rId106" Type="http://schemas.openxmlformats.org/officeDocument/2006/relationships/externalLink" Target="externalLinks/externalLink95.xml"/><Relationship Id="rId127" Type="http://schemas.openxmlformats.org/officeDocument/2006/relationships/externalLink" Target="externalLinks/externalLink116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20.xml"/><Relationship Id="rId52" Type="http://schemas.openxmlformats.org/officeDocument/2006/relationships/externalLink" Target="externalLinks/externalLink41.xml"/><Relationship Id="rId73" Type="http://schemas.openxmlformats.org/officeDocument/2006/relationships/externalLink" Target="externalLinks/externalLink62.xml"/><Relationship Id="rId78" Type="http://schemas.openxmlformats.org/officeDocument/2006/relationships/externalLink" Target="externalLinks/externalLink67.xml"/><Relationship Id="rId94" Type="http://schemas.openxmlformats.org/officeDocument/2006/relationships/externalLink" Target="externalLinks/externalLink83.xml"/><Relationship Id="rId99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90.xml"/><Relationship Id="rId122" Type="http://schemas.openxmlformats.org/officeDocument/2006/relationships/externalLink" Target="externalLinks/externalLink111.xml"/><Relationship Id="rId143" Type="http://schemas.openxmlformats.org/officeDocument/2006/relationships/externalLink" Target="externalLinks/externalLink132.xml"/><Relationship Id="rId148" Type="http://schemas.openxmlformats.org/officeDocument/2006/relationships/externalLink" Target="externalLinks/externalLink137.xml"/><Relationship Id="rId164" Type="http://schemas.openxmlformats.org/officeDocument/2006/relationships/externalLink" Target="externalLinks/externalLink153.xml"/><Relationship Id="rId169" Type="http://schemas.openxmlformats.org/officeDocument/2006/relationships/externalLink" Target="externalLinks/externalLink158.xml"/><Relationship Id="rId185" Type="http://schemas.openxmlformats.org/officeDocument/2006/relationships/externalLink" Target="externalLinks/externalLink17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externalLink" Target="externalLinks/externalLink169.xml"/><Relationship Id="rId26" Type="http://schemas.openxmlformats.org/officeDocument/2006/relationships/externalLink" Target="externalLinks/externalLink15.xml"/><Relationship Id="rId47" Type="http://schemas.openxmlformats.org/officeDocument/2006/relationships/externalLink" Target="externalLinks/externalLink36.xml"/><Relationship Id="rId68" Type="http://schemas.openxmlformats.org/officeDocument/2006/relationships/externalLink" Target="externalLinks/externalLink57.xml"/><Relationship Id="rId89" Type="http://schemas.openxmlformats.org/officeDocument/2006/relationships/externalLink" Target="externalLinks/externalLink78.xml"/><Relationship Id="rId112" Type="http://schemas.openxmlformats.org/officeDocument/2006/relationships/externalLink" Target="externalLinks/externalLink101.xml"/><Relationship Id="rId133" Type="http://schemas.openxmlformats.org/officeDocument/2006/relationships/externalLink" Target="externalLinks/externalLink122.xml"/><Relationship Id="rId154" Type="http://schemas.openxmlformats.org/officeDocument/2006/relationships/externalLink" Target="externalLinks/externalLink143.xml"/><Relationship Id="rId175" Type="http://schemas.openxmlformats.org/officeDocument/2006/relationships/externalLink" Target="externalLinks/externalLink164.xml"/><Relationship Id="rId196" Type="http://schemas.openxmlformats.org/officeDocument/2006/relationships/calcChain" Target="calcChain.xml"/><Relationship Id="rId16" Type="http://schemas.openxmlformats.org/officeDocument/2006/relationships/externalLink" Target="externalLinks/externalLink5.xml"/><Relationship Id="rId37" Type="http://schemas.openxmlformats.org/officeDocument/2006/relationships/externalLink" Target="externalLinks/externalLink26.xml"/><Relationship Id="rId58" Type="http://schemas.openxmlformats.org/officeDocument/2006/relationships/externalLink" Target="externalLinks/externalLink47.xml"/><Relationship Id="rId79" Type="http://schemas.openxmlformats.org/officeDocument/2006/relationships/externalLink" Target="externalLinks/externalLink68.xml"/><Relationship Id="rId102" Type="http://schemas.openxmlformats.org/officeDocument/2006/relationships/externalLink" Target="externalLinks/externalLink91.xml"/><Relationship Id="rId123" Type="http://schemas.openxmlformats.org/officeDocument/2006/relationships/externalLink" Target="externalLinks/externalLink112.xml"/><Relationship Id="rId144" Type="http://schemas.openxmlformats.org/officeDocument/2006/relationships/externalLink" Target="externalLinks/externalLink133.xml"/><Relationship Id="rId90" Type="http://schemas.openxmlformats.org/officeDocument/2006/relationships/externalLink" Target="externalLinks/externalLink79.xml"/><Relationship Id="rId165" Type="http://schemas.openxmlformats.org/officeDocument/2006/relationships/externalLink" Target="externalLinks/externalLink154.xml"/><Relationship Id="rId186" Type="http://schemas.openxmlformats.org/officeDocument/2006/relationships/externalLink" Target="externalLinks/externalLink175.xml"/><Relationship Id="rId27" Type="http://schemas.openxmlformats.org/officeDocument/2006/relationships/externalLink" Target="externalLinks/externalLink16.xml"/><Relationship Id="rId48" Type="http://schemas.openxmlformats.org/officeDocument/2006/relationships/externalLink" Target="externalLinks/externalLink37.xml"/><Relationship Id="rId69" Type="http://schemas.openxmlformats.org/officeDocument/2006/relationships/externalLink" Target="externalLinks/externalLink58.xml"/><Relationship Id="rId113" Type="http://schemas.openxmlformats.org/officeDocument/2006/relationships/externalLink" Target="externalLinks/externalLink102.xml"/><Relationship Id="rId134" Type="http://schemas.openxmlformats.org/officeDocument/2006/relationships/externalLink" Target="externalLinks/externalLink123.xml"/><Relationship Id="rId80" Type="http://schemas.openxmlformats.org/officeDocument/2006/relationships/externalLink" Target="externalLinks/externalLink69.xml"/><Relationship Id="rId155" Type="http://schemas.openxmlformats.org/officeDocument/2006/relationships/externalLink" Target="externalLinks/externalLink144.xml"/><Relationship Id="rId176" Type="http://schemas.openxmlformats.org/officeDocument/2006/relationships/externalLink" Target="externalLinks/externalLink165.xml"/><Relationship Id="rId17" Type="http://schemas.openxmlformats.org/officeDocument/2006/relationships/externalLink" Target="externalLinks/externalLink6.xml"/><Relationship Id="rId38" Type="http://schemas.openxmlformats.org/officeDocument/2006/relationships/externalLink" Target="externalLinks/externalLink27.xml"/><Relationship Id="rId59" Type="http://schemas.openxmlformats.org/officeDocument/2006/relationships/externalLink" Target="externalLinks/externalLink48.xml"/><Relationship Id="rId103" Type="http://schemas.openxmlformats.org/officeDocument/2006/relationships/externalLink" Target="externalLinks/externalLink92.xml"/><Relationship Id="rId124" Type="http://schemas.openxmlformats.org/officeDocument/2006/relationships/externalLink" Target="externalLinks/externalLink113.xml"/><Relationship Id="rId70" Type="http://schemas.openxmlformats.org/officeDocument/2006/relationships/externalLink" Target="externalLinks/externalLink59.xml"/><Relationship Id="rId91" Type="http://schemas.openxmlformats.org/officeDocument/2006/relationships/externalLink" Target="externalLinks/externalLink80.xml"/><Relationship Id="rId145" Type="http://schemas.openxmlformats.org/officeDocument/2006/relationships/externalLink" Target="externalLinks/externalLink134.xml"/><Relationship Id="rId166" Type="http://schemas.openxmlformats.org/officeDocument/2006/relationships/externalLink" Target="externalLinks/externalLink155.xml"/><Relationship Id="rId187" Type="http://schemas.openxmlformats.org/officeDocument/2006/relationships/externalLink" Target="externalLinks/externalLink176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17.xml"/><Relationship Id="rId49" Type="http://schemas.openxmlformats.org/officeDocument/2006/relationships/externalLink" Target="externalLinks/externalLink38.xml"/><Relationship Id="rId114" Type="http://schemas.openxmlformats.org/officeDocument/2006/relationships/externalLink" Target="externalLinks/externalLink103.xml"/><Relationship Id="rId60" Type="http://schemas.openxmlformats.org/officeDocument/2006/relationships/externalLink" Target="externalLinks/externalLink49.xml"/><Relationship Id="rId81" Type="http://schemas.openxmlformats.org/officeDocument/2006/relationships/externalLink" Target="externalLinks/externalLink70.xml"/><Relationship Id="rId135" Type="http://schemas.openxmlformats.org/officeDocument/2006/relationships/externalLink" Target="externalLinks/externalLink124.xml"/><Relationship Id="rId156" Type="http://schemas.openxmlformats.org/officeDocument/2006/relationships/externalLink" Target="externalLinks/externalLink145.xml"/><Relationship Id="rId177" Type="http://schemas.openxmlformats.org/officeDocument/2006/relationships/externalLink" Target="externalLinks/externalLink166.xml"/><Relationship Id="rId18" Type="http://schemas.openxmlformats.org/officeDocument/2006/relationships/externalLink" Target="externalLinks/externalLink7.xml"/><Relationship Id="rId39" Type="http://schemas.openxmlformats.org/officeDocument/2006/relationships/externalLink" Target="externalLinks/externalLink2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57150</xdr:rowOff>
    </xdr:from>
    <xdr:to>
      <xdr:col>1</xdr:col>
      <xdr:colOff>581024</xdr:colOff>
      <xdr:row>3</xdr:row>
      <xdr:rowOff>42608</xdr:rowOff>
    </xdr:to>
    <xdr:pic>
      <xdr:nvPicPr>
        <xdr:cNvPr id="3" name="Picture 2" descr="Dirkeswan Kementerian Pertanian RI | Markcert">
          <a:extLst>
            <a:ext uri="{FF2B5EF4-FFF2-40B4-BE49-F238E27FC236}">
              <a16:creationId xmlns:a16="http://schemas.microsoft.com/office/drawing/2014/main" id="{1F622B71-8842-4610-8DD1-6777B116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733424" cy="69030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</xdr:row>
      <xdr:rowOff>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903D807-9496-484F-86C8-76CCF018747A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twoCellAnchor>
    <xdr:from>
      <xdr:col>4</xdr:col>
      <xdr:colOff>0</xdr:colOff>
      <xdr:row>7</xdr:row>
      <xdr:rowOff>0</xdr:rowOff>
    </xdr:from>
    <xdr:to>
      <xdr:col>4</xdr:col>
      <xdr:colOff>0</xdr:colOff>
      <xdr:row>17</xdr:row>
      <xdr:rowOff>73618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C717431-5EE0-47ED-8739-2EC2499EE373}"/>
            </a:ext>
          </a:extLst>
        </xdr:cNvPr>
        <xdr:cNvSpPr txBox="1"/>
      </xdr:nvSpPr>
      <xdr:spPr>
        <a:xfrm>
          <a:off x="7270750" y="3225800"/>
          <a:ext cx="0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d-ID" sz="1000">
              <a:latin typeface="Arial Narrow" panose="020B0606020202030204" pitchFamily="34" charset="0"/>
            </a:rPr>
            <a:t>Purwokerto,        Februari 2020</a:t>
          </a:r>
        </a:p>
        <a:p>
          <a:pPr algn="ctr"/>
          <a:endParaRPr lang="id-ID" sz="1000">
            <a:latin typeface="Arial Narrow" panose="020B0606020202030204" pitchFamily="34" charset="0"/>
          </a:endParaRPr>
        </a:p>
        <a:p>
          <a:pPr algn="ctr">
            <a:lnSpc>
              <a:spcPts val="1200"/>
            </a:lnSpc>
          </a:pPr>
          <a:r>
            <a:rPr lang="id-ID" sz="1100">
              <a:latin typeface="Arial Narrow" panose="020B0606020202030204" pitchFamily="34" charset="0"/>
            </a:rPr>
            <a:t>KEPALA DINAS PEKERJAAN UMUM</a:t>
          </a:r>
        </a:p>
        <a:p>
          <a:pPr algn="ctr">
            <a:lnSpc>
              <a:spcPts val="1200"/>
            </a:lnSpc>
          </a:pPr>
          <a:r>
            <a:rPr lang="id-ID" sz="1100">
              <a:latin typeface="Arial Narrow" panose="020B0606020202030204" pitchFamily="34" charset="0"/>
            </a:rPr>
            <a:t>KAB. BANYUMAS</a:t>
          </a:r>
        </a:p>
        <a:p>
          <a:pPr algn="ctr">
            <a:lnSpc>
              <a:spcPts val="1200"/>
            </a:lnSpc>
          </a:pPr>
          <a:endParaRPr lang="id-ID" sz="1100"/>
        </a:p>
        <a:p>
          <a:pPr algn="ctr"/>
          <a:endParaRPr lang="id-ID" sz="1100"/>
        </a:p>
        <a:p>
          <a:pPr algn="ctr">
            <a:lnSpc>
              <a:spcPts val="1200"/>
            </a:lnSpc>
          </a:pPr>
          <a:endParaRPr lang="id-ID" sz="1100"/>
        </a:p>
        <a:p>
          <a:pPr algn="ctr">
            <a:lnSpc>
              <a:spcPts val="1200"/>
            </a:lnSpc>
          </a:pPr>
          <a:endParaRPr lang="id-ID" sz="1100"/>
        </a:p>
        <a:p>
          <a:pPr algn="ctr">
            <a:lnSpc>
              <a:spcPts val="1200"/>
            </a:lnSpc>
          </a:pPr>
          <a:r>
            <a:rPr lang="id-ID" sz="1100" b="1">
              <a:latin typeface="Arial Narrow" panose="020B0606020202030204" pitchFamily="34" charset="0"/>
            </a:rPr>
            <a:t>Dr.</a:t>
          </a:r>
          <a:r>
            <a:rPr lang="id-ID" sz="1100" b="1" baseline="0">
              <a:latin typeface="Arial Narrow" panose="020B0606020202030204" pitchFamily="34" charset="0"/>
            </a:rPr>
            <a:t> Ir. IRAWADI, CES</a:t>
          </a:r>
        </a:p>
        <a:p>
          <a:pPr algn="ctr">
            <a:lnSpc>
              <a:spcPts val="1200"/>
            </a:lnSpc>
          </a:pPr>
          <a:r>
            <a:rPr lang="id-ID" sz="1100" baseline="0">
              <a:latin typeface="Arial Narrow" panose="020B0606020202030204" pitchFamily="34" charset="0"/>
            </a:rPr>
            <a:t>Pembina Utama Muda</a:t>
          </a:r>
        </a:p>
        <a:p>
          <a:pPr algn="ctr">
            <a:lnSpc>
              <a:spcPts val="1200"/>
            </a:lnSpc>
          </a:pPr>
          <a:r>
            <a:rPr lang="id-ID" sz="1100" baseline="0">
              <a:latin typeface="Arial Narrow" panose="020B0606020202030204" pitchFamily="34" charset="0"/>
            </a:rPr>
            <a:t>NIP. 19640418 199103 1 007</a:t>
          </a:r>
        </a:p>
        <a:p>
          <a:pPr>
            <a:lnSpc>
              <a:spcPts val="1100"/>
            </a:lnSpc>
          </a:pPr>
          <a:endParaRPr lang="id-ID" sz="1100"/>
        </a:p>
      </xdr:txBody>
    </xdr:sp>
    <xdr:clientData/>
  </xdr:twoCellAnchor>
  <xdr:oneCellAnchor>
    <xdr:from>
      <xdr:col>4</xdr:col>
      <xdr:colOff>0</xdr:colOff>
      <xdr:row>8</xdr:row>
      <xdr:rowOff>0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3597ACE-8888-4AE2-87DA-3C3B108C3921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9</xdr:row>
      <xdr:rowOff>0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C682FCC-57BC-454B-8629-01C0FDC0DE7F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10</xdr:row>
      <xdr:rowOff>0</xdr:rowOff>
    </xdr:from>
    <xdr:ext cx="184731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EDB4D85-74FC-4DC4-9006-F0650E7B19BA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11</xdr:row>
      <xdr:rowOff>0</xdr:rowOff>
    </xdr:from>
    <xdr:ext cx="184731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083E6C3-1037-4170-B451-E25EB4EEE418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12</xdr:row>
      <xdr:rowOff>0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A42CF11-B6EF-4E2D-BAA7-AA9B60711056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13</xdr:row>
      <xdr:rowOff>0</xdr:rowOff>
    </xdr:from>
    <xdr:ext cx="18473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CDE5BBF4-6583-4564-902F-A2EE819458C8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14</xdr:row>
      <xdr:rowOff>0</xdr:rowOff>
    </xdr:from>
    <xdr:ext cx="184731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C1893BC-4021-4799-8839-1D7F45EBE145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18</xdr:row>
      <xdr:rowOff>0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DF06298-74AE-4ED9-9336-B8EAADE0E5E6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627D31B7-F504-4FFB-BA4B-7EA8A47DF2E2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482AF0E-985E-4CED-9B47-937DBC7C88F2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9D43C27-83D1-47CD-A2DE-A76869E9BD62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8</xdr:row>
      <xdr:rowOff>0</xdr:rowOff>
    </xdr:from>
    <xdr:ext cx="184731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0F65A86-6AF5-4EB8-AB22-5515D2DB8E6C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9</xdr:row>
      <xdr:rowOff>0</xdr:rowOff>
    </xdr:from>
    <xdr:ext cx="184731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227B9BB-B032-4220-B34E-6981299015B4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9</xdr:row>
      <xdr:rowOff>0</xdr:rowOff>
    </xdr:from>
    <xdr:ext cx="184731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3209AFF1-CDF4-4126-AC9F-D330FCC6A592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10</xdr:row>
      <xdr:rowOff>0</xdr:rowOff>
    </xdr:from>
    <xdr:ext cx="184731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90EED523-E556-4663-B90B-8F02D26DDA92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10</xdr:row>
      <xdr:rowOff>0</xdr:rowOff>
    </xdr:from>
    <xdr:ext cx="184731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D5231D1D-58E8-4150-9306-F29C12AD1471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10</xdr:row>
      <xdr:rowOff>0</xdr:rowOff>
    </xdr:from>
    <xdr:ext cx="184731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A1C2E884-4041-440A-B8A8-6D78580B43A1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11</xdr:row>
      <xdr:rowOff>0</xdr:rowOff>
    </xdr:from>
    <xdr:ext cx="184731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4D54757E-FD6D-4577-8B1C-E9AD1EF5C11C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11</xdr:row>
      <xdr:rowOff>0</xdr:rowOff>
    </xdr:from>
    <xdr:ext cx="184731" cy="26456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F71EA3F7-CB23-43FA-AD44-5DAA6F3D7225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11</xdr:row>
      <xdr:rowOff>0</xdr:rowOff>
    </xdr:from>
    <xdr:ext cx="184731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4118A0C7-9EC9-4052-A700-AABCEFDCB2F7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12</xdr:row>
      <xdr:rowOff>0</xdr:rowOff>
    </xdr:from>
    <xdr:ext cx="184731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549BE620-FDB5-46FA-A2BE-FD3E603983AC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12</xdr:row>
      <xdr:rowOff>0</xdr:rowOff>
    </xdr:from>
    <xdr:ext cx="184731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C4BC344C-48A0-4151-8372-DD29BF59ED41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12</xdr:row>
      <xdr:rowOff>0</xdr:rowOff>
    </xdr:from>
    <xdr:ext cx="184731" cy="26456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30D23B15-E02D-4FCC-AC63-EDD092AE1033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13</xdr:row>
      <xdr:rowOff>0</xdr:rowOff>
    </xdr:from>
    <xdr:ext cx="184731" cy="26456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6A14F9CB-32E1-4C15-B924-8970CA4D3666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13</xdr:row>
      <xdr:rowOff>0</xdr:rowOff>
    </xdr:from>
    <xdr:ext cx="184731" cy="26456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8F4519A9-6D4E-45C9-89FD-0653D72F6D65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13</xdr:row>
      <xdr:rowOff>0</xdr:rowOff>
    </xdr:from>
    <xdr:ext cx="184731" cy="264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C4126BE1-100B-4F3D-925D-513332C4D47A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14</xdr:row>
      <xdr:rowOff>0</xdr:rowOff>
    </xdr:from>
    <xdr:ext cx="184731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6136FEA4-9412-480B-8B24-687E1324C836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14</xdr:row>
      <xdr:rowOff>0</xdr:rowOff>
    </xdr:from>
    <xdr:ext cx="184731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1BF5A876-7BBC-4F5A-8B04-92765F29277E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18</xdr:row>
      <xdr:rowOff>0</xdr:rowOff>
    </xdr:from>
    <xdr:ext cx="184731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AB5D99BE-DE29-43A5-BE0C-B8DCB7E8ACCC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5D806B51-C957-4F68-8C1C-F01252F262F9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9CD9543C-6983-4F0B-9EF7-701594E15C6E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458C4E9C-FB8B-4C53-85AB-FC914C5FFDFA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35073FBE-F528-4F33-A9E0-00B06BA09279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B577C81E-A210-409A-A1DE-4061EFB6745D}"/>
            </a:ext>
          </a:extLst>
        </xdr:cNvPr>
        <xdr:cNvSpPr txBox="1"/>
      </xdr:nvSpPr>
      <xdr:spPr>
        <a:xfrm>
          <a:off x="72707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7</xdr:row>
      <xdr:rowOff>0</xdr:rowOff>
    </xdr:from>
    <xdr:ext cx="184731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9BB9DD51-1C06-4635-BF95-9986807CA2BC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8</xdr:row>
      <xdr:rowOff>0</xdr:rowOff>
    </xdr:from>
    <xdr:ext cx="184731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A602DA47-3F8E-4B44-9EA2-F4394A75DB48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9</xdr:row>
      <xdr:rowOff>0</xdr:rowOff>
    </xdr:from>
    <xdr:ext cx="184731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F90F785-1DB0-462A-A6C4-B202DC97D96D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10</xdr:row>
      <xdr:rowOff>0</xdr:rowOff>
    </xdr:from>
    <xdr:ext cx="184731" cy="264560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CB374445-413C-4065-86BC-2486F0BE3E5F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11</xdr:row>
      <xdr:rowOff>0</xdr:rowOff>
    </xdr:from>
    <xdr:ext cx="184731" cy="264560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B19BEC04-3DD9-4E5D-BC15-4A5C94294D2E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12</xdr:row>
      <xdr:rowOff>0</xdr:rowOff>
    </xdr:from>
    <xdr:ext cx="184731" cy="264560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D13E195E-8B06-494A-957C-4AF6AEA0A572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13</xdr:row>
      <xdr:rowOff>0</xdr:rowOff>
    </xdr:from>
    <xdr:ext cx="184731" cy="264560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1C643486-61F6-4955-9F3E-23F105FBE4FC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14</xdr:row>
      <xdr:rowOff>0</xdr:rowOff>
    </xdr:from>
    <xdr:ext cx="184731" cy="264560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FA0B5C89-E515-4075-A922-90501E380224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18</xdr:row>
      <xdr:rowOff>0</xdr:rowOff>
    </xdr:from>
    <xdr:ext cx="184731" cy="264560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A3CBA600-A9B9-4BCF-8CBB-C5EE43D237B1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19</xdr:row>
      <xdr:rowOff>0</xdr:rowOff>
    </xdr:from>
    <xdr:ext cx="184731" cy="264560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BA3F1F9D-EB37-44BE-B090-FB69CC944497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19</xdr:row>
      <xdr:rowOff>0</xdr:rowOff>
    </xdr:from>
    <xdr:ext cx="184731" cy="264560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5DC55A29-8D2D-4C5E-9888-B85AB32968EA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20</xdr:row>
      <xdr:rowOff>0</xdr:rowOff>
    </xdr:from>
    <xdr:ext cx="184731" cy="264560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595164D8-0010-4A46-9616-EA499AEF6CB7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8</xdr:row>
      <xdr:rowOff>0</xdr:rowOff>
    </xdr:from>
    <xdr:ext cx="184731" cy="264560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C6D66773-1F53-44EB-B46E-9B86BBB574F7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9</xdr:row>
      <xdr:rowOff>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50BE41C-1023-4302-A686-86B98B91B7CC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9</xdr:row>
      <xdr:rowOff>0</xdr:rowOff>
    </xdr:from>
    <xdr:ext cx="184731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DD43590-4E87-4C74-B68B-BBD2FBA6CDF8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10</xdr:row>
      <xdr:rowOff>0</xdr:rowOff>
    </xdr:from>
    <xdr:ext cx="184731" cy="264560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32A85A9C-B43F-40AB-9862-C2F268351963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10</xdr:row>
      <xdr:rowOff>0</xdr:rowOff>
    </xdr:from>
    <xdr:ext cx="184731" cy="264560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D2981297-C2B4-4E4F-BC5A-983EADB38617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10</xdr:row>
      <xdr:rowOff>0</xdr:rowOff>
    </xdr:from>
    <xdr:ext cx="184731" cy="264560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C606F877-2106-438C-8091-4FB113C94912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11</xdr:row>
      <xdr:rowOff>0</xdr:rowOff>
    </xdr:from>
    <xdr:ext cx="184731" cy="264560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D6ACDCAA-087C-43D9-9E92-D4C777D7C089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11</xdr:row>
      <xdr:rowOff>0</xdr:rowOff>
    </xdr:from>
    <xdr:ext cx="184731" cy="264560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09232D09-1EC0-416D-A239-4C177248BCEB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11</xdr:row>
      <xdr:rowOff>0</xdr:rowOff>
    </xdr:from>
    <xdr:ext cx="184731" cy="264560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C41B0C00-B22A-4ECD-9C33-EE7F92BBC709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12</xdr:row>
      <xdr:rowOff>0</xdr:rowOff>
    </xdr:from>
    <xdr:ext cx="184731" cy="264560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39F28C75-D017-4F7D-B84C-E97F4D40FD5C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12</xdr:row>
      <xdr:rowOff>0</xdr:rowOff>
    </xdr:from>
    <xdr:ext cx="184731" cy="264560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5D4CB311-19A5-4581-9BF2-506E27415E4A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12</xdr:row>
      <xdr:rowOff>0</xdr:rowOff>
    </xdr:from>
    <xdr:ext cx="184731" cy="264560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5E7426D8-6139-4A0A-A4E2-D067F0682BFD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13</xdr:row>
      <xdr:rowOff>0</xdr:rowOff>
    </xdr:from>
    <xdr:ext cx="184731" cy="264560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E0986181-086F-48FC-9676-FF667816741C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13</xdr:row>
      <xdr:rowOff>0</xdr:rowOff>
    </xdr:from>
    <xdr:ext cx="184731" cy="264560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EBA2C7A0-D658-4D3D-8940-9E3827785D0E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13</xdr:row>
      <xdr:rowOff>0</xdr:rowOff>
    </xdr:from>
    <xdr:ext cx="184731" cy="264560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72754845-3711-4DAB-9A63-A40CA3F7D89B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14</xdr:row>
      <xdr:rowOff>0</xdr:rowOff>
    </xdr:from>
    <xdr:ext cx="184731" cy="264560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5507311B-B8E1-4F02-B9C8-3BDD0C1F7BF2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14</xdr:row>
      <xdr:rowOff>0</xdr:rowOff>
    </xdr:from>
    <xdr:ext cx="184731" cy="264560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6CC0D691-C32A-49DD-B53C-1D12AA73F12A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18</xdr:row>
      <xdr:rowOff>0</xdr:rowOff>
    </xdr:from>
    <xdr:ext cx="184731" cy="264560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27C38053-A01A-48C3-B8E2-38BB162C20CD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19</xdr:row>
      <xdr:rowOff>0</xdr:rowOff>
    </xdr:from>
    <xdr:ext cx="184731" cy="264560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A8D5CE3B-C264-4CD0-A411-CE079E2B9796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19</xdr:row>
      <xdr:rowOff>0</xdr:rowOff>
    </xdr:from>
    <xdr:ext cx="184731" cy="264560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7957D346-A2A3-421C-96EE-393C7E81D9A2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19</xdr:row>
      <xdr:rowOff>0</xdr:rowOff>
    </xdr:from>
    <xdr:ext cx="184731" cy="264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6B0E4155-7C9F-418E-B572-A66411A1F351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20</xdr:row>
      <xdr:rowOff>0</xdr:rowOff>
    </xdr:from>
    <xdr:ext cx="184731" cy="264560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5325A928-1AEC-4093-BE43-AD09AF30A227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20</xdr:row>
      <xdr:rowOff>0</xdr:rowOff>
    </xdr:from>
    <xdr:ext cx="184731" cy="264560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6ED0507B-603D-4533-8A26-BD763FC11DC5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8</xdr:row>
      <xdr:rowOff>0</xdr:rowOff>
    </xdr:from>
    <xdr:ext cx="184731" cy="264560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09C0672F-F89B-4EC9-8345-FF02D66E6865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9</xdr:row>
      <xdr:rowOff>0</xdr:rowOff>
    </xdr:from>
    <xdr:ext cx="184731" cy="264560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69F12F93-706D-4F66-8AD9-29F0DE64A7DF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9</xdr:row>
      <xdr:rowOff>0</xdr:rowOff>
    </xdr:from>
    <xdr:ext cx="184731" cy="264560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D069D747-D09D-409B-B9AD-35478795D291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9</xdr:row>
      <xdr:rowOff>0</xdr:rowOff>
    </xdr:from>
    <xdr:ext cx="184731" cy="264560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0A018D3A-285B-496D-83A4-6038F76A8AA2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10</xdr:row>
      <xdr:rowOff>0</xdr:rowOff>
    </xdr:from>
    <xdr:ext cx="184731" cy="264560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1AE3E5A9-E098-45ED-9112-1B9B6D6C9473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10</xdr:row>
      <xdr:rowOff>0</xdr:rowOff>
    </xdr:from>
    <xdr:ext cx="184731" cy="264560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E810EBA0-C69F-4AC7-B28B-5D1A21A62FB3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10</xdr:row>
      <xdr:rowOff>0</xdr:rowOff>
    </xdr:from>
    <xdr:ext cx="184731" cy="264560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18EB83A3-CFD5-4E39-B7DB-7D4A2E013C71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10</xdr:row>
      <xdr:rowOff>0</xdr:rowOff>
    </xdr:from>
    <xdr:ext cx="184731" cy="264560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1025AFC5-4BF2-4FF5-8659-DBC669A96847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11</xdr:row>
      <xdr:rowOff>0</xdr:rowOff>
    </xdr:from>
    <xdr:ext cx="184731" cy="264560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A1D27E40-66B0-4FBA-BE8E-5C2D37115639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11</xdr:row>
      <xdr:rowOff>0</xdr:rowOff>
    </xdr:from>
    <xdr:ext cx="184731" cy="264560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44C03702-091E-47B3-86A9-1F776EB6A402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11</xdr:row>
      <xdr:rowOff>0</xdr:rowOff>
    </xdr:from>
    <xdr:ext cx="184731" cy="264560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E97D3A8C-6FC7-4068-B1B7-B7BAB87D7EE3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11</xdr:row>
      <xdr:rowOff>0</xdr:rowOff>
    </xdr:from>
    <xdr:ext cx="184731" cy="264560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5C3799F3-8D18-45E9-A1B8-79A19309BA1D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12</xdr:row>
      <xdr:rowOff>0</xdr:rowOff>
    </xdr:from>
    <xdr:ext cx="184731" cy="264560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AABB908A-F6A9-4E3A-B376-E0584D5B8B5C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12</xdr:row>
      <xdr:rowOff>0</xdr:rowOff>
    </xdr:from>
    <xdr:ext cx="184731" cy="264560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B6CC648A-E354-4BCA-B855-14AB8E8E335A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12</xdr:row>
      <xdr:rowOff>0</xdr:rowOff>
    </xdr:from>
    <xdr:ext cx="184731" cy="264560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55083553-2D75-46CA-9F87-12E085A47452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12</xdr:row>
      <xdr:rowOff>0</xdr:rowOff>
    </xdr:from>
    <xdr:ext cx="184731" cy="264560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3EB62FCE-6D05-4CBE-AF89-B08606BEEA1E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13</xdr:row>
      <xdr:rowOff>0</xdr:rowOff>
    </xdr:from>
    <xdr:ext cx="184731" cy="264560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FC6F4E62-E669-4BDD-B9D4-C15D907F3E1E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13</xdr:row>
      <xdr:rowOff>0</xdr:rowOff>
    </xdr:from>
    <xdr:ext cx="184731" cy="264560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CB1AFEB5-555E-4ACF-B64F-9E0605F43A2D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13</xdr:row>
      <xdr:rowOff>0</xdr:rowOff>
    </xdr:from>
    <xdr:ext cx="184731" cy="264560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760FAA14-0AC6-43C9-90E5-61D1002644F4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13</xdr:row>
      <xdr:rowOff>0</xdr:rowOff>
    </xdr:from>
    <xdr:ext cx="184731" cy="264560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1A130038-A35E-4512-9902-76A7223BA5BD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14</xdr:row>
      <xdr:rowOff>0</xdr:rowOff>
    </xdr:from>
    <xdr:ext cx="184731" cy="264560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860CD8DE-F95E-45B5-A028-4E53DFE1786D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14</xdr:row>
      <xdr:rowOff>0</xdr:rowOff>
    </xdr:from>
    <xdr:ext cx="184731" cy="264560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BFE43734-DA40-4582-B806-055E73314432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14</xdr:row>
      <xdr:rowOff>0</xdr:rowOff>
    </xdr:from>
    <xdr:ext cx="184731" cy="264560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CCCE102A-C616-42E7-B3A2-60A108AB692D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18</xdr:row>
      <xdr:rowOff>0</xdr:rowOff>
    </xdr:from>
    <xdr:ext cx="184731" cy="264560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4104C1E2-5DCF-4AB0-AED6-9F389855846C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19</xdr:row>
      <xdr:rowOff>0</xdr:rowOff>
    </xdr:from>
    <xdr:ext cx="184731" cy="264560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911F6D9A-DCFE-4945-88A8-087AAD5D74AA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18</xdr:row>
      <xdr:rowOff>0</xdr:rowOff>
    </xdr:from>
    <xdr:ext cx="184731" cy="264560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25DB09BA-7BFF-47F5-B7F1-C1DC64D4FD2C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18</xdr:row>
      <xdr:rowOff>0</xdr:rowOff>
    </xdr:from>
    <xdr:ext cx="184731" cy="264560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C1E25599-2965-4B1A-965F-FF089973EA8C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18</xdr:row>
      <xdr:rowOff>0</xdr:rowOff>
    </xdr:from>
    <xdr:ext cx="184731" cy="264560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C551DD42-E24C-400D-AE6B-62AEA1DC53D4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19</xdr:row>
      <xdr:rowOff>0</xdr:rowOff>
    </xdr:from>
    <xdr:ext cx="184731" cy="264560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5A5B6114-8DD1-4878-AB3C-8DEBDADFDCE5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19</xdr:row>
      <xdr:rowOff>0</xdr:rowOff>
    </xdr:from>
    <xdr:ext cx="184731" cy="264560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D53ADC9-BAFB-43C7-9EF9-45F93B5E200A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19</xdr:row>
      <xdr:rowOff>0</xdr:rowOff>
    </xdr:from>
    <xdr:ext cx="184731" cy="264560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162105EE-0972-4EB8-BA7E-3424C09843D0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18</xdr:row>
      <xdr:rowOff>0</xdr:rowOff>
    </xdr:from>
    <xdr:ext cx="184731" cy="264560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A2058E94-5720-4043-9E6F-9CDA26ED7E9A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18</xdr:row>
      <xdr:rowOff>0</xdr:rowOff>
    </xdr:from>
    <xdr:ext cx="184731" cy="264560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1DE0637C-3687-4849-9EF9-433AE18E0344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18</xdr:row>
      <xdr:rowOff>0</xdr:rowOff>
    </xdr:from>
    <xdr:ext cx="184731" cy="264560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BE148C25-6B76-4A85-A7F0-25946D491AE2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18</xdr:row>
      <xdr:rowOff>0</xdr:rowOff>
    </xdr:from>
    <xdr:ext cx="184731" cy="264560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41F91F55-F441-47AB-9F06-489770BFF03D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19</xdr:row>
      <xdr:rowOff>0</xdr:rowOff>
    </xdr:from>
    <xdr:ext cx="184731" cy="264560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2F15E623-FBA1-4841-A175-9C881A2FFFFD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19</xdr:row>
      <xdr:rowOff>0</xdr:rowOff>
    </xdr:from>
    <xdr:ext cx="184731" cy="264560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6269CC06-6882-4D9B-A7AB-F6420F9EFD65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19</xdr:row>
      <xdr:rowOff>0</xdr:rowOff>
    </xdr:from>
    <xdr:ext cx="184731" cy="264560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B71DD820-8550-4593-84AE-8D3A6A24C123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19</xdr:row>
      <xdr:rowOff>0</xdr:rowOff>
    </xdr:from>
    <xdr:ext cx="184731" cy="264560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63C23B9F-67C1-45B2-9B7A-5576C1E55107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19</xdr:row>
      <xdr:rowOff>0</xdr:rowOff>
    </xdr:from>
    <xdr:ext cx="184731" cy="264560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C173DF77-EAF5-49E5-ACB3-F168A02BEB4D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20</xdr:row>
      <xdr:rowOff>0</xdr:rowOff>
    </xdr:from>
    <xdr:ext cx="184731" cy="264560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E47A25D3-FC9B-4665-B7E1-1FC779F88C32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19</xdr:row>
      <xdr:rowOff>0</xdr:rowOff>
    </xdr:from>
    <xdr:ext cx="184731" cy="264560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4D2AF8D3-EB67-4136-8446-7977F797537F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19</xdr:row>
      <xdr:rowOff>0</xdr:rowOff>
    </xdr:from>
    <xdr:ext cx="184731" cy="264560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E6261212-E61D-4D42-B89E-DCBDFA958876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19</xdr:row>
      <xdr:rowOff>0</xdr:rowOff>
    </xdr:from>
    <xdr:ext cx="184731" cy="264560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D2EC760B-F751-4D80-978E-596497F92BE9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20</xdr:row>
      <xdr:rowOff>0</xdr:rowOff>
    </xdr:from>
    <xdr:ext cx="184731" cy="264560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7A59CF5-F8E2-4535-88D1-E1A28EE737AC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20</xdr:row>
      <xdr:rowOff>0</xdr:rowOff>
    </xdr:from>
    <xdr:ext cx="184731" cy="264560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7892A7DF-775E-44A9-AC14-BF3C6DB45351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20</xdr:row>
      <xdr:rowOff>0</xdr:rowOff>
    </xdr:from>
    <xdr:ext cx="184731" cy="264560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BEBC10CA-BC25-4DDC-955F-1506E379843F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19</xdr:row>
      <xdr:rowOff>0</xdr:rowOff>
    </xdr:from>
    <xdr:ext cx="184731" cy="264560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137CA19B-5590-4A5A-8629-2642ACEBE84B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19</xdr:row>
      <xdr:rowOff>0</xdr:rowOff>
    </xdr:from>
    <xdr:ext cx="184731" cy="264560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31D70B1-67C9-4E62-B6BE-1B883C31AFB0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19</xdr:row>
      <xdr:rowOff>0</xdr:rowOff>
    </xdr:from>
    <xdr:ext cx="184731" cy="264560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0CD72C4B-1E47-40EB-99C3-1D1AB1C985E8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19</xdr:row>
      <xdr:rowOff>0</xdr:rowOff>
    </xdr:from>
    <xdr:ext cx="184731" cy="264560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E6F0E296-2D13-4051-A158-AADDE9ADA8A1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20</xdr:row>
      <xdr:rowOff>0</xdr:rowOff>
    </xdr:from>
    <xdr:ext cx="184731" cy="264560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F2B9FCD-DD02-4D2F-B446-129D25142262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20</xdr:row>
      <xdr:rowOff>0</xdr:rowOff>
    </xdr:from>
    <xdr:ext cx="184731" cy="264560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3512BF81-27B3-4D07-A9AC-B76B84D0F7CB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20</xdr:row>
      <xdr:rowOff>0</xdr:rowOff>
    </xdr:from>
    <xdr:ext cx="184731" cy="264560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C7A5C75F-8F84-4FFD-9FC1-7907F7A35E38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3</xdr:col>
      <xdr:colOff>0</xdr:colOff>
      <xdr:row>20</xdr:row>
      <xdr:rowOff>0</xdr:rowOff>
    </xdr:from>
    <xdr:ext cx="184731" cy="264560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82F364B6-B47B-41AF-91B6-E823C6CF2482}"/>
            </a:ext>
          </a:extLst>
        </xdr:cNvPr>
        <xdr:cNvSpPr txBox="1"/>
      </xdr:nvSpPr>
      <xdr:spPr>
        <a:xfrm>
          <a:off x="5861050" y="322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7</xdr:row>
      <xdr:rowOff>0</xdr:rowOff>
    </xdr:from>
    <xdr:ext cx="184731" cy="264560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CEBA7EF-5265-4B74-BDDC-68E41C9BF2EC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8</xdr:row>
      <xdr:rowOff>0</xdr:rowOff>
    </xdr:from>
    <xdr:ext cx="184731" cy="264560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E9A18C8C-6CA1-4E16-8D34-B255C6C02E80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9</xdr:row>
      <xdr:rowOff>0</xdr:rowOff>
    </xdr:from>
    <xdr:ext cx="184731" cy="264560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BF9434D6-EFEF-44C7-A8DC-D31347D5FE18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10</xdr:row>
      <xdr:rowOff>0</xdr:rowOff>
    </xdr:from>
    <xdr:ext cx="184731" cy="264560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AB258727-1B60-4167-B2D3-8E66D51F46B0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11</xdr:row>
      <xdr:rowOff>0</xdr:rowOff>
    </xdr:from>
    <xdr:ext cx="184731" cy="264560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A8D4D342-04E9-4519-9850-66022B7F4D3F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12</xdr:row>
      <xdr:rowOff>0</xdr:rowOff>
    </xdr:from>
    <xdr:ext cx="184731" cy="264560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FF9F40EE-9162-4115-BD2E-0EEC34757EBE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13</xdr:row>
      <xdr:rowOff>0</xdr:rowOff>
    </xdr:from>
    <xdr:ext cx="184731" cy="264560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1782A182-98AC-4348-93E1-562E538AF513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14</xdr:row>
      <xdr:rowOff>0</xdr:rowOff>
    </xdr:from>
    <xdr:ext cx="184731" cy="264560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8D498E75-1771-468A-8873-0BEF4682A7B6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18</xdr:row>
      <xdr:rowOff>0</xdr:rowOff>
    </xdr:from>
    <xdr:ext cx="184731" cy="264560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4995CD2E-941A-4614-8A4A-92592FC4469C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D61E49AB-5AE0-4D30-8A5A-AB33953CA860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D61F7BF2-D45F-4083-BA8F-CBDD256590D0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A4725C08-39E2-46D7-9180-10DBCA514B2F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8</xdr:row>
      <xdr:rowOff>0</xdr:rowOff>
    </xdr:from>
    <xdr:ext cx="184731" cy="264560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3D60E15B-86DF-408A-BBB0-DBF77D679F0F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9</xdr:row>
      <xdr:rowOff>0</xdr:rowOff>
    </xdr:from>
    <xdr:ext cx="184731" cy="264560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6EECF331-6237-44E1-9C40-EF419EBE6315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9</xdr:row>
      <xdr:rowOff>0</xdr:rowOff>
    </xdr:from>
    <xdr:ext cx="184731" cy="264560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A723A5BE-D0AC-4697-8549-A1CFDF2150DF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10</xdr:row>
      <xdr:rowOff>0</xdr:rowOff>
    </xdr:from>
    <xdr:ext cx="184731" cy="264560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2137F8DD-EC3A-403C-BD2C-B8B05604D5F1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10</xdr:row>
      <xdr:rowOff>0</xdr:rowOff>
    </xdr:from>
    <xdr:ext cx="184731" cy="264560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453450E6-51B5-44AC-AAB5-8D86E7FA869C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10</xdr:row>
      <xdr:rowOff>0</xdr:rowOff>
    </xdr:from>
    <xdr:ext cx="184731" cy="264560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6EEE8021-B1AE-4B05-874D-758D9FE0B356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11</xdr:row>
      <xdr:rowOff>0</xdr:rowOff>
    </xdr:from>
    <xdr:ext cx="184731" cy="264560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7E3DD2E6-FDA4-481B-BB9E-834E3EECD8E9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11</xdr:row>
      <xdr:rowOff>0</xdr:rowOff>
    </xdr:from>
    <xdr:ext cx="184731" cy="264560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9953CB0F-85DE-4FD8-9E3D-337461BBA103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11</xdr:row>
      <xdr:rowOff>0</xdr:rowOff>
    </xdr:from>
    <xdr:ext cx="184731" cy="264560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1F2A3672-6CEF-42FA-96F6-EC8193E880A5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12</xdr:row>
      <xdr:rowOff>0</xdr:rowOff>
    </xdr:from>
    <xdr:ext cx="184731" cy="264560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4FFE6C6E-DAB8-4663-925B-575D5ADEEDC4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12</xdr:row>
      <xdr:rowOff>0</xdr:rowOff>
    </xdr:from>
    <xdr:ext cx="184731" cy="264560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2CA386AB-8D60-421A-899A-88816D3A0920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12</xdr:row>
      <xdr:rowOff>0</xdr:rowOff>
    </xdr:from>
    <xdr:ext cx="184731" cy="264560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5F09569D-AF88-4ADC-8872-6D05B07C1D8D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13</xdr:row>
      <xdr:rowOff>0</xdr:rowOff>
    </xdr:from>
    <xdr:ext cx="184731" cy="264560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03CAF8F6-4BCC-4DBA-BA89-EDB315321EA1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13</xdr:row>
      <xdr:rowOff>0</xdr:rowOff>
    </xdr:from>
    <xdr:ext cx="184731" cy="264560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F6279D6E-62DA-4AF8-AEA7-D745016B1018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13</xdr:row>
      <xdr:rowOff>0</xdr:rowOff>
    </xdr:from>
    <xdr:ext cx="184731" cy="264560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D9C2F5A8-1920-49EA-AA6E-A989F78BCE27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14</xdr:row>
      <xdr:rowOff>0</xdr:rowOff>
    </xdr:from>
    <xdr:ext cx="184731" cy="264560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8FC01A47-BEFC-4F58-81EF-FF2360D6359F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14</xdr:row>
      <xdr:rowOff>0</xdr:rowOff>
    </xdr:from>
    <xdr:ext cx="184731" cy="264560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DA68171E-AF73-45CD-8BA0-20EC631CE287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18</xdr:row>
      <xdr:rowOff>0</xdr:rowOff>
    </xdr:from>
    <xdr:ext cx="184731" cy="264560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909CADEA-0496-4295-BEA9-489DD218C7AD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9AD954EF-182D-47B3-A88F-15E297EBA018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80ADD7C7-4889-4248-AE99-78CC5F82DF69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C04FBB57-0ED4-42CF-9076-EFC2F0C79D5A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3B042B09-321F-4523-86C7-9FBF8D8407F2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2573FB69-7B69-4E8C-90A6-A5A9804365CB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8</xdr:row>
      <xdr:rowOff>0</xdr:rowOff>
    </xdr:from>
    <xdr:ext cx="184731" cy="264560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7745D0FC-E7A6-4734-8BA7-663F4B1A54BB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9</xdr:row>
      <xdr:rowOff>0</xdr:rowOff>
    </xdr:from>
    <xdr:ext cx="184731" cy="264560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029F7223-AD69-48F1-B792-E6F4F8A9DDBA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9</xdr:row>
      <xdr:rowOff>0</xdr:rowOff>
    </xdr:from>
    <xdr:ext cx="184731" cy="264560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74B38EFC-0793-4D36-A1AF-4D483A34D692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9</xdr:row>
      <xdr:rowOff>0</xdr:rowOff>
    </xdr:from>
    <xdr:ext cx="184731" cy="264560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BD56C1B4-7B03-4D65-A929-DFAF672E20FC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10</xdr:row>
      <xdr:rowOff>0</xdr:rowOff>
    </xdr:from>
    <xdr:ext cx="184731" cy="264560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8C4B75CA-C6CB-4AAE-8844-09240F1BBE20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10</xdr:row>
      <xdr:rowOff>0</xdr:rowOff>
    </xdr:from>
    <xdr:ext cx="184731" cy="264560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4FDA5993-3CA0-4B5F-A69F-7C305658E4D6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10</xdr:row>
      <xdr:rowOff>0</xdr:rowOff>
    </xdr:from>
    <xdr:ext cx="184731" cy="264560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73715C5E-8F97-49B7-9BDC-333AFA1044D0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10</xdr:row>
      <xdr:rowOff>0</xdr:rowOff>
    </xdr:from>
    <xdr:ext cx="184731" cy="264560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05FB224F-8A29-4786-BC96-287D918756F6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11</xdr:row>
      <xdr:rowOff>0</xdr:rowOff>
    </xdr:from>
    <xdr:ext cx="184731" cy="264560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C58DDDEF-7850-4010-A397-8BEFC99E71F8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11</xdr:row>
      <xdr:rowOff>0</xdr:rowOff>
    </xdr:from>
    <xdr:ext cx="184731" cy="264560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02B5A01E-9CE5-4776-B808-90BDC8FAE5AE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11</xdr:row>
      <xdr:rowOff>0</xdr:rowOff>
    </xdr:from>
    <xdr:ext cx="184731" cy="264560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F10B0FFA-6935-400F-85D4-9445ECA3644C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11</xdr:row>
      <xdr:rowOff>0</xdr:rowOff>
    </xdr:from>
    <xdr:ext cx="184731" cy="264560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080501B2-47BC-4A42-A6E0-DA6272D84FEB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12</xdr:row>
      <xdr:rowOff>0</xdr:rowOff>
    </xdr:from>
    <xdr:ext cx="184731" cy="264560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24735CD0-9C4C-4156-A459-FD2093BB0470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12</xdr:row>
      <xdr:rowOff>0</xdr:rowOff>
    </xdr:from>
    <xdr:ext cx="184731" cy="264560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E941DC28-472E-444C-BBEC-3E4FF31A11F0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12</xdr:row>
      <xdr:rowOff>0</xdr:rowOff>
    </xdr:from>
    <xdr:ext cx="184731" cy="264560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627066EA-C29E-4AD8-9F86-9ACB2E2F1872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12</xdr:row>
      <xdr:rowOff>0</xdr:rowOff>
    </xdr:from>
    <xdr:ext cx="184731" cy="264560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96167CF7-C3AE-4C82-BB0D-5164F0F53D45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13</xdr:row>
      <xdr:rowOff>0</xdr:rowOff>
    </xdr:from>
    <xdr:ext cx="184731" cy="264560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89E2A036-6E0E-452B-9BA8-85029BA493E7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13</xdr:row>
      <xdr:rowOff>0</xdr:rowOff>
    </xdr:from>
    <xdr:ext cx="184731" cy="264560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8AF12E95-2EE6-4157-9F79-1D9860C62457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13</xdr:row>
      <xdr:rowOff>0</xdr:rowOff>
    </xdr:from>
    <xdr:ext cx="184731" cy="264560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FA848F25-9A52-4051-9D97-B2F299BC4405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13</xdr:row>
      <xdr:rowOff>0</xdr:rowOff>
    </xdr:from>
    <xdr:ext cx="184731" cy="264560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8F9A100D-9DEB-4547-90EA-12F2F00A418D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14</xdr:row>
      <xdr:rowOff>0</xdr:rowOff>
    </xdr:from>
    <xdr:ext cx="184731" cy="264560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82D80F2C-30E0-4E57-A283-ED4D8EDF8610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14</xdr:row>
      <xdr:rowOff>0</xdr:rowOff>
    </xdr:from>
    <xdr:ext cx="184731" cy="264560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95B24BCA-5594-45CF-A720-6D5D84ED1C74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14</xdr:row>
      <xdr:rowOff>0</xdr:rowOff>
    </xdr:from>
    <xdr:ext cx="184731" cy="264560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4A72CCC1-1B76-4B7D-AD38-4F3CF49170D5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18</xdr:row>
      <xdr:rowOff>0</xdr:rowOff>
    </xdr:from>
    <xdr:ext cx="184731" cy="264560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C8EB48B-C638-4BE3-95A9-96105C319762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A6FDF53E-05E9-4F0F-8A70-9A0296ABF255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18</xdr:row>
      <xdr:rowOff>0</xdr:rowOff>
    </xdr:from>
    <xdr:ext cx="184731" cy="264560"/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814A1798-3173-4568-91E2-A34474B09362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18</xdr:row>
      <xdr:rowOff>0</xdr:rowOff>
    </xdr:from>
    <xdr:ext cx="184731" cy="264560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AA8E06E4-C175-45D6-9943-FD17F3B70AB6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18</xdr:row>
      <xdr:rowOff>0</xdr:rowOff>
    </xdr:from>
    <xdr:ext cx="184731" cy="264560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F2D577C6-8A2C-4DB5-BEA9-147172D693E7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83CF3355-19C4-4AA9-B6FA-3A23F579F9FB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4D2C2A85-CED9-41FC-9545-FF60F24AFB9C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3595C94C-441E-487B-BB08-43DE42FF39A4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18</xdr:row>
      <xdr:rowOff>0</xdr:rowOff>
    </xdr:from>
    <xdr:ext cx="184731" cy="264560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22F08371-2B7C-4C04-851B-0ED94D03A466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18</xdr:row>
      <xdr:rowOff>0</xdr:rowOff>
    </xdr:from>
    <xdr:ext cx="184731" cy="264560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5E359A37-AF03-4470-BE4D-26CEB0AD1BF7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18</xdr:row>
      <xdr:rowOff>0</xdr:rowOff>
    </xdr:from>
    <xdr:ext cx="184731" cy="264560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BF09D98C-5722-432F-A450-737E425AE686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18</xdr:row>
      <xdr:rowOff>0</xdr:rowOff>
    </xdr:from>
    <xdr:ext cx="184731" cy="264560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D5917139-22D1-44C5-A231-AC42D5630980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BF1AA001-6A26-4258-9E51-7390E9B8CDEC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86AD44FA-F30F-46A9-BE86-51714D48051D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D790532D-0FA6-4325-AB7D-A3DFB06DDD3C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3700D445-F469-404E-93CD-C0A8827B7A2B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DB977DBD-7AE7-4DEB-86BA-B96287A1CD21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42C6CA83-7C00-4302-9D1E-B05C52B95641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70276200-8203-4003-AF2F-A13174BCA9A1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34A64AE-FA83-4006-BD94-3C95BC79459F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37258EA7-8B59-463C-9759-9AA5854E0259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40FFDAA1-5DA6-42AC-9010-94543BE52F1A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C2FD4A41-ED8C-442F-80B4-CB891686FEF8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4EE67D60-F0BF-49A4-BBDE-177CB0A75AE5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0824B692-2FA9-4627-AA85-0D12EC11B1F8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9F27C68F-2C45-4B63-9430-D45426F87C10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C76D3AC9-EE7D-4ED5-B545-7349ECBD50CE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19CFA0A6-47DA-4C81-B1EF-55E4BDB78390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222A142B-C5FF-4859-AD05-09B83B86B8EF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13B91E4A-615B-44CB-8F15-DBD1A1BFC5EC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4991AC7B-5A53-4A0A-BB7E-B5C795FE51F7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944A2458-0797-4B61-BCF9-30D3CF654C00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7</xdr:row>
      <xdr:rowOff>0</xdr:rowOff>
    </xdr:from>
    <xdr:ext cx="184731" cy="264560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C9BC6EAF-C27C-4438-BD0E-19F61BE337B2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8</xdr:row>
      <xdr:rowOff>0</xdr:rowOff>
    </xdr:from>
    <xdr:ext cx="184731" cy="264560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116FB5A7-B256-46ED-905E-35E2D3909512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9</xdr:row>
      <xdr:rowOff>0</xdr:rowOff>
    </xdr:from>
    <xdr:ext cx="184731" cy="264560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47BFC4EB-5B43-4569-954B-B41C1E998F8E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10</xdr:row>
      <xdr:rowOff>0</xdr:rowOff>
    </xdr:from>
    <xdr:ext cx="184731" cy="264560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B13FD0E5-B34C-4E85-9AF5-7BA7C28A6E43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11</xdr:row>
      <xdr:rowOff>0</xdr:rowOff>
    </xdr:from>
    <xdr:ext cx="184731" cy="264560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41ABB177-248A-45AE-A2CD-35E884E8EBDC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12</xdr:row>
      <xdr:rowOff>0</xdr:rowOff>
    </xdr:from>
    <xdr:ext cx="184731" cy="264560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35C7281E-1011-40C8-9AF3-02AA6FF02031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13</xdr:row>
      <xdr:rowOff>0</xdr:rowOff>
    </xdr:from>
    <xdr:ext cx="184731" cy="264560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D4DCE069-5E49-4078-AB27-5A917F661126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14</xdr:row>
      <xdr:rowOff>0</xdr:rowOff>
    </xdr:from>
    <xdr:ext cx="184731" cy="264560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EC33E8F5-50C3-49A3-A743-B5A308F3011E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18</xdr:row>
      <xdr:rowOff>0</xdr:rowOff>
    </xdr:from>
    <xdr:ext cx="184731" cy="264560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0A299153-EE6C-434F-A38F-A643EA6E2191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9DA9AD0D-1918-4B98-BBFF-575571DACC36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D17A1939-D965-41CC-8F4A-E9C2752B27B3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D932D185-C411-4765-A34A-BEABBC855F44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8</xdr:row>
      <xdr:rowOff>0</xdr:rowOff>
    </xdr:from>
    <xdr:ext cx="184731" cy="264560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6682F575-EFFE-4B87-B04B-61EB69707A63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9</xdr:row>
      <xdr:rowOff>0</xdr:rowOff>
    </xdr:from>
    <xdr:ext cx="184731" cy="264560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6D5D7724-F679-470D-8D4C-C78FB8D756EF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9</xdr:row>
      <xdr:rowOff>0</xdr:rowOff>
    </xdr:from>
    <xdr:ext cx="184731" cy="264560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8F56AB0B-FD65-4F78-B0A0-8A6B1D27596C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10</xdr:row>
      <xdr:rowOff>0</xdr:rowOff>
    </xdr:from>
    <xdr:ext cx="184731" cy="264560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B326EB32-EBA1-4450-9A66-97E4D9628AF7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10</xdr:row>
      <xdr:rowOff>0</xdr:rowOff>
    </xdr:from>
    <xdr:ext cx="184731" cy="264560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CE1223CF-025D-4889-9379-479CCA1BFF4E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10</xdr:row>
      <xdr:rowOff>0</xdr:rowOff>
    </xdr:from>
    <xdr:ext cx="184731" cy="264560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E469E770-0CE4-417A-B40F-EBC87EE57365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11</xdr:row>
      <xdr:rowOff>0</xdr:rowOff>
    </xdr:from>
    <xdr:ext cx="184731" cy="264560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7BD60BAA-0102-4EA0-BB7C-E5FF5E55710E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11</xdr:row>
      <xdr:rowOff>0</xdr:rowOff>
    </xdr:from>
    <xdr:ext cx="184731" cy="264560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79371322-9BFE-4218-B508-AF77156C8283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11</xdr:row>
      <xdr:rowOff>0</xdr:rowOff>
    </xdr:from>
    <xdr:ext cx="184731" cy="264560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7B16C646-674D-4E81-9B34-D7A2F8938F95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12</xdr:row>
      <xdr:rowOff>0</xdr:rowOff>
    </xdr:from>
    <xdr:ext cx="184731" cy="264560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6C6C92BA-1D11-4F1F-AF04-D88384A9C32D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12</xdr:row>
      <xdr:rowOff>0</xdr:rowOff>
    </xdr:from>
    <xdr:ext cx="184731" cy="264560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0826A796-11B8-4A01-BD5C-F58DEF5905E6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12</xdr:row>
      <xdr:rowOff>0</xdr:rowOff>
    </xdr:from>
    <xdr:ext cx="184731" cy="264560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419ABAC9-FFC0-4F6F-84B6-BF497F0A6537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13</xdr:row>
      <xdr:rowOff>0</xdr:rowOff>
    </xdr:from>
    <xdr:ext cx="184731" cy="264560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848CF0D5-22D9-4588-883D-B51AA6AFBECC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13</xdr:row>
      <xdr:rowOff>0</xdr:rowOff>
    </xdr:from>
    <xdr:ext cx="184731" cy="264560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66A83176-6FCE-4ABD-A482-A36508D6EEB0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13</xdr:row>
      <xdr:rowOff>0</xdr:rowOff>
    </xdr:from>
    <xdr:ext cx="184731" cy="264560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4562F052-29A0-4764-BD01-9CE047750E25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14</xdr:row>
      <xdr:rowOff>0</xdr:rowOff>
    </xdr:from>
    <xdr:ext cx="184731" cy="264560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2AE9A68D-6146-418C-A754-367693D99602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14</xdr:row>
      <xdr:rowOff>0</xdr:rowOff>
    </xdr:from>
    <xdr:ext cx="184731" cy="264560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68C7A0F2-3FA2-46F3-93DD-391F09D3AA90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18</xdr:row>
      <xdr:rowOff>0</xdr:rowOff>
    </xdr:from>
    <xdr:ext cx="184731" cy="264560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1C2B4833-38AC-4380-94CF-676AD0391192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94ED12F8-3F12-4744-BCB5-EED45F3D0073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DEAEF1AA-5744-4061-9425-D5D670BBAD55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50" name="TextBox 249">
          <a:extLst>
            <a:ext uri="{FF2B5EF4-FFF2-40B4-BE49-F238E27FC236}">
              <a16:creationId xmlns:a16="http://schemas.microsoft.com/office/drawing/2014/main" id="{01271278-637D-4942-B77D-19D662B1112D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099A81E0-9F3C-4DE8-BCAB-35BE16CD5492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994CF35D-E63D-4889-86E1-AAF7AC924E31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8</xdr:row>
      <xdr:rowOff>0</xdr:rowOff>
    </xdr:from>
    <xdr:ext cx="184731" cy="264560"/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id="{3E1D2B3B-9A88-4BCB-B7AE-4C658E13F90B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9</xdr:row>
      <xdr:rowOff>0</xdr:rowOff>
    </xdr:from>
    <xdr:ext cx="184731" cy="264560"/>
    <xdr:sp macro="" textlink="">
      <xdr:nvSpPr>
        <xdr:cNvPr id="254" name="TextBox 253">
          <a:extLst>
            <a:ext uri="{FF2B5EF4-FFF2-40B4-BE49-F238E27FC236}">
              <a16:creationId xmlns:a16="http://schemas.microsoft.com/office/drawing/2014/main" id="{3789239D-B177-424E-9C08-1A38FED5BAC7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9</xdr:row>
      <xdr:rowOff>0</xdr:rowOff>
    </xdr:from>
    <xdr:ext cx="184731" cy="264560"/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92BCECC8-1EAD-47E5-960E-025C3ABDD826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9</xdr:row>
      <xdr:rowOff>0</xdr:rowOff>
    </xdr:from>
    <xdr:ext cx="184731" cy="264560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12B638A7-BFDC-4FE2-B729-B2C7DFEE4FE6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10</xdr:row>
      <xdr:rowOff>0</xdr:rowOff>
    </xdr:from>
    <xdr:ext cx="184731" cy="264560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B8D6DB0B-037A-4BB6-AEC6-49BC94F98E06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10</xdr:row>
      <xdr:rowOff>0</xdr:rowOff>
    </xdr:from>
    <xdr:ext cx="184731" cy="264560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C3CEFB9C-6CED-4CFE-BC65-EFBAF18A9344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10</xdr:row>
      <xdr:rowOff>0</xdr:rowOff>
    </xdr:from>
    <xdr:ext cx="184731" cy="264560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9E40B54F-2AB4-4ADC-882A-12A78A28AA24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10</xdr:row>
      <xdr:rowOff>0</xdr:rowOff>
    </xdr:from>
    <xdr:ext cx="184731" cy="264560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D1162F97-3FC8-48E1-B9BD-5ECA39ACB503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11</xdr:row>
      <xdr:rowOff>0</xdr:rowOff>
    </xdr:from>
    <xdr:ext cx="184731" cy="264560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86934810-BB1B-4FFF-ACAA-D8909BB17557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11</xdr:row>
      <xdr:rowOff>0</xdr:rowOff>
    </xdr:from>
    <xdr:ext cx="184731" cy="264560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D96CD008-C408-48FE-9929-7315CF6DBCCE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11</xdr:row>
      <xdr:rowOff>0</xdr:rowOff>
    </xdr:from>
    <xdr:ext cx="184731" cy="264560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EFF17709-4A9F-41FA-A13F-BECD56A8846E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11</xdr:row>
      <xdr:rowOff>0</xdr:rowOff>
    </xdr:from>
    <xdr:ext cx="184731" cy="264560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E889262D-4B66-4BC5-8744-C9E8B1C63CFA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12</xdr:row>
      <xdr:rowOff>0</xdr:rowOff>
    </xdr:from>
    <xdr:ext cx="184731" cy="264560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48D52BEF-9112-4556-900C-F9E309274923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12</xdr:row>
      <xdr:rowOff>0</xdr:rowOff>
    </xdr:from>
    <xdr:ext cx="184731" cy="264560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BAC9EF68-B2B8-4A2B-A744-7C6BAFB14F4A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12</xdr:row>
      <xdr:rowOff>0</xdr:rowOff>
    </xdr:from>
    <xdr:ext cx="184731" cy="264560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6792C4D8-AAF6-4E65-A618-3515595670D6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12</xdr:row>
      <xdr:rowOff>0</xdr:rowOff>
    </xdr:from>
    <xdr:ext cx="184731" cy="264560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970186EF-5394-4AA4-82DD-E84BC8096147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13</xdr:row>
      <xdr:rowOff>0</xdr:rowOff>
    </xdr:from>
    <xdr:ext cx="184731" cy="264560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A772BCC3-3B44-411C-BFF5-E752544051DF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13</xdr:row>
      <xdr:rowOff>0</xdr:rowOff>
    </xdr:from>
    <xdr:ext cx="184731" cy="264560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77C41360-0FAF-4ED9-A4F5-72A417D6742B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13</xdr:row>
      <xdr:rowOff>0</xdr:rowOff>
    </xdr:from>
    <xdr:ext cx="184731" cy="264560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EC1C181D-933C-49AD-A47A-9265C7C4B3CA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13</xdr:row>
      <xdr:rowOff>0</xdr:rowOff>
    </xdr:from>
    <xdr:ext cx="184731" cy="264560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0FFF0313-0D6E-49D4-BBAB-E2CC4D2F1891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14</xdr:row>
      <xdr:rowOff>0</xdr:rowOff>
    </xdr:from>
    <xdr:ext cx="184731" cy="264560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F4377719-6A2E-442A-B373-F875D9869772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14</xdr:row>
      <xdr:rowOff>0</xdr:rowOff>
    </xdr:from>
    <xdr:ext cx="184731" cy="264560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61CA5905-E7E7-4974-A7DF-1A66CF96E294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14</xdr:row>
      <xdr:rowOff>0</xdr:rowOff>
    </xdr:from>
    <xdr:ext cx="184731" cy="264560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7F909389-F9FB-4812-959C-9826CA6929EA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18</xdr:row>
      <xdr:rowOff>0</xdr:rowOff>
    </xdr:from>
    <xdr:ext cx="184731" cy="264560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C970B881-A850-4071-AF1E-F9A806F2C850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98C939E0-3FBF-471D-93FC-FDA747BD96F2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18</xdr:row>
      <xdr:rowOff>0</xdr:rowOff>
    </xdr:from>
    <xdr:ext cx="184731" cy="264560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2D55F02B-83A2-4339-BB08-69B1910DB2A6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18</xdr:row>
      <xdr:rowOff>0</xdr:rowOff>
    </xdr:from>
    <xdr:ext cx="184731" cy="264560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4871B24B-4629-41AD-8B98-B06A1EDF4FBE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18</xdr:row>
      <xdr:rowOff>0</xdr:rowOff>
    </xdr:from>
    <xdr:ext cx="184731" cy="264560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D58F8C4F-A797-4CCC-BC3C-A6EBD492F20C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746849F3-A76E-4702-93D8-9A5EC4A50C84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E3196A51-FF53-49C0-AF40-046DEEA6E50B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ADF1AD84-999F-471E-AF5C-7324EAE1BA2C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18</xdr:row>
      <xdr:rowOff>0</xdr:rowOff>
    </xdr:from>
    <xdr:ext cx="184731" cy="264560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F76A2625-8A81-47FA-A80F-380EDB023220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18</xdr:row>
      <xdr:rowOff>0</xdr:rowOff>
    </xdr:from>
    <xdr:ext cx="184731" cy="264560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EAF5D52F-E7AE-4007-ABDD-0A37746AC5F0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18</xdr:row>
      <xdr:rowOff>0</xdr:rowOff>
    </xdr:from>
    <xdr:ext cx="184731" cy="264560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5D148897-2254-4FDA-9C9C-1087239B1674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18</xdr:row>
      <xdr:rowOff>0</xdr:rowOff>
    </xdr:from>
    <xdr:ext cx="184731" cy="264560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AF7BA7D8-AF48-4236-A661-B43589FC199A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0B127A3E-EAC6-4B91-BB3A-343D7A578DEE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8C6226E4-0F25-42C0-B1BC-9ED34F468B75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91D73AD5-226D-4765-B155-BDBA1F76EA39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8492A3CB-5A52-4BC8-9EB4-7757A3C728A0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2D33D134-6458-48A3-AB0B-D9749B86B00B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54EA8C74-2362-49C9-8553-237CF6B62EB8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A8B9F8AC-D4C5-40DF-911B-4254104B7BC8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3994ABAD-E227-4D3B-9EC7-DDE85A20B70C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A9C276CE-DD57-49FD-8EB2-59FFDA9B1EA1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021A70F3-601F-48C4-BA6E-67F9A1AA9331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259877E9-B083-4B08-A7FB-F663ED387769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8040B7BD-1AB0-4244-9422-93DD9F925154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E4682912-60FF-45FC-973A-2DF43565E304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FCFEEEBE-752F-4FD3-A1ED-1259C33F23B9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2436DB20-29BA-4303-87E9-67FEA78CF122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184731" cy="264560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F856C4D8-8AF5-4157-B851-C6FCF54EF5ED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B78768F0-EB3A-47F5-9358-A5D112EFE4C2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CDAAF95E-9904-471F-A0A2-A1944A2C8ED1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CAFED8B3-A1BF-42CD-A417-B293C4F85A77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184731" cy="264560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8A93BF04-2DE8-4F2C-BB1A-D1D1C58D6968}"/>
            </a:ext>
          </a:extLst>
        </xdr:cNvPr>
        <xdr:cNvSpPr txBox="1"/>
      </xdr:nvSpPr>
      <xdr:spPr>
        <a:xfrm>
          <a:off x="4686300" y="12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D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2286000</xdr:colOff>
      <xdr:row>20</xdr:row>
      <xdr:rowOff>114300</xdr:rowOff>
    </xdr:from>
    <xdr:to>
      <xdr:col>1</xdr:col>
      <xdr:colOff>3286125</xdr:colOff>
      <xdr:row>40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9CFFCE-73DB-4A68-8945-4AB8B182E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2050" y="4286250"/>
          <a:ext cx="1000125" cy="365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AHMI\Personal%20File\Didi\PRA%20BATARA\AMBANG\PEMB.%20JALAN%20BARU,%20REHAB%20JLN%20PENGHUBUNG%20POROS,%20REHAB%20JEMBTAN%20DAN%20REHAB%20GORONG-GORONG\PEMB.%20JALAN%20BARU%20DLL%20(3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ASTER%20%20BM%202009%20MOGOYUNGGUNG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MULTIMEDIA\PROJECT%202009\DINKESSOS%20BOLSEL%202010%20PERSIAPAN%20LELANG\PENAARAN%20TAMI\KHUSUS%20TENDER\THUN%202009\BOLMONG%20INDUK\TAMY\LINGKUNGAN%20HIDUP\CV.%20RAFI%20KURNIA%20JAYAI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2009\Panitia%20Lelang%202009\RAB%20HPS%20SAMUA%20PANITIA%202009\BINA%20MARGA\22%20HPS%20JALAN%20PINOGALUMAN%20-LABUANG%20UKI%20FIX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Anto\Data%202015\PPK-15%20RAB%202014\1.%20PENINGKATAN%20STRUKTUR%20JAL%20M%20TEWEH-BENANGIN%201%20Ok%20B\AHS%20Peningkatan%20Struktur%20Jalan%20Bts.%20Kota%20M.%20Teweh%20-%20Benangin%2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ASIB%202010\KINGSTON%203\KINGSTON\OE%20TH%202010_MTW-BTS%20KALTIM\OE%20BNG-LPG-BTSKALTIM\BNG-LPG-BTSKALTIM_040210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AWAR%20JEMBATAN%202014\Email%20Topan\RAB%20GBR%20KOTA%202014\121227_Jbt%20Sei%20PAring\DSAP%20Documents\NAJYENKA%20PETHRUSKA\J_October%202007_Bjm%20SpSrpt%20Anjir%20Pasar_Batas%20Kalteng\Main%20Document%20mtp_back_Tw%20Cen_Nugrah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ivisi%20Sipil\Jawa%20Barat\Penawaran%20Bandung\Gedebage-cibiru.Fina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DANG\BRR%202006\SPH%20East%20Coast%20Road%2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BOQ%20Permata%20Senayan%2009%20Juni%202003%20R1a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ASIB%202010\KINGSTON%203\KINGSTON\OE%20TH%202010_MTW-BTS%20KALTIM\OE%20MTW%20-%20BNG%201\MTW-BNGIN%201_04021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kt-2\08.%20KASIRUN%202009\02.%20DATA%20KASIRUN\07.%20KASIRUN%202008\2.%20TENDER\04.%20SWASTA%20&amp;%20BUMN\01.%20PT.%20JASA%20MARGA\TOL%20JAGORAWI%20-%20SENTUL%20BOGOR\AHS%20SPEC%20DES%202006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ofyan\PAHS%20versi%203.0\02%20-%20SOFTWARE\AHS%20SPEC%20Edisi%202010%20erata%20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GO-CKB-BBGN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ntrak\kontrak%202003\APBN%202003\Lingkar%20Kota\K.R.S\penawaran%20K%20R%20S%20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NAWARAN%202006\AI%20TUGAS%20KULIAH\APBN\Seksi%20VIII%20Pe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SPH%20Tarikolot%20rev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ntrak\kontrak%202003\APBN%202003\Lingkar%20Kota\K.R.S\RAB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my-pc\d\DATA-2007\SKEDULE-pcm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-2007\SKEDULE-pcm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NAWARAN%202006\AI%20TUGAS%20KULIAH\APBN\TENDER\OE%20Dumagin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YEK%20TA%202008\SP.%20MUARA%20LAUNG%20DOC\PROGRESS\PROGRESS%20EXTERNAL\RAPP%20SP.MUARA%20LAUNG%20-%20TB.LAUNG\DC%20SP.%20MUARA%20LAUNG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B%209%20PAKET%202011\OWNER%20ESTIMATE\OE'Talaken%20(1)\RAB\SAR\LAP%20BULANAN%20DAN%20MC\BQ\OE-2003%20re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rketing-1\02.%20DATA%20KASIRUN\MASTER%20JANDRY\DOK.MASTER%20JANDRI\ENGINEERING\TAHUN%202006\SPH%20Kota%20Palangkaraya-1%20yang%20disubmitt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ILE%20KUDUS%20835\DENRIE\PKP%20835\BACK-UP2\Dmk-gdg,Klbu-Pwd\Klambu-Purwodadi_BQ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ntrak\kontrak%202003\My%20Documents\Abtar%20Adabi\Penawaranke.PU.EdisiAkhir.Rev.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kp%20858\Sekayu%20-%20Mangunjaya\BOQ%20Sekayu-Mangunjaya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tri\transit%20cad\data%202004\GraPARI\GraPARI%20Pontianak\Telkomsel\Reg%201%20-%20Sumatra\Data-Datum\cqc\Telkomsel\palembang\rab%20lampung%202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@gO35.dot.id\DATA\ADDENDUM%20YANG%20BENAR%20TANGGAL%2008%20JULI%202007%20DI%20PULPIS\PAKET%20BATAS%20KALSEL\ADDENDUM%2002\addendum%203\My%20Documents\BQ\OE-2003%20r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B%209%20PAKET%202011\DATA%20KONTRAK%20TAHUN%202009\ADDENDUM\PRESTASI\SAR\LAP%20BULANAN%20DAN%20MC\BQ\OE-2003%20re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58\d\TEMPAT%20TITIP\Aku.......ola\Training%20Operasi\Kr%20tengahDiva_CAM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DATA%20KONTRAK%20TAHUN%202009\ADDENDUM\BAWAN\COBA\SAR\LAP%20BULANAN%20DAN%20MC\BQ\OE-2003%20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OQ\perbinda5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D-I.ONES\BEPE%20FILE'S\MASTER%20ANALISA-IONES\ANALISA%202005%20ASLI\6-AGGR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%20WAWAN\DATA%202009\PERENCANAAN%20ABT%2009\SMA%20PGRI%20BATU%20RAYA\DATA%202005\DATA%202005\ANALISA%20SNI\ANALISA%20SN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3\C\1_Tosan\GEDUNG\2Tangerang\JKMP\Jim%20Candra\Jim%20House%20ref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Sagaranten-Demix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3\c\anggriawan\Jl.%20DKI\Master\Tampilan\BONTANG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Seneca-Ckp-Pamanukan--rev5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DATA%20KONTRAK%20TAHUN%202009\ADDENDUM\PRESTASI\OWNER%20ESTIMATE\OE'Talaken%20(1)\RAB\SAR\LAP%20BULANAN%20DAN%20MC\BQ\OE-2003%20re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rketing-1\02.%20DATA%20KASIRUN\Projects\puslitbang\Engineer%20Estimate%20Revisi%203\Jalan%20S.Parman\3-DIV10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nawaran\motongkad\CV.%20SARIWONO\file%20penawran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ina%20marga%202009\BILL%202008%20BINA%20MARGA\PEY%20@STUDIO\file%20penawran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uban-Bulu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DATA%20KONTRAK%20TAHUN%202009\ADDENDUM\PRESTASI\OWNER%20ESTIMATE\OE'Talaken%20(1)\RAB\My%20Documents\BQ\OE-2003%20re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DATA%20KONTRAK%20TAHUN%202009\ADDENDUM\PRESTASI\DATA%20KONTRAK%20TAHUN%202009\ADDENDUM\PRESTASI\My%20Documents\BQ\OE-2003%20r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DATA%20KONTRAK%20TAHUN%202009\ADDENDUM\BAWAN\COBA\My%20Documents\BQ\OE-2003%20re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DATA%20KONTRAK%20TAHUN%202009\ADDENDUM\BAWAN\ADDENDUM%20I\PERUBAHAN%20ADENDUM%20TGL%2022%20MARET\OWNER%20ESTIMATE\OE'Talaken%20(1)\RAB\SAR\LAP%20BULANAN%20DAN%20MC\BQ\OE-2003%20re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DATA%20KONTRAK%20TAHUN%202009\ADDENDUM\PRESTASI\OWNER%20ESTIMATE\OE'Talaken%20(1)\Copy%20of%201-BOQ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ntrak\kontrak%202003\APBN%202003\Lingkar%20Kota\K.R.S\penawaran%20krs%20ok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YEK\proyek\Th-2002\0208\bq-ruko\final-wkc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OQ\olot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DATA%20KONTRAK%20TAHUN%202009\ADDENDUM\BAWAN\COBA\DATA%20KONTRAK%20TAHUN%202009\ADDENDUM\PRESTASI\My%20Documents\BQ\OE-2003%20r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OWNER%20ESTIMATE\OE'Talaken%20(1)\RAB\SAR\LAP%20BULANAN%20DAN%20MC\BQ\OE-2003%20re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ll-server\Perencanaan\User\Sonny%20Novianto\Master%20Penawaran\jalan\BM-Vr-03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ina%20marga%202009\APBN\Seksi%20VIII%20Pen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66\d\DATA\dki\2001-08\sarana%20jaya%20mu\jalan&amp;jemb\dc\DC-jembatan%20kresek_KERJA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ol%20Lingkar%20Luar%20Jakarta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3JJ\Back_Up%2001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pcpusat\c\Adeng\APBD\Master%20Penawaran\CIMAREME-BT.JAJAR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5\estimating\Sipil\Irigasi\Sumbawa\Batu%20Bulan%20kiri%20(CP-4)\Direct%20Cost\DCost-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07-DSY\BOQ\MAS-STR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ivisi%20Sipil\Project\Kalteng\Muara%20Teweh%20-%20Benangin2\Benangin%202.R%20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ll-server\Perencanaan\User\Dadi%20Fahrudin\Cmrm-cipatik-soreang%20APBD%202005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77\Estimasi\Estimasi\EDLI\2005\GEDUNG\KWK%20TIMUR\EE%20B2%20Total%202005%20sANTIKA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DATA%20KONTRAK%20TAHUN%202009\ADDENDUM\BAWAN\OWNER%20ESTIMATE\OE'Talaken%20(1)\RAB\My%20Documents\BQ\OE-2003%20r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YEK%20ARIFIN\Kontrak\KONTRAK%20TAHUNAN\RAB%20SP%203%20SAMBOJA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yek%202005\Perindagkop\Rab%20Parkir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GOES%20FISIK%20(F)\B.BENGKEL%20KM.%20352\PT.%20BINTANG%20BERSAUDARA%20PUTRA\ADINDOEM%2003\My%20Documents\BQ\OE-2003%20re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AHAN%20RAPAT%20Tgl.%2021%20Okt%202024\RAB%202024\RAB%202024%20CETAK%20SAWAH%20MANTANGAI%20HILIR%20AHSP%202023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p-1\d\ADANG%20BARU\Tender%20TH%202005\PENAWARAN-SURAMADU\suramadur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NALISA\OE%20PERKIRAAN%20UNTUK%20PENAWARAN\My%20Documents\BQ\OE-2003%20re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3\C\1_Tosan\GEDUNG\2Tangerang\JKMP\Analisa%20Bupati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iawi2\d\CO2-Removal\Final%20BQ\DC%20Mechanical-CO2%20Subang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DATA%20KONTRAK%20TAHUN%202009\ADDENDUM\BAWAN\COBA\OWNER%20ESTIMATE\OE'Talaken%20(1)\Copy%20of%201-BOQ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DATA%20KONTRAK%20TAHUN%202009\ADDENDUM\BAWAN\COBA\OWNER%20ESTIMATE\OE'Talaken%20(1)\RAB\My%20Documents\BQ\OE-2003%20re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B%209%20PAKET%202011\OWNER%20ESTIMATE\OE'Talaken%20(1)\RAB\My%20Documents\BQ\OE-2003%20re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%20WAWAN\DATA%202009\PERENCANAAN%20ABT%2009\SMA%20PGRI%20BATU%20RAYA\PROYEK%202005\TRINSING\Master%20Perikanan\Aula%20Lahei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ANGGARAN%202008\DOKUMEN%202008\ADDENDUM%20KONTRAK\PULANG%20PISAU\ADDENDUM%2002\REVISI\B@gO35.dot.id\DATA\FISIK%20PEKERJAAN%20PEMELIHRAAN\BTS%20KALSEL%20-%20PALANGKARAYA\MEI\My%20Documents\BQ\OE-2003%20re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ANGGARAN%202008\DOKUMEN%202008\ADDENDUM%20KONTRAK\BATAS%20KALSEL\REVISI\My%20Documents\BQ\OE-2003%20re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ANGGARAN%202008\DOKUMEN%202008\DATA%20KONTRAK%20TAHUN%202008\KAPUAS%20-%20BATAS%20KALSEL\BINTANG%20BERSAUDARA%20PUTRA\SAR\LAP%20BULANAN%20DAN%20MC\BQ\OE-2003%20re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CONSULTAN\penawaran\rumah%20sakit\CV.%20POGOGUL%20JAYA\CV.%20POGOGUL%20JAYA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ANGGARAN%202008\DOKUMEN%202008\ADDENDUM%20KONTRAK\PULANG%20PISAU\My%20Documents\BQ\OE-2003%20re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ANGGARAN%202008\DOKUMEN%202008\ADDENDUM%20KONTRAK\PULANG%20PISAU\ADDENDUM%2002\REVISI\SAR\LAP%20BULANAN%20DAN%20MC\BQ\OE-2003%20re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OWNER%20ESTIMATE\OE'Talaken%20(1)\RAB\My%20Documents\BQ\OE-2003%20re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HS2006\Copy%20of%20PAHS2006%20R2%20draft(MIS)new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5\estimating\My%20Documents\Suryana\Format%20DC\Kr%20tengahDiva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iawi2\d\Pembangunan%20Jl.%20Akses%20Bandara%20Juanda%20Final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ANGGARAN%202008\DOKUMEN%202008\ADDENDUM%20KONTRAK\PULANG%20PISAU\FINAL\REVISI\My%20Documents\BQ\OE-2003%20re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PH%20Jalan%20Tol%20Cawang%20-%20Tomang%20-%20Cengkareng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ivisi%20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PH%20Pasirhayam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ivisi%203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ivisi%204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ivisi%205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engineering\BH\STRUKTUR%20BATAM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69\c\My%20Documents\Iwan\Akses%20bandara%20tgr\tangerang%20hatta\DC-akses%20bandara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ANGGARAN%202008\DOKUMEN%202008\ADDENDUM%20KONTRAK\PULANG%20PISAU\ADDENDUM%2002\REVISI\My%20Documents\BQ\OE-2003%20re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rketing-1\02.%20DATA%20KASIRUN\RAB%20PAKET%20I%20-%2001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mbera\c\My%20Documents\Abtar%20Adabi\Penawaranke.PU.EdisiAkhir.Rev.1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003\APBD-200\PASIRHA4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%202012\My%20Data\Data%20Baru%20Agst%202011\ANALISA%20SNI\ANALISA%20SNI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ivisi%20Sipil\Jawa%20Barat\Penawaran%20Bandung\Documents%20and%20Settings\All%20Users\Documents\TOL\Overlay%20TOL%20Jakarta-Cikampek-2005%20R01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003\CIKAMPEK\CIKAMPEK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dalarang%20bypass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iawi2\d\Documents%20and%20Settings\User\My%20Documents\QQ\TSP\Budget_TSP_rev0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DATA%20KONTRAK%20TAHUN%202009\ADDENDUM\BAWAN\My%20Documents\BQ\OE-2003%20re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pc\p%20p%20c\My%20Documents\Endang\P%20P%20C\2005\AHM%202\AHM%20Inspection%20Road_Laporan%20PPC%20Juni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DATA%20KONTRAK%20TAHUN%202009\ADDENDUM\BAWAN\ADDENDUM%20I\PERUBAHAN%20ADENDUM%20TGL%2022%20MARET\OWNER%20ESTIMATE\OE'Talaken%20(1)\RAB\My%20Documents\BQ\OE-2003%20re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ENDER\2003\cikampek-sukamandi\Cikampek-Sukamandi-R03-final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kumen%20Penawaran\sph%20BEKASI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ll-server\Perencanaan\Tender\Wilayah%201\Tender%20TH%202004\APBD\sasakbeusi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DATA%20KONTRAK%20TAHUN%202009\ADDENDUM\BAWAN\ADDENDUM%20I\PERUBAHAN%20ADENDUM%20TGL%2022%20MARET\DATA%20KONTRAK%20TAHUN%202009\ADDENDUM\PRESTASI\SAR\LAP%20BULANAN%20DAN%20MC\BQ\OE-2003%20re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mputer1\jorr\JORR%20-%20JAKON\SECTION%20E3\ELEVATED\ELEVATED%20SLAB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koe\GOES%20FISIK%20(F)\B.BENGKEL%20KM.%20352\PT.%20WIRA%20DHARMA%20MULIA%20JASA\4d3ndum%2003\My%20Documents\BQ\OE-2003%20re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DATA%20KONTRAK%20TAHUN%202009\ADDENDUM\BAWAN\ADDENDUM%20I\PERUBAHAN%20ADENDUM%20TGL%2022%20MARET\DATA%20KONTRAK%20TAHUN%202009\ADDENDUM\PRESTASI\My%20Documents\BQ\OE-2003%20re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P_Lap-Bulanan_02%20gunawan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58\d\TEMPAT%20TITIP\Aku.......ola\mmudp\orb_\analisa\plan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Muara%20Teweh%20-%20Batas%20Kaltim\C%20C%20O\P3JJ\Back_Up%2001a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ivisi%20Sipil\Master%20Penawaran\Master%20Penawaran.2\FORMAT%20satu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Metode-02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iv~QS\Daan%20Mogot\Ruko%20Daan%20Mogot%20R2a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DATA%20KONTRAK%20TAHUN%202009\ADDENDUM\BAWAN\ADDENDUM%20I\PERUBAHAN%20ADENDUM%20TGL%2022%20MARET\OWNER%20ESTIMATE\OE'Talaken%20(1)\Copy%20of%201-BOQ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DATA%20KONTRAK%20TAHUN%202009\ADDENDUM\BAWAN\SAR\LAP%20BULANAN%20DAN%20MC\BQ\OE-2003%20re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DATA%20KONTRAK%20TAHUN%202009\ADDENDUM\BAWAN\ADDENDUM%20I\PERUBAHAN%20ADENDUM%20TGL%2022%20MARET\SAR\LAP%20BULANAN%20DAN%20MC\BQ\OE-2003%20re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TATA%20MULTI\TANJUNG%20PUROH%202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54\c\2000\RIAU\Tampil\BILL%20DPRD%20RIAU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ENDER\2003\Cipatujah\Pameungpeuk-Cipatujah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DATA%20KONTRAK%20TAHUN%202009\ADDENDUM\PRESTASI\DATA%20KONTRAK%20TAHUN%202009\ADDENDUM\PRESTASI\SAR\LAP%20BULANAN%20DAN%20MC\BQ\OE-2003%20re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3\C\1_Tosan\GEDUNG\2Tangerang\JKMP\RAB-SETDA%20%20ST-ARCH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92C0C7\Aula%20Lahei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B%209%20PAKET%202011\DATA%20KONTRAK%20TAHUN%202009\ADDENDUM\PRESTASI\My%20Documents\BQ\OE-2003%20re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B%209%20PAKET%202011\OWNER%20ESTIMATE\OE'Talaken%20(1)\Copy%20of%201-BOQ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ANGGARAN%202008\DOKUMEN%202008\SKETSA%20BARU\SAR\LAP%20BULANAN%20DAN%20MC\BQ\OE-2003%20re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5\c\Data%20kerjaan\Estimating\Sipil\Jembatan\Jemb.%20Gn.Sahari\Tampilan\TAMPIL-sahari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AGOE5%20(I)\FISIK%20PEKERJAAN%20PEMELIHRAAN\BTS%20KALSEL%20-%20PALANGKARAYA\MEI\My%20Documents\BQ\OE-2003%20re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ll-server\perencanaan\Tender\Wilayah%201\Tender%20TH%202005\L.Jasin%20Bandung\SENECA\Subang%20Pamanukan%20%20APBD%202005%20SI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PH%20Tarikolot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ANGGARAN%202008\DOKUMEN%202008\DATA%20KONTRAK%20TAHUN%202008\KAPUAS%20-%20BATAS%20KALSEL\BINTANG%20BERSAUDARA%20PUTRA\My%20Documents\BQ\OE-2003%20re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ANGGARAN%202008\DOKUMEN%202008\ADDENDUM%20KONTRAK\PULANG%20PISAU\FINAL\REVISI\SAR\LAP%20BULANAN%20DAN%20MC\BQ\OE-2003%20re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DATA%20KONTRAK%20TAHUN%202009\ADDENDUM\BAWAN\COBA\OWNER%20ESTIMATE\OE'Talaken%20(1)\RAB\SAR\LAP%20BULANAN%20DAN%20MC\BQ\OE-2003%20re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iawi2\d\TSP\Budget_TSP_rev0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ILE%20KUDUS%20835\DENRIE\PKP%20835\BACK-UP2\2004\Jati-Klambu_BQ-1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s\BRP%20Rehabilitasi%20dan%20rekonstruksi%20Botombawo-Desa%20lalai\BRP%20Rehabilitasi%20dan%20rekonstruksi%20Botombawo-Desa%20lalai%20SPH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71\C\A..Khola\Project\sipil\Jalan\Jateng\Dmk-gdng-Pwd\Demak-Godong-Purwodadi_BQ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6a\Estimasi\Estimasi\Hilman\2005\Sumatera%20Selatan\Mangkunegara\BQ_Mangkunegara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ANGGARAN%202008\DOKUMEN%202008\ADDENDUM%20KONTRAK\BATAS%20KALSEL\My%20Documents\BQ\OE-2003%20re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gung\agung\File%20Alambhana\Prass\RAB%20Renovasi%20Rumah%20Hanglekir%20Atap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ningkatan%20Jln%20Setiabudi.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SAMARGA%20PDL-PWK%20THPII-PAKET%20IV-I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ll-server\Perencanaan\Tender\Wilayah%201\Tender%20TH%202005\Surade-Tegal%20Buleud%20%20APBD%202005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ANGGARAN%202008\DOKUMEN%202008\ADDENDUM%20KONTRAK\PULANG%20PISAU\SAR\LAP%20BULANAN%20DAN%20MC\BQ\OE-2003%20re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DATA%20KONTRAK%20TAHUN%202009\ADDENDUM\BAWAN\ADDENDUM%20I\PERUBAHAN%20ADENDUM%20TGL%2022%20MARET\My%20Documents\BQ\OE-2003%20re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ENDER\2003\Cipatujah\Cikampek-Sukamandi-R03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ackup%20Estimator\Pemasaran\RAB\Bina%20Marga\Jalan\2002\ADB\SEBULUAN%2001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JL-KOTARAYA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iawi2\d\Marunda%202007\Marunda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user\My%20Documents\LAP%20HARGA%20SAT\ANL%20HARGA%20SATUAN\EXCEL-PAHS\PANDUAN%20BQ\EE%20FO%20Pamanukan\3-DIV3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NAWARAN%202006\AI%20TUGAS%20KULIAH\2004\rab\MOLINOW%20SMP%20II-tamb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indahan%20Komp%20Amp-1\ADANG%20BARU\Penawaran\TENDER%20AL01\Padalarang%20Cianjur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koe\GOES%20FISIK%20(F)\B.BENGKEL%20KM.%20352\PT.%20WIRA%20DHARMA%20MULIA%20JASA\4d3ndum%2003\SAR\LAP%20BULANAN%20DAN%20MC\BQ\OE-2003%20re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58\d\TEMPAT%20TITIP\isyanto\DC%20HOT%20MIX2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iawi2\d\Documents%20and%20Settings\User\My%20Documents\QQ\CO2-Removal\Final%20BQ\DC%20Mechanical-CO2%20Subang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2003\0301\BQ\townhouse\BQ-R2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ANGGARAN%202008\DOKUMEN%202008\ADDENDUM%20KONTRAK\PULANG%20PISAU\ADDENDUM%2002\REVISI\B@gO35.dot.id\DATA\FISIK%20PEKERJAAN%20PEMELIHRAAN\BTS%20KALSEL%20-%20PALANGKARAYA\MEI\SAR\LAP%20BULANAN%20DAN%20MC\BQ\OE-2003%20re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DATA%20KONTRAK%20TAHUN%202009\ADDENDUM\BAWAN\COBA\DATA%20KONTRAK%20TAHUN%202009\ADDENDUM\PRESTASI\SAR\LAP%20BULANAN%20DAN%20MC\BQ\OE-2003%20re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AGOE5%20(I)\FISIK%20PEKERJAAN%20PEMELIHRAAN\BTS%20KALSEL%20-%20PALANGKARAYA\MEI\SAR\LAP%20BULANAN%20DAN%20MC\BQ\OE-2003%20re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ANGGARAN%202008\DOKUMEN%202008\SKETSA%20BARU\My%20Documents\BQ\OE-2003%20re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ivisi%20Sipil\Jawa%20Barat\Penawaran%20Bandung\Pelindo\SPH%20ALAS%20UTARA%20CS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DA%20ARCHITECTURE/Desktop/RAB%20BARU.xlsx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SN\My%20Documents\My%20Dokumen\TENDER%202007\Paket%20Pekerjaan\MESUJI%20SEKAMPUNG\BASUKI\BRP%20PK%2043%20Rawa%20Galih%20Hulu%205.34%20Km\BRP%20SPH%20P.%20tanggul%20banjir%20rawa%20galih%20hulu%205.34%20km%20asli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%20WAWAN\DATA%202009\PERENCANAAN%20ABT%2009\SMA%20PGRI%20BATU%20RAYA\ANALISA%20SNI\ANALISA%20SNI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TAHUN%202009%20TUMBANG%20TELAKEN\DATA%20KONTRAK%20TAHUN%202009\ADDENDUM\BAWAN\OWNER%20ESTIMATE\OE'Talaken%20(1)\RAB\SAR\LAP%20BULANAN%20DAN%20MC\BQ\OE-2003%20re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NECA-SERVER\Perencanaan\PPC\ServerNovel\DRV_G\TITIP\DARYANTO\LPJK(L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ningkatan%20Jl.%20PHH%20Mustopa%20(%20PT.%20C%20)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ivisi%20Sipil\Jawa%20Barat\Penawaran%20Bandung\Data%20Vida\vida%201\Pekerjaan%20Jalan%20Utama%20utk-PT.Mandala%20jitu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ivisi%20Sipil\Jawa%20Barat\Penawaran%20Bandung\Data%20Vida\vida%201\Ting.%20Jl.%20PHH%20Mustopa%20(%20pt%20pawestri%20)rev1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71\C\A..Khola\Project\sipil\Jalan\Jateng\Dmk-gdng-Pwd\DC_JL-Demak-GD-Pwdd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y%20Drive\Bagian%20Program%20dan%20Evaluasi%20(Tahun%202024)\21.%20SID%20OPLAH%20RAWA\SID%20KALTARA%202024\LAPORAN%20AKHIR\RAB%20Revisi%20II\Bulungan\1.%20Desa%20Salimbatu\MASTER_BOQ_SID_OPLAH-CSR_KALTARA_SB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y%20Drive\Bagian%20Program%20dan%20Evaluasi%20(Tahun%202024)\21.%20SID%20OPLAH%20RAWA\SID%20KALTARA%202024\LAPORAN%20AKHIR\RAB%20revisi\Bulungan\1.%20Desa%20Salimbatu\MASTER_AHSP_SID_OPLAH-CSR_KALTARA_SALIMBAT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rat Pnwrn"/>
      <sheetName val="Srt Sanggup"/>
      <sheetName val="Srt Tunduk Keppres"/>
      <sheetName val="Rekap"/>
      <sheetName val="Perincian(1)"/>
      <sheetName val="Perincian(2)"/>
      <sheetName val="Perincian(3)"/>
      <sheetName val="Perincian(4)"/>
      <sheetName val="Perincian(5)"/>
      <sheetName val="Mobilisasi"/>
      <sheetName val="Upah"/>
      <sheetName val="Bahan"/>
      <sheetName val="ANLS"/>
      <sheetName val="ANLS ALAT"/>
      <sheetName val="K.210b"/>
      <sheetName val="K.220a"/>
      <sheetName val="K.220b"/>
      <sheetName val="K.514"/>
      <sheetName val="K.311a"/>
      <sheetName val="K. 110b"/>
      <sheetName val="Time Schedule"/>
      <sheetName val="Met.Pelksn"/>
      <sheetName val="Sheet1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uantitas"/>
      <sheetName val="terbilang "/>
      <sheetName val="MOS"/>
      <sheetName val="Informasi"/>
      <sheetName val="Rekap"/>
      <sheetName val="DKH"/>
      <sheetName val="PE UT"/>
      <sheetName val="Upah+Bahan"/>
      <sheetName val="H.Alat"/>
      <sheetName val="A.Alat"/>
      <sheetName val="Analisa Quarry"/>
      <sheetName val="AGREGAT"/>
      <sheetName val="Div.1"/>
      <sheetName val="A.Div 2"/>
      <sheetName val="R.Div 2 "/>
      <sheetName val="A.Div3"/>
      <sheetName val="R.Div3 "/>
      <sheetName val="A.Div 4"/>
      <sheetName val="R.Div4"/>
      <sheetName val="A.Div5"/>
      <sheetName val="R.Div5"/>
      <sheetName val="A.Div 6"/>
      <sheetName val="R.Div 6"/>
      <sheetName val="A.Div7"/>
      <sheetName val="R.Div7"/>
      <sheetName val="A.Div8"/>
      <sheetName val="R.Div8 "/>
      <sheetName val="A.Div9"/>
      <sheetName val="R.Div9 "/>
      <sheetName val="A.Div10"/>
      <sheetName val="R.Div10 "/>
      <sheetName val="Rutin"/>
      <sheetName val="KONFIRM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nawaran"/>
      <sheetName val="REKAP"/>
      <sheetName val="rab"/>
      <sheetName val="satuanjadi"/>
      <sheetName val="satuanjadiSNI2007"/>
      <sheetName val="analSNI2007"/>
      <sheetName val="upah"/>
      <sheetName val="metode"/>
      <sheetName val="skedul"/>
      <sheetName val="skema"/>
      <sheetName val="DAFT-SONIL"/>
      <sheetName val="DAFT-ALAT"/>
      <sheetName val="analisa"/>
      <sheetName val="Sheet1"/>
      <sheetName val="Sheet3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uantitas"/>
      <sheetName val="terbilang "/>
      <sheetName val="MOS"/>
      <sheetName val="Informasi"/>
      <sheetName val="Rekap"/>
      <sheetName val="DKH"/>
      <sheetName val="PE UT"/>
      <sheetName val="Upah+Bahan"/>
      <sheetName val="H.Alat"/>
      <sheetName val="A.Alat"/>
      <sheetName val="Analisa Quarry"/>
      <sheetName val="AGREGAT"/>
      <sheetName val="Div.1"/>
      <sheetName val="A.Div 2"/>
      <sheetName val="R.Div 2 "/>
      <sheetName val="A.Div3"/>
      <sheetName val="R.Div3 "/>
      <sheetName val="A.Div 4"/>
      <sheetName val="R.Div4"/>
      <sheetName val="A.Div5"/>
      <sheetName val="R.Div5"/>
      <sheetName val="A.Div 6"/>
      <sheetName val="R.Div 6"/>
      <sheetName val="A.Div7"/>
      <sheetName val="R.Div7"/>
      <sheetName val="A.Div8"/>
      <sheetName val="R.Div8 "/>
      <sheetName val="A.Div9"/>
      <sheetName val="R.Div9 "/>
      <sheetName val="A.Div10"/>
      <sheetName val="R.Div10 "/>
      <sheetName val="Rutin"/>
      <sheetName val="KONFIRMASI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/>
      <sheetData sheetId="8" refreshError="1"/>
      <sheetData sheetId="9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_print"/>
      <sheetName val="Informasi"/>
      <sheetName val="4-Basic Price"/>
      <sheetName val="Rekap"/>
      <sheetName val="BOQ"/>
      <sheetName val="Mobilisasi"/>
      <sheetName val="D2"/>
      <sheetName val="D3"/>
      <sheetName val="D4"/>
      <sheetName val="D5"/>
      <sheetName val="D6"/>
      <sheetName val="D7(1)"/>
      <sheetName val="D7(2)"/>
      <sheetName val="D8(1)"/>
      <sheetName val="D8(2)"/>
      <sheetName val="5-ALAT(1)"/>
      <sheetName val="DISCLAIMER"/>
      <sheetName val="MAJOR"/>
      <sheetName val="%"/>
      <sheetName val="Peta Quarry"/>
      <sheetName val="Perhitungan Mobilisasi Alat"/>
      <sheetName val="Lalu Lintas"/>
      <sheetName val="Jembatan Sementara"/>
      <sheetName val="4-Analisa Quarry"/>
      <sheetName val="4-formulir harga bahan"/>
      <sheetName val="5-ALAT (2)"/>
      <sheetName val="Agg Halus &amp; Kasar"/>
      <sheetName val="Agg A"/>
      <sheetName val="Agg B"/>
      <sheetName val="Agg C"/>
      <sheetName val="D6 ASBT"/>
      <sheetName val="D7(3)"/>
      <sheetName val="D9"/>
      <sheetName val="D10 LS-Rutin"/>
      <sheetName val="D10 Kuantitas"/>
      <sheetName val="D10 Analisa HSP"/>
    </sheetNames>
    <sheetDataSet>
      <sheetData sheetId="0"/>
      <sheetData sheetId="1" refreshError="1"/>
      <sheetData sheetId="2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SCLAIMER"/>
      <sheetName val="MAJOR"/>
      <sheetName val="%"/>
      <sheetName val="COVER_print"/>
      <sheetName val="Rekap"/>
      <sheetName val="VOLUME_print"/>
      <sheetName val="BOQ"/>
      <sheetName val="Sheet1"/>
      <sheetName val="SKETSA"/>
      <sheetName val="TYPICAL 1 (BNG-LPG-BTSKT)"/>
      <sheetName val="TYPICAL 2 (BNG-LPG-BTSKT)"/>
      <sheetName val="TYPICAL 3 (BNG-LPG-BTSKT)"/>
      <sheetName val="Informasi"/>
      <sheetName val="Peta Quarry"/>
      <sheetName val="Mobilisasi"/>
      <sheetName val="Perhitungan Mobilisasi Alat"/>
      <sheetName val="Lalu Lintas"/>
      <sheetName val="Jembatan Sementara"/>
      <sheetName val="D2"/>
      <sheetName val="D3"/>
      <sheetName val="D4"/>
      <sheetName val="D5"/>
      <sheetName val="D6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  <sheetName val="4-Basic Price"/>
      <sheetName val="4-Analisa Quarry"/>
      <sheetName val="4-formulir harga bahan"/>
      <sheetName val="5-ALAT(1)"/>
      <sheetName val="5-ALAT (2)"/>
      <sheetName val="Agg Halus &amp; Kasar"/>
      <sheetName val="Agg A"/>
      <sheetName val="Agg B"/>
      <sheetName val="Agg C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DWAL"/>
      <sheetName val="Rekap"/>
      <sheetName val="1.2_Lump Sump"/>
      <sheetName val="Daftar Kuantitas &amp; Harga (2 (3)"/>
      <sheetName val="Anal Alat"/>
      <sheetName val="Daftar Upah, Bahan, Alat"/>
      <sheetName val="Daftar Kuantitas &amp; Harga (2)"/>
      <sheetName val="Anls Hrg Satuan"/>
      <sheetName val="dv-6"/>
      <sheetName val="dv-7"/>
      <sheetName val="dv-7a"/>
      <sheetName val="dv-8"/>
      <sheetName val="AGGR"/>
      <sheetName val="dv-3"/>
      <sheetName val="dv-2"/>
      <sheetName val="dv-31a"/>
      <sheetName val="dv-31"/>
      <sheetName val="dv-4"/>
      <sheetName val="dv-5"/>
      <sheetName val="HRS-baseL"/>
      <sheetName val="dv-rgid"/>
      <sheetName val="ad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rat "/>
      <sheetName val="REK"/>
      <sheetName val="BOQ (2)"/>
      <sheetName val="SPH"/>
      <sheetName val="LMP.12"/>
      <sheetName val="IND"/>
      <sheetName val="Rek."/>
      <sheetName val="BOQ"/>
      <sheetName val="MPU"/>
      <sheetName val="ANA"/>
      <sheetName val="MET-BAB-7"/>
      <sheetName val="AC-Base"/>
      <sheetName val="HSD"/>
      <sheetName val="ANA LS "/>
      <sheetName val="SUBkon"/>
      <sheetName val="SCH"/>
      <sheetName val="BOQ !"/>
      <sheetName val="PERHITUNGAN KEB.BAHAN"/>
      <sheetName val="PERHITUNGAN KEB.BAHAN (2)"/>
      <sheetName val="SCH ALAT"/>
      <sheetName val="SCH ALAT (2)"/>
      <sheetName val="SCH BAHAN"/>
      <sheetName val="SCH BAHAN (2)"/>
      <sheetName val="MOS"/>
      <sheetName val="konf"/>
      <sheetName val="RTN"/>
      <sheetName val="MET-BAB-06"/>
      <sheetName val="bhn luar"/>
      <sheetName val="staf"/>
      <sheetName val="alat"/>
      <sheetName val="dATA KONTRAK"/>
      <sheetName val="nonpns"/>
      <sheetName val="Kar"/>
      <sheetName val="Met-02"/>
      <sheetName val="MET-03"/>
      <sheetName val="MET-BAB-04"/>
      <sheetName val="Met-Bab-08"/>
      <sheetName val="Met Rtn"/>
      <sheetName val="BALT"/>
      <sheetName val="Sheet2"/>
      <sheetName val="Sheet2 (2)"/>
      <sheetName val="Sheet1"/>
      <sheetName val="Sheet1 (2)"/>
      <sheetName val="8.4(1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"/>
      <sheetName val="Sheet7"/>
      <sheetName val="surat "/>
      <sheetName val="Lalin"/>
      <sheetName val="REK"/>
      <sheetName val="BOQ "/>
      <sheetName val="LMP.1"/>
      <sheetName val="SCH"/>
      <sheetName val="ANA LS"/>
      <sheetName val="ANA LS (2)"/>
      <sheetName val="RTN"/>
      <sheetName val="MOS"/>
      <sheetName val="KONF"/>
      <sheetName val="MPU"/>
      <sheetName val="dATA KONTRAK"/>
      <sheetName val="SUBkon"/>
      <sheetName val="sCD aLAT"/>
      <sheetName val="HSD"/>
      <sheetName val="Ana 3"/>
      <sheetName val="Met Bab 3"/>
      <sheetName val="Ana 4"/>
      <sheetName val="Met Bab 4"/>
      <sheetName val="Ana 5"/>
      <sheetName val="Met Bab 5"/>
      <sheetName val="Ana 6"/>
      <sheetName val="Met Bab 6"/>
      <sheetName val="Ana 7"/>
      <sheetName val="Met Bab 7 "/>
      <sheetName val="Ana 2"/>
      <sheetName val="Met Bab 2"/>
      <sheetName val="Ana 8"/>
      <sheetName val="Met Bab 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  <sheetName val="PPC"/>
      <sheetName val="SAP"/>
      <sheetName val="G_SUMMARY"/>
      <sheetName val="Isolasi Luar Dalam"/>
      <sheetName val="Isolasi Luar"/>
      <sheetName val="Koef"/>
      <sheetName val="Material"/>
      <sheetName val="Daf 1"/>
      <sheetName val="B _ Norelec"/>
      <sheetName val="DATA"/>
      <sheetName val="B - Norelec"/>
      <sheetName val="rab me (by owner) "/>
      <sheetName val="BQ (by owner)"/>
      <sheetName val="rab me (fisik)"/>
      <sheetName val="UMUM"/>
      <sheetName val="Spek_Kusen1"/>
      <sheetName val="Gross_Area1"/>
      <sheetName val="Spek_Kusen"/>
      <sheetName val="Gross_Area"/>
      <sheetName val="harsat"/>
      <sheetName val="plumbing"/>
      <sheetName val="dongia (2)"/>
      <sheetName val="LKVL-CK-HT-GD1"/>
      <sheetName val="giathanh1"/>
      <sheetName val="A"/>
      <sheetName val="BQ"/>
      <sheetName val="div2"/>
      <sheetName val="TS add-01"/>
      <sheetName val="Harga"/>
      <sheetName val="CH"/>
      <sheetName val="H.Satuan"/>
      <sheetName val="HB "/>
      <sheetName val="ESCON"/>
      <sheetName val="bhn"/>
      <sheetName val="Ahs.2"/>
      <sheetName val="Ahs.1"/>
      <sheetName val="Compare"/>
      <sheetName val="Upah"/>
      <sheetName val="Steel-Twr"/>
      <sheetName val="I-KAMAR"/>
      <sheetName val="Kuantitas &amp; Harga"/>
      <sheetName val="AHS Marka"/>
      <sheetName val="Surat"/>
      <sheetName val="Input"/>
      <sheetName val="BoQ C4"/>
      <sheetName val="RAP"/>
      <sheetName val="STR"/>
      <sheetName val="kode rekening"/>
      <sheetName val="LOADDAT"/>
      <sheetName val="Currency Rate"/>
      <sheetName val="HS_TRG"/>
      <sheetName val="B___Norelec"/>
      <sheetName val="BoQ_C4"/>
      <sheetName val="BasicPrice"/>
      <sheetName val="Peralatan"/>
      <sheetName val="anal"/>
      <sheetName val="struktur"/>
      <sheetName val="HSD Alat"/>
      <sheetName val="HSD Bahan"/>
      <sheetName val="ANA"/>
      <sheetName val="REK"/>
      <sheetName val="HSD Upah"/>
      <sheetName val="BOQ Permata Senayan 09 Juni 200"/>
      <sheetName val="HB"/>
      <sheetName val="Rekapitulasi Harga Satuan"/>
      <sheetName val="Daftar Harga Material"/>
      <sheetName val="HRG BHN"/>
      <sheetName val="Rate"/>
      <sheetName val="5-ALAT(1)"/>
      <sheetName val="DAF_2"/>
      <sheetName val="L1"/>
      <sheetName val="struktur tdk dipakai"/>
      <sheetName val="Cash Flow bulanan"/>
      <sheetName val="BQ &amp; Harga"/>
      <sheetName val="major tems"/>
      <sheetName val="bahan"/>
      <sheetName val="hrg-dsr"/>
      <sheetName val="arab"/>
      <sheetName val="PRD01-5"/>
      <sheetName val="Personnel"/>
      <sheetName val="INF"/>
      <sheetName val="Basic Price"/>
      <sheetName val="Sat Bah &amp; Up"/>
      <sheetName val="Sat Bah _ Up"/>
      <sheetName val="Har-mat"/>
      <sheetName val="Har_mat"/>
      <sheetName val="BAG-III"/>
      <sheetName val="DAF-1"/>
      <sheetName val="Daf.Harga-Upah"/>
      <sheetName val="MK"/>
      <sheetName val="351BQMCN"/>
      <sheetName val="URAIAN "/>
      <sheetName val="LS-Rutin"/>
      <sheetName val="ana_str"/>
      <sheetName val="DIV.3"/>
      <sheetName val="DIV.8"/>
      <sheetName val="Bahan "/>
      <sheetName val="Pekerjaan "/>
      <sheetName val="Panel,feeder,elek"/>
      <sheetName val="Bill of Qty MEP"/>
      <sheetName val="PT."/>
      <sheetName val="Huruf"/>
      <sheetName val="Rab"/>
      <sheetName val="analisa ARS"/>
      <sheetName val="AN-RC"/>
      <sheetName val="ah sanitary"/>
      <sheetName val="Up &amp; bhn"/>
      <sheetName val="INPUT 3"/>
      <sheetName val="INPUT 2"/>
      <sheetName val="prog-mgu"/>
      <sheetName val="Sheet2"/>
      <sheetName val="Sheet3"/>
      <sheetName val="Bide-bq-int"/>
      <sheetName val="KODE"/>
      <sheetName val="AHS"/>
      <sheetName val="Alat"/>
      <sheetName val="Basic"/>
      <sheetName val="Quarry"/>
      <sheetName val="HARGA ALAT"/>
      <sheetName val="KODE BAHAN"/>
      <sheetName val="INPUT AGST"/>
      <sheetName val="KODE UPAH"/>
      <sheetName val="Peralatan Utama"/>
      <sheetName val="Fill this out first..."/>
      <sheetName val="Analisa RAP"/>
      <sheetName val="Bahan B"/>
      <sheetName val="Sub"/>
      <sheetName val="Telusur"/>
      <sheetName val="Upah B"/>
      <sheetName val="Analisa RAB"/>
      <sheetName val="Mob"/>
      <sheetName val=""/>
      <sheetName val="name"/>
      <sheetName val="Cover"/>
      <sheetName val="satuan_pek_ars"/>
      <sheetName val="Memb Schd"/>
      <sheetName val="Balok_1"/>
      <sheetName val="I_KAMAR"/>
      <sheetName val="Master Edit"/>
      <sheetName val="NP"/>
      <sheetName val="HargaBahan"/>
      <sheetName val="1.Unit Price"/>
      <sheetName val="7. Comparison of Asphalt etc"/>
      <sheetName val="KoefExc_Dump_Vibro"/>
      <sheetName val="PC"/>
      <sheetName val="jobhist"/>
      <sheetName val="Kolam"/>
      <sheetName val="Jembatan I"/>
      <sheetName val="SAT UPAH RAPI"/>
      <sheetName val="SUB-KON"/>
      <sheetName val="STAF"/>
      <sheetName val="SAT-BHN"/>
      <sheetName val="Metode"/>
      <sheetName val="DCF"/>
      <sheetName val="BQ_E20_02_Rp_"/>
      <sheetName val="BQ-1A"/>
      <sheetName val="REKAP PER BUILDING"/>
      <sheetName val="Q'ty"/>
      <sheetName val="railing"/>
      <sheetName val="Analisa STR"/>
      <sheetName val="NP 7"/>
      <sheetName val="Analisa Harga Satuan"/>
      <sheetName val="Urai _Resap pengikat"/>
      <sheetName val="A1"/>
      <sheetName val="Kuantitas"/>
      <sheetName val="BO alat"/>
      <sheetName val="Analisa Quarry"/>
      <sheetName val="Informasi"/>
      <sheetName val="JSiar"/>
      <sheetName val="B___Norelec1"/>
      <sheetName val="BoQ_C41"/>
      <sheetName val="B_-_Norelec"/>
      <sheetName val="kode_rekening"/>
      <sheetName val="Currency_Rate"/>
      <sheetName val="BOQ"/>
      <sheetName val="4-Basic Price"/>
      <sheetName val="BQ-Tenis"/>
      <sheetName val="Arsitektur"/>
      <sheetName val="BOQ_Aula"/>
      <sheetName val="Fill this out first___"/>
      <sheetName val="BAG-2"/>
      <sheetName val="Persiapan"/>
      <sheetName val="DAF-4"/>
      <sheetName val="NAMES"/>
      <sheetName val="H_Dasr link"/>
      <sheetName val="Spek_Kusen2"/>
      <sheetName val="Gross_Area2"/>
      <sheetName val="ah_sanitary2"/>
      <sheetName val="ah_sanitary"/>
      <sheetName val="ah_sanitary1"/>
      <sheetName val="divII"/>
      <sheetName val="TSS"/>
      <sheetName val="CPar"/>
      <sheetName val="7.PEK-STRUKTUR"/>
      <sheetName val="Rp"/>
      <sheetName val="Potongan"/>
      <sheetName val="BPM"/>
      <sheetName val="StanE"/>
      <sheetName val="sub_total_bag_7"/>
      <sheetName val="Rekap Direct Cost"/>
      <sheetName val="Dashboard"/>
      <sheetName val="iTEM hARSAT"/>
      <sheetName val="Antek"/>
      <sheetName val="ans"/>
      <sheetName val="BOQ_PAKET-1"/>
      <sheetName val="REKAP_PAKEI-1"/>
      <sheetName val="HS"/>
      <sheetName val="DATA WP"/>
      <sheetName val="CRA_Detail"/>
      <sheetName val="Volume"/>
      <sheetName val="HARGA MATERIAL"/>
      <sheetName val="Analysis"/>
      <sheetName val="REKAP"/>
      <sheetName val="TRIWULAN 3"/>
      <sheetName val="10"/>
      <sheetName val="H.Material, Upah &amp; Alat"/>
      <sheetName val="Analisa H.Sat.Pek."/>
      <sheetName val="DAF_1"/>
      <sheetName val="DAF-7"/>
      <sheetName val="BQ ARS"/>
      <sheetName val="Tableau"/>
      <sheetName val="Coef et données"/>
      <sheetName val="D7(1)"/>
      <sheetName val="CBD"/>
      <sheetName val="304-06"/>
      <sheetName val="hst  LAMP_1"/>
      <sheetName val="Harsat Bahan"/>
      <sheetName val="Harsat Upah"/>
      <sheetName val="Elektrikal"/>
      <sheetName val="REF.ONLY"/>
      <sheetName val="Pipe"/>
      <sheetName val="LAMPIRAN"/>
      <sheetName val="Memb_Schd"/>
      <sheetName val="Fill_this_out_first___"/>
      <sheetName val="Harsat_Bahan"/>
      <sheetName val="Harsat_Upah"/>
      <sheetName val="REF_ONLY"/>
      <sheetName val="chitimc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RAW MATERIALS "/>
      <sheetName val="COST-PERSON-J.O."/>
      <sheetName val="RENTAL1"/>
      <sheetName val="BQ-Str"/>
      <sheetName val="Kolom UT"/>
      <sheetName val="Analisa HS"/>
      <sheetName val="HPS PC"/>
      <sheetName val="C.ALS-STR-PDS"/>
      <sheetName val="analisa GRC"/>
      <sheetName val="Q.ALS-saluran+BK"/>
      <sheetName val="9 PEK-HARIAN"/>
      <sheetName val="Analisa PEMB. UTAMA"/>
      <sheetName val="REKAPITULASI"/>
      <sheetName val="rekap-analis"/>
      <sheetName val="112-885"/>
      <sheetName val="AC"/>
      <sheetName val="Isolasi_Luar_Dalam1"/>
      <sheetName val="Isolasi_Luar1"/>
      <sheetName val="Isolasi_Luar_Dalam"/>
      <sheetName val="Isolasi_Luar"/>
      <sheetName val="Isolasi_Luar_Dalam2"/>
      <sheetName val="Isolasi_Luar2"/>
      <sheetName val="Spek_Kusen3"/>
      <sheetName val="Gross_Area3"/>
      <sheetName val="Isolasi_Luar_Dalam3"/>
      <sheetName val="Isolasi_Luar3"/>
      <sheetName val="D-3 (M)"/>
      <sheetName val="D-7 (M)"/>
      <sheetName val="Hitungan"/>
      <sheetName val="5-Peralatan"/>
      <sheetName val="IPL_SCHEDULE"/>
      <sheetName val="REKAP (2)"/>
      <sheetName val="BoQ_C43"/>
      <sheetName val="B___Norelec3"/>
      <sheetName val="Kuantitas_&amp;_Harga1"/>
      <sheetName val="kode_rekening2"/>
      <sheetName val="B_-_Norelec2"/>
      <sheetName val="Currency_Rate2"/>
      <sheetName val="BOQ_Permata_Senayan_09_Juni_201"/>
      <sheetName val="HSD_Alat1"/>
      <sheetName val="HSD_Bahan1"/>
      <sheetName val="HSD_Upah1"/>
      <sheetName val="Rekapitulasi_Harga_Satuan1"/>
      <sheetName val="Daftar_Harga_Material1"/>
      <sheetName val="Ahs_21"/>
      <sheetName val="Ahs_11"/>
      <sheetName val="HRG_BHN1"/>
      <sheetName val="Jembatan_I1"/>
      <sheetName val="Cash_Flow_bulanan1"/>
      <sheetName val="struktur_tdk_dipakai1"/>
      <sheetName val="BQ_&amp;_Harga1"/>
      <sheetName val="major_tems1"/>
      <sheetName val="HB_1"/>
      <sheetName val="Urai__Resap_pengikat1"/>
      <sheetName val="BO_alat1"/>
      <sheetName val="Analisa_Harga_Satuan1"/>
      <sheetName val="Analisa_Quarry1"/>
      <sheetName val="SAT_UPAH_RAPI1"/>
      <sheetName val="Rekap_Direct_Cost1"/>
      <sheetName val="BAHAN_1"/>
      <sheetName val="iTEM_hARSAT1"/>
      <sheetName val="rab_me_(by_owner)_1"/>
      <sheetName val="BQ_(by_owner)1"/>
      <sheetName val="rab_me_(fisik)1"/>
      <sheetName val="H_Satuan1"/>
      <sheetName val="TS_add-011"/>
      <sheetName val="HARGA_ALAT1"/>
      <sheetName val="Pekerjaan_1"/>
      <sheetName val="4-Basic_Price1"/>
      <sheetName val="dongia_(2)1"/>
      <sheetName val="Memb_Schd1"/>
      <sheetName val="Fill_this_out_first___1"/>
      <sheetName val="DIV_31"/>
      <sheetName val="DIV_81"/>
      <sheetName val="URAIAN_1"/>
      <sheetName val="Analisa_STR1"/>
      <sheetName val="NP_71"/>
      <sheetName val="BoQ_C42"/>
      <sheetName val="B___Norelec2"/>
      <sheetName val="Kuantitas_&amp;_Harga"/>
      <sheetName val="kode_rekening1"/>
      <sheetName val="B_-_Norelec1"/>
      <sheetName val="Currency_Rate1"/>
      <sheetName val="BOQ_Permata_Senayan_09_Juni_200"/>
      <sheetName val="HSD_Alat"/>
      <sheetName val="HSD_Bahan"/>
      <sheetName val="HSD_Upah"/>
      <sheetName val="Rekapitulasi_Harga_Satuan"/>
      <sheetName val="Daftar_Harga_Material"/>
      <sheetName val="Ahs_2"/>
      <sheetName val="Ahs_1"/>
      <sheetName val="HRG_BHN"/>
      <sheetName val="Jembatan_I"/>
      <sheetName val="Cash_Flow_bulanan"/>
      <sheetName val="struktur_tdk_dipakai"/>
      <sheetName val="BQ_&amp;_Harga"/>
      <sheetName val="major_tems"/>
      <sheetName val="HB_"/>
      <sheetName val="Urai__Resap_pengikat"/>
      <sheetName val="BO_alat"/>
      <sheetName val="Analisa_Harga_Satuan"/>
      <sheetName val="Analisa_Quarry"/>
      <sheetName val="SAT_UPAH_RAPI"/>
      <sheetName val="Rekap_Direct_Cost"/>
      <sheetName val="BAHAN_"/>
      <sheetName val="iTEM_hARSAT"/>
      <sheetName val="rab_me_(by_owner)_"/>
      <sheetName val="BQ_(by_owner)"/>
      <sheetName val="rab_me_(fisik)"/>
      <sheetName val="H_Satuan"/>
      <sheetName val="TS_add-01"/>
      <sheetName val="HARGA_ALAT"/>
      <sheetName val="Pekerjaan_"/>
      <sheetName val="Analisa_STR"/>
      <sheetName val="NP_7"/>
      <sheetName val="4-Basic_Price"/>
      <sheetName val="dongia_(2)"/>
      <sheetName val="DIV_3"/>
      <sheetName val="DIV_8"/>
      <sheetName val="URAIAN_"/>
      <sheetName val="Spek_Kusen4"/>
      <sheetName val="Gross_Area4"/>
      <sheetName val="BoQ_C44"/>
      <sheetName val="B___Norelec4"/>
      <sheetName val="Kuantitas_&amp;_Harga2"/>
      <sheetName val="kode_rekening3"/>
      <sheetName val="B_-_Norelec3"/>
      <sheetName val="Currency_Rate3"/>
      <sheetName val="BOQ_Permata_Senayan_09_Juni_202"/>
      <sheetName val="HSD_Alat2"/>
      <sheetName val="HSD_Bahan2"/>
      <sheetName val="HSD_Upah2"/>
      <sheetName val="Rekapitulasi_Harga_Satuan2"/>
      <sheetName val="Daftar_Harga_Material2"/>
      <sheetName val="Ahs_22"/>
      <sheetName val="Ahs_12"/>
      <sheetName val="HRG_BHN2"/>
      <sheetName val="Jembatan_I2"/>
      <sheetName val="Cash_Flow_bulanan2"/>
      <sheetName val="struktur_tdk_dipakai2"/>
      <sheetName val="BQ_&amp;_Harga2"/>
      <sheetName val="major_tems2"/>
      <sheetName val="HB_2"/>
      <sheetName val="Urai__Resap_pengikat2"/>
      <sheetName val="BO_alat2"/>
      <sheetName val="Analisa_Harga_Satuan2"/>
      <sheetName val="Analisa_Quarry2"/>
      <sheetName val="SAT_UPAH_RAPI2"/>
      <sheetName val="Rekap_Direct_Cost2"/>
      <sheetName val="BAHAN_2"/>
      <sheetName val="iTEM_hARSAT2"/>
      <sheetName val="Daf_11"/>
      <sheetName val="rab_me_(by_owner)_2"/>
      <sheetName val="BQ_(by_owner)2"/>
      <sheetName val="rab_me_(fisik)2"/>
      <sheetName val="H_Satuan2"/>
      <sheetName val="TS_add-012"/>
      <sheetName val="HARGA_ALAT2"/>
      <sheetName val="Pekerjaan_2"/>
      <sheetName val="4-Basic_Price2"/>
      <sheetName val="dongia_(2)2"/>
      <sheetName val="Memb_Schd2"/>
      <sheetName val="Fill_this_out_first___2"/>
      <sheetName val="DIV_32"/>
      <sheetName val="DIV_82"/>
      <sheetName val="URAIAN_2"/>
      <sheetName val="Analisa_STR2"/>
      <sheetName val="NP_72"/>
      <sheetName val="Spek_Kusen5"/>
      <sheetName val="Gross_Area5"/>
      <sheetName val="BoQ_C45"/>
      <sheetName val="B___Norelec5"/>
      <sheetName val="Kuantitas_&amp;_Harga3"/>
      <sheetName val="kode_rekening4"/>
      <sheetName val="B_-_Norelec4"/>
      <sheetName val="Currency_Rate4"/>
      <sheetName val="BOQ_Permata_Senayan_09_Juni_203"/>
      <sheetName val="HSD_Alat3"/>
      <sheetName val="HSD_Bahan3"/>
      <sheetName val="HSD_Upah3"/>
      <sheetName val="Rekapitulasi_Harga_Satuan3"/>
      <sheetName val="Daftar_Harga_Material3"/>
      <sheetName val="Ahs_23"/>
      <sheetName val="Ahs_13"/>
      <sheetName val="HRG_BHN3"/>
      <sheetName val="Jembatan_I3"/>
      <sheetName val="Cash_Flow_bulanan3"/>
      <sheetName val="struktur_tdk_dipakai3"/>
      <sheetName val="BQ_&amp;_Harga3"/>
      <sheetName val="major_tems3"/>
      <sheetName val="HB_3"/>
      <sheetName val="Urai__Resap_pengikat3"/>
      <sheetName val="BO_alat3"/>
      <sheetName val="Analisa_Harga_Satuan3"/>
      <sheetName val="Analisa_Quarry3"/>
      <sheetName val="SAT_UPAH_RAPI3"/>
      <sheetName val="Rekap_Direct_Cost3"/>
      <sheetName val="BAHAN_3"/>
      <sheetName val="iTEM_hARSAT3"/>
      <sheetName val="Daf_12"/>
      <sheetName val="rab_me_(by_owner)_3"/>
      <sheetName val="BQ_(by_owner)3"/>
      <sheetName val="rab_me_(fisik)3"/>
      <sheetName val="H_Satuan3"/>
      <sheetName val="TS_add-013"/>
      <sheetName val="HARGA_ALAT3"/>
      <sheetName val="Pekerjaan_3"/>
      <sheetName val="Analisa_STR3"/>
      <sheetName val="NP_73"/>
      <sheetName val="4-Basic_Price3"/>
      <sheetName val="dongia_(2)3"/>
      <sheetName val="Memb_Schd3"/>
      <sheetName val="Fill_this_out_first___3"/>
      <sheetName val="DIV_33"/>
      <sheetName val="DIV_83"/>
      <sheetName val="URAIAN_3"/>
      <sheetName val="BBM-03"/>
      <sheetName val="hrg-sat.pek"/>
      <sheetName val="sub-total.bag-7"/>
      <sheetName val="I-ME"/>
      <sheetName val="DAFMAT"/>
      <sheetName val="Unit-P"/>
      <sheetName val="61004"/>
      <sheetName val="61005"/>
      <sheetName val="61006"/>
      <sheetName val="61007"/>
      <sheetName val="61008"/>
      <sheetName val="Dash"/>
      <sheetName val="BoQ-Gen"/>
      <sheetName val="BREAKSCD"/>
      <sheetName val="Own"/>
      <sheetName val="NP (3)"/>
      <sheetName val="NP (2)"/>
      <sheetName val="Additional"/>
      <sheetName val="L-TIGA"/>
      <sheetName val="Mall"/>
      <sheetName val="arp-3a"/>
      <sheetName val="ARP-10"/>
      <sheetName val="pipcompr"/>
      <sheetName val="sat-har"/>
      <sheetName val="3-DIV2"/>
      <sheetName val="Harga BAHAN"/>
      <sheetName val="Harga uPAH"/>
      <sheetName val="001"/>
      <sheetName val="TRAFFIC"/>
      <sheetName val="villa"/>
      <sheetName val="Konfirm"/>
      <sheetName val="UshDeb00"/>
      <sheetName val="Har Sat"/>
      <sheetName val="Kuant&amp;Harga"/>
      <sheetName val="Analisa.1"/>
      <sheetName val="UPAH &amp; BAHAN"/>
      <sheetName val="SUM_Steel-Strc"/>
      <sheetName val="Lamp.6"/>
      <sheetName val="mos (2)"/>
      <sheetName val="mobil."/>
      <sheetName val="jad"/>
      <sheetName val="data proyek"/>
      <sheetName val="REKAF (2)"/>
      <sheetName val="Div.7 (3)"/>
      <sheetName val="mos"/>
      <sheetName val="div. 3"/>
      <sheetName val="div3"/>
      <sheetName val="div4"/>
      <sheetName val="div5"/>
      <sheetName val="div6"/>
      <sheetName val="div8"/>
      <sheetName val="MPU"/>
      <sheetName val="Lamp.11"/>
      <sheetName val="div7"/>
      <sheetName val="Div7 (2)"/>
      <sheetName val="2.12A"/>
      <sheetName val="Analisa HSP"/>
      <sheetName val="HRG BAHAN &amp; UPAH okk"/>
      <sheetName val="Analis Kusen okk"/>
      <sheetName val="Harga satuan"/>
      <sheetName val="Harga Dasar"/>
      <sheetName val="Harga ME "/>
      <sheetName val="Harsat_Bahan1"/>
      <sheetName val="Harsat_Upah1"/>
      <sheetName val="REF_ONLY1"/>
      <sheetName val="Mobilisasi"/>
      <sheetName val="Analisa Alat"/>
      <sheetName val="Satuan Dasar"/>
      <sheetName val="HRG BAHAN _ UPAH okk"/>
      <sheetName val="Koefisien Besi ( hit. bareng )"/>
      <sheetName val="Uraian Teknis"/>
      <sheetName val="4"/>
      <sheetName val="대비표"/>
      <sheetName val="schtng"/>
      <sheetName val="schalt"/>
      <sheetName val="schbhn"/>
      <sheetName val="rap rinci"/>
      <sheetName val="Up"/>
      <sheetName val="SEX"/>
      <sheetName val="ANTEK-1"/>
      <sheetName val="MAPP"/>
      <sheetName val="anal-2"/>
      <sheetName val="usaid"/>
      <sheetName val="REKAP_STRUKTUR"/>
      <sheetName val="Short List-1"/>
      <sheetName val="BILL OF QUANTITY"/>
      <sheetName val="BQ-1A prelim"/>
      <sheetName val="BAG_2"/>
      <sheetName val="DTR"/>
      <sheetName val="TBL2"/>
      <sheetName val="RAB AR&amp;STR"/>
      <sheetName val="COVERUSRP"/>
      <sheetName val="SITE"/>
      <sheetName val="ESCOND"/>
      <sheetName val="BQUSRP"/>
      <sheetName val="MAP-Prog"/>
      <sheetName val="RAB J18 "/>
      <sheetName val="HARGA J18"/>
      <sheetName val="analisa J18"/>
      <sheetName val="RINCIAN NRC"/>
      <sheetName val="DHS AC"/>
      <sheetName val="Fire Fighting"/>
      <sheetName val="Bill rekap"/>
      <sheetName val="Bill of Qty"/>
      <sheetName val="5-ALAT"/>
      <sheetName val="MarkUp"/>
      <sheetName val="Analisa Alat Berat"/>
      <sheetName val="BL"/>
      <sheetName val="RESUME"/>
      <sheetName val="DAPRO"/>
      <sheetName val="FINAL"/>
      <sheetName val="06b"/>
      <sheetName val="SUMBER"/>
      <sheetName val="pivot1"/>
      <sheetName val="Perm. Test"/>
      <sheetName val="PNT"/>
      <sheetName val="RBP2"/>
      <sheetName val="bank"/>
      <sheetName val="BTL"/>
      <sheetName val="gaji"/>
      <sheetName val="ANALISA-HST"/>
      <sheetName val="Daftar Sewa"/>
      <sheetName val="Peralatan (2)"/>
      <sheetName val="harsat_str"/>
      <sheetName val="B"/>
      <sheetName val="AHS_Marka"/>
      <sheetName val="AHS_Marka1"/>
      <sheetName val="KUANT &amp; HRG"/>
      <sheetName val="DIV-8"/>
      <sheetName val="DIV-7"/>
      <sheetName val="Basic P"/>
      <sheetName val="Bill.2. PL - SUPPLY A"/>
      <sheetName val="hardas"/>
      <sheetName val="BRD"/>
      <sheetName val="BHN.DSR"/>
      <sheetName val="Analisa (2)"/>
      <sheetName val="pricing"/>
      <sheetName val="Anl Koef Alat"/>
      <sheetName val="Anl Koef Alat Ready Mix"/>
      <sheetName val="RBP-1-02"/>
      <sheetName val="BREAKDOWN"/>
      <sheetName val="HSD"/>
      <sheetName val="Schedulle"/>
      <sheetName val="SAT-UP"/>
      <sheetName val="UPAH BAHAN "/>
      <sheetName val="HSLAIN-LAIN"/>
      <sheetName val="M 19"/>
      <sheetName val="RUMUS TERBILANG"/>
      <sheetName val="1. kepil 1 X2 ( OK )"/>
      <sheetName val="HIT_KEPIL 1"/>
      <sheetName val="2. jangkrikan 3 X2 ( OK ) "/>
      <sheetName val="HIT_JANGKRIKAN 3"/>
      <sheetName val="3. gadingrejo 3 X2 (OK) "/>
      <sheetName val="3. gadingrejo 3 (OK)"/>
      <sheetName val="HIT_GADINGREJO 3"/>
      <sheetName val="4. gadingrejo 4 X2 (OK)"/>
      <sheetName val="4. gadingrejo 4 (OK)"/>
      <sheetName val="HIT_GADINGREJO 4"/>
      <sheetName val="2. tegalgot 2 X2 ( Ok )"/>
      <sheetName val="HIT_TEGALGOT 2"/>
      <sheetName val="4. gondowulan 3 X2 (OK)"/>
      <sheetName val="4. gondowulan 3 (OK)"/>
      <sheetName val="HIT_GONDOWULAN 3"/>
      <sheetName val="5. burat X2 (Ok)  (2)"/>
      <sheetName val="5. burat X2 sesuai gmbr"/>
      <sheetName val="HIT_BURAT"/>
      <sheetName val="SAT-PEK DNK"/>
      <sheetName val="ANALISA DNK"/>
      <sheetName val="SAT-UP DNK"/>
      <sheetName val="SAT-PEK KRS 2"/>
      <sheetName val="ANALISA KRS 2"/>
      <sheetName val="SAT-UP KRS 2"/>
      <sheetName val="SAT-PEK KRS"/>
      <sheetName val="ANALISA KRS"/>
      <sheetName val="SAT-UP KRS"/>
      <sheetName val="SAT-PEK"/>
      <sheetName val="Glagah"/>
      <sheetName val="D7"/>
      <sheetName val="HARSAT_BAH"/>
      <sheetName val="3-DIV3"/>
      <sheetName val="Daftar Kuantitas &amp; Harga"/>
      <sheetName val="Data Info"/>
      <sheetName val="BIIL ASLI"/>
      <sheetName val="koef-beton"/>
      <sheetName val="GASATAGG.XLS"/>
      <sheetName val="HSUMUM.XLS"/>
      <sheetName val="HSDRAIN.XLS"/>
      <sheetName val="HSTANAH"/>
      <sheetName val="HSBASE"/>
      <sheetName val="HSASPAL"/>
      <sheetName val="HSBETON"/>
      <sheetName val="HSSTRUK"/>
      <sheetName val="HSMISC.XLS"/>
      <sheetName val="Back Up"/>
      <sheetName val="Kuantitas &amp; Harga a"/>
      <sheetName val="spi&amp;cpi"/>
      <sheetName val="salary"/>
      <sheetName val="Pekerjaan Utama"/>
      <sheetName val="Rekap Biaya"/>
      <sheetName val="Du_lieu"/>
      <sheetName val="gvl"/>
      <sheetName val="KH-Q1,Q2,01"/>
      <sheetName val="HPP PER BULAN"/>
      <sheetName val=" UPAH,ALAT"/>
      <sheetName val="ANALISA 2"/>
      <sheetName val="ANALISA "/>
      <sheetName val="ANALISA 3"/>
      <sheetName val="ANALISA LS"/>
      <sheetName val="SCHEDULE"/>
      <sheetName val="UPAH&amp;BHN"/>
      <sheetName val="daf-3(OK)"/>
      <sheetName val="daf-7(OK)"/>
      <sheetName val="SCHE"/>
      <sheetName val="SCHCCOII"/>
      <sheetName val="bahan dan upah"/>
      <sheetName val="Jadual"/>
      <sheetName val="info"/>
      <sheetName val="304_06"/>
      <sheetName val="rab_analisa"/>
      <sheetName val="An_Konstruksi"/>
      <sheetName val="FAK"/>
      <sheetName val="Spek_Kusen16"/>
      <sheetName val="Gross_Area16"/>
      <sheetName val="B___Norelec14"/>
      <sheetName val="Daf_114"/>
      <sheetName val="B_-_Norelec14"/>
      <sheetName val="analisa_ARS14"/>
      <sheetName val="Isolasi_Luar_Dalam14"/>
      <sheetName val="Isolasi_Luar14"/>
      <sheetName val="Spek_Kusen8"/>
      <sheetName val="Gross_Area8"/>
      <sheetName val="B___Norelec6"/>
      <sheetName val="Daf_16"/>
      <sheetName val="B_-_Norelec6"/>
      <sheetName val="analisa_ARS6"/>
      <sheetName val="Isolasi_Luar_Dalam6"/>
      <sheetName val="Isolasi_Luar6"/>
      <sheetName val="analisa_ARS1"/>
      <sheetName val="analisa_ARS"/>
      <sheetName val="Spek_Kusen6"/>
      <sheetName val="Gross_Area6"/>
      <sheetName val="Daf_14"/>
      <sheetName val="analisa_ARS4"/>
      <sheetName val="Isolasi_Luar_Dalam4"/>
      <sheetName val="Isolasi_Luar4"/>
      <sheetName val="analisa_ARS2"/>
      <sheetName val="Daf_13"/>
      <sheetName val="analisa_ARS3"/>
      <sheetName val="Spek_Kusen7"/>
      <sheetName val="Gross_Area7"/>
      <sheetName val="Daf_15"/>
      <sheetName val="B_-_Norelec5"/>
      <sheetName val="analisa_ARS5"/>
      <sheetName val="Isolasi_Luar_Dalam5"/>
      <sheetName val="Isolasi_Luar5"/>
      <sheetName val="Spek_Kusen9"/>
      <sheetName val="Gross_Area9"/>
      <sheetName val="B___Norelec7"/>
      <sheetName val="Daf_17"/>
      <sheetName val="B_-_Norelec7"/>
      <sheetName val="analisa_ARS7"/>
      <sheetName val="Isolasi_Luar_Dalam7"/>
      <sheetName val="Isolasi_Luar7"/>
      <sheetName val="Spek_Kusen10"/>
      <sheetName val="Gross_Area10"/>
      <sheetName val="B___Norelec8"/>
      <sheetName val="Daf_18"/>
      <sheetName val="B_-_Norelec8"/>
      <sheetName val="analisa_ARS8"/>
      <sheetName val="Isolasi_Luar_Dalam8"/>
      <sheetName val="Isolasi_Luar8"/>
      <sheetName val="Spek_Kusen11"/>
      <sheetName val="Gross_Area11"/>
      <sheetName val="B___Norelec9"/>
      <sheetName val="Daf_19"/>
      <sheetName val="B_-_Norelec9"/>
      <sheetName val="analisa_ARS9"/>
      <sheetName val="Isolasi_Luar_Dalam9"/>
      <sheetName val="Isolasi_Luar9"/>
      <sheetName val="Spek_Kusen12"/>
      <sheetName val="Gross_Area12"/>
      <sheetName val="B___Norelec10"/>
      <sheetName val="Daf_110"/>
      <sheetName val="B_-_Norelec10"/>
      <sheetName val="analisa_ARS10"/>
      <sheetName val="Isolasi_Luar_Dalam10"/>
      <sheetName val="Isolasi_Luar10"/>
      <sheetName val="Spek_Kusen15"/>
      <sheetName val="Gross_Area15"/>
      <sheetName val="B___Norelec13"/>
      <sheetName val="Daf_113"/>
      <sheetName val="B_-_Norelec13"/>
      <sheetName val="analisa_ARS13"/>
      <sheetName val="Isolasi_Luar_Dalam13"/>
      <sheetName val="Isolasi_Luar13"/>
      <sheetName val="Spek_Kusen13"/>
      <sheetName val="Gross_Area13"/>
      <sheetName val="B___Norelec11"/>
      <sheetName val="Daf_111"/>
      <sheetName val="B_-_Norelec11"/>
      <sheetName val="analisa_ARS11"/>
      <sheetName val="Isolasi_Luar_Dalam11"/>
      <sheetName val="Isolasi_Luar11"/>
      <sheetName val="Spek_Kusen14"/>
      <sheetName val="Gross_Area14"/>
      <sheetName val="B___Norelec12"/>
      <sheetName val="Daf_112"/>
      <sheetName val="B_-_Norelec12"/>
      <sheetName val="analisa_ARS12"/>
      <sheetName val="Isolasi_Luar_Dalam12"/>
      <sheetName val="Isolasi_Luar12"/>
      <sheetName val="Spek_Kusen21"/>
      <sheetName val="Gross_Area21"/>
      <sheetName val="B___Norelec19"/>
      <sheetName val="Daf_119"/>
      <sheetName val="B_-_Norelec19"/>
      <sheetName val="analisa_ARS19"/>
      <sheetName val="Isolasi_Luar_Dalam19"/>
      <sheetName val="Isolasi_Luar19"/>
      <sheetName val="Spek_Kusen17"/>
      <sheetName val="Gross_Area17"/>
      <sheetName val="B___Norelec15"/>
      <sheetName val="Daf_115"/>
      <sheetName val="B_-_Norelec15"/>
      <sheetName val="analisa_ARS15"/>
      <sheetName val="Isolasi_Luar_Dalam15"/>
      <sheetName val="Isolasi_Luar15"/>
      <sheetName val="Spek_Kusen18"/>
      <sheetName val="Gross_Area18"/>
      <sheetName val="B___Norelec16"/>
      <sheetName val="Daf_116"/>
      <sheetName val="B_-_Norelec16"/>
      <sheetName val="analisa_ARS16"/>
      <sheetName val="Isolasi_Luar_Dalam16"/>
      <sheetName val="Isolasi_Luar16"/>
      <sheetName val="Spek_Kusen19"/>
      <sheetName val="Gross_Area19"/>
      <sheetName val="B___Norelec17"/>
      <sheetName val="Daf_117"/>
      <sheetName val="B_-_Norelec17"/>
      <sheetName val="analisa_ARS17"/>
      <sheetName val="Isolasi_Luar_Dalam17"/>
      <sheetName val="Isolasi_Luar17"/>
      <sheetName val="Spek_Kusen20"/>
      <sheetName val="Gross_Area20"/>
      <sheetName val="B___Norelec18"/>
      <sheetName val="Daf_118"/>
      <sheetName val="B_-_Norelec18"/>
      <sheetName val="analisa_ARS18"/>
      <sheetName val="Isolasi_Luar_Dalam18"/>
      <sheetName val="Isolasi_Luar18"/>
      <sheetName val="Spek_Kusen22"/>
      <sheetName val="Gross_Area22"/>
      <sheetName val="B___Norelec20"/>
      <sheetName val="Daf_120"/>
      <sheetName val="B_-_Norelec20"/>
      <sheetName val="analisa_ARS20"/>
      <sheetName val="Isolasi_Luar_Dalam20"/>
      <sheetName val="Isolasi_Luar20"/>
      <sheetName val="BOQ2"/>
      <sheetName val="BOQ1"/>
      <sheetName val="Rekapitulasi Revisi (2)"/>
      <sheetName val="Gal.biasa 2"/>
      <sheetName val="Gal.Cadas muda"/>
      <sheetName val="Gal.Batu"/>
      <sheetName val="Galian Tnh biasa (2)"/>
      <sheetName val="Pasangan Mortar"/>
      <sheetName val="Galian Saluran"/>
      <sheetName val="bAHU JLN"/>
      <sheetName val="baja tulangan (2)"/>
      <sheetName val="baja tulangan"/>
      <sheetName val="Pas. Bt (A) (2)"/>
      <sheetName val="Pas. Bt (B)"/>
      <sheetName val="Timbunan Pilihan"/>
      <sheetName val="Pas. Bt (C)"/>
      <sheetName val="Gamb. Deuker (2)"/>
      <sheetName val="Pas. Bt (A)"/>
      <sheetName val="Pas. Bt (Deker)"/>
      <sheetName val="Pas. Bt (d)"/>
      <sheetName val="Pas. Bt"/>
      <sheetName val="beton"/>
      <sheetName val="Lap. Urug Biasa (2)"/>
      <sheetName val="Lap. Urug Biasa"/>
      <sheetName val="Prime Coat"/>
      <sheetName val="Aspal Base"/>
      <sheetName val="Lap. Agregat B"/>
      <sheetName val="Lap. Agregat A"/>
      <sheetName val="UBA"/>
      <sheetName val="sort2"/>
      <sheetName val="Summary"/>
      <sheetName val="Bill"/>
      <sheetName val="dasboard"/>
      <sheetName val="DHS"/>
      <sheetName val="an-aspal"/>
      <sheetName val="an_alat"/>
      <sheetName val="BAG_III"/>
      <sheetName val="BOQ-Indonesia"/>
      <sheetName val="Galian"/>
      <sheetName val="PANEL"/>
      <sheetName val="BOQ PREV"/>
      <sheetName val="Quarry-rangas"/>
      <sheetName val="L_10"/>
      <sheetName val="L_11"/>
      <sheetName val="L_13"/>
      <sheetName val="plant"/>
      <sheetName val="LAMP-7"/>
      <sheetName val="LAMP-5"/>
      <sheetName val="L_9"/>
      <sheetName val="GVL§CT"/>
      <sheetName val="ANALISA SNI'13 "/>
      <sheetName val="ANALISA1"/>
      <sheetName val="Lantai 1 ME"/>
      <sheetName val="PAD_F"/>
      <sheetName val="STAFF"/>
      <sheetName val="H.sat Alat"/>
      <sheetName val="bill qty"/>
      <sheetName val="civil-work"/>
      <sheetName val="saluran &amp; landscape"/>
      <sheetName val="HRG- UPAH"/>
      <sheetName val="BASIC-PRICE"/>
      <sheetName val="3-DIV4"/>
      <sheetName val="Hs_Bhn"/>
      <sheetName val="Div.5"/>
      <sheetName val="bahan,upah,alat"/>
      <sheetName val="DAF-2"/>
      <sheetName val="terbilang"/>
      <sheetName val="ALAT2 (TDK DIPAKAI)"/>
      <sheetName val="B_7"/>
      <sheetName val="B_8"/>
      <sheetName val="B_9"/>
      <sheetName val="B_10 (4)"/>
      <sheetName val="B_6"/>
      <sheetName val="AGG"/>
      <sheetName val="MT"/>
      <sheetName val="an.pemel.rutin"/>
      <sheetName val="an.mobilisasi"/>
      <sheetName val="an.dmpu"/>
      <sheetName val="daftar.kuantita"/>
      <sheetName val="metode.dmpu"/>
      <sheetName val="DIV-3"/>
      <sheetName val="Concrete"/>
      <sheetName val="8LT 12"/>
      <sheetName val="LAP 033HO"/>
      <sheetName val="ES STG"/>
      <sheetName val="RnBiaya"/>
      <sheetName val="AKP-01 (2)"/>
      <sheetName val="PriceList"/>
      <sheetName val="hrgbahan"/>
      <sheetName val="S_Suramadu"/>
      <sheetName val="Kebut. Alat"/>
      <sheetName val="Kebut. Bahan"/>
      <sheetName val="BU"/>
      <sheetName val="Bunga"/>
      <sheetName val="Data Keu"/>
      <sheetName val="Data Teknik"/>
      <sheetName val="Lain-Lain"/>
      <sheetName val="Marketing"/>
      <sheetName val="Mark-up"/>
      <sheetName val="RAP (2)"/>
      <sheetName val="Rekap RAP real"/>
      <sheetName val="BUL"/>
      <sheetName val="anal Lamp 4a"/>
      <sheetName val="rinci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AB17">
            <v>1.0249999999999999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/>
      <sheetData sheetId="560"/>
      <sheetData sheetId="561"/>
      <sheetData sheetId="562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SCLAIMER"/>
      <sheetName val="MAJOR"/>
      <sheetName val="%"/>
      <sheetName val="COVER_print"/>
      <sheetName val="Rekap"/>
      <sheetName val="VOLUME_print"/>
      <sheetName val="SKETSA"/>
      <sheetName val="TYPICAL 1 (MTW-BNG1)"/>
      <sheetName val="TYPICAL 2 (MTW-BNG1)"/>
      <sheetName val="Informasi"/>
      <sheetName val="Peta Quarry"/>
      <sheetName val="Mobilisasi"/>
      <sheetName val="Perhitungan Mobilisasi Alat"/>
      <sheetName val="Lalu Lintas"/>
      <sheetName val="Jembatan Sementara"/>
      <sheetName val="BOQ"/>
      <sheetName val="D2"/>
      <sheetName val="D3"/>
      <sheetName val="D4"/>
      <sheetName val="D5"/>
      <sheetName val="D6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  <sheetName val="4-Basic Price"/>
      <sheetName val="4-Analisa Quarry"/>
      <sheetName val="4-formulir harga bahan"/>
      <sheetName val="5-ALAT(1)"/>
      <sheetName val="5-ALAT (2)"/>
      <sheetName val="Agg Halus &amp; Kasar"/>
      <sheetName val="Agg A"/>
      <sheetName val="Agg B"/>
      <sheetName val="Agg C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SCLAIMER"/>
      <sheetName val="MAJOR"/>
      <sheetName val="%"/>
      <sheetName val="Rekap"/>
      <sheetName val="Informasi"/>
      <sheetName val="Peta Quarry"/>
      <sheetName val="Mobilisasi"/>
      <sheetName val="Perhitungan Mobilisasi Alat"/>
      <sheetName val="Lalu Lintas"/>
      <sheetName val="Jembatan Sementara"/>
      <sheetName val="BOQ"/>
      <sheetName val="D2"/>
      <sheetName val="D3"/>
      <sheetName val="D4"/>
      <sheetName val="D5"/>
      <sheetName val="D6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  <sheetName val="4-Basic Price"/>
      <sheetName val="4-Analisa Quarry"/>
      <sheetName val="4-formulir harga bahan"/>
      <sheetName val="5-ALAT(1)"/>
      <sheetName val="5-ALAT (2)"/>
      <sheetName val="Agg Halus &amp; Kasar"/>
      <sheetName val="Agg A"/>
      <sheetName val="Agg B"/>
      <sheetName val="Agg 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SCLAIMER"/>
      <sheetName val="MAJOR"/>
      <sheetName val="%"/>
      <sheetName val="Rekap"/>
      <sheetName val="Peta Quarry"/>
      <sheetName val="Mobilisasi"/>
      <sheetName val="Perhitungan Mobilisasi Alat"/>
      <sheetName val="Lalu Lintas"/>
      <sheetName val="Jembatan Sementara"/>
      <sheetName val="Informasi"/>
      <sheetName val="Analisa K3"/>
      <sheetName val="4-Basic Price"/>
      <sheetName val="4-Analisa Quarry"/>
      <sheetName val="4-formulir harga bahan"/>
      <sheetName val="5-ALAT(1)"/>
      <sheetName val="5-ALAT (2)"/>
      <sheetName val="Agg Halus &amp; Kasar"/>
      <sheetName val="Agg A"/>
      <sheetName val="Agg B"/>
      <sheetName val="Agg C"/>
      <sheetName val="BOQ"/>
      <sheetName val="D1"/>
      <sheetName val="D2"/>
      <sheetName val="D3"/>
      <sheetName val="D4"/>
      <sheetName val="D5"/>
      <sheetName val="D6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"/>
      <sheetName val="SCHE."/>
      <sheetName val="SRT"/>
      <sheetName val="Rek"/>
      <sheetName val="BOQ"/>
      <sheetName val="ANA"/>
      <sheetName val="METH"/>
      <sheetName val="SDY"/>
      <sheetName val="SDY-rev"/>
      <sheetName val="MOS"/>
      <sheetName val="Mob."/>
      <sheetName val="u_Alat"/>
      <sheetName val="LAMP_3"/>
      <sheetName val="Sipil"/>
      <sheetName val="Inti"/>
      <sheetName val="Major"/>
      <sheetName val="Subkon"/>
      <sheetName val="Conf."/>
      <sheetName val="ROUTINE"/>
      <sheetName val="Hitung"/>
      <sheetName val="HSD"/>
      <sheetName val="STF (2)"/>
      <sheetName val="alt-cimangkok"/>
      <sheetName val="SCH"/>
      <sheetName val="MET"/>
      <sheetName val="SUB"/>
      <sheetName val="DLM"/>
      <sheetName val="MJR"/>
      <sheetName val="BALT"/>
      <sheetName val="LMP.1"/>
      <sheetName val="LMP.2"/>
      <sheetName val="RTN"/>
      <sheetName val="ANA (BAK)"/>
      <sheetName val="MET (BAK)"/>
      <sheetName val="IND"/>
      <sheetName val="CMK"/>
      <sheetName val="TM"/>
      <sheetName val="Perhitungan RAB"/>
      <sheetName val="Mobilisasi"/>
      <sheetName val="Galian drainase.sal."/>
      <sheetName val="Pas.Batu Mortar"/>
      <sheetName val="Galian Biasa"/>
      <sheetName val="Penyiapa Badan Jln"/>
      <sheetName val="LPA Klas B Bahu.Jln"/>
      <sheetName val="LPA Klas B."/>
      <sheetName val="LPA Klas A "/>
      <sheetName val="Lap.Resap Ikat"/>
      <sheetName val="Lapis Perekat"/>
      <sheetName val="Laston ACWC"/>
      <sheetName val="Laston AC-BC"/>
      <sheetName val="Ac Bc Levelling"/>
      <sheetName val="gambar"/>
      <sheetName val="ALT"/>
      <sheetName val="STF"/>
      <sheetName val="MET-bab2"/>
      <sheetName val="Met-bab2.3(2)"/>
      <sheetName val="MET-bab3"/>
      <sheetName val="MET-bab4"/>
      <sheetName val="MET-bab5"/>
      <sheetName val="MET-bab6"/>
      <sheetName val="MET-bab7"/>
      <sheetName val="MET-bab8"/>
      <sheetName val="LMP.12"/>
      <sheetName val="surat "/>
      <sheetName val="ANA LS"/>
      <sheetName val="Met Rtn"/>
      <sheetName val="LMP.6"/>
      <sheetName val="LMP 7"/>
      <sheetName val="alat"/>
      <sheetName val="staf"/>
      <sheetName val="Kar"/>
      <sheetName val="MET-BAB-04"/>
      <sheetName val="MET-BAB-06"/>
      <sheetName val="MET-BAB-06b"/>
      <sheetName val="MET-bab-08"/>
      <sheetName val="Sheet2"/>
      <sheetName val="Sheet2 (2)"/>
      <sheetName val="Sheet1"/>
      <sheetName val="Sheet1 (2)"/>
      <sheetName val="BOQ INDUK (2)"/>
      <sheetName val="REK INDUK"/>
      <sheetName val="BOQ INDUK"/>
      <sheetName val="ANA mob"/>
      <sheetName val="BAB 3"/>
      <sheetName val="ANA BAB 3"/>
      <sheetName val="BAB 4"/>
      <sheetName val="ANA BAB 4"/>
      <sheetName val="BAB 6"/>
      <sheetName val="ANA BAB 6"/>
      <sheetName val="BAB 7"/>
      <sheetName val="ANA BAB 7"/>
      <sheetName val="BAB 8"/>
      <sheetName val="ANA BAB 8"/>
      <sheetName val="ANA mob (2)"/>
      <sheetName val="LS-Rutin"/>
      <sheetName val="SCH pekerjaan (2)"/>
      <sheetName val="ANALISA"/>
      <sheetName val="DAFT PERALATAN"/>
      <sheetName val="SCH MOB (2)"/>
      <sheetName val="SCH bahan (2)"/>
      <sheetName val="REK ANAK"/>
      <sheetName val="BOQ ANAK"/>
      <sheetName val="ANA rutin"/>
      <sheetName val="KONF"/>
      <sheetName val="SURAT"/>
      <sheetName val="STAFF"/>
      <sheetName val="HSD UPAH"/>
      <sheetName val="HSD BAHAN"/>
      <sheetName val="HSD ALAT"/>
      <sheetName val="AMP"/>
      <sheetName val="FINISHER"/>
      <sheetName val="SPRAYER"/>
      <sheetName val="BULLDOZER"/>
      <sheetName val="COMPRESSOR"/>
      <sheetName val="CONCRETE MIXER"/>
      <sheetName val="CRANE"/>
      <sheetName val="DUMP TRUCK 3-4"/>
      <sheetName val="DUMP TRUCK "/>
      <sheetName val="DUMP TRUCK  TRONTON"/>
      <sheetName val="EXCAVATOR"/>
      <sheetName val="FLAT BED TRUCK"/>
      <sheetName val="GENSET"/>
      <sheetName val="MOTOR GRADER"/>
      <sheetName val="TRACK LOADER"/>
      <sheetName val="WHEEL LOADER"/>
      <sheetName val="THREE WHEEL ROLLER"/>
      <sheetName val="TANDEM ROLLER"/>
      <sheetName val="TIRE ROLLER"/>
      <sheetName val="VIBRATORY ROLLER2T"/>
      <sheetName val="VIBRATORY ROLLER 8t"/>
      <sheetName val="CONCRETE VIBRATOR"/>
      <sheetName val="STONE CRUSHER"/>
      <sheetName val="WATER PUMP"/>
      <sheetName val="WATER TANKER"/>
      <sheetName val="PEDESTRIAN ROLLER"/>
      <sheetName val="TAMPER"/>
      <sheetName val="JACK HAMMER"/>
      <sheetName val="FULVI MIXER"/>
      <sheetName val="CONC PAVER"/>
      <sheetName val="TRUCK MIXER"/>
      <sheetName val="BATCHING PLANT"/>
      <sheetName val="PNSPOLRI"/>
      <sheetName val="JAMSOSTEK"/>
      <sheetName val="ASURANSI"/>
      <sheetName val="RETRIBUSI"/>
      <sheetName val="data"/>
      <sheetName val="judul"/>
      <sheetName val="jadwal alat"/>
      <sheetName val="SCH pekerjaan"/>
      <sheetName val="Compatibility Report"/>
      <sheetName val="Kuantitas"/>
      <sheetName val="Analisa HSP"/>
      <sheetName val="HSD BAHAN (2)"/>
      <sheetName val="HSD ALAT (2)"/>
      <sheetName val="Rekapitulasi"/>
      <sheetName val="daf hs"/>
      <sheetName val="dft alat utam"/>
      <sheetName val="met bab 2.2"/>
      <sheetName val="met 3.1 (1)"/>
      <sheetName val="Met 3.2(2)"/>
      <sheetName val="met 5.1(1)"/>
      <sheetName val="met 5.1(2)"/>
      <sheetName val="met 6.3 (5)"/>
      <sheetName val="met 6.3.(6)"/>
      <sheetName val="met 6.3 (7)"/>
      <sheetName val="Rekap"/>
      <sheetName val="CH Met Bab"/>
      <sheetName val="Jadwal"/>
      <sheetName val="Ana MPU"/>
      <sheetName val="DPU"/>
      <sheetName val="HSD Upah+Alat"/>
      <sheetName val="Met Bab 02"/>
      <sheetName val="Met Bab 05 (a)"/>
      <sheetName val="Met Bab 05 (b)"/>
      <sheetName val="Met Bab 06 (a)"/>
      <sheetName val="Met Bab 06 (b)"/>
      <sheetName val="Met Bab 04"/>
      <sheetName val="Met Bab 07"/>
      <sheetName val="Met Bab 08"/>
      <sheetName val="Konfirm"/>
      <sheetName val="Sub Kont"/>
      <sheetName val="simak"/>
      <sheetName val="BOQ (2)"/>
      <sheetName val="DAFTAR KUANTITAS"/>
      <sheetName val="MPU"/>
      <sheetName val="ANALISA DIV-7"/>
      <sheetName val="HSD (2)"/>
      <sheetName val="S-CURVE"/>
      <sheetName val="sc-peralatan"/>
      <sheetName val="sc-bahan"/>
      <sheetName val="Kebutuhan bahan"/>
      <sheetName val="staf (2)"/>
      <sheetName val="peralatan utama"/>
      <sheetName val="konfirmasi"/>
      <sheetName val="luar negeri"/>
      <sheetName val="non pns"/>
      <sheetName val="surat kuasa"/>
      <sheetName val="MP-Div 2"/>
      <sheetName val="ANALISA DIV-2"/>
      <sheetName val="MP-3"/>
      <sheetName val="ANALISA-Div 3"/>
      <sheetName val="MP-5"/>
      <sheetName val="ANALISA DIV-5"/>
      <sheetName val="MP-7"/>
      <sheetName val="MP-8"/>
      <sheetName val="ANALISA DIV-8"/>
      <sheetName val="ANALISA DIV-6"/>
      <sheetName val="MP-6"/>
      <sheetName val="MET BAB-07"/>
      <sheetName val="BAB 7 (2)"/>
      <sheetName val="Myr"/>
      <sheetName val="AC-BC-balance"/>
      <sheetName val="AC-WC-balance"/>
      <sheetName val="Pas. Batu Mortar balance"/>
      <sheetName val="Pas. Batu Mortar(FE)"/>
      <sheetName val="PROGRESS"/>
      <sheetName val="Bahu(L) bal"/>
      <sheetName val="SCH (3)"/>
      <sheetName val="LIST"/>
      <sheetName val="SK"/>
      <sheetName val="SRT PNW"/>
      <sheetName val="MO&amp;DEMOB"/>
      <sheetName val="HSD upah (2)"/>
      <sheetName val="HSD bhn + ONGKOS"/>
      <sheetName val="HSD alt"/>
      <sheetName val="MET.PEL"/>
      <sheetName val="METODE (3)"/>
      <sheetName val="SCH (2)"/>
      <sheetName val="PERSONIL"/>
      <sheetName val="PERALATAN MINIMUM"/>
      <sheetName val="subkontrakkan"/>
      <sheetName val="KSO"/>
      <sheetName val="ANA ONGKOS ANGKUT"/>
      <sheetName val="HSD bhn (2)"/>
      <sheetName val="MOB"/>
      <sheetName val="ANA MOB ALT"/>
      <sheetName val="ANA RUTIN 1"/>
      <sheetName val="RAMBU"/>
      <sheetName val="MET ANA RUTIN"/>
      <sheetName val="HSD bhn"/>
      <sheetName val="PERSONILUTAMA"/>
      <sheetName val="METODE (4)"/>
      <sheetName val="lamp 9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chitimc"/>
      <sheetName val="dongia (2)"/>
      <sheetName val="LKVL-CK-HT-GD1"/>
      <sheetName val="giathanh1"/>
      <sheetName val="8LT 12"/>
      <sheetName val="sph"/>
      <sheetName val="ana_san"/>
      <sheetName val="Material"/>
      <sheetName val="Analisa Str"/>
      <sheetName val="BQ"/>
      <sheetName val="SAT-BHN"/>
      <sheetName val="TOTAL"/>
      <sheetName val="DAFTAR 7"/>
      <sheetName val="DAFTAR_8"/>
      <sheetName val="DAF_1"/>
      <sheetName val="STR"/>
      <sheetName val="SATER PUMP"/>
      <sheetName val="Mat Bab 02"/>
      <sheetName val="SCH pekerjaa_x0000_só_x0002_j"/>
      <sheetName val="DATA PROYEK"/>
      <sheetName val="RAB"/>
      <sheetName val="Data basic price jgan diprint"/>
      <sheetName val="10.1(3)"/>
      <sheetName val="AHS 6.1(2)"/>
      <sheetName val="Metode 8.1(5)"/>
      <sheetName val="Hrg. Sat"/>
      <sheetName val="Srt-Pengantar"/>
      <sheetName val="Basic Price_bahan"/>
      <sheetName val="RAB 1"/>
      <sheetName val="RAB 10"/>
      <sheetName val="RAB 11"/>
      <sheetName val="RAB 2"/>
      <sheetName val="RAB 3"/>
      <sheetName val="RAB 8"/>
      <sheetName val="RAB 9"/>
      <sheetName val="RAB 4"/>
      <sheetName val="RAB 5"/>
      <sheetName val="RAB 6"/>
      <sheetName val="RAB 7"/>
      <sheetName val="HARGA UPAH 3.gBAHAN 3.h-ALAT3.i"/>
      <sheetName val="Kuantitas &amp; Harga"/>
      <sheetName val="Upah &amp; Bahan"/>
      <sheetName val="Rekap Biaya"/>
      <sheetName val="jeulingke"/>
      <sheetName val="gampong kuala cs"/>
      <sheetName val="kuala seuntang cs"/>
      <sheetName val="lambaro skep"/>
      <sheetName val="Harsat"/>
      <sheetName val="Beton"/>
      <sheetName val="Aspal (2)"/>
      <sheetName val="Relok-PJU"/>
      <sheetName val="NP"/>
      <sheetName val="S.BAHAN"/>
      <sheetName val="S.UPAH"/>
      <sheetName val="È³_x0003_&amp;0ß_x0000__x0000_"/>
      <sheetName val=""/>
      <sheetName val="SCH pekerjaasó_x0002_j"/>
      <sheetName val="È³_x0003_&amp;0ß"/>
      <sheetName val="5-ALAT(1)"/>
      <sheetName val="4-Basic Price"/>
      <sheetName val="HARGA ALAT"/>
      <sheetName val="SAP"/>
    </sheetNames>
    <sheetDataSet>
      <sheetData sheetId="0" refreshError="1">
        <row r="9">
          <cell r="A9" t="str">
            <v>Bandung , 20 Desember 2000</v>
          </cell>
        </row>
        <row r="11">
          <cell r="A11" t="str">
            <v>ISKAK EFFERIN</v>
          </cell>
        </row>
        <row r="16">
          <cell r="A16">
            <v>36880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ronologi"/>
      <sheetName val="INFO"/>
      <sheetName val="Data-Kont"/>
      <sheetName val="M-ITEM"/>
      <sheetName val="boq"/>
      <sheetName val="ON-SITE"/>
      <sheetName val="UPAH&amp;BHN"/>
      <sheetName val="BOP"/>
      <sheetName val="Surat-Pen"/>
      <sheetName val="REKAP"/>
      <sheetName val="SCHEDULE"/>
      <sheetName val="ANALISA"/>
      <sheetName val="METHOD"/>
      <sheetName val="SUB-KONTR"/>
      <sheetName val="T-TERIMA"/>
      <sheetName val="LIST"/>
      <sheetName val="s-inti"/>
      <sheetName val="SPernyataan"/>
      <sheetName val="d-alat"/>
      <sheetName val="sieve analysis HOTBIN"/>
      <sheetName val="5-ALAT(1)"/>
      <sheetName val="4-Basic Price"/>
      <sheetName val="Harsat"/>
      <sheetName val="BOW"/>
      <sheetName val="ALAT1"/>
      <sheetName val="BASIC"/>
      <sheetName val="ALA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t"/>
      <sheetName val="MPU"/>
      <sheetName val="Jad"/>
      <sheetName val="RAB"/>
      <sheetName val="Mob"/>
      <sheetName val="Ana"/>
      <sheetName val="Alat"/>
      <sheetName val="U&amp;B"/>
      <sheetName val="Sub"/>
      <sheetName val="Mob. Alat"/>
      <sheetName val="Mob Alat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eck"/>
      <sheetName val="Rekap"/>
      <sheetName val="bq"/>
      <sheetName val="Upah, Bahan dan Alat "/>
      <sheetName val="Schdl"/>
      <sheetName val="AHS Lapon Klas A"/>
      <sheetName val="Urai_LPA"/>
      <sheetName val="AHS HRS-WC"/>
      <sheetName val="Urai_Lataston (HRS-WC)"/>
      <sheetName val="AHS HRS-BASE"/>
      <sheetName val="Urai_(HRS-BASE) "/>
      <sheetName val="AHS Ps Batu"/>
      <sheetName val="Urai Pas Batu"/>
      <sheetName val="On Site_Semen"/>
      <sheetName val="On Site_aspal"/>
      <sheetName val="On Site_Batu pecah"/>
      <sheetName val="On Site_Pasir"/>
      <sheetName val="On Site_Agregat B"/>
      <sheetName val="On Site_Besi"/>
      <sheetName val="STAF"/>
      <sheetName val="ALAT"/>
      <sheetName val="SUB KON"/>
      <sheetName val="Komponen"/>
      <sheetName val="Ahs LPB"/>
      <sheetName val="Urai_LPB)"/>
      <sheetName val="Ahs Resap Pengikat"/>
      <sheetName val="Urai _Resap pengikat"/>
      <sheetName val="Ahs Resap Perekat "/>
      <sheetName val="Urai _Lapis Perek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  <sheetName val="Data-Kont"/>
      <sheetName val="M-ITEM"/>
      <sheetName val="UPAH&amp;BHN"/>
      <sheetName val="BOP"/>
      <sheetName val="ANALISA"/>
      <sheetName val="RAB"/>
      <sheetName val="Surat-Pen"/>
      <sheetName val="REKAP"/>
      <sheetName val="SCHEDULE"/>
      <sheetName val="METHOD"/>
      <sheetName val="ON-SITE"/>
      <sheetName val="SUB-KONTR"/>
      <sheetName val="T-TERIMA"/>
      <sheetName val="LIST"/>
      <sheetName val="s-inti"/>
      <sheetName val="SPernyataan"/>
      <sheetName val="d-alat"/>
      <sheetName val="UPAH_BHN"/>
      <sheetName val="Normalisasi"/>
      <sheetName val="I-KAMAR"/>
      <sheetName val="AHS"/>
      <sheetName val="BQ-E20-02(Rp)"/>
      <sheetName val="alt"/>
      <sheetName val="bhn"/>
      <sheetName val="uph"/>
      <sheetName val="H.Satuan"/>
      <sheetName val="Material"/>
      <sheetName val="Upah"/>
      <sheetName val="R.Bkst"/>
      <sheetName val="UPAH BAHAN "/>
      <sheetName val="HS"/>
      <sheetName val="Df-Kuan"/>
      <sheetName val="Harga Satuan"/>
      <sheetName val="Analisa HSP "/>
      <sheetName val="(HSP)"/>
      <sheetName val="Rekapitulasi"/>
      <sheetName val="TAHAP 1"/>
      <sheetName val="Persiapan"/>
      <sheetName val="Grading Tahap 1"/>
      <sheetName val="Pengerukan Tahap I"/>
      <sheetName val="Turap"/>
      <sheetName val="Lantai Dermaga (Tahap I)"/>
      <sheetName val="TPI 240"/>
      <sheetName val="MENARA AIR"/>
      <sheetName val="Airbersih"/>
      <sheetName val="JALAN(Tahap I)"/>
      <sheetName val="Drainase(TAHAP I)"/>
      <sheetName val="Alternatif 2"/>
      <sheetName val="Rekapitulasi (2)"/>
      <sheetName val="Pengerukan Tahap I alt2"/>
      <sheetName val="Dermaga Kayu Sementara"/>
      <sheetName val="JALAN"/>
      <sheetName val="Jetty Sepotong"/>
      <sheetName val="SISA TAHAP 1"/>
      <sheetName val="TPI"/>
      <sheetName val="Kantor Administrasi"/>
      <sheetName val="IPAL"/>
      <sheetName val="TPS"/>
      <sheetName val="Kiosbbm(1)"/>
      <sheetName val="Pasar Ikan"/>
      <sheetName val="Jetty (1)"/>
      <sheetName val="toilet"/>
      <sheetName val="Genset"/>
      <sheetName val="PAGAR TAHAP I "/>
      <sheetName val="TAHAP II"/>
      <sheetName val="Grading Tahap II"/>
      <sheetName val="Pengerukan Tahap II"/>
      <sheetName val="Dermaga (Tahap II)"/>
      <sheetName val="JALAN(Tahap II)"/>
      <sheetName val="PAGAR TAHAP II"/>
      <sheetName val="Jetty Tahap II"/>
      <sheetName val="Bengkel"/>
      <sheetName val="GUDANG"/>
      <sheetName val="POS JAGA"/>
      <sheetName val="RUMAH DINAS"/>
      <sheetName val="BALAI NELAYAN"/>
      <sheetName val="RUMAH KEPALA"/>
      <sheetName val="GUDANG ES"/>
      <sheetName val="Drainase(TAHAP II)"/>
      <sheetName val="Drainase(TAHAP III)"/>
      <sheetName val="Analisa HSP"/>
      <sheetName val="Harga Bahan"/>
      <sheetName val="Urai _Resap pengikat"/>
      <sheetName val="data"/>
      <sheetName val="Harga dasar"/>
      <sheetName val="Kuantitas &amp; Harga"/>
      <sheetName val="BOQ"/>
      <sheetName val="4-Basic Price"/>
      <sheetName val="K-4"/>
      <sheetName val="5-ALAT(1)"/>
      <sheetName val="Mob."/>
      <sheetName val="Analisa K"/>
      <sheetName val="MPEL"/>
      <sheetName val="Divisi1"/>
      <sheetName val="Perm. Test"/>
      <sheetName val="000000"/>
      <sheetName val="Sheet1"/>
      <sheetName val="total"/>
      <sheetName val="bq"/>
      <sheetName val="mobilisation"/>
      <sheetName val="MPU"/>
      <sheetName val="HARGADASAR"/>
      <sheetName val="DAFTARMPU"/>
      <sheetName val="jadwal"/>
      <sheetName val="alat usulan"/>
      <sheetName val="staf"/>
      <sheetName val="DivX"/>
      <sheetName val="DAFTAR GEL"/>
      <sheetName val="mos"/>
      <sheetName val="alat"/>
      <sheetName val="plant"/>
      <sheetName val="PRODBAHAN"/>
      <sheetName val="datakontrak"/>
      <sheetName val="sanggup"/>
      <sheetName val="TEMPAT SORTIR"/>
      <sheetName val="rincian A"/>
      <sheetName val="pldt"/>
      <sheetName val="upahbahan"/>
      <sheetName val="Sheet2"/>
      <sheetName val="Sheet3"/>
      <sheetName val="0000"/>
      <sheetName val="Informasi"/>
      <sheetName val="sort"/>
      <sheetName val="Rekap Biaya"/>
      <sheetName val="DHSD"/>
      <sheetName val="Detail jadwal"/>
      <sheetName val="jadwal ALAT"/>
      <sheetName val="jadwal bahan"/>
      <sheetName val="div 2"/>
      <sheetName val="div 3"/>
      <sheetName val="div 4"/>
      <sheetName val="div 5"/>
      <sheetName val="div 6"/>
      <sheetName val="div 7"/>
      <sheetName val="div 8"/>
      <sheetName val="div 9"/>
      <sheetName val="Mobilisasi"/>
      <sheetName val="Div 10"/>
      <sheetName val="KONFIRMASI PLAN 6a"/>
      <sheetName val="lampiran"/>
      <sheetName val="usulan staf"/>
      <sheetName val="metode"/>
      <sheetName val="RANGKAIAN KERJA"/>
      <sheetName val="2.1-1"/>
      <sheetName val="Agregat Halus &amp; Kasar"/>
      <sheetName val="Agregat Kelas A"/>
      <sheetName val="Agregat Kelas B"/>
      <sheetName val="Agregat Kelas C"/>
      <sheetName val="bilang total"/>
      <sheetName val="AN TAMBAHAN 1"/>
      <sheetName val="AN TAMBAHAN 2"/>
      <sheetName val="AN TAMBAHAN 3"/>
      <sheetName val="Peralatan"/>
      <sheetName val="MU"/>
      <sheetName val="short "/>
      <sheetName val="PEN-NILAI"/>
      <sheetName val="Rekap (A1)"/>
      <sheetName val="RAB (A2)"/>
      <sheetName val="Perhitungan Alat"/>
      <sheetName val="Perhitungan Tenaga"/>
      <sheetName val="Analisa (A3)"/>
      <sheetName val="NP Tanah"/>
      <sheetName val="NP Struktur"/>
      <sheetName val="Upah (A4)"/>
      <sheetName val="Bahan (A5)"/>
      <sheetName val="Alat (A6)"/>
      <sheetName val="BAU (A8)"/>
      <sheetName val="Laboratorium (A7)"/>
      <sheetName val="RAB Rumah jaga"/>
      <sheetName val="Jadwal (B1)"/>
      <sheetName val="NWP"/>
      <sheetName val="Jadwal alat (B2)"/>
      <sheetName val="Jadwal Tenaga (B3)"/>
      <sheetName val="Jadwal Bahan (B4)"/>
      <sheetName val="hitung alat (A8)"/>
      <sheetName val="Daftar Alat (B5) Pernek"/>
      <sheetName val="hitung alat (A8) dibalik"/>
      <sheetName val="Daftar Personil (B6)"/>
      <sheetName val="sTRUKTUR ORGANISASI"/>
      <sheetName val="Daftar Sub Kon (B7)"/>
      <sheetName val="HITUNG"/>
      <sheetName val="biaya umum"/>
      <sheetName val="Pasangan"/>
      <sheetName val="NP (2)"/>
      <sheetName val="hitung alat (2)"/>
      <sheetName val="bisa dipakai"/>
      <sheetName val="KEB-ALAT"/>
      <sheetName val="Nrc_2005"/>
      <sheetName val="Adm"/>
      <sheetName val="Personil (NTB)"/>
      <sheetName val="Alat  (Sumbawa 3.4)"/>
      <sheetName val="BAU (A9)"/>
      <sheetName val="Daftar Alat (B5)"/>
      <sheetName val="NP"/>
      <sheetName val="Personil (SumBAWA)"/>
      <sheetName val="Form F"/>
      <sheetName val="Batas"/>
      <sheetName val="Daftar 2 (2)"/>
      <sheetName val="Form 4"/>
      <sheetName val="Form 4 (2.2)"/>
      <sheetName val="Form - B.31"/>
      <sheetName val="Form - B.32"/>
      <sheetName val="Lamp Kinerja"/>
      <sheetName val="Form - B4"/>
      <sheetName val="Alat  (2.2)"/>
      <sheetName val="Skn (2)"/>
      <sheetName val="dspp"/>
      <sheetName val="Pengalaman"/>
      <sheetName val="DTA"/>
      <sheetName val="div 2&amp;3"/>
      <sheetName val="Personil ngawi"/>
      <sheetName val="Srt personil ngawi"/>
      <sheetName val="riwayat ngawi"/>
      <sheetName val="riwayat"/>
      <sheetName val="ALAT1"/>
      <sheetName val="BASIC"/>
      <sheetName val="ALAT2 (TDK DIPAKAI)"/>
      <sheetName val="ATB"/>
      <sheetName val="KG"/>
      <sheetName val="KONDISI PENGADAAN"/>
      <sheetName val="APB"/>
      <sheetName val="DATA KEU"/>
      <sheetName val="Harga"/>
      <sheetName val="ASP lkp"/>
      <sheetName val="boq lkp"/>
      <sheetName val="AJV"/>
      <sheetName val="AJV1"/>
      <sheetName val="BAHAN"/>
      <sheetName val="Volume"/>
      <sheetName val="Peta Quarry"/>
      <sheetName val="subkon"/>
      <sheetName val="TKDN"/>
      <sheetName val="TIMES"/>
      <sheetName val="D2"/>
      <sheetName val="D3"/>
      <sheetName val="D4(2)"/>
      <sheetName val="D5"/>
      <sheetName val="D6"/>
      <sheetName val="D7(1)"/>
      <sheetName val="D7(2)"/>
      <sheetName val="D8(1)"/>
      <sheetName val="D8(2)"/>
      <sheetName val="D10 LS-Rutin"/>
      <sheetName val="D10 Kuantitas"/>
      <sheetName val="D10 Analisa HSP"/>
      <sheetName val="4-Analisa Quarry"/>
      <sheetName val="Agg A"/>
      <sheetName val="Agg B"/>
      <sheetName val="Perhitungan Mobilisasi Alat"/>
      <sheetName val="Lalu Lintas"/>
      <sheetName val="Jembatan Sementara"/>
      <sheetName val="BOQ (2)"/>
      <sheetName val="BOQ (3)"/>
      <sheetName val="dftr kuantitas"/>
      <sheetName val="Analisa K3&amp;Personil"/>
      <sheetName val="4-formulir harga bahan"/>
      <sheetName val="5-ALAT (2)"/>
      <sheetName val="Agg Halus &amp; Kasar"/>
      <sheetName val="Agg C"/>
      <sheetName val="D6 ASBT"/>
      <sheetName val="D4"/>
      <sheetName val="D7(3)"/>
      <sheetName val="D9"/>
      <sheetName val="DISCLAIMER"/>
      <sheetName val="MAJOR"/>
      <sheetName val="%"/>
      <sheetName val="4-Basic Price (2)"/>
      <sheetName val="ASBUTON"/>
      <sheetName val="Cash Flow bulanan"/>
      <sheetName val="HSLAIN-LAIN"/>
      <sheetName val="ganda"/>
      <sheetName val="ISIAN"/>
      <sheetName val="D7"/>
      <sheetName val="D8"/>
      <sheetName val="REF.ONLY"/>
      <sheetName val="3-DIV3"/>
      <sheetName val="Bhn-2"/>
      <sheetName val="An.BOW"/>
      <sheetName val="Depan"/>
      <sheetName val="RAB "/>
      <sheetName val="BAHAN Dekat"/>
      <sheetName val="ANALISA SNI"/>
      <sheetName val="POSISI ANALISA"/>
      <sheetName val="POSISI ANALISA (2)"/>
      <sheetName val="ANALISA DLL 1"/>
      <sheetName val="Pembesian"/>
      <sheetName val="scedhule"/>
      <sheetName val="pekerjaan"/>
      <sheetName val="mutu"/>
      <sheetName val="network"/>
      <sheetName val="611"/>
      <sheetName val="harga upah"/>
      <sheetName val="BOW"/>
      <sheetName val="Letter of Bid"/>
      <sheetName val="SUMMARY OF BILL"/>
      <sheetName val="BILL"/>
      <sheetName val="S curve"/>
      <sheetName val="Unit Price Analysis"/>
      <sheetName val="AnTek "/>
      <sheetName val="Basic Price"/>
      <sheetName val="MOS Cost"/>
      <sheetName val="List Sub Cont"/>
      <sheetName val="AT"/>
      <sheetName val="tabel"/>
      <sheetName val="Schedule I"/>
      <sheetName val="Ie"/>
      <sheetName val="Schedule III"/>
      <sheetName val="job"/>
      <sheetName val="Master_Data"/>
      <sheetName val="Summary"/>
      <sheetName val="MIS"/>
      <sheetName val="Schedule_I"/>
      <sheetName val="Schedule_III"/>
      <sheetName val="AREAS"/>
      <sheetName val="IF"/>
      <sheetName val="LN"/>
      <sheetName val="SUMIF"/>
      <sheetName val="SUBTOTAL"/>
      <sheetName val="WEEKDAY"/>
      <sheetName val="CUMIPMT"/>
      <sheetName val="Master"/>
      <sheetName val="OE"/>
      <sheetName val="kosongan"/>
      <sheetName val="interp. (2)"/>
      <sheetName val="par-final (2)"/>
      <sheetName val="interp."/>
      <sheetName val="par"/>
      <sheetName val="HARGA ALAT"/>
      <sheetName val="ALAT-1"/>
      <sheetName val="gajiPersiap"/>
      <sheetName val="Sub"/>
      <sheetName val="Analisa Gabungan"/>
      <sheetName val="Analisa Harsat"/>
      <sheetName val="mu (owner)"/>
      <sheetName val="cashflow"/>
      <sheetName val="mu (struktur)"/>
      <sheetName val="anallisa"/>
      <sheetName val="Analisa Gab"/>
      <sheetName val="HRG BHN"/>
      <sheetName val="Kbthn BBM"/>
      <sheetName val="RAP"/>
      <sheetName val="Pem. Rutin"/>
      <sheetName val="Anls Hrg"/>
      <sheetName val="Koef"/>
      <sheetName val="Urn Anl 1-5"/>
      <sheetName val="Urn Anl 6-10"/>
      <sheetName val="Hrg Dasar"/>
      <sheetName val="Konf-plant"/>
      <sheetName val="M. Onsite"/>
      <sheetName val="Sub-KOnt"/>
      <sheetName val="Check-list"/>
      <sheetName val="Pelaksanaa"/>
      <sheetName val="amp"/>
      <sheetName val="COV"/>
      <sheetName val="meth2 (3)"/>
      <sheetName val="ANGKUT"/>
      <sheetName val="ONSITE"/>
      <sheetName val="TAWAR"/>
      <sheetName val="Sche"/>
      <sheetName val="meth"/>
      <sheetName val="COVER"/>
      <sheetName val="REKAP "/>
      <sheetName val="siap"/>
      <sheetName val="pondasi"/>
      <sheetName val=" C"/>
      <sheetName val="schedul"/>
      <sheetName val=" A&amp;B"/>
      <sheetName val=" C Lt2"/>
      <sheetName val=" C Lt3"/>
      <sheetName val="C lt1"/>
      <sheetName val="AB lt3"/>
      <sheetName val="AB lt1"/>
      <sheetName val="ABlt2"/>
      <sheetName val="KTR"/>
      <sheetName val="analisa2"/>
      <sheetName val="pintu"/>
      <sheetName val="surat"/>
      <sheetName val="personil"/>
      <sheetName val="harsat"/>
      <sheetName val="BKT"/>
      <sheetName val="REKAP KTR LP"/>
      <sheetName val="KTR LP"/>
      <sheetName val="anls ktr lp"/>
      <sheetName val="inderect"/>
      <sheetName val="gaji"/>
      <sheetName val="dashboard"/>
      <sheetName val="Letter_of_Bid1"/>
      <sheetName val="SUMMARY_OF_BILL1"/>
      <sheetName val="S_curve1"/>
      <sheetName val="Unit_Price_Analysis1"/>
      <sheetName val="AnTek_1"/>
      <sheetName val="Basic_Price1"/>
      <sheetName val="MOS_Cost1"/>
      <sheetName val="List_Sub_Cont1"/>
      <sheetName val="Letter_of_Bid"/>
      <sheetName val="SUMMARY_OF_BILL"/>
      <sheetName val="S_curve"/>
      <sheetName val="Unit_Price_Analysis"/>
      <sheetName val="AnTek_"/>
      <sheetName val="Basic_Price"/>
      <sheetName val="MOS_Cost"/>
      <sheetName val="List_Sub_Cont"/>
      <sheetName val="Letter_of_Bid2"/>
      <sheetName val="SUMMARY_OF_BILL2"/>
      <sheetName val="S_curve2"/>
      <sheetName val="Unit_Price_Analysis2"/>
      <sheetName val="AnTek_2"/>
      <sheetName val="Basic_Price2"/>
      <sheetName val="MOS_Cost2"/>
      <sheetName val="List_Sub_Cont2"/>
      <sheetName val="Letter_of_Bid3"/>
      <sheetName val="SUMMARY_OF_BILL3"/>
      <sheetName val="S_curve3"/>
      <sheetName val="Unit_Price_Analysis3"/>
      <sheetName val="AnTek_3"/>
      <sheetName val="Basic_Price3"/>
      <sheetName val="MOS_Cost3"/>
      <sheetName val="List_Sub_Cont3"/>
      <sheetName val="compaction"/>
      <sheetName val="Anl"/>
      <sheetName val="Anl-Alt"/>
      <sheetName val="Sat-Pek"/>
      <sheetName val="Timb-luar"/>
      <sheetName val="Gal-biasa"/>
      <sheetName val="Ur-Kemb"/>
      <sheetName val="Brjg"/>
      <sheetName val="Geotek"/>
      <sheetName val="Pas-Batu"/>
      <sheetName val="PESANTREN"/>
      <sheetName val="Curup"/>
      <sheetName val="On Time"/>
      <sheetName val="G"/>
      <sheetName val="Prabu"/>
      <sheetName val="AT 2"/>
      <sheetName val="10"/>
      <sheetName val="5"/>
      <sheetName val="DB"/>
      <sheetName val="DAF-2"/>
      <sheetName val="CH"/>
      <sheetName val="Rekap Anggaran"/>
      <sheetName val="Sumber Daya"/>
      <sheetName val="Sheet9"/>
      <sheetName val="RAB_ARSITEKTUR"/>
      <sheetName val="REKAP_ARSITEKTUR"/>
      <sheetName val="Table 1"/>
      <sheetName val="Rekap Medis Tlogo"/>
      <sheetName val="RAB  Medis Tlogo"/>
      <sheetName val="Backup Kel Wdsltg"/>
      <sheetName val="Harga Kesatuan 2014"/>
      <sheetName val="Uraian AHSP 2014"/>
      <sheetName val="Harga Satuan 2014"/>
      <sheetName val="Tbl Besi"/>
      <sheetName val="Uraian1"/>
      <sheetName val="ALAT MOLEN"/>
      <sheetName val="PIPA"/>
      <sheetName val="R A B"/>
      <sheetName val="koef besi"/>
      <sheetName val="Harga &amp; Sewa Alat Berat"/>
      <sheetName val="An_Konstruksi"/>
      <sheetName val="Listik_Gedung"/>
      <sheetName val="Listrik_PJU"/>
      <sheetName val="Marka"/>
      <sheetName val="Pelumpuran"/>
      <sheetName val="Cleaning_Servise"/>
      <sheetName val="penyapuan"/>
      <sheetName val="An_Alat"/>
      <sheetName val="An_KPUT"/>
      <sheetName val="An_E"/>
      <sheetName val="Tanaman Hias"/>
      <sheetName val="harga susulan"/>
      <sheetName val="HRG_PIPA_2010"/>
      <sheetName val="HARGA KANSTEEN"/>
      <sheetName val="als.BORONG"/>
      <sheetName val="rekap BORONG"/>
      <sheetName val="Backup"/>
      <sheetName val="Aspal"/>
      <sheetName val="Harian"/>
      <sheetName val="3-DIV5"/>
      <sheetName val="5-Peralatan"/>
      <sheetName val="upah bahan"/>
      <sheetName val="UP_an"/>
      <sheetName val="Master Edit"/>
      <sheetName val="Hrg.Sat"/>
      <sheetName val="Sat~Bahu"/>
      <sheetName val="VAC-1"/>
      <sheetName val="Div2"/>
      <sheetName val="escon"/>
      <sheetName val=" ANL. bw"/>
      <sheetName val="pro ra op"/>
      <sheetName val="grafik"/>
      <sheetName val="PNT"/>
      <sheetName val="Data BaseSumber DY"/>
      <sheetName val="Data Base Tahap Pek"/>
      <sheetName val="Data Base Tahap H. Sat"/>
      <sheetName val="rincian rab"/>
      <sheetName val="bq kontrak"/>
      <sheetName val="asumsi"/>
      <sheetName val="Resume"/>
      <sheetName val="Kebutuhan SBDY"/>
      <sheetName val="anc&amp;peluang"/>
      <sheetName val="LPS APRL'08"/>
      <sheetName val="Currency"/>
      <sheetName val="TOWN"/>
      <sheetName val="Rek-Analisa"/>
      <sheetName val="산근"/>
      <sheetName val="A"/>
      <sheetName val="h-013211-2"/>
      <sheetName val="ANL-PEK"/>
      <sheetName val="Gran-rekap"/>
      <sheetName val="cover-1"/>
      <sheetName val="bill.1"/>
      <sheetName val="cover-2"/>
      <sheetName val="bill.2.1"/>
      <sheetName val="bill.2.2"/>
      <sheetName val="bill.2.3"/>
      <sheetName val="rekap bill. 2"/>
      <sheetName val="cover-3"/>
      <sheetName val="bill.3.1"/>
      <sheetName val="bill.3.2"/>
      <sheetName val="bill.3.3"/>
      <sheetName val="bill.3.4"/>
      <sheetName val="bill.3.5"/>
      <sheetName val="bill.3.6"/>
      <sheetName val="bill.3.7"/>
      <sheetName val="bill.3.8"/>
      <sheetName val="bill 3.9"/>
      <sheetName val="bill 3.10"/>
      <sheetName val="bill 3.11"/>
      <sheetName val="bill 3.12"/>
      <sheetName val="rekap bill.3"/>
      <sheetName val="cover-4"/>
      <sheetName val="bill.4.1"/>
      <sheetName val="bill.4.2"/>
      <sheetName val="bill.4.3"/>
      <sheetName val="bill.4.4"/>
      <sheetName val="bill.4.5 "/>
      <sheetName val="bill.4.6"/>
      <sheetName val="bill.4.7"/>
      <sheetName val="bill.4.8"/>
      <sheetName val="bill.4.9"/>
      <sheetName val="bill.4.10"/>
      <sheetName val="bill.4.11"/>
      <sheetName val="bill.4.12"/>
      <sheetName val="bill.4.13"/>
      <sheetName val="bill.4.14"/>
      <sheetName val="bill.4.15"/>
      <sheetName val="bill.4.16"/>
      <sheetName val="rekap bill.4"/>
      <sheetName val="cover-5"/>
      <sheetName val="bill.5.1"/>
      <sheetName val="bill.5.2"/>
      <sheetName val="bill.5.3"/>
      <sheetName val="bill.5.4"/>
      <sheetName val="rekap bill.5"/>
      <sheetName val="cover-6"/>
      <sheetName val="bill.6.1"/>
      <sheetName val="bill.6.2"/>
      <sheetName val="bill.6.3"/>
      <sheetName val="bill.6.4"/>
      <sheetName val="bill.6.5"/>
      <sheetName val="bill.6.6"/>
      <sheetName val="bill.6.7"/>
      <sheetName val="bill.6.8"/>
      <sheetName val="bill.6.9"/>
      <sheetName val="bill.6.10"/>
      <sheetName val="bill.6.11"/>
      <sheetName val="bill.6.12"/>
      <sheetName val="bill.6.13"/>
      <sheetName val="bill.6.14"/>
      <sheetName val="bill.6.15"/>
      <sheetName val="rekap bill. 6"/>
      <sheetName val="Anal Alat Type II A"/>
      <sheetName val="Motor Sytem"/>
      <sheetName val="SEX"/>
      <sheetName val="rkp"/>
      <sheetName val="anal"/>
      <sheetName val="Hit Vol"/>
      <sheetName val="antek"/>
      <sheetName val="Clarify"/>
      <sheetName val="map"/>
      <sheetName val="sdm"/>
      <sheetName val="eval"/>
      <sheetName val="div1.20"/>
      <sheetName val="anal-1.19"/>
      <sheetName val="app-4"/>
      <sheetName val="app-4a"/>
      <sheetName val="app-7"/>
      <sheetName val="bekis"/>
      <sheetName val="break-div1.20"/>
      <sheetName val="test"/>
      <sheetName val="bek"/>
      <sheetName val="61004"/>
      <sheetName val="61005"/>
      <sheetName val="61006"/>
      <sheetName val="61007"/>
      <sheetName val="61008"/>
      <sheetName val="RENPEN"/>
      <sheetName val="Daftar Harga Satuan"/>
      <sheetName val="Analisa Harga Satuan"/>
      <sheetName val="UABP"/>
      <sheetName val="up"/>
      <sheetName val="kosen"/>
      <sheetName val="keramik"/>
      <sheetName val="kuda2"/>
      <sheetName val="SAT-UP"/>
      <sheetName val="SURVEY TOKO"/>
      <sheetName val="survey kayu"/>
      <sheetName val="REKAP RAB"/>
      <sheetName val="KESATUAN"/>
      <sheetName val="UPAH DAN BAHAN"/>
      <sheetName val="ANALISA ALAT"/>
      <sheetName val="HARGA SEWA ALAT DPU"/>
      <sheetName val="BAGAN ALIR"/>
      <sheetName val="N.P"/>
      <sheetName val="00000"/>
      <sheetName val="XXXXX"/>
      <sheetName val="Sat-Pek "/>
      <sheetName val="Analisa "/>
      <sheetName val="Sat-Bhn"/>
      <sheetName val="Sat-upah"/>
      <sheetName val="K 013"/>
      <sheetName val="K 016"/>
      <sheetName val="K 017"/>
      <sheetName val="K 018"/>
      <sheetName val="K 020"/>
      <sheetName val="K 026"/>
      <sheetName val="K 030"/>
      <sheetName val="K 035"/>
      <sheetName val="K 040"/>
      <sheetName val="K 110"/>
      <sheetName val="K 116"/>
      <sheetName val="K 117"/>
      <sheetName val="K 121"/>
      <sheetName val="K 123"/>
      <sheetName val="K 124"/>
      <sheetName val="K 220"/>
      <sheetName val="K 224"/>
      <sheetName val="K 225"/>
      <sheetName val="K 231"/>
      <sheetName val="K 310"/>
      <sheetName val="K 320"/>
      <sheetName val="K 321"/>
      <sheetName val="K 322"/>
      <sheetName val="K 325"/>
      <sheetName val="K 341"/>
      <sheetName val="K 410"/>
      <sheetName val="K 422"/>
      <sheetName val="K 424"/>
      <sheetName val="K 511"/>
      <sheetName val="K 513"/>
      <sheetName val="K 515"/>
      <sheetName val="K 516"/>
      <sheetName val="K 521"/>
      <sheetName val="K 523"/>
      <sheetName val="K 528"/>
      <sheetName val="K 530"/>
      <sheetName val="K 612"/>
      <sheetName val="K 615"/>
      <sheetName val="K 616"/>
      <sheetName val="K 617"/>
      <sheetName val="K 618"/>
      <sheetName val="K 621"/>
      <sheetName val="K 631"/>
      <sheetName val="K 636"/>
      <sheetName val="K 637"/>
      <sheetName val="K 638"/>
      <sheetName val="K 641"/>
      <sheetName val="K 710"/>
      <sheetName val="K 715"/>
      <sheetName val="K 720"/>
      <sheetName val="K 721"/>
      <sheetName val="K 725"/>
      <sheetName val="K 730"/>
      <sheetName val="K 810"/>
      <sheetName val="K 815"/>
      <sheetName val="K 880"/>
      <sheetName val="H_Satuan"/>
      <sheetName val="hrga bhn-upah"/>
      <sheetName val="RAB RS"/>
      <sheetName val="RAB SEND"/>
      <sheetName val="Pipa "/>
      <sheetName val="Jembatan pipa"/>
      <sheetName val="RAB RS (2)"/>
      <sheetName val="Kurva S"/>
      <sheetName val="Backup BAK"/>
      <sheetName val="Backup BAK (2)"/>
      <sheetName val="Vol sEND"/>
      <sheetName val="rekap bahan res"/>
      <sheetName val="rekap bahan send"/>
      <sheetName val="rekap bahan res (2)"/>
      <sheetName val="rekap bahan Jemb"/>
      <sheetName val="rekap bahan PIPA"/>
      <sheetName val="anls SNI"/>
      <sheetName val="back up"/>
      <sheetName val="back up kusen"/>
      <sheetName val="back up bata"/>
      <sheetName val="back up int"/>
      <sheetName val="FIX"/>
      <sheetName val="skedul"/>
      <sheetName val="RAB  UANG MUKA"/>
      <sheetName val="HARGA  UMK"/>
      <sheetName val="FIX (2)"/>
      <sheetName val="RAB (2)"/>
      <sheetName val="rr"/>
      <sheetName val="DAFTAR ALAT"/>
      <sheetName val="E.001"/>
      <sheetName val="E.031"/>
      <sheetName val="E.052"/>
      <sheetName val="E.080"/>
      <sheetName val="E.084"/>
      <sheetName val="E.087"/>
      <sheetName val="E.088"/>
      <sheetName val="E.089"/>
      <sheetName val="E.153"/>
      <sheetName val="E.155"/>
      <sheetName val="E.157"/>
      <sheetName val="E.182"/>
      <sheetName val="E.211"/>
      <sheetName val="E.212"/>
      <sheetName val="E.251"/>
      <sheetName val="E.252"/>
      <sheetName val="E.301"/>
      <sheetName val="E.341"/>
      <sheetName val="DAFTAR BAHAN"/>
      <sheetName val="DAFTAR UPAH"/>
      <sheetName val="ANALYS G"/>
      <sheetName val="K.017"/>
      <sheetName val="K.018"/>
      <sheetName val="K.026"/>
      <sheetName val="K.110"/>
      <sheetName val="K.127"/>
      <sheetName val="K.127-A"/>
      <sheetName val="K.127-B"/>
      <sheetName val="K.210"/>
      <sheetName val="DAFTAR HARGA"/>
      <sheetName val="K.224"/>
      <sheetName val="K.225"/>
      <sheetName val="K.516"/>
      <sheetName val="K.521"/>
      <sheetName val="K.528"/>
      <sheetName val="K.528 B"/>
      <sheetName val="K.710"/>
      <sheetName val="K.715"/>
      <sheetName val="K.720"/>
      <sheetName val="K.721"/>
      <sheetName val="K.722"/>
      <sheetName val="K.810"/>
      <sheetName val="K.911"/>
      <sheetName val="K.912"/>
      <sheetName val="D -12"/>
      <sheetName val="Rek-Alat"/>
      <sheetName val="An-Alat"/>
      <sheetName val="Rek-An-Alat"/>
      <sheetName val="Al-Utama"/>
      <sheetName val="Agregat"/>
      <sheetName val="An-Pek"/>
      <sheetName val="Rek-Vol"/>
      <sheetName val="Mob"/>
      <sheetName val="2"/>
      <sheetName val="PESAN"/>
      <sheetName val="XXXX"/>
      <sheetName val="Skema"/>
      <sheetName val="SAT-ALAT"/>
      <sheetName val="OEst-A"/>
      <sheetName val="OEst-2"/>
      <sheetName val="OEst-3"/>
      <sheetName val="OEst-4"/>
      <sheetName val="OEst-5"/>
      <sheetName val="RAB-5"/>
      <sheetName val="OEst-6"/>
      <sheetName val="RAB-6"/>
      <sheetName val="OEst-7"/>
      <sheetName val="RAB-7"/>
      <sheetName val="RAB-9"/>
      <sheetName val="0Est-9"/>
      <sheetName val="OEst-8"/>
      <sheetName val="OEFU"/>
      <sheetName val="7.3(1)"/>
      <sheetName val="7.1.(5)"/>
      <sheetName val="2.3 (3)"/>
      <sheetName val="6.1(1)(2)"/>
      <sheetName val="7. 9"/>
      <sheetName val="3.3 (1)"/>
      <sheetName val="3.2 (1)"/>
      <sheetName val="VOL.1"/>
      <sheetName val="LUMP SUM"/>
      <sheetName val="bayar_04_fak"/>
      <sheetName val="pem B E S I an"/>
      <sheetName val="Input"/>
      <sheetName val="PT."/>
      <sheetName val="Huruf"/>
      <sheetName val="Perhitungan RAB"/>
      <sheetName val="RABT"/>
      <sheetName val="HARSAT_BAH"/>
      <sheetName val="An. Tamb"/>
      <sheetName val="Mob Alat"/>
      <sheetName val="D10 LS"/>
      <sheetName val="D10 Kuan"/>
      <sheetName val="D10 An HSP"/>
      <sheetName val="4-Basic"/>
      <sheetName val="4-Quarry"/>
      <sheetName val="4-form harga"/>
      <sheetName val="Agg"/>
      <sheetName val="B"/>
      <sheetName val="C"/>
      <sheetName val="upah &amp; bahan AB"/>
      <sheetName val="analisa AB"/>
      <sheetName val="Anl. Teknis"/>
      <sheetName val="SLITLAAGH"/>
      <sheetName val="MPU BATU BELAH"/>
      <sheetName val="MPU Beton 175"/>
      <sheetName val="MPU Harga Satuan Alat"/>
      <sheetName val="Uraian Analisa Alat (Excavator)"/>
      <sheetName val="Uraian Analisa Alat (Dump Truc)"/>
      <sheetName val="SCH"/>
      <sheetName val="JUMLAH BAHAN"/>
      <sheetName val="bronjong"/>
      <sheetName val="HSD"/>
      <sheetName val="URAIAN"/>
      <sheetName val="B Q"/>
      <sheetName val="NEGOSIASI"/>
      <sheetName val="00000000"/>
      <sheetName val="10000000"/>
      <sheetName val="bq (link)"/>
      <sheetName val="lembar hit."/>
      <sheetName val="HSU"/>
      <sheetName val="Rekap Anl"/>
      <sheetName val="HSU Dipakai"/>
      <sheetName val="Rekap BQ Anl-Dipakai"/>
      <sheetName val="Harga Upah "/>
      <sheetName val="HSA &amp; PAB"/>
      <sheetName val="A H S P"/>
      <sheetName val="Rekapitulasi H S P"/>
      <sheetName val="div3"/>
      <sheetName val="Anl-2"/>
      <sheetName val="Galian 1"/>
      <sheetName val="daf-har"/>
      <sheetName val="daf-har (2)"/>
      <sheetName val="rab27r1"/>
      <sheetName val="master-format"/>
      <sheetName val="FORM-MATERIAL"/>
      <sheetName val="FORM-MATERIAL-SR21"/>
      <sheetName val="FORM-MATERIAL-SR27"/>
      <sheetName val="MATERIAL-SARMEN-21"/>
      <sheetName val="MATERIAL-SARMEN-27"/>
      <sheetName val="MATERIAL-SENGKUANG-21"/>
      <sheetName val="MATERIAL-SENGKUANG-21 (2)"/>
      <sheetName val="FORM-MATERIAL-TS21"/>
      <sheetName val="FORM-MATERIAL-TS27"/>
      <sheetName val="jemb-for1"/>
      <sheetName val="jb-forut"/>
      <sheetName val="jb-forut (2)"/>
      <sheetName val="jb-forut (3)"/>
      <sheetName val="BATUMIRING"/>
      <sheetName val="rab21real"/>
      <sheetName val="rab21r"/>
      <sheetName val="rab21r (2)"/>
      <sheetName val="rab21Prosen"/>
      <sheetName val="rab21Prosen (2)"/>
      <sheetName val="rab21Prosen (3)"/>
      <sheetName val="OPNAME3"/>
      <sheetName val="rab27"/>
      <sheetName val="rab27r"/>
      <sheetName val="rab36"/>
      <sheetName val="rab36r"/>
      <sheetName val="rekapt21"/>
      <sheetName val="rekapt21R"/>
      <sheetName val="rekapt27"/>
      <sheetName val="timschsarmen1"/>
      <sheetName val="timsch (2)"/>
      <sheetName val="SCH-TJS"/>
      <sheetName val="SCH-TJS (2)"/>
      <sheetName val="kebut-material"/>
      <sheetName val="RUKO"/>
      <sheetName val="bobot"/>
      <sheetName val="bobot (2)"/>
      <sheetName val="rekapt21 (2)"/>
      <sheetName val="Sec I ML"/>
      <sheetName val="loss time"/>
      <sheetName val="ANALISA PEK.UMUM"/>
      <sheetName val="DIV_12"/>
      <sheetName val="Rek. Mob"/>
      <sheetName val="Ana. PU"/>
      <sheetName val="Plumbing"/>
      <sheetName val="dasar"/>
    </sheetNames>
    <sheetDataSet>
      <sheetData sheetId="0">
        <row r="9">
          <cell r="D9" t="str">
            <v>: Peningkatan Jalan Muara Rupit - Muara Lakitan</v>
          </cell>
        </row>
      </sheetData>
      <sheetData sheetId="1">
        <row r="94">
          <cell r="D94" t="str">
            <v>A M P</v>
          </cell>
        </row>
      </sheetData>
      <sheetData sheetId="2">
        <row r="2">
          <cell r="I2">
            <v>1.1299999999999999</v>
          </cell>
        </row>
      </sheetData>
      <sheetData sheetId="3" refreshError="1"/>
      <sheetData sheetId="4">
        <row r="1">
          <cell r="P1">
            <v>0.1</v>
          </cell>
        </row>
      </sheetData>
      <sheetData sheetId="5" refreshError="1">
        <row r="129">
          <cell r="B129" t="str">
            <v>Catatan    :</v>
          </cell>
        </row>
        <row r="148">
          <cell r="B148" t="str">
            <v>ANALISA HARGA SATUAN MATA PEMBAYARAN</v>
          </cell>
        </row>
        <row r="150">
          <cell r="B150" t="str">
            <v>Bagian   Proyek</v>
          </cell>
          <cell r="F150" t="str">
            <v>:</v>
          </cell>
          <cell r="G150" t="str">
            <v>Pembangunan Jalan Dalam Kota Samarinda</v>
          </cell>
        </row>
        <row r="151">
          <cell r="B151" t="str">
            <v>P a k e t</v>
          </cell>
          <cell r="F151" t="str">
            <v>:</v>
          </cell>
          <cell r="G151" t="str">
            <v>Jalan A. Yani Cs, Suryanata Cs</v>
          </cell>
        </row>
        <row r="152">
          <cell r="B152" t="str">
            <v>Nama Penawar</v>
          </cell>
          <cell r="F152" t="str">
            <v>:</v>
          </cell>
          <cell r="G152" t="str">
            <v>PT. KALIRAYA SARI</v>
          </cell>
        </row>
        <row r="153">
          <cell r="B153" t="str">
            <v>No. Mata Pembayaran</v>
          </cell>
          <cell r="F153" t="str">
            <v>:</v>
          </cell>
          <cell r="G153" t="str">
            <v>2.2</v>
          </cell>
        </row>
        <row r="154">
          <cell r="B154" t="str">
            <v>Uraian Pekerjaan</v>
          </cell>
          <cell r="F154" t="str">
            <v>:</v>
          </cell>
          <cell r="G154" t="str">
            <v>Pasangan Batu Dengan Mortar</v>
          </cell>
        </row>
        <row r="155">
          <cell r="B155" t="str">
            <v>Kuantitas Pekerjaan</v>
          </cell>
          <cell r="F155" t="str">
            <v>:</v>
          </cell>
          <cell r="G155">
            <v>1210</v>
          </cell>
          <cell r="H155" t="str">
            <v>M³</v>
          </cell>
        </row>
        <row r="157">
          <cell r="B157" t="str">
            <v>NO.</v>
          </cell>
          <cell r="C157" t="str">
            <v>URAIAN  PEKERJAAN</v>
          </cell>
          <cell r="G157" t="str">
            <v>SATUAN</v>
          </cell>
          <cell r="H157" t="str">
            <v>VOLUME</v>
          </cell>
          <cell r="I157" t="str">
            <v>HARGA   SAT.</v>
          </cell>
          <cell r="J157" t="str">
            <v>JML. HARGA</v>
          </cell>
        </row>
        <row r="158">
          <cell r="I158" t="str">
            <v>(Rp)</v>
          </cell>
          <cell r="J158" t="str">
            <v>(Rp/M³)</v>
          </cell>
        </row>
        <row r="160">
          <cell r="B160" t="str">
            <v>A</v>
          </cell>
          <cell r="D160" t="str">
            <v>TENAGA KERJA</v>
          </cell>
        </row>
        <row r="161">
          <cell r="B161">
            <v>1</v>
          </cell>
          <cell r="D161" t="str">
            <v>Mandor</v>
          </cell>
          <cell r="G161" t="str">
            <v>Jam</v>
          </cell>
          <cell r="H161">
            <v>2.4510000000000001</v>
          </cell>
          <cell r="I161">
            <v>5750</v>
          </cell>
          <cell r="J161">
            <v>14093.25</v>
          </cell>
        </row>
        <row r="162">
          <cell r="B162">
            <v>2</v>
          </cell>
          <cell r="D162" t="str">
            <v>Pekerja</v>
          </cell>
          <cell r="G162" t="str">
            <v>Jam</v>
          </cell>
          <cell r="H162">
            <v>14.7059</v>
          </cell>
          <cell r="I162">
            <v>4400</v>
          </cell>
          <cell r="J162">
            <v>64705.96</v>
          </cell>
        </row>
        <row r="163">
          <cell r="B163">
            <v>3</v>
          </cell>
          <cell r="D163" t="str">
            <v>Tukang</v>
          </cell>
          <cell r="G163" t="str">
            <v>Jam</v>
          </cell>
          <cell r="H163">
            <v>4.9020000000000001</v>
          </cell>
          <cell r="I163">
            <v>5750</v>
          </cell>
          <cell r="J163">
            <v>28186.5</v>
          </cell>
        </row>
        <row r="165">
          <cell r="G165" t="str">
            <v>JUMLAH   HARGA  TENAGA</v>
          </cell>
          <cell r="J165">
            <v>106985.71</v>
          </cell>
        </row>
        <row r="167">
          <cell r="B167" t="str">
            <v>B</v>
          </cell>
          <cell r="D167" t="str">
            <v>BAHAN</v>
          </cell>
        </row>
        <row r="168">
          <cell r="B168">
            <v>1</v>
          </cell>
          <cell r="D168" t="str">
            <v>Batu Kali</v>
          </cell>
          <cell r="G168" t="str">
            <v>M³</v>
          </cell>
          <cell r="H168">
            <v>1.1000000000000001</v>
          </cell>
          <cell r="I168">
            <v>130000</v>
          </cell>
          <cell r="J168">
            <v>143000</v>
          </cell>
        </row>
        <row r="169">
          <cell r="B169">
            <v>2</v>
          </cell>
          <cell r="D169" t="str">
            <v>Pasir Pasangan</v>
          </cell>
          <cell r="G169" t="str">
            <v>M³</v>
          </cell>
          <cell r="H169">
            <v>0.45269999999999999</v>
          </cell>
          <cell r="I169">
            <v>90000</v>
          </cell>
          <cell r="J169">
            <v>40743</v>
          </cell>
        </row>
        <row r="170">
          <cell r="B170">
            <v>3</v>
          </cell>
          <cell r="D170" t="str">
            <v>Semen</v>
          </cell>
          <cell r="G170" t="str">
            <v>Kg</v>
          </cell>
          <cell r="H170">
            <v>202</v>
          </cell>
          <cell r="I170">
            <v>650</v>
          </cell>
          <cell r="J170">
            <v>131300</v>
          </cell>
        </row>
        <row r="172">
          <cell r="G172" t="str">
            <v>JUMLAH   HARGA  BAHAN</v>
          </cell>
          <cell r="J172">
            <v>315043</v>
          </cell>
        </row>
        <row r="174">
          <cell r="B174" t="str">
            <v>C</v>
          </cell>
          <cell r="D174" t="str">
            <v>PERALATAN</v>
          </cell>
        </row>
        <row r="175">
          <cell r="B175">
            <v>1</v>
          </cell>
          <cell r="D175" t="str">
            <v>Concrete Mixer</v>
          </cell>
          <cell r="G175" t="str">
            <v>Jam</v>
          </cell>
          <cell r="H175">
            <v>2.4510000000000001</v>
          </cell>
          <cell r="I175">
            <v>22610.19</v>
          </cell>
          <cell r="J175">
            <v>55417.575689999998</v>
          </cell>
        </row>
        <row r="176">
          <cell r="B176">
            <v>2</v>
          </cell>
          <cell r="D176" t="str">
            <v>Water Tank Truck</v>
          </cell>
          <cell r="G176" t="str">
            <v>Jam</v>
          </cell>
          <cell r="H176">
            <v>2.5499999999999998E-2</v>
          </cell>
          <cell r="I176">
            <v>138344.45000000001</v>
          </cell>
          <cell r="J176">
            <v>3527.7834750000002</v>
          </cell>
        </row>
        <row r="177">
          <cell r="B177">
            <v>3</v>
          </cell>
          <cell r="D177" t="str">
            <v>Alat Bantu</v>
          </cell>
          <cell r="G177" t="str">
            <v>Ls</v>
          </cell>
          <cell r="H177">
            <v>1</v>
          </cell>
          <cell r="I177">
            <v>18.5</v>
          </cell>
          <cell r="J177">
            <v>18.5</v>
          </cell>
        </row>
        <row r="179">
          <cell r="G179" t="str">
            <v>JUMLAH   HARGA  PERALATAN</v>
          </cell>
          <cell r="J179">
            <v>58963.859165000002</v>
          </cell>
        </row>
        <row r="180">
          <cell r="B180" t="str">
            <v>D</v>
          </cell>
          <cell r="D180" t="str">
            <v>JUMLAH  ( A + B + C )</v>
          </cell>
          <cell r="J180">
            <v>480992.56916499999</v>
          </cell>
        </row>
        <row r="181">
          <cell r="B181" t="str">
            <v>E</v>
          </cell>
          <cell r="D181" t="str">
            <v>BIAYA UMUM DAN KEUNTUNGAN  =  10 %  x   D</v>
          </cell>
          <cell r="J181">
            <v>48099.256916500002</v>
          </cell>
        </row>
        <row r="182">
          <cell r="B182" t="str">
            <v>F</v>
          </cell>
          <cell r="D182" t="str">
            <v>HARGA SATUAN =  D + E</v>
          </cell>
          <cell r="J182">
            <v>529091.82608150004</v>
          </cell>
        </row>
        <row r="183">
          <cell r="A183">
            <v>0</v>
          </cell>
          <cell r="B183" t="str">
            <v>G</v>
          </cell>
          <cell r="D183" t="str">
            <v>PEMBULATAN</v>
          </cell>
          <cell r="J183">
            <v>529091</v>
          </cell>
        </row>
        <row r="184">
          <cell r="B184" t="str">
            <v>Catatan    :</v>
          </cell>
        </row>
        <row r="185">
          <cell r="B185" t="str">
            <v>-</v>
          </cell>
          <cell r="C185" t="str">
            <v>Satuan dpt. berdasarkan atas jam operasi untuk tenaga kerja &amp; peralatan, volume dan/atau ukuran berat untuk bahan-bahan.</v>
          </cell>
        </row>
        <row r="186">
          <cell r="B186" t="str">
            <v>-</v>
          </cell>
          <cell r="C186" t="str">
            <v xml:space="preserve">Kuantitas satuan adalah kuantitas  setiap komponen untuk menyelesaikan satu satuan pekerjaan dari nomor mata pekerjaan.  </v>
          </cell>
        </row>
        <row r="187">
          <cell r="B187" t="str">
            <v>-</v>
          </cell>
          <cell r="C187" t="str">
            <v>Biaya satuan sudah termasuk  pengeluaran untuk seluruh  pajak yang berkaitan (tetapi tidak termasuk PPN yang</v>
          </cell>
        </row>
        <row r="188">
          <cell r="C188" t="str">
            <v xml:space="preserve">dibayarkan dari kontrak) dan biaya-biaya lainnya. </v>
          </cell>
        </row>
        <row r="189">
          <cell r="B189" t="str">
            <v>-</v>
          </cell>
          <cell r="C189" t="str">
            <v>Penawar tidak diperkenankan untuk menambah komponen-komponen baru dan menambah kuantitas pada bagian</v>
          </cell>
        </row>
        <row r="190">
          <cell r="C190" t="str">
            <v>Bahan dalam formulir ini.</v>
          </cell>
        </row>
        <row r="191">
          <cell r="B191" t="str">
            <v>-</v>
          </cell>
          <cell r="C191" t="str">
            <v>Harga Satuan yang diajukan Peserta Lelang harus mencakup seluruh tambahan tenaga kerja, bahan, peralatan atau</v>
          </cell>
        </row>
        <row r="192">
          <cell r="C192" t="str">
            <v>kerugian yang mungkin diperlukan untuk menyelesaikan pekerjaan sesuai dengan Spesifikasi dan Gambar.</v>
          </cell>
        </row>
        <row r="193">
          <cell r="B193" t="str">
            <v>-</v>
          </cell>
          <cell r="C193" t="str">
            <v>Penulisan kuantitas Tenaga, Bahan, Peralatan dibuat dalam 4 (empat) digit.</v>
          </cell>
        </row>
        <row r="195">
          <cell r="I195" t="str">
            <v>Balikpapan, 18 Maret 2003</v>
          </cell>
        </row>
        <row r="196">
          <cell r="I196" t="str">
            <v>PT. KALIRAYA SARI</v>
          </cell>
        </row>
        <row r="201">
          <cell r="I201" t="str">
            <v>Ir. S. CHANDRA</v>
          </cell>
        </row>
        <row r="202">
          <cell r="I202" t="str">
            <v>Kepala Cabang</v>
          </cell>
        </row>
        <row r="1198">
          <cell r="B1198" t="str">
            <v>ANALISA HARGA SATUAN MATA PEMBAYARAN</v>
          </cell>
        </row>
        <row r="1200">
          <cell r="B1200" t="str">
            <v>Bagian   Proyek</v>
          </cell>
          <cell r="F1200" t="str">
            <v>:</v>
          </cell>
          <cell r="G1200" t="str">
            <v>Pembangunan Jalan Dalam Kota Samarinda</v>
          </cell>
        </row>
        <row r="1201">
          <cell r="B1201" t="str">
            <v>P a k e t</v>
          </cell>
          <cell r="F1201" t="str">
            <v>:</v>
          </cell>
          <cell r="G1201" t="str">
            <v>Jalan A. Yani Cs, Suryanata Cs</v>
          </cell>
        </row>
        <row r="1202">
          <cell r="B1202" t="str">
            <v>Nama Penawar</v>
          </cell>
          <cell r="F1202" t="str">
            <v>:</v>
          </cell>
          <cell r="G1202" t="str">
            <v>PT. KALIRAYA SARI</v>
          </cell>
        </row>
        <row r="1203">
          <cell r="B1203" t="str">
            <v>No. Mata Pembayaran</v>
          </cell>
          <cell r="F1203" t="str">
            <v>:</v>
          </cell>
          <cell r="G1203" t="str">
            <v>8.1(1)</v>
          </cell>
        </row>
        <row r="1204">
          <cell r="B1204" t="str">
            <v>Uraian Pekerjaan</v>
          </cell>
          <cell r="F1204" t="str">
            <v>:</v>
          </cell>
          <cell r="G1204" t="str">
            <v>Lapis Pondasi Agregat Kelas A u/pekerjaan Minor</v>
          </cell>
        </row>
        <row r="1205">
          <cell r="B1205" t="str">
            <v>Kuantitas Pekerjaan</v>
          </cell>
          <cell r="F1205" t="str">
            <v>:</v>
          </cell>
          <cell r="G1205">
            <v>0</v>
          </cell>
          <cell r="H1205" t="str">
            <v>M³</v>
          </cell>
        </row>
        <row r="1207">
          <cell r="B1207" t="str">
            <v>NO</v>
          </cell>
          <cell r="C1207" t="str">
            <v>URAIAN  PEKERJAAN</v>
          </cell>
          <cell r="G1207" t="str">
            <v>SATUAN</v>
          </cell>
          <cell r="H1207" t="str">
            <v>VOLUME</v>
          </cell>
          <cell r="I1207" t="str">
            <v>HARGA   SAT.</v>
          </cell>
          <cell r="J1207" t="str">
            <v>JML. HARGA</v>
          </cell>
        </row>
        <row r="1208">
          <cell r="I1208" t="str">
            <v>(Rp)</v>
          </cell>
          <cell r="J1208" t="str">
            <v>(Rp./M³)</v>
          </cell>
        </row>
        <row r="1210">
          <cell r="B1210" t="str">
            <v>A</v>
          </cell>
          <cell r="D1210" t="str">
            <v>TENAGA KERJA</v>
          </cell>
        </row>
        <row r="1211">
          <cell r="B1211">
            <v>1</v>
          </cell>
          <cell r="D1211" t="str">
            <v>Mandor</v>
          </cell>
          <cell r="G1211" t="str">
            <v>Jam</v>
          </cell>
          <cell r="H1211">
            <v>8.43E-2</v>
          </cell>
          <cell r="I1211">
            <v>5750</v>
          </cell>
          <cell r="J1211">
            <v>484.72500000000002</v>
          </cell>
        </row>
        <row r="1212">
          <cell r="B1212">
            <v>2</v>
          </cell>
          <cell r="D1212" t="str">
            <v>Pekerja</v>
          </cell>
          <cell r="G1212" t="str">
            <v>Jam</v>
          </cell>
          <cell r="H1212">
            <v>0.50600000000000001</v>
          </cell>
          <cell r="I1212">
            <v>4400</v>
          </cell>
          <cell r="J1212">
            <v>2226.4</v>
          </cell>
        </row>
        <row r="1214">
          <cell r="G1214" t="str">
            <v>JUMLAH   HARGA  TENAGA</v>
          </cell>
          <cell r="J1214">
            <v>2711.125</v>
          </cell>
        </row>
        <row r="1216">
          <cell r="B1216" t="str">
            <v>B</v>
          </cell>
          <cell r="D1216" t="str">
            <v>BAHAN</v>
          </cell>
        </row>
        <row r="1217">
          <cell r="B1217">
            <v>1</v>
          </cell>
          <cell r="D1217" t="str">
            <v>Agregat kasar</v>
          </cell>
          <cell r="G1217" t="str">
            <v>M³</v>
          </cell>
          <cell r="H1217">
            <v>0.76800000000000002</v>
          </cell>
          <cell r="I1217">
            <v>190000</v>
          </cell>
          <cell r="J1217">
            <v>145920</v>
          </cell>
        </row>
        <row r="1218">
          <cell r="B1218">
            <v>2</v>
          </cell>
          <cell r="D1218" t="str">
            <v>Agregat halus</v>
          </cell>
          <cell r="G1218" t="str">
            <v>M³</v>
          </cell>
          <cell r="H1218">
            <v>0.432</v>
          </cell>
          <cell r="I1218">
            <v>185000</v>
          </cell>
          <cell r="J1218">
            <v>79920</v>
          </cell>
        </row>
        <row r="1222">
          <cell r="G1222" t="str">
            <v>JUMLAH   HARGA  BAHAN</v>
          </cell>
          <cell r="J1222">
            <v>225840</v>
          </cell>
        </row>
        <row r="1224">
          <cell r="B1224" t="str">
            <v>C</v>
          </cell>
          <cell r="D1224" t="str">
            <v>PERALATAN</v>
          </cell>
        </row>
        <row r="1225">
          <cell r="B1225">
            <v>1</v>
          </cell>
          <cell r="D1225" t="str">
            <v>Wheel Loader</v>
          </cell>
          <cell r="G1225" t="str">
            <v>Jam</v>
          </cell>
          <cell r="H1225">
            <v>8.43E-2</v>
          </cell>
          <cell r="I1225">
            <v>293388.34999999998</v>
          </cell>
          <cell r="J1225">
            <v>24732.637905</v>
          </cell>
        </row>
        <row r="1226">
          <cell r="B1226">
            <v>2</v>
          </cell>
          <cell r="D1226" t="str">
            <v>Dump Truck</v>
          </cell>
          <cell r="G1226" t="str">
            <v>Jam</v>
          </cell>
          <cell r="H1226">
            <v>3.5299999999999998E-2</v>
          </cell>
          <cell r="I1226">
            <v>178016.95</v>
          </cell>
          <cell r="J1226">
            <v>6283.9983350000002</v>
          </cell>
        </row>
        <row r="1227">
          <cell r="B1227">
            <v>3</v>
          </cell>
          <cell r="D1227" t="str">
            <v>Motor Grader</v>
          </cell>
          <cell r="G1227" t="str">
            <v>Jam</v>
          </cell>
          <cell r="H1227">
            <v>6.4000000000000001E-2</v>
          </cell>
          <cell r="I1227">
            <v>330568.90999999997</v>
          </cell>
          <cell r="J1227">
            <v>21156.410239999997</v>
          </cell>
        </row>
        <row r="1228">
          <cell r="B1228">
            <v>4</v>
          </cell>
          <cell r="D1228" t="str">
            <v>Vibrator Roller</v>
          </cell>
          <cell r="G1228" t="str">
            <v>Jam</v>
          </cell>
          <cell r="H1228">
            <v>4.7399999999999998E-2</v>
          </cell>
          <cell r="I1228">
            <v>266557.78999999998</v>
          </cell>
          <cell r="J1228">
            <v>12634.839245999998</v>
          </cell>
        </row>
        <row r="1229">
          <cell r="D1229" t="str">
            <v>Water Tank Truck</v>
          </cell>
          <cell r="G1229" t="str">
            <v>Jam</v>
          </cell>
          <cell r="H1229">
            <v>9.2999999999999992E-3</v>
          </cell>
          <cell r="I1229">
            <v>138344.45000000001</v>
          </cell>
          <cell r="J1229">
            <v>1286.6033850000001</v>
          </cell>
        </row>
        <row r="1230">
          <cell r="B1230">
            <v>5</v>
          </cell>
          <cell r="D1230" t="str">
            <v>Alat Bantu</v>
          </cell>
          <cell r="G1230" t="str">
            <v>Ls</v>
          </cell>
          <cell r="H1230">
            <v>1</v>
          </cell>
          <cell r="I1230">
            <v>122.5</v>
          </cell>
          <cell r="J1230">
            <v>122.5</v>
          </cell>
        </row>
        <row r="1232">
          <cell r="G1232" t="str">
            <v>JUMLAH   HARGA  PERALATAN</v>
          </cell>
          <cell r="J1232">
            <v>66216.989110999988</v>
          </cell>
        </row>
        <row r="1233">
          <cell r="B1233" t="str">
            <v>D</v>
          </cell>
          <cell r="D1233" t="str">
            <v>JUMLAH  ( A + B + C )</v>
          </cell>
          <cell r="J1233">
            <v>294768.11411099997</v>
          </cell>
        </row>
        <row r="1234">
          <cell r="B1234" t="str">
            <v>E</v>
          </cell>
          <cell r="D1234" t="str">
            <v>BIAYA UMUM DAN KEUNTUNGAN  =  10 %  x   D</v>
          </cell>
          <cell r="J1234">
            <v>29476.8114111</v>
          </cell>
        </row>
        <row r="1235">
          <cell r="B1235" t="str">
            <v>F</v>
          </cell>
          <cell r="D1235" t="str">
            <v>HARGA SATUAN =  D + E</v>
          </cell>
          <cell r="J1235">
            <v>324244.92552209995</v>
          </cell>
        </row>
        <row r="1236">
          <cell r="B1236" t="str">
            <v>G</v>
          </cell>
          <cell r="D1236" t="str">
            <v>PEMBULATAN</v>
          </cell>
          <cell r="J1236">
            <v>324244</v>
          </cell>
        </row>
        <row r="1237">
          <cell r="B1237" t="str">
            <v>Catatan    :</v>
          </cell>
        </row>
        <row r="1238">
          <cell r="B1238" t="str">
            <v>-</v>
          </cell>
          <cell r="C1238" t="str">
            <v>Satuan dpt. berdasarkan atas jam operasi untuk tenaga kerja &amp; peralatan, volume dan/atau ukuran berat untuk bahan-bahan.</v>
          </cell>
        </row>
        <row r="1239">
          <cell r="B1239" t="str">
            <v>-</v>
          </cell>
          <cell r="C1239" t="str">
            <v xml:space="preserve">Kuantitas satuan adalah kuantitas  setiap komponen untuk menyelesaikan satu satuan pekerjaan dari nomor mata pekerjaan.  </v>
          </cell>
        </row>
        <row r="1240">
          <cell r="B1240" t="str">
            <v>-</v>
          </cell>
          <cell r="C1240" t="str">
            <v>Biaya satuan sudah termasuk  pengeluaran untuk seluruh  pajak yang berkaitan (tetapi tidak termasuk PPN yang</v>
          </cell>
        </row>
        <row r="1241">
          <cell r="C1241" t="str">
            <v xml:space="preserve">dibayarkan dari kontrak) dan biaya-biaya lainnya. </v>
          </cell>
        </row>
        <row r="1242">
          <cell r="B1242" t="str">
            <v>-</v>
          </cell>
          <cell r="C1242" t="str">
            <v>Penawar tidak diperkenankan untuk menambah komponen-komponen baru dan menambah kuantitas pada bagian</v>
          </cell>
        </row>
        <row r="1243">
          <cell r="C1243" t="str">
            <v>Bahan dalam formulir ini.</v>
          </cell>
        </row>
        <row r="1244">
          <cell r="B1244" t="str">
            <v>-</v>
          </cell>
          <cell r="C1244" t="str">
            <v>Harga Satuan yang diajukan Peserta Lelang harus mencakup seluruh tambahan tenaga kerja, bahan, peralatan atau</v>
          </cell>
        </row>
        <row r="1245">
          <cell r="C1245" t="str">
            <v>kerugian yang mungkin diperlukan untuk menyelesaikan pekerjaan sesuai dengan Spesifikasi dan Gambar.</v>
          </cell>
        </row>
        <row r="1246">
          <cell r="B1246" t="str">
            <v>-</v>
          </cell>
          <cell r="C1246" t="str">
            <v>Penulisan kuantitas Tenaga, Bahan, Peralatan dibuat dalam 4 (empat) digit.</v>
          </cell>
        </row>
        <row r="1248">
          <cell r="I1248" t="str">
            <v>Balikpapan, 18 Maret 2003</v>
          </cell>
        </row>
        <row r="1249">
          <cell r="I1249" t="str">
            <v>PT. KALIRAYA SARI</v>
          </cell>
        </row>
        <row r="1254">
          <cell r="I1254" t="str">
            <v>Ir. S. CHANDRA</v>
          </cell>
        </row>
        <row r="1255">
          <cell r="I1255" t="str">
            <v>Kepala Cabang</v>
          </cell>
        </row>
        <row r="1257">
          <cell r="B1257" t="str">
            <v>ANALISA HARGA SATUAN MATA PEMBAYARAN</v>
          </cell>
        </row>
        <row r="1259">
          <cell r="B1259" t="str">
            <v>Bagian   Proyek</v>
          </cell>
          <cell r="F1259" t="str">
            <v>:</v>
          </cell>
          <cell r="G1259" t="str">
            <v>Pembangunan Jalan Dalam Kota Samarinda</v>
          </cell>
        </row>
        <row r="1260">
          <cell r="B1260" t="str">
            <v>P a k e t</v>
          </cell>
          <cell r="F1260" t="str">
            <v>:</v>
          </cell>
          <cell r="G1260" t="str">
            <v>Jalan A. Yani Cs, Suryanata Cs</v>
          </cell>
        </row>
        <row r="1261">
          <cell r="B1261" t="str">
            <v>Nama Penawar</v>
          </cell>
          <cell r="F1261" t="str">
            <v>:</v>
          </cell>
          <cell r="G1261" t="str">
            <v>PT. KALIRAYA SARI</v>
          </cell>
        </row>
        <row r="1262">
          <cell r="B1262" t="str">
            <v>No. Mata Pembayaran</v>
          </cell>
          <cell r="F1262" t="str">
            <v>:</v>
          </cell>
          <cell r="G1262" t="str">
            <v>8.4(1)</v>
          </cell>
        </row>
        <row r="1263">
          <cell r="B1263" t="str">
            <v>Uraian Pekerjaan</v>
          </cell>
          <cell r="F1263" t="str">
            <v>:</v>
          </cell>
          <cell r="G1263" t="str">
            <v>Marka Jalan</v>
          </cell>
        </row>
        <row r="1264">
          <cell r="B1264" t="str">
            <v>Kuantitas Pekerjaan</v>
          </cell>
          <cell r="F1264" t="str">
            <v>:</v>
          </cell>
          <cell r="G1264">
            <v>1154</v>
          </cell>
          <cell r="H1264" t="str">
            <v>M²</v>
          </cell>
        </row>
        <row r="1266">
          <cell r="B1266" t="str">
            <v>NO</v>
          </cell>
          <cell r="C1266" t="str">
            <v>URAIAN  PEKERJAAN</v>
          </cell>
          <cell r="G1266" t="str">
            <v>SATUAN</v>
          </cell>
          <cell r="H1266" t="str">
            <v>VOLUME</v>
          </cell>
          <cell r="I1266" t="str">
            <v>HARGA   SAT.</v>
          </cell>
          <cell r="J1266" t="str">
            <v>JML. HARGA</v>
          </cell>
        </row>
        <row r="1267">
          <cell r="I1267" t="str">
            <v>(Rp)</v>
          </cell>
          <cell r="J1267" t="str">
            <v>(Rp./M²)</v>
          </cell>
        </row>
        <row r="1269">
          <cell r="B1269" t="str">
            <v>A</v>
          </cell>
          <cell r="D1269" t="str">
            <v>TENAGA KERJA</v>
          </cell>
        </row>
        <row r="1270">
          <cell r="B1270">
            <v>1</v>
          </cell>
          <cell r="D1270" t="str">
            <v>Mandor</v>
          </cell>
          <cell r="G1270" t="str">
            <v>Jam</v>
          </cell>
          <cell r="H1270">
            <v>0.15</v>
          </cell>
          <cell r="I1270">
            <v>5750</v>
          </cell>
          <cell r="J1270">
            <v>862.5</v>
          </cell>
        </row>
        <row r="1271">
          <cell r="B1271">
            <v>2</v>
          </cell>
          <cell r="D1271" t="str">
            <v>Pekerja</v>
          </cell>
          <cell r="G1271" t="str">
            <v>Jam</v>
          </cell>
          <cell r="H1271">
            <v>1.5</v>
          </cell>
          <cell r="I1271">
            <v>4400</v>
          </cell>
          <cell r="J1271">
            <v>6600</v>
          </cell>
        </row>
        <row r="1272">
          <cell r="B1272">
            <v>3</v>
          </cell>
          <cell r="D1272" t="str">
            <v>Tukang</v>
          </cell>
          <cell r="G1272" t="str">
            <v>Jam</v>
          </cell>
          <cell r="H1272">
            <v>0.3</v>
          </cell>
          <cell r="I1272">
            <v>5750</v>
          </cell>
          <cell r="J1272">
            <v>1725</v>
          </cell>
        </row>
        <row r="1273">
          <cell r="G1273" t="str">
            <v>JUMLAH   HARGA  TENAGA</v>
          </cell>
          <cell r="J1273">
            <v>9187.5</v>
          </cell>
        </row>
        <row r="1275">
          <cell r="B1275" t="str">
            <v>B</v>
          </cell>
          <cell r="D1275" t="str">
            <v>BAHAN</v>
          </cell>
        </row>
        <row r="1276">
          <cell r="B1276">
            <v>1</v>
          </cell>
          <cell r="D1276" t="str">
            <v>Cat Thermoplastic</v>
          </cell>
          <cell r="G1276" t="str">
            <v>Kg</v>
          </cell>
          <cell r="H1276">
            <v>1.6575</v>
          </cell>
          <cell r="I1276">
            <v>25000</v>
          </cell>
          <cell r="J1276">
            <v>41437.5</v>
          </cell>
        </row>
        <row r="1277">
          <cell r="B1277">
            <v>2</v>
          </cell>
          <cell r="D1277" t="str">
            <v>Glass Beads</v>
          </cell>
          <cell r="G1277" t="str">
            <v>Kg</v>
          </cell>
          <cell r="H1277">
            <v>0.45</v>
          </cell>
          <cell r="I1277">
            <v>17500</v>
          </cell>
          <cell r="J1277">
            <v>7875</v>
          </cell>
        </row>
        <row r="1280">
          <cell r="G1280" t="str">
            <v>JUMLAH   HARGA  BAHAN</v>
          </cell>
          <cell r="J1280">
            <v>49312.5</v>
          </cell>
        </row>
        <row r="1282">
          <cell r="B1282" t="str">
            <v>C</v>
          </cell>
          <cell r="D1282" t="str">
            <v>PERALATAN</v>
          </cell>
        </row>
        <row r="1283">
          <cell r="B1283">
            <v>1</v>
          </cell>
          <cell r="D1283" t="str">
            <v>Alat Marka Jalan</v>
          </cell>
          <cell r="G1283" t="str">
            <v>Jam</v>
          </cell>
          <cell r="H1283">
            <v>0.15</v>
          </cell>
          <cell r="I1283">
            <v>25731.34</v>
          </cell>
          <cell r="J1283">
            <v>3859.701</v>
          </cell>
        </row>
        <row r="1284">
          <cell r="B1284">
            <v>2</v>
          </cell>
          <cell r="D1284" t="str">
            <v>Compressor Kecil</v>
          </cell>
          <cell r="G1284" t="str">
            <v>Jam</v>
          </cell>
          <cell r="H1284">
            <v>0.15</v>
          </cell>
          <cell r="I1284">
            <v>72348.56</v>
          </cell>
          <cell r="J1284">
            <v>10852.284</v>
          </cell>
        </row>
        <row r="1285">
          <cell r="B1285">
            <v>3</v>
          </cell>
          <cell r="D1285" t="str">
            <v>Dump Truck</v>
          </cell>
          <cell r="G1285" t="str">
            <v>Jam</v>
          </cell>
          <cell r="H1285">
            <v>9.4500000000000001E-2</v>
          </cell>
          <cell r="I1285">
            <v>178016.95</v>
          </cell>
          <cell r="J1285">
            <v>16822.601775000003</v>
          </cell>
        </row>
        <row r="1286">
          <cell r="B1286">
            <v>4</v>
          </cell>
          <cell r="D1286" t="str">
            <v>Alat Bantu</v>
          </cell>
          <cell r="G1286" t="str">
            <v>Ls</v>
          </cell>
          <cell r="H1286">
            <v>1</v>
          </cell>
          <cell r="I1286">
            <v>31</v>
          </cell>
          <cell r="J1286">
            <v>31</v>
          </cell>
        </row>
        <row r="1288">
          <cell r="G1288" t="str">
            <v>JUMLAH   HARGA  PERALATAN</v>
          </cell>
          <cell r="J1288">
            <v>31565.586775000003</v>
          </cell>
        </row>
        <row r="1289">
          <cell r="B1289" t="str">
            <v>D</v>
          </cell>
          <cell r="D1289" t="str">
            <v>JUMLAH  ( A + B + C )</v>
          </cell>
          <cell r="J1289">
            <v>90065.586775000003</v>
          </cell>
        </row>
        <row r="1290">
          <cell r="B1290" t="str">
            <v>E</v>
          </cell>
          <cell r="D1290" t="str">
            <v>BIAYA UMUM DAN KEUNTUNGAN  =  10 %  x   D</v>
          </cell>
          <cell r="J1290">
            <v>9006.5586775000011</v>
          </cell>
        </row>
        <row r="1291">
          <cell r="B1291" t="str">
            <v>F</v>
          </cell>
          <cell r="D1291" t="str">
            <v>HARGA SATUAN =  D + E</v>
          </cell>
          <cell r="J1291">
            <v>99072.145452500001</v>
          </cell>
        </row>
        <row r="1292">
          <cell r="B1292" t="str">
            <v>G</v>
          </cell>
          <cell r="D1292" t="str">
            <v>PEMBULATAN</v>
          </cell>
          <cell r="J1292">
            <v>99070</v>
          </cell>
        </row>
        <row r="1293">
          <cell r="B1293" t="str">
            <v>Catatan    :</v>
          </cell>
        </row>
        <row r="1294">
          <cell r="B1294" t="str">
            <v>-</v>
          </cell>
          <cell r="C1294" t="str">
            <v>Satuan dpt. berdasarkan atas jam operasi untuk tenaga kerja &amp; peralatan, volume dan/atau ukuran berat untuk bahan-bahan.</v>
          </cell>
        </row>
        <row r="1295">
          <cell r="B1295" t="str">
            <v>-</v>
          </cell>
          <cell r="C1295" t="str">
            <v xml:space="preserve">Kuantitas satuan adalah kuantitas  setiap komponen untuk menyelesaikan satu satuan pekerjaan dari nomor mata pekerjaan.  </v>
          </cell>
        </row>
        <row r="1296">
          <cell r="B1296" t="str">
            <v>-</v>
          </cell>
          <cell r="C1296" t="str">
            <v>Biaya satuan sudah termasuk  pengeluaran untuk seluruh  pajak yang berkaitan (tetapi tidak termasuk PPN yang</v>
          </cell>
        </row>
        <row r="1297">
          <cell r="C1297" t="str">
            <v xml:space="preserve">dibayarkan dari kontrak) dan biaya-biaya lainnya. </v>
          </cell>
        </row>
        <row r="1298">
          <cell r="B1298" t="str">
            <v>-</v>
          </cell>
          <cell r="C1298" t="str">
            <v>Penawar tidak diperkenankan untuk menambah komponen-komponen baru dan menambah kuantitas pada bagian</v>
          </cell>
        </row>
        <row r="1299">
          <cell r="C1299" t="str">
            <v>Bahan dalam formulir ini.</v>
          </cell>
        </row>
        <row r="1300">
          <cell r="B1300" t="str">
            <v>-</v>
          </cell>
          <cell r="C1300" t="str">
            <v>Harga Satuan yang diajukan Peserta Lelang harus mencakup seluruh tambahan tenaga kerja, bahan, peralatan atau</v>
          </cell>
        </row>
        <row r="1301">
          <cell r="C1301" t="str">
            <v>kerugian yang mungkin diperlukan untuk menyelesaikan pekerjaan sesuai dengan Spesifikasi dan Gambar.</v>
          </cell>
        </row>
        <row r="1302">
          <cell r="B1302" t="str">
            <v>-</v>
          </cell>
          <cell r="C1302" t="str">
            <v>Penulisan kuantitas Tenaga, Bahan, Peralatan dibuat dalam 4 (empat) digit.</v>
          </cell>
        </row>
        <row r="1304">
          <cell r="I1304" t="str">
            <v>Balikpapan, 18 Maret 2003</v>
          </cell>
        </row>
        <row r="1305">
          <cell r="I1305" t="str">
            <v>PT. KALIRAYA SARI</v>
          </cell>
        </row>
        <row r="1310">
          <cell r="I1310" t="str">
            <v>Ir. S. CHANDRA</v>
          </cell>
        </row>
      </sheetData>
      <sheetData sheetId="6">
        <row r="7">
          <cell r="B7" t="str">
            <v>ag001</v>
          </cell>
        </row>
      </sheetData>
      <sheetData sheetId="7"/>
      <sheetData sheetId="8"/>
      <sheetData sheetId="9"/>
      <sheetData sheetId="10">
        <row r="19">
          <cell r="G19">
            <v>1353030000</v>
          </cell>
        </row>
      </sheetData>
      <sheetData sheetId="11"/>
      <sheetData sheetId="12"/>
      <sheetData sheetId="13"/>
      <sheetData sheetId="14"/>
      <sheetData sheetId="15"/>
      <sheetData sheetId="16">
        <row r="94">
          <cell r="D94" t="str">
            <v>A M P</v>
          </cell>
        </row>
      </sheetData>
      <sheetData sheetId="17"/>
      <sheetData sheetId="18">
        <row r="94">
          <cell r="D94" t="str">
            <v>A M P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 refreshError="1"/>
      <sheetData sheetId="98"/>
      <sheetData sheetId="99" refreshError="1"/>
      <sheetData sheetId="100"/>
      <sheetData sheetId="101" refreshError="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/>
      <sheetData sheetId="475"/>
      <sheetData sheetId="476"/>
      <sheetData sheetId="477"/>
      <sheetData sheetId="478">
        <row r="18">
          <cell r="G18">
            <v>9.5164058824292241E-2</v>
          </cell>
        </row>
      </sheetData>
      <sheetData sheetId="479"/>
      <sheetData sheetId="480"/>
      <sheetData sheetId="481"/>
      <sheetData sheetId="482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>
        <row r="17">
          <cell r="F17">
            <v>500</v>
          </cell>
        </row>
      </sheetData>
      <sheetData sheetId="825"/>
      <sheetData sheetId="826">
        <row r="12">
          <cell r="B12" t="str">
            <v>A.4</v>
          </cell>
        </row>
      </sheetData>
      <sheetData sheetId="827" refreshError="1"/>
      <sheetData sheetId="828" refreshError="1"/>
      <sheetData sheetId="829" refreshError="1"/>
      <sheetData sheetId="830">
        <row r="17">
          <cell r="F17">
            <v>500</v>
          </cell>
        </row>
      </sheetData>
      <sheetData sheetId="83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/>
      <sheetData sheetId="88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YPICAL CROSS .BUN2"/>
      <sheetName val="RENCANAPENANGANAN"/>
      <sheetName val="TYPICAL CROSS BAGUGUS"/>
      <sheetName val="SKEDULPANGKALAN LADA jadi satu"/>
      <sheetName val="SKEDUL BARU BAGUGUS-BUKIT B "/>
      <sheetName val=" BAGUGUS-BUKIT BATU-JADI SATU"/>
      <sheetName val="SKEDUL BARU PANGKALAN LADA  (2)"/>
      <sheetName val="SKEDUL BARU PANGKALAN LADA -PBU"/>
      <sheetName val="SKEDUL BARU BAGUGUS2007"/>
      <sheetName val="SKEDUL BARU apbn"/>
      <sheetName val="SKEDULmateri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YPICAL CROSS .BUN2"/>
      <sheetName val="RENCANAPENANGANAN"/>
      <sheetName val="TYPICAL CROSS BAGUGUS"/>
      <sheetName val="SKEDULPANGKALAN LADA jadi satu"/>
      <sheetName val="SKEDUL BARU BAGUGUS-BUKIT B "/>
      <sheetName val=" BAGUGUS-BUKIT BATU-JADI SATU"/>
      <sheetName val="SKEDUL BARU PANGKALAN LADA  (2)"/>
      <sheetName val="SKEDUL BARU PANGKALAN LADA -PBU"/>
      <sheetName val="SKEDUL BARU BAGUGUS2007"/>
      <sheetName val="SKEDUL BARU apbn"/>
      <sheetName val="SKEDULmateri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Mata"/>
      <sheetName val="Analisa"/>
      <sheetName val="Jad"/>
      <sheetName val="Mat"/>
      <sheetName val="RAB"/>
      <sheetName val="Mob"/>
      <sheetName val="MobAlat"/>
      <sheetName val="Alat"/>
      <sheetName val="U &amp; B"/>
      <sheetName val="Jadwal"/>
      <sheetName val="Su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X"/>
      <sheetName val="Guard Rail+Erection+Angk"/>
      <sheetName val="KOMPOSISI HRS TEWEH"/>
      <sheetName val="An. Agg SC"/>
      <sheetName val="H.Satuan"/>
      <sheetName val="Keb. Material &amp; Jam Alat"/>
      <sheetName val="Alat DC"/>
      <sheetName val="Cover"/>
      <sheetName val="Setuju"/>
      <sheetName val="Summary"/>
      <sheetName val="BQ"/>
      <sheetName val="Schedule"/>
      <sheetName val="SCH BAHAN"/>
      <sheetName val="SCH ALAT"/>
      <sheetName val="BQ vs DC"/>
      <sheetName val="BILL( VOL LELANG )"/>
      <sheetName val="BILL (COBA VOLUME)"/>
      <sheetName val="Perhit. Praktis"/>
      <sheetName val="Item1"/>
      <sheetName val="Item2"/>
      <sheetName val="Item3"/>
      <sheetName val="Item4"/>
      <sheetName val="Item5"/>
      <sheetName val="Proses"/>
      <sheetName val="Item6"/>
      <sheetName val="Item7"/>
      <sheetName val="Beton"/>
      <sheetName val="Item8"/>
      <sheetName val="Item9"/>
      <sheetName val="Item10"/>
      <sheetName val="DAFKAR"/>
      <sheetName val="BU"/>
      <sheetName val="Jarak"/>
      <sheetName val="Hauling"/>
      <sheetName val="AnalBhn"/>
      <sheetName val="kapasitas"/>
      <sheetName val="Dinding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/>
      <sheetData sheetId="23" refreshError="1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asi Umum"/>
      <sheetName val="1Alat"/>
      <sheetName val="2Alat"/>
      <sheetName val="Data basic price jgan diprint"/>
      <sheetName val="data schedule jangan print ok "/>
      <sheetName val="AHS Mobilisasi"/>
      <sheetName val="Rekap Biaya"/>
      <sheetName val="Q'ty &amp; Harga"/>
      <sheetName val="Schedule ok"/>
      <sheetName val="MPU"/>
      <sheetName val="SUB KON"/>
      <sheetName val="Upah"/>
      <sheetName val="Bahan"/>
      <sheetName val="Alat"/>
      <sheetName val="AHS 1.2"/>
      <sheetName val="AHS 1.8(1)"/>
      <sheetName val="AHS 2.2"/>
      <sheetName val="Metode 2.2"/>
      <sheetName val="AHS 6.3 SK-AsbP(1a) butir"/>
      <sheetName val="Metode 6.3 SK-AsbP(1a) butir"/>
      <sheetName val="AHS 6.3 SK-AsbP(1a) murni"/>
      <sheetName val="Metode 6.3 SK-AsbP(1a) murni"/>
      <sheetName val="AHS 6.3 SK-AsbP(1b) butir"/>
      <sheetName val="Metode 6.3 SK-AsbP(1b) butir"/>
      <sheetName val="AHS 6.3 SK-AsbP(1b) murni"/>
      <sheetName val="Metode 6.3 SK-AsbP(1b) murni"/>
      <sheetName val="AHS 8.1(5)"/>
      <sheetName val="Metode 8.1(5)"/>
      <sheetName val="AHS 8.4(1)"/>
      <sheetName val="Metode 8.4(1)"/>
      <sheetName val="AHS 6.1(2)"/>
      <sheetName val="Metode 6.1 (2)"/>
      <sheetName val="10.1(3)"/>
      <sheetName val="Kuantitas"/>
      <sheetName val="batas pri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Estimate"/>
      <sheetName val="mobilisasi"/>
      <sheetName val="D3"/>
      <sheetName val="D4"/>
      <sheetName val="D5"/>
      <sheetName val="D6"/>
      <sheetName val="D7"/>
      <sheetName val="D8"/>
      <sheetName val="rutin"/>
      <sheetName val="10.1 (1)"/>
      <sheetName val="10.1 (2)"/>
      <sheetName val="10.1 (3)"/>
      <sheetName val="10.1 (4)"/>
      <sheetName val="10.1 (5)"/>
      <sheetName val="Harga S Dasar"/>
      <sheetName val="alat"/>
      <sheetName val="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"/>
      <sheetName val="H.SAT"/>
      <sheetName val="MOS"/>
      <sheetName val="DIV.1"/>
      <sheetName val="DIV.2"/>
      <sheetName val="DIV.3"/>
      <sheetName val="DIV.4"/>
      <sheetName val="DIV.5"/>
      <sheetName val="DEV.6"/>
      <sheetName val="DEV.7"/>
      <sheetName val="DEV.8"/>
      <sheetName val="DIV.10"/>
      <sheetName val="MIX"/>
      <sheetName val="BOQ"/>
      <sheetName val="SRT"/>
      <sheetName val="SUB"/>
      <sheetName val="JAD"/>
      <sheetName val="PERAL"/>
      <sheetName val="STAF"/>
      <sheetName val="DAT"/>
      <sheetName val="DAF"/>
      <sheetName val="DMPU"/>
      <sheetName val="SAMP"/>
      <sheetName val="DIV_1"/>
      <sheetName val="HLT LSR"/>
      <sheetName val="DAFIS"/>
      <sheetName val="PENGESAHAN"/>
      <sheetName val="1.COVER"/>
      <sheetName val="2.DESKRIPSI"/>
      <sheetName val="3.BOQ "/>
      <sheetName val="4. LABA-RUGI"/>
      <sheetName val="5.AHS"/>
      <sheetName val="6.INDIRECT"/>
      <sheetName val="7.REKAP"/>
      <sheetName val="8.DAFT HRG"/>
      <sheetName val="9.1 SCH INT"/>
      <sheetName val="9.2 SCH MAT (lama)"/>
      <sheetName val="9.2 SCH MAT (Rupiah)"/>
      <sheetName val="9.2 SCH MAT (Volume)"/>
      <sheetName val="9.3 SCH ALAT (lama)"/>
      <sheetName val="9.3 SCH ALAT (Rupiah)"/>
      <sheetName val="9.3 SCH ALAT (Volume)"/>
      <sheetName val="9.4 SCH SUB"/>
      <sheetName val="9.5 SCH UPAH (Lama)"/>
      <sheetName val="9.5 SCH UPAH (Rupiah)"/>
      <sheetName val="9.5 SCH UPAH (Volume)"/>
      <sheetName val="10..CASHFLOW"/>
      <sheetName val="11. STR ORG"/>
      <sheetName val="Lampiran--&gt;"/>
      <sheetName val="Sketsa Lokasi"/>
      <sheetName val="Produktivitas Alat"/>
      <sheetName val="Mobilisasi"/>
      <sheetName val="Quarry"/>
      <sheetName val="Rencana Box Culvert"/>
      <sheetName val="Astek Proyek"/>
      <sheetName val="Personil"/>
      <sheetName val="EQP"/>
      <sheetName val="Cost Code "/>
      <sheetName val="Typical"/>
      <sheetName val="D7"/>
      <sheetName val="Biaya alat"/>
      <sheetName val="HARGA"/>
      <sheetName val="Analisa HSP"/>
      <sheetName val="ANALISA"/>
      <sheetName val="UPAH&amp;BHN"/>
      <sheetName val="5-ALAT"/>
      <sheetName val="Resume"/>
      <sheetName val="Data"/>
      <sheetName val="sieve analysis HOTBIN"/>
      <sheetName val="3.l Data Progress"/>
      <sheetName val="Rekap touch point,prod."/>
      <sheetName val="SBDY"/>
      <sheetName val="PROGRESS"/>
      <sheetName val="Jadwal Pelaksanaan"/>
      <sheetName val="Upah"/>
      <sheetName val="ucs"/>
      <sheetName val="NP"/>
      <sheetName val="4-Basic Price"/>
      <sheetName val="SATUAN DASAR"/>
      <sheetName val="HALO"/>
      <sheetName val="DAFTAR MOBILISASI  "/>
      <sheetName val="Peralatan"/>
      <sheetName val="ANAL ALAT"/>
      <sheetName val="Upah, alat &amp; harsat"/>
      <sheetName val="CH"/>
      <sheetName val="Basic Price"/>
      <sheetName val="Harga Satuan"/>
      <sheetName val="Grading Tahap 1"/>
      <sheetName val="Peralatan (2)"/>
      <sheetName val="Material"/>
      <sheetName val="bahan"/>
      <sheetName val=" R A B"/>
      <sheetName val="D8"/>
      <sheetName val="Contract-Data"/>
      <sheetName val="BQNK"/>
      <sheetName val="BA_ADD"/>
      <sheetName val="Kuantitas &amp; Harga"/>
      <sheetName val="BQ_E20_02_Rp_"/>
      <sheetName val="TOTAL"/>
      <sheetName val="DAFTAR 7"/>
      <sheetName val="DAFTAR_8"/>
      <sheetName val="DAF_1"/>
      <sheetName val="Rekap Anl"/>
      <sheetName val="rumus"/>
      <sheetName val="K210"/>
      <sheetName val="AM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Analisa Gabungan"/>
      <sheetName val="struktur tdk dipakai"/>
      <sheetName val="Parameter"/>
      <sheetName val="ca"/>
      <sheetName val="Rekap Anl.SNI"/>
      <sheetName val="Sch-5"/>
      <sheetName val="Bangunan Utama"/>
      <sheetName val="5-ALAT(1)"/>
      <sheetName val="REKAP"/>
      <sheetName val="H.Satuan"/>
      <sheetName val="Analisa BOW"/>
      <sheetName val="Mushala"/>
      <sheetName val="dft-harga"/>
      <sheetName val="Tabels"/>
      <sheetName val="Penawaranke.PU.EdisiAkhir.Rev"/>
      <sheetName val="C-Flow RAP"/>
      <sheetName val="3-DIV5"/>
      <sheetName val="9.Jadwal Internal"/>
      <sheetName val="H_SAT1"/>
      <sheetName val="DIV_12"/>
      <sheetName val="DIV_21"/>
      <sheetName val="DIV_31"/>
      <sheetName val="DIV_41"/>
      <sheetName val="DIV_51"/>
      <sheetName val="DEV_61"/>
      <sheetName val="DEV_71"/>
      <sheetName val="DEV_81"/>
      <sheetName val="DIV_101"/>
      <sheetName val="HLT_LSR1"/>
      <sheetName val="1_COVER1"/>
      <sheetName val="2_DESKRIPSI1"/>
      <sheetName val="3_BOQ_1"/>
      <sheetName val="4__LABA-RUGI1"/>
      <sheetName val="5_AHS1"/>
      <sheetName val="6_INDIRECT1"/>
      <sheetName val="7_REKAP1"/>
      <sheetName val="8_DAFT_HRG1"/>
      <sheetName val="9_1_SCH_INT1"/>
      <sheetName val="9_2_SCH_MAT_(lama)1"/>
      <sheetName val="9_2_SCH_MAT_(Rupiah)1"/>
      <sheetName val="9_2_SCH_MAT_(Volume)1"/>
      <sheetName val="9_3_SCH_ALAT_(lama)1"/>
      <sheetName val="9_3_SCH_ALAT_(Rupiah)1"/>
      <sheetName val="9_3_SCH_ALAT_(Volume)1"/>
      <sheetName val="9_4_SCH_SUB1"/>
      <sheetName val="9_5_SCH_UPAH_(Lama)1"/>
      <sheetName val="9_5_SCH_UPAH_(Rupiah)1"/>
      <sheetName val="9_5_SCH_UPAH_(Volume)1"/>
      <sheetName val="10__CASHFLOW1"/>
      <sheetName val="11__STR_ORG1"/>
      <sheetName val="Sketsa_Lokasi1"/>
      <sheetName val="Produktivitas_Alat1"/>
      <sheetName val="Rencana_Box_Culvert1"/>
      <sheetName val="Astek_Proyek1"/>
      <sheetName val="Cost_Code_1"/>
      <sheetName val="H_SAT"/>
      <sheetName val="DIV_11"/>
      <sheetName val="DIV_2"/>
      <sheetName val="DIV_3"/>
      <sheetName val="DIV_4"/>
      <sheetName val="DIV_5"/>
      <sheetName val="DEV_6"/>
      <sheetName val="DEV_7"/>
      <sheetName val="DEV_8"/>
      <sheetName val="DIV_10"/>
      <sheetName val="HLT_LSR"/>
      <sheetName val="1_COVER"/>
      <sheetName val="2_DESKRIPSI"/>
      <sheetName val="3_BOQ_"/>
      <sheetName val="4__LABA-RUGI"/>
      <sheetName val="5_AHS"/>
      <sheetName val="6_INDIRECT"/>
      <sheetName val="7_REKAP"/>
      <sheetName val="8_DAFT_HRG"/>
      <sheetName val="9_1_SCH_INT"/>
      <sheetName val="9_2_SCH_MAT_(lama)"/>
      <sheetName val="9_2_SCH_MAT_(Rupiah)"/>
      <sheetName val="9_2_SCH_MAT_(Volume)"/>
      <sheetName val="9_3_SCH_ALAT_(lama)"/>
      <sheetName val="9_3_SCH_ALAT_(Rupiah)"/>
      <sheetName val="9_3_SCH_ALAT_(Volume)"/>
      <sheetName val="9_4_SCH_SUB"/>
      <sheetName val="9_5_SCH_UPAH_(Lama)"/>
      <sheetName val="9_5_SCH_UPAH_(Rupiah)"/>
      <sheetName val="9_5_SCH_UPAH_(Volume)"/>
      <sheetName val="10__CASHFLOW"/>
      <sheetName val="11__STR_ORG"/>
      <sheetName val="Sketsa_Lokasi"/>
      <sheetName val="Produktivitas_Alat"/>
      <sheetName val="Rencana_Box_Culvert"/>
      <sheetName val="Astek_Proyek"/>
      <sheetName val="Cost_Code_"/>
      <sheetName val="H_SAT2"/>
      <sheetName val="DIV_13"/>
      <sheetName val="DIV_22"/>
      <sheetName val="DIV_32"/>
      <sheetName val="DIV_42"/>
      <sheetName val="DIV_52"/>
      <sheetName val="DEV_62"/>
      <sheetName val="DEV_72"/>
      <sheetName val="DEV_82"/>
      <sheetName val="DIV_102"/>
      <sheetName val="HLT_LSR2"/>
      <sheetName val="1_COVER2"/>
      <sheetName val="2_DESKRIPSI2"/>
      <sheetName val="3_BOQ_2"/>
      <sheetName val="4__LABA-RUGI2"/>
      <sheetName val="5_AHS2"/>
      <sheetName val="6_INDIRECT2"/>
      <sheetName val="7_REKAP2"/>
      <sheetName val="8_DAFT_HRG2"/>
      <sheetName val="9_1_SCH_INT2"/>
      <sheetName val="9_2_SCH_MAT_(lama)2"/>
      <sheetName val="9_2_SCH_MAT_(Rupiah)2"/>
      <sheetName val="9_2_SCH_MAT_(Volume)2"/>
      <sheetName val="9_3_SCH_ALAT_(lama)2"/>
      <sheetName val="9_3_SCH_ALAT_(Rupiah)2"/>
      <sheetName val="9_3_SCH_ALAT_(Volume)2"/>
      <sheetName val="9_4_SCH_SUB2"/>
      <sheetName val="9_5_SCH_UPAH_(Lama)2"/>
      <sheetName val="9_5_SCH_UPAH_(Rupiah)2"/>
      <sheetName val="9_5_SCH_UPAH_(Volume)2"/>
      <sheetName val="10__CASHFLOW2"/>
      <sheetName val="11__STR_ORG2"/>
      <sheetName val="Sketsa_Lokasi2"/>
      <sheetName val="Produktivitas_Alat2"/>
      <sheetName val="Rencana_Box_Culvert2"/>
      <sheetName val="Astek_Proyek2"/>
      <sheetName val="Cost_Code_2"/>
      <sheetName val="H_SAT3"/>
      <sheetName val="DIV_14"/>
      <sheetName val="DIV_23"/>
      <sheetName val="DIV_33"/>
      <sheetName val="DIV_43"/>
      <sheetName val="DIV_53"/>
      <sheetName val="DEV_63"/>
      <sheetName val="DEV_73"/>
      <sheetName val="DEV_83"/>
      <sheetName val="DIV_103"/>
      <sheetName val="HLT_LSR3"/>
      <sheetName val="1_COVER3"/>
      <sheetName val="2_DESKRIPSI3"/>
      <sheetName val="3_BOQ_3"/>
      <sheetName val="4__LABA-RUGI3"/>
      <sheetName val="5_AHS3"/>
      <sheetName val="6_INDIRECT3"/>
      <sheetName val="7_REKAP3"/>
      <sheetName val="8_DAFT_HRG3"/>
      <sheetName val="9_1_SCH_INT3"/>
      <sheetName val="9_2_SCH_MAT_(lama)3"/>
      <sheetName val="9_2_SCH_MAT_(Rupiah)3"/>
      <sheetName val="9_2_SCH_MAT_(Volume)3"/>
      <sheetName val="9_3_SCH_ALAT_(lama)3"/>
      <sheetName val="9_3_SCH_ALAT_(Rupiah)3"/>
      <sheetName val="9_3_SCH_ALAT_(Volume)3"/>
      <sheetName val="9_4_SCH_SUB3"/>
      <sheetName val="9_5_SCH_UPAH_(Lama)3"/>
      <sheetName val="9_5_SCH_UPAH_(Rupiah)3"/>
      <sheetName val="9_5_SCH_UPAH_(Volume)3"/>
      <sheetName val="10__CASHFLOW3"/>
      <sheetName val="11__STR_ORG3"/>
      <sheetName val="Sketsa_Lokasi3"/>
      <sheetName val="Produktivitas_Alat3"/>
      <sheetName val="Rencana_Box_Culvert3"/>
      <sheetName val="Astek_Proyek3"/>
      <sheetName val="Cost_Code_3"/>
      <sheetName val="compaction"/>
      <sheetName val="Lap. Prod Holcim Tuban"/>
      <sheetName val="材労機単価"/>
      <sheetName val="Breakdown"/>
      <sheetName val="Budget"/>
      <sheetName val="dasar"/>
      <sheetName val="Standby Alat"/>
      <sheetName val="Bahan-Upah2"/>
      <sheetName val="R P"/>
      <sheetName val="H_SAT4"/>
      <sheetName val="DIV_15"/>
      <sheetName val="DIV_24"/>
      <sheetName val="DIV_34"/>
      <sheetName val="DIV_44"/>
      <sheetName val="DIV_54"/>
      <sheetName val="DEV_64"/>
      <sheetName val="DEV_74"/>
      <sheetName val="DEV_84"/>
      <sheetName val="DIV_104"/>
      <sheetName val="05"/>
      <sheetName val="daf-3(OK)"/>
      <sheetName val="daf-7(OK)"/>
      <sheetName val="Urugan Pasir"/>
      <sheetName val="Volume"/>
      <sheetName val="D7(2)"/>
      <sheetName val="Additional"/>
      <sheetName val="MAP"/>
      <sheetName val="RKP"/>
      <sheetName val="Sheet1"/>
      <sheetName val="ANAL"/>
      <sheetName val="RAB-JO"/>
      <sheetName val="BASIC"/>
      <sheetName val="huruf"/>
      <sheetName val="Informasi"/>
      <sheetName val="OP. ALAT"/>
      <sheetName val="OP. PERJAM"/>
      <sheetName val="B. PERSONIL"/>
      <sheetName val="KAN. LOKAL"/>
      <sheetName val="Perm. Test"/>
      <sheetName val="analtek"/>
      <sheetName val="611"/>
      <sheetName val="HARGA DSR"/>
      <sheetName val="Anls Hrg"/>
      <sheetName val="M. Onsite"/>
      <sheetName val="8.3 SCH ALAT (Rupiah)"/>
      <sheetName val="ANA-C"/>
      <sheetName val="BQ ARS"/>
      <sheetName val="HASAT DASAR"/>
      <sheetName val="MET"/>
      <sheetName val="Invoice"/>
      <sheetName val="N135"/>
      <sheetName val="Tambahan Biaro"/>
      <sheetName val="3-DIV2"/>
      <sheetName val="WI"/>
      <sheetName val="sOURCES"/>
      <sheetName val="base price"/>
      <sheetName val="Price-analysis 2"/>
      <sheetName val="Jan"/>
      <sheetName val="Harga Dasar"/>
      <sheetName val="sche"/>
      <sheetName val="Div 9 - Harian"/>
      <sheetName val="Input"/>
      <sheetName val="7"/>
      <sheetName val="Beban Box culvert"/>
      <sheetName val="HARSAT"/>
      <sheetName val="div7"/>
      <sheetName val="div2"/>
      <sheetName val="div3"/>
      <sheetName val="analis"/>
      <sheetName val="rab"/>
      <sheetName val="SKD"/>
      <sheetName val="struktur"/>
      <sheetName val="D7(1)"/>
      <sheetName val="DivVI"/>
      <sheetName val="Daf 1"/>
      <sheetName val="Alat (1)"/>
      <sheetName val="FINISHING"/>
      <sheetName val="A_Harga-13"/>
      <sheetName val="AKP"/>
      <sheetName val="BY_Alat(sewa)-6"/>
      <sheetName val="BY_Lgsg-2"/>
      <sheetName val="BY_Bank-12"/>
      <sheetName val="PP-8"/>
      <sheetName val="BY_TL-9"/>
      <sheetName val="Hit bi transport"/>
      <sheetName val="BY_Mat-4"/>
      <sheetName val="BY_Upah-3"/>
      <sheetName val="CAT-14"/>
      <sheetName val="GBR-15"/>
      <sheetName val="Daf_Harga"/>
      <sheetName val="TNG_TL-10"/>
      <sheetName val="PASOK-16"/>
      <sheetName val="RBP-KP"/>
      <sheetName val="SCH_Divisi"/>
      <sheetName val="Waktu"/>
      <sheetName val="ANL TOREN"/>
      <sheetName val="PENYUSUTAN ALAT"/>
      <sheetName val="DivVII"/>
      <sheetName val="rek"/>
      <sheetName val="an.alat"/>
      <sheetName val="Jadwal"/>
      <sheetName val="Lamp 2,3a,3b ANAL"/>
      <sheetName val="DASH"/>
      <sheetName val="Jarak"/>
      <sheetName val="anl-A"/>
      <sheetName val="anl-B"/>
      <sheetName val="anl-C"/>
      <sheetName val="anl-D"/>
      <sheetName val="anl-E"/>
      <sheetName val="anl-F"/>
      <sheetName val="anl-G"/>
      <sheetName val="A-B (2)"/>
      <sheetName val="C-D (2)"/>
      <sheetName val="E-G (2)"/>
      <sheetName val="H-K (2)"/>
      <sheetName val="D -12"/>
      <sheetName val="Lamp-4 Sat-Das"/>
      <sheetName val="Lamp-4 Analisa"/>
      <sheetName val="Data Alat"/>
      <sheetName val="UPAH_PERALATAN_BAHAN"/>
      <sheetName val="REKAP ANL. SATUAN PEK."/>
      <sheetName val="Summary"/>
      <sheetName val="Harga S Dasar UNTUK IDISI"/>
      <sheetName val="isian"/>
      <sheetName val="Lap-Minggu"/>
      <sheetName val="SATUAN"/>
      <sheetName val="DAF.ALAT"/>
      <sheetName val="Analisa 2"/>
      <sheetName val="dt"/>
      <sheetName val="3_l_Data_Progress1"/>
      <sheetName val="Jadwal_Pelaksanaan1"/>
      <sheetName val="3_l_Data_Progress"/>
      <sheetName val="Jadwal_Pelaksanaan"/>
      <sheetName val="3_l_Data_Progress2"/>
      <sheetName val="Jadwal_Pelaksanaan2"/>
      <sheetName val="3_l_Data_Progress3"/>
      <sheetName val="Jadwal_Pelaksanaan3"/>
      <sheetName val="Agregat Halus &amp; Kasar"/>
      <sheetName val="ALAT1"/>
      <sheetName val="DIV9"/>
      <sheetName val="DIV6"/>
      <sheetName val="Estimate"/>
      <sheetName val="ALAT2"/>
      <sheetName val="div"/>
      <sheetName val="REKAP A BESAR"/>
      <sheetName val="L. Hr"/>
      <sheetName val="m schedule"/>
      <sheetName val="cover"/>
      <sheetName val="Harsat Upah"/>
      <sheetName val="Harsat Pekerjaan"/>
      <sheetName val="Fill this out first___"/>
      <sheetName val="anal-metod-MPU"/>
      <sheetName val="5-Peralatan"/>
      <sheetName val="HSD ALAT"/>
      <sheetName val="HSD BAHAN"/>
      <sheetName val="HSD UPAH"/>
      <sheetName val="AN-ALAT"/>
      <sheetName val="UPAH BAHAN "/>
      <sheetName val="Sat_uph"/>
      <sheetName val="analisa el"/>
      <sheetName val="analisa mek"/>
      <sheetName val="61004"/>
      <sheetName val="61007"/>
      <sheetName val="61008"/>
      <sheetName val="SAT-BHN"/>
      <sheetName val="HLT_LSR4"/>
      <sheetName val="H_SAT5"/>
      <sheetName val="DIV_16"/>
      <sheetName val="DIV_25"/>
      <sheetName val="DIV_35"/>
      <sheetName val="DIV_45"/>
      <sheetName val="DIV_55"/>
      <sheetName val="DEV_65"/>
      <sheetName val="DEV_75"/>
      <sheetName val="DEV_85"/>
      <sheetName val="DIV_105"/>
      <sheetName val="HLT_LSR5"/>
      <sheetName val="H_SAT6"/>
      <sheetName val="DIV_17"/>
      <sheetName val="DIV_26"/>
      <sheetName val="DIV_36"/>
      <sheetName val="DIV_46"/>
      <sheetName val="DIV_56"/>
      <sheetName val="DEV_66"/>
      <sheetName val="DEV_76"/>
      <sheetName val="DEV_86"/>
      <sheetName val="DIV_106"/>
      <sheetName val="HLT_LSR6"/>
      <sheetName val="H_SAT7"/>
      <sheetName val="DIV_18"/>
      <sheetName val="DIV_27"/>
      <sheetName val="DIV_37"/>
      <sheetName val="DIV_47"/>
      <sheetName val="DIV_57"/>
      <sheetName val="DEV_67"/>
      <sheetName val="DEV_77"/>
      <sheetName val="DEV_87"/>
      <sheetName val="DIV_107"/>
      <sheetName val="HLT_LSR7"/>
      <sheetName val="H_SAT10"/>
      <sheetName val="DIV_111"/>
      <sheetName val="DIV_210"/>
      <sheetName val="DIV_310"/>
      <sheetName val="DIV_410"/>
      <sheetName val="DIV_510"/>
      <sheetName val="DEV_610"/>
      <sheetName val="DEV_710"/>
      <sheetName val="DEV_810"/>
      <sheetName val="DIV_1010"/>
      <sheetName val="HLT_LSR10"/>
      <sheetName val="H_SAT8"/>
      <sheetName val="DIV_19"/>
      <sheetName val="DIV_28"/>
      <sheetName val="DIV_38"/>
      <sheetName val="DIV_48"/>
      <sheetName val="DIV_58"/>
      <sheetName val="DEV_68"/>
      <sheetName val="DEV_78"/>
      <sheetName val="DEV_88"/>
      <sheetName val="DIV_108"/>
      <sheetName val="HLT_LSR8"/>
      <sheetName val="H_SAT9"/>
      <sheetName val="DIV_110"/>
      <sheetName val="DIV_29"/>
      <sheetName val="DIV_39"/>
      <sheetName val="DIV_49"/>
      <sheetName val="DIV_59"/>
      <sheetName val="DEV_69"/>
      <sheetName val="DEV_79"/>
      <sheetName val="DEV_89"/>
      <sheetName val="DIV_109"/>
      <sheetName val="HLT_LSR9"/>
      <sheetName val="H_SAT11"/>
      <sheetName val="DIV_112"/>
      <sheetName val="DIV_211"/>
      <sheetName val="DIV_311"/>
      <sheetName val="DIV_411"/>
      <sheetName val="DIV_511"/>
      <sheetName val="DEV_611"/>
      <sheetName val="DEV_711"/>
      <sheetName val="DEV_811"/>
      <sheetName val="DIV_1011"/>
      <sheetName val="HLT_LSR11"/>
      <sheetName val="H_SAT12"/>
      <sheetName val="DIV_113"/>
      <sheetName val="DIV_212"/>
      <sheetName val="DIV_312"/>
      <sheetName val="DIV_412"/>
      <sheetName val="DIV_512"/>
      <sheetName val="DEV_612"/>
      <sheetName val="DEV_712"/>
      <sheetName val="DEV_812"/>
      <sheetName val="DIV_1012"/>
      <sheetName val="HLT_LSR12"/>
      <sheetName val="H_SAT13"/>
      <sheetName val="DIV_114"/>
      <sheetName val="DIV_213"/>
      <sheetName val="DIV_313"/>
      <sheetName val="DIV_413"/>
      <sheetName val="DIV_513"/>
      <sheetName val="DEV_613"/>
      <sheetName val="DEV_713"/>
      <sheetName val="DEV_813"/>
      <sheetName val="DIV_1013"/>
      <sheetName val="HLT_LSR13"/>
      <sheetName val="H_SAT14"/>
      <sheetName val="DIV_115"/>
      <sheetName val="DIV_214"/>
      <sheetName val="DIV_314"/>
      <sheetName val="DIV_414"/>
      <sheetName val="DIV_514"/>
      <sheetName val="DEV_614"/>
      <sheetName val="DEV_714"/>
      <sheetName val="DEV_814"/>
      <sheetName val="DIV_1014"/>
      <sheetName val="HLT_LSR14"/>
      <sheetName val="H_SAT15"/>
      <sheetName val="DIV_116"/>
      <sheetName val="DIV_215"/>
      <sheetName val="DIV_315"/>
      <sheetName val="DIV_415"/>
      <sheetName val="DIV_515"/>
      <sheetName val="DEV_615"/>
      <sheetName val="DEV_715"/>
      <sheetName val="DEV_815"/>
      <sheetName val="DIV_1015"/>
      <sheetName val="HLT_LSR15"/>
      <sheetName val="H_SAT17"/>
      <sheetName val="DIV_118"/>
      <sheetName val="DIV_217"/>
      <sheetName val="DIV_317"/>
      <sheetName val="DIV_417"/>
      <sheetName val="DIV_517"/>
      <sheetName val="DEV_617"/>
      <sheetName val="DEV_717"/>
      <sheetName val="DEV_817"/>
      <sheetName val="DIV_1017"/>
      <sheetName val="HLT_LSR17"/>
      <sheetName val="H_SAT16"/>
      <sheetName val="DIV_117"/>
      <sheetName val="DIV_216"/>
      <sheetName val="DIV_316"/>
      <sheetName val="DIV_416"/>
      <sheetName val="DIV_516"/>
      <sheetName val="DEV_616"/>
      <sheetName val="DEV_716"/>
      <sheetName val="DEV_816"/>
      <sheetName val="DIV_1016"/>
      <sheetName val="HLT_LSR16"/>
      <sheetName val="H_SAT18"/>
      <sheetName val="DIV_119"/>
      <sheetName val="DIV_218"/>
      <sheetName val="DIV_318"/>
      <sheetName val="DIV_418"/>
      <sheetName val="DIV_518"/>
      <sheetName val="DEV_618"/>
      <sheetName val="DEV_718"/>
      <sheetName val="DEV_818"/>
      <sheetName val="DIV_1018"/>
      <sheetName val="HLT_LSR18"/>
      <sheetName val="H_SAT19"/>
      <sheetName val="DIV_120"/>
      <sheetName val="DIV_219"/>
      <sheetName val="DIV_319"/>
      <sheetName val="DIV_419"/>
      <sheetName val="DIV_519"/>
      <sheetName val="DEV_619"/>
      <sheetName val="DEV_719"/>
      <sheetName val="DEV_819"/>
      <sheetName val="DIV_1019"/>
      <sheetName val="HLT_LSR19"/>
      <sheetName val="H_SAT20"/>
      <sheetName val="DIV_121"/>
      <sheetName val="DIV_220"/>
      <sheetName val="DIV_320"/>
      <sheetName val="DIV_420"/>
      <sheetName val="DIV_520"/>
      <sheetName val="DEV_620"/>
      <sheetName val="DEV_720"/>
      <sheetName val="DEV_820"/>
      <sheetName val="DIV_1020"/>
      <sheetName val="HLT_LSR20"/>
      <sheetName val="H_SAT22"/>
      <sheetName val="DIV_123"/>
      <sheetName val="DIV_222"/>
      <sheetName val="DIV_322"/>
      <sheetName val="DIV_422"/>
      <sheetName val="DIV_522"/>
      <sheetName val="DEV_622"/>
      <sheetName val="DEV_722"/>
      <sheetName val="DEV_822"/>
      <sheetName val="DIV_1022"/>
      <sheetName val="HLT_LSR22"/>
      <sheetName val="H_SAT21"/>
      <sheetName val="DIV_122"/>
      <sheetName val="DIV_221"/>
      <sheetName val="DIV_321"/>
      <sheetName val="DIV_421"/>
      <sheetName val="DIV_521"/>
      <sheetName val="DEV_621"/>
      <sheetName val="DEV_721"/>
      <sheetName val="DEV_821"/>
      <sheetName val="DIV_1021"/>
      <sheetName val="HLT_LSR21"/>
      <sheetName val="H_SAT23"/>
      <sheetName val="DIV_124"/>
      <sheetName val="DIV_223"/>
      <sheetName val="DIV_323"/>
      <sheetName val="DIV_423"/>
      <sheetName val="DIV_523"/>
      <sheetName val="DEV_623"/>
      <sheetName val="DEV_723"/>
      <sheetName val="DEV_823"/>
      <sheetName val="DIV_1023"/>
      <sheetName val="HLT_LSR23"/>
      <sheetName val="H_SAT24"/>
      <sheetName val="DIV_125"/>
      <sheetName val="DIV_224"/>
      <sheetName val="DIV_324"/>
      <sheetName val="DIV_424"/>
      <sheetName val="DIV_524"/>
      <sheetName val="DEV_624"/>
      <sheetName val="DEV_724"/>
      <sheetName val="DEV_824"/>
      <sheetName val="DIV_1024"/>
      <sheetName val="HLT_LSR24"/>
      <sheetName val="H_SAT25"/>
      <sheetName val="DIV_126"/>
      <sheetName val="DIV_225"/>
      <sheetName val="DIV_325"/>
      <sheetName val="DIV_425"/>
      <sheetName val="DIV_525"/>
      <sheetName val="DEV_625"/>
      <sheetName val="DEV_725"/>
      <sheetName val="DEV_825"/>
      <sheetName val="DIV_1025"/>
      <sheetName val="HLT_LSR25"/>
      <sheetName val="H_SAT26"/>
      <sheetName val="DIV_127"/>
      <sheetName val="DIV_226"/>
      <sheetName val="DIV_326"/>
      <sheetName val="DIV_426"/>
      <sheetName val="DIV_526"/>
      <sheetName val="DEV_626"/>
      <sheetName val="DEV_726"/>
      <sheetName val="DEV_826"/>
      <sheetName val="DIV_1026"/>
      <sheetName val="HLT_LSR26"/>
      <sheetName val="H_SAT27"/>
      <sheetName val="DIV_128"/>
      <sheetName val="DIV_227"/>
      <sheetName val="DIV_327"/>
      <sheetName val="DIV_427"/>
      <sheetName val="DIV_527"/>
      <sheetName val="DEV_627"/>
      <sheetName val="DEV_727"/>
      <sheetName val="DEV_827"/>
      <sheetName val="DIV_1027"/>
      <sheetName val="HLT_LSR27"/>
      <sheetName val="H_SAT30"/>
      <sheetName val="DIV_131"/>
      <sheetName val="DIV_230"/>
      <sheetName val="DIV_330"/>
      <sheetName val="DIV_430"/>
      <sheetName val="DIV_530"/>
      <sheetName val="DEV_630"/>
      <sheetName val="DEV_730"/>
      <sheetName val="DEV_830"/>
      <sheetName val="DIV_1030"/>
      <sheetName val="HLT_LSR30"/>
      <sheetName val="H_SAT28"/>
      <sheetName val="DIV_129"/>
      <sheetName val="DIV_228"/>
      <sheetName val="DIV_328"/>
      <sheetName val="DIV_428"/>
      <sheetName val="DIV_528"/>
      <sheetName val="DEV_628"/>
      <sheetName val="DEV_728"/>
      <sheetName val="DEV_828"/>
      <sheetName val="DIV_1028"/>
      <sheetName val="HLT_LSR28"/>
      <sheetName val="H_SAT29"/>
      <sheetName val="DIV_130"/>
      <sheetName val="DIV_229"/>
      <sheetName val="DIV_329"/>
      <sheetName val="DIV_429"/>
      <sheetName val="DIV_529"/>
      <sheetName val="DEV_629"/>
      <sheetName val="DEV_729"/>
      <sheetName val="DEV_829"/>
      <sheetName val="DIV_1029"/>
      <sheetName val="HLT_LSR29"/>
      <sheetName val="H_SAT31"/>
      <sheetName val="DIV_132"/>
      <sheetName val="DIV_231"/>
      <sheetName val="DIV_331"/>
      <sheetName val="DIV_431"/>
      <sheetName val="DIV_531"/>
      <sheetName val="DEV_631"/>
      <sheetName val="DEV_731"/>
      <sheetName val="DEV_831"/>
      <sheetName val="DIV_1031"/>
      <sheetName val="HLT_LSR31"/>
      <sheetName val="H_SAT32"/>
      <sheetName val="DIV_133"/>
      <sheetName val="DIV_232"/>
      <sheetName val="DIV_332"/>
      <sheetName val="DIV_432"/>
      <sheetName val="DIV_532"/>
      <sheetName val="DEV_632"/>
      <sheetName val="DEV_732"/>
      <sheetName val="DEV_832"/>
      <sheetName val="DIV_1032"/>
      <sheetName val="HLT_LSR32"/>
      <sheetName val="H_SAT33"/>
      <sheetName val="DIV_134"/>
      <sheetName val="DIV_233"/>
      <sheetName val="DIV_333"/>
      <sheetName val="DIV_433"/>
      <sheetName val="DIV_533"/>
      <sheetName val="DEV_633"/>
      <sheetName val="DEV_733"/>
      <sheetName val="DEV_833"/>
      <sheetName val="DIV_1033"/>
      <sheetName val="HLT_LSR33"/>
      <sheetName val="H_SAT34"/>
      <sheetName val="DIV_135"/>
      <sheetName val="DIV_234"/>
      <sheetName val="DIV_334"/>
      <sheetName val="DIV_434"/>
      <sheetName val="DIV_534"/>
      <sheetName val="DEV_634"/>
      <sheetName val="DEV_734"/>
      <sheetName val="DEV_834"/>
      <sheetName val="DIV_1034"/>
      <sheetName val="HLT_LSR34"/>
      <sheetName val="H_SAT35"/>
      <sheetName val="DIV_136"/>
      <sheetName val="DIV_235"/>
      <sheetName val="DIV_335"/>
      <sheetName val="DIV_435"/>
      <sheetName val="DIV_535"/>
      <sheetName val="DEV_635"/>
      <sheetName val="DEV_735"/>
      <sheetName val="DEV_835"/>
      <sheetName val="DIV_1035"/>
      <sheetName val="HLT_LSR35"/>
      <sheetName val="AHS DLL"/>
      <sheetName val="List item"/>
      <sheetName val="SUMDA"/>
      <sheetName val="SNI New"/>
      <sheetName val="FR"/>
      <sheetName val="UP_an"/>
      <sheetName val="dBase"/>
      <sheetName val="HB "/>
      <sheetName val="Upah_Bahan"/>
      <sheetName val="BASIC-PRICE"/>
      <sheetName val="notasi"/>
      <sheetName val="vol-pek"/>
      <sheetName val="Jm"/>
      <sheetName val="DAFTAR HARGA"/>
      <sheetName val="UB"/>
      <sheetName val="Kuantitas"/>
      <sheetName val=" AnaBah"/>
      <sheetName val="div-8"/>
      <sheetName val="Pri"/>
      <sheetName val="Qry"/>
      <sheetName val="Cur"/>
      <sheetName val="LP3,h_dsr"/>
      <sheetName val="an_tek1"/>
      <sheetName val="hrg-sat.pek"/>
      <sheetName val="gvl"/>
      <sheetName val="support-data"/>
      <sheetName val="4.3.1 Koreksi"/>
      <sheetName val="MAPDC"/>
      <sheetName val="Daftar Upah Tenaga Kerja"/>
      <sheetName val="BAHAN &amp; ALAT"/>
      <sheetName val="AHS"/>
      <sheetName val="pricing"/>
      <sheetName val="ANALISA SNI"/>
      <sheetName val="Faktor Konversi"/>
      <sheetName val="Har-sat-dasr"/>
      <sheetName val="anl"/>
      <sheetName val="subkon"/>
      <sheetName val="Aggr"/>
      <sheetName val="Ans Kom Precast"/>
      <sheetName val="UPAH &amp; BHN"/>
      <sheetName val="KW-24"/>
      <sheetName val="An_Roof_Top Ag_Int-WG"/>
      <sheetName val="Plate Mat'l"/>
      <sheetName val="SHELL_BOTTOM"/>
      <sheetName val="PTM"/>
      <sheetName val="MOBDEMOB"/>
      <sheetName val="Perhitungan Besi"/>
      <sheetName val="3-DIV4"/>
      <sheetName val="PRY.02"/>
      <sheetName val="Job Sheet"/>
      <sheetName val="HSAT"/>
      <sheetName val="Allowance"/>
      <sheetName val="SPJ"/>
      <sheetName val="Hitung MC0"/>
      <sheetName val="Jalan Masuk"/>
      <sheetName val=" Direksi"/>
      <sheetName val="Pengeringan"/>
      <sheetName val="ANALISA 1"/>
      <sheetName val="BErsih lapang M2"/>
      <sheetName val="Gebal Rumput"/>
      <sheetName val="gal humus"/>
      <sheetName val="Gal Lumpur"/>
      <sheetName val="timb padat&lt;30m"/>
      <sheetName val="gAL BIASA"/>
      <sheetName val="BONGKAR LAMA"/>
      <sheetName val="Plester 1;3"/>
      <sheetName val="PAS BT BLH"/>
      <sheetName val="Jln inspeksi"/>
      <sheetName val="btn 175 dan 125"/>
      <sheetName val="PNT AIR"/>
      <sheetName val="handrail"/>
      <sheetName val="Plester 1;4"/>
      <sheetName val="Besi btn "/>
      <sheetName val="Bekisting"/>
      <sheetName val="btn 125"/>
      <sheetName val="Bronjong"/>
      <sheetName val="UPAH PEKERJA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harga upah"/>
      <sheetName val="komp"/>
      <sheetName val="DKH"/>
      <sheetName val="Metode"/>
      <sheetName val="3"/>
      <sheetName val="#Lookup"/>
      <sheetName val="Premi Iuran"/>
      <sheetName val="Technical_Assumption"/>
      <sheetName val="CUSTOMS"/>
      <sheetName val="List"/>
      <sheetName val="Rek.Analisa"/>
      <sheetName val="Rekap-Kintoko"/>
      <sheetName val="Rev. RBP-KP"/>
      <sheetName val="Rev RBP-1 "/>
      <sheetName val=""/>
      <sheetName val="Time &amp; Bill"/>
      <sheetName val="5.NP"/>
      <sheetName val="3-DIV3"/>
      <sheetName val="KAL-SEL "/>
      <sheetName val="HS ALAT"/>
      <sheetName val="HS UPAH"/>
      <sheetName val="HS BAHAN"/>
      <sheetName val="PRODALAT"/>
      <sheetName val="sat dasar"/>
      <sheetName val="RINCIAN HAR06"/>
      <sheetName val="BQ-1A prelim"/>
      <sheetName val="DAFALAT"/>
      <sheetName val="D9"/>
      <sheetName val="Analisa Quarry"/>
      <sheetName val="BQ"/>
      <sheetName val="UPH,BHN,ALT"/>
      <sheetName val="Analis harga"/>
      <sheetName val="BAG_2"/>
      <sheetName val="Infor Umum"/>
      <sheetName val="S_DAYA"/>
      <sheetName val="Hrg. Sat"/>
      <sheetName val="Hrg. Sat Alat"/>
      <sheetName val="master jaling"/>
      <sheetName val="Indikator"/>
      <sheetName val="kegiatan"/>
      <sheetName val="Sat~Bahu"/>
      <sheetName val="sieve_analysis_HOTBIN1"/>
      <sheetName val="Rekap_touch_point,prod_1"/>
      <sheetName val="4-Basic_Price1"/>
      <sheetName val="sieve_analysis_HOTBIN"/>
      <sheetName val="Rekap_touch_point,prod_"/>
      <sheetName val="4-Basic_Price"/>
      <sheetName val="I-KAMAR"/>
      <sheetName val="I_KAMAR"/>
      <sheetName val="ANS"/>
      <sheetName val="ANALISA "/>
      <sheetName val="UBA"/>
      <sheetName val="BUL"/>
      <sheetName val="an.pemel.rutin"/>
      <sheetName val="an.mobilisasi"/>
      <sheetName val="an.dmpu"/>
      <sheetName val="daftar.kuantita"/>
      <sheetName val="metode.dmpu"/>
      <sheetName val="Rate"/>
      <sheetName val="5-Analisa Alat.1"/>
      <sheetName val="4-Basic Price Upah &amp; Bahan"/>
      <sheetName val="Jenis Kontrak"/>
      <sheetName val="Tematik"/>
      <sheetName val="hrg sat"/>
      <sheetName val="anl-H"/>
      <sheetName val="anl-I"/>
      <sheetName val="anl-J"/>
      <sheetName val="anl-K"/>
      <sheetName val="anl-L"/>
      <sheetName val="anl-M"/>
      <sheetName val="anl-N"/>
      <sheetName val="ANALISA BTN)"/>
      <sheetName val="ANLS"/>
      <sheetName val="cetak -Div.7.1 Girder"/>
      <sheetName val="STA"/>
      <sheetName val="PCG"/>
      <sheetName val="DSN"/>
      <sheetName val="TPT"/>
      <sheetName val="Data PJ"/>
      <sheetName val="divI"/>
      <sheetName val="WAGES"/>
      <sheetName val="Agregat ABC"/>
      <sheetName val="aggregat"/>
      <sheetName val="harga bahan"/>
      <sheetName val="ANLS_1"/>
      <sheetName val="Biaya_alat"/>
      <sheetName val="Analisa_HSP"/>
      <sheetName val="SATUAN_DASAR"/>
      <sheetName val="DAFTAR_MOBILISASI__"/>
      <sheetName val="ANAL_ALAT"/>
      <sheetName val="Upah,_alat_&amp;_harsat"/>
      <sheetName val="Basic_Price"/>
      <sheetName val="Harga_Satuan"/>
      <sheetName val="Grading_Tahap_1"/>
    </sheetNames>
    <sheetDataSet>
      <sheetData sheetId="0" refreshError="1"/>
      <sheetData sheetId="1" refreshError="1"/>
      <sheetData sheetId="2" refreshError="1"/>
      <sheetData sheetId="3" refreshError="1">
        <row r="69">
          <cell r="A69" t="str">
            <v>LAMPIRAN 4a PENAWARAN</v>
          </cell>
        </row>
        <row r="70">
          <cell r="A70" t="str">
            <v>( Lampiran ini dipergunakan semata-mata untuk Evaluasi Penawaran )</v>
          </cell>
        </row>
        <row r="71">
          <cell r="A71" t="str">
            <v>( Lampiran ini dipergunakan semata-mata untuk Evaluasi Penawaran )</v>
          </cell>
        </row>
        <row r="72">
          <cell r="A72" t="str">
            <v>ANALISA HARGA LUMP SUM UNTUK MOBILISASI</v>
          </cell>
        </row>
        <row r="73">
          <cell r="A73" t="str">
            <v>ANALISA HARGA LUMP SUM UNTUK MOBILISASI</v>
          </cell>
        </row>
        <row r="74">
          <cell r="A74" t="str">
            <v>NAMA PESERTA LELANG</v>
          </cell>
          <cell r="E74" t="str">
            <v>:  PT. TRIFA ABADI</v>
          </cell>
        </row>
        <row r="75">
          <cell r="A75" t="str">
            <v>NOMOR MATA PEMBAYARAN</v>
          </cell>
          <cell r="E75" t="str">
            <v>:  1.2</v>
          </cell>
        </row>
        <row r="76">
          <cell r="A76" t="str">
            <v>JENIS PEKERJAAN</v>
          </cell>
          <cell r="E76" t="str">
            <v>:  MOBILISASI</v>
          </cell>
        </row>
        <row r="77">
          <cell r="A77" t="str">
            <v>SATUAN PEMBAYARAN</v>
          </cell>
          <cell r="E77" t="str">
            <v>:  Ls</v>
          </cell>
        </row>
        <row r="78">
          <cell r="E78" t="str">
            <v>:  Ls</v>
          </cell>
        </row>
        <row r="79">
          <cell r="H79" t="str">
            <v>BIAYA</v>
          </cell>
          <cell r="I79" t="str">
            <v>JUMLAH</v>
          </cell>
        </row>
        <row r="80">
          <cell r="A80" t="str">
            <v>No.</v>
          </cell>
          <cell r="C80" t="str">
            <v>U R A I A N</v>
          </cell>
          <cell r="F80" t="str">
            <v>SATUAN</v>
          </cell>
          <cell r="G80" t="str">
            <v>KUANTITAS</v>
          </cell>
          <cell r="H80" t="str">
            <v>SATUAN</v>
          </cell>
          <cell r="I80" t="str">
            <v>HARGA</v>
          </cell>
        </row>
        <row r="81">
          <cell r="H81" t="str">
            <v>(Rp.)</v>
          </cell>
          <cell r="I81" t="str">
            <v>(Rp.)</v>
          </cell>
        </row>
        <row r="82">
          <cell r="H82" t="str">
            <v>(Rp.)</v>
          </cell>
          <cell r="I82" t="str">
            <v>(Rp.)</v>
          </cell>
        </row>
        <row r="83">
          <cell r="A83" t="str">
            <v>A.</v>
          </cell>
          <cell r="C83" t="str">
            <v>PERALATAN</v>
          </cell>
        </row>
        <row r="84">
          <cell r="A84">
            <v>1</v>
          </cell>
          <cell r="C84" t="str">
            <v>ASPHALT SPRAYER</v>
          </cell>
          <cell r="F84" t="str">
            <v>Unit</v>
          </cell>
          <cell r="G84">
            <v>1</v>
          </cell>
          <cell r="H84">
            <v>250000</v>
          </cell>
          <cell r="I84">
            <v>250000</v>
          </cell>
        </row>
        <row r="85">
          <cell r="A85">
            <v>2</v>
          </cell>
          <cell r="C85" t="str">
            <v>TANDEM ROLLER</v>
          </cell>
          <cell r="F85" t="str">
            <v>Unit</v>
          </cell>
          <cell r="G85">
            <v>1</v>
          </cell>
          <cell r="H85">
            <v>2500000</v>
          </cell>
          <cell r="I85">
            <v>2500000</v>
          </cell>
        </row>
        <row r="86">
          <cell r="A86">
            <v>3</v>
          </cell>
          <cell r="C86" t="str">
            <v xml:space="preserve">WATER TANKER </v>
          </cell>
          <cell r="F86" t="str">
            <v>Unit</v>
          </cell>
          <cell r="G86">
            <v>1</v>
          </cell>
          <cell r="H86">
            <v>250000</v>
          </cell>
          <cell r="I86">
            <v>250000</v>
          </cell>
        </row>
        <row r="87">
          <cell r="A87">
            <v>4</v>
          </cell>
          <cell r="C87" t="str">
            <v>DUMP TRUCK</v>
          </cell>
          <cell r="F87" t="str">
            <v>Unit</v>
          </cell>
          <cell r="G87">
            <v>8</v>
          </cell>
          <cell r="H87">
            <v>250000</v>
          </cell>
          <cell r="I87">
            <v>2000000</v>
          </cell>
        </row>
        <row r="88">
          <cell r="A88">
            <v>5</v>
          </cell>
          <cell r="C88" t="str">
            <v>SOIL STABILIZER / PUGMILL / PULVI MIXER</v>
          </cell>
          <cell r="F88" t="str">
            <v>Unit</v>
          </cell>
          <cell r="G88">
            <v>1</v>
          </cell>
          <cell r="H88">
            <v>2500000</v>
          </cell>
          <cell r="I88">
            <v>2500000</v>
          </cell>
        </row>
        <row r="89">
          <cell r="A89">
            <v>6</v>
          </cell>
          <cell r="C89" t="str">
            <v xml:space="preserve">PNEUMATIC TIRE ROLLER </v>
          </cell>
          <cell r="F89" t="str">
            <v>Unit</v>
          </cell>
          <cell r="G89">
            <v>1</v>
          </cell>
          <cell r="H89">
            <v>2500000</v>
          </cell>
          <cell r="I89">
            <v>2500000</v>
          </cell>
        </row>
        <row r="90">
          <cell r="A90">
            <v>7</v>
          </cell>
          <cell r="C90" t="str">
            <v xml:space="preserve">MOTOR GRADER </v>
          </cell>
          <cell r="F90" t="str">
            <v>Unit</v>
          </cell>
          <cell r="G90">
            <v>1</v>
          </cell>
          <cell r="H90">
            <v>2500000</v>
          </cell>
          <cell r="I90">
            <v>2500000</v>
          </cell>
        </row>
        <row r="91">
          <cell r="A91">
            <v>8</v>
          </cell>
          <cell r="C91" t="str">
            <v xml:space="preserve">VIBRATORY ROLLER </v>
          </cell>
          <cell r="F91" t="str">
            <v>Unit</v>
          </cell>
          <cell r="G91">
            <v>1</v>
          </cell>
          <cell r="H91">
            <v>2500000</v>
          </cell>
          <cell r="I91">
            <v>2500000</v>
          </cell>
        </row>
        <row r="92">
          <cell r="A92">
            <v>9</v>
          </cell>
          <cell r="C92" t="str">
            <v>SPREADING TRUCK</v>
          </cell>
          <cell r="F92" t="str">
            <v>Unit</v>
          </cell>
          <cell r="G92">
            <v>1</v>
          </cell>
          <cell r="H92">
            <v>250000</v>
          </cell>
          <cell r="I92">
            <v>250000</v>
          </cell>
        </row>
        <row r="93">
          <cell r="A93">
            <v>10</v>
          </cell>
          <cell r="C93" t="str">
            <v>EXCAVATOR</v>
          </cell>
          <cell r="F93" t="str">
            <v>Unit</v>
          </cell>
          <cell r="G93">
            <v>1</v>
          </cell>
          <cell r="H93">
            <v>2500000</v>
          </cell>
          <cell r="I93">
            <v>2500000</v>
          </cell>
        </row>
        <row r="94">
          <cell r="A94">
            <v>11</v>
          </cell>
          <cell r="C94" t="str">
            <v xml:space="preserve">WHEEL LOADER </v>
          </cell>
          <cell r="F94" t="str">
            <v>Unit</v>
          </cell>
          <cell r="G94">
            <v>1</v>
          </cell>
          <cell r="H94">
            <v>2500000</v>
          </cell>
          <cell r="I94">
            <v>2500000</v>
          </cell>
        </row>
        <row r="95">
          <cell r="A95">
            <v>12</v>
          </cell>
          <cell r="C95" t="str">
            <v>BULDOZER</v>
          </cell>
          <cell r="F95" t="str">
            <v>Unit</v>
          </cell>
          <cell r="G95">
            <v>1</v>
          </cell>
          <cell r="H95">
            <v>2500000</v>
          </cell>
          <cell r="I95">
            <v>2500000</v>
          </cell>
        </row>
        <row r="96">
          <cell r="A96">
            <v>13</v>
          </cell>
          <cell r="C96" t="str">
            <v>CONCRETE MIXER</v>
          </cell>
          <cell r="F96" t="str">
            <v>Unit</v>
          </cell>
          <cell r="G96">
            <v>1</v>
          </cell>
          <cell r="H96">
            <v>250000</v>
          </cell>
          <cell r="I96">
            <v>250000</v>
          </cell>
        </row>
        <row r="97">
          <cell r="A97">
            <v>14</v>
          </cell>
          <cell r="C97" t="str">
            <v>CONCRETE VIBRATOR</v>
          </cell>
          <cell r="F97" t="str">
            <v>Unit</v>
          </cell>
          <cell r="G97">
            <v>1</v>
          </cell>
          <cell r="H97">
            <v>250000</v>
          </cell>
          <cell r="I97">
            <v>250000</v>
          </cell>
        </row>
        <row r="98">
          <cell r="A98">
            <v>15</v>
          </cell>
          <cell r="C98" t="str">
            <v xml:space="preserve">FLAD BET TRUCK </v>
          </cell>
          <cell r="F98" t="str">
            <v>Unit</v>
          </cell>
          <cell r="G98">
            <v>1</v>
          </cell>
          <cell r="H98">
            <v>250000</v>
          </cell>
          <cell r="I98">
            <v>250000</v>
          </cell>
        </row>
        <row r="99">
          <cell r="A99">
            <v>16</v>
          </cell>
          <cell r="C99" t="str">
            <v>GENERATOR SET</v>
          </cell>
          <cell r="F99" t="str">
            <v>Unit</v>
          </cell>
          <cell r="G99">
            <v>1</v>
          </cell>
          <cell r="H99">
            <v>250000</v>
          </cell>
          <cell r="I99">
            <v>250000</v>
          </cell>
        </row>
        <row r="100">
          <cell r="A100">
            <v>17</v>
          </cell>
          <cell r="C100" t="str">
            <v xml:space="preserve">AIR COMPRESSOR </v>
          </cell>
          <cell r="F100" t="str">
            <v>Unit</v>
          </cell>
          <cell r="G100">
            <v>1</v>
          </cell>
          <cell r="H100">
            <v>250000</v>
          </cell>
          <cell r="I100">
            <v>250000</v>
          </cell>
        </row>
        <row r="101">
          <cell r="A101">
            <v>18</v>
          </cell>
          <cell r="C101" t="str">
            <v>DUMP TRUCK 3 - 4 M3</v>
          </cell>
          <cell r="F101" t="str">
            <v>Unit</v>
          </cell>
          <cell r="G101">
            <v>2</v>
          </cell>
          <cell r="H101">
            <v>250000</v>
          </cell>
          <cell r="I101">
            <v>500000</v>
          </cell>
        </row>
        <row r="102">
          <cell r="A102">
            <v>19</v>
          </cell>
          <cell r="C102" t="str">
            <v>WATER PUMP 70 - 100 mm</v>
          </cell>
          <cell r="F102" t="str">
            <v>Unit</v>
          </cell>
          <cell r="G102">
            <v>1</v>
          </cell>
          <cell r="H102">
            <v>250000</v>
          </cell>
          <cell r="I102">
            <v>250000</v>
          </cell>
        </row>
        <row r="103">
          <cell r="A103">
            <v>20</v>
          </cell>
          <cell r="C103" t="str">
            <v>SURVEY EQUIPMENT</v>
          </cell>
          <cell r="F103" t="str">
            <v>Set</v>
          </cell>
          <cell r="G103">
            <v>1</v>
          </cell>
          <cell r="H103">
            <v>250000</v>
          </cell>
          <cell r="I103">
            <v>250000</v>
          </cell>
        </row>
        <row r="105">
          <cell r="F105" t="str">
            <v>Set</v>
          </cell>
          <cell r="G105">
            <v>1</v>
          </cell>
          <cell r="H105">
            <v>250000</v>
          </cell>
          <cell r="I105">
            <v>250000</v>
          </cell>
        </row>
        <row r="106">
          <cell r="D106" t="str">
            <v>JUMLAH UNTUK MATA PEKERJAAN A DALAM LAMPIRAN 4</v>
          </cell>
          <cell r="I106">
            <v>25000000</v>
          </cell>
        </row>
        <row r="108">
          <cell r="I108">
            <v>25000000</v>
          </cell>
        </row>
        <row r="109">
          <cell r="A109" t="str">
            <v xml:space="preserve"> Catatan :</v>
          </cell>
        </row>
        <row r="110">
          <cell r="A110" t="str">
            <v xml:space="preserve">-  </v>
          </cell>
          <cell r="C110" t="str">
            <v>Type dan Kapasitas yang diberikan dalam daftar diatas hanya sebagai petunjuk kontraktor dapat</v>
          </cell>
        </row>
        <row r="111">
          <cell r="C111" t="str">
            <v>mengusulkan type dan kapasitas yang berbeda sesuai dengan kebutuhan untuk melaksanakan</v>
          </cell>
        </row>
        <row r="112">
          <cell r="C112" t="str">
            <v>pekerjaan.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>
        <row r="69">
          <cell r="A69" t="str">
            <v>LAMPIRAN 4a PENAWARAN</v>
          </cell>
        </row>
      </sheetData>
      <sheetData sheetId="26">
        <row r="69">
          <cell r="A69" t="str">
            <v>LAMPIRAN 4a PENAWARAN</v>
          </cell>
        </row>
      </sheetData>
      <sheetData sheetId="27">
        <row r="69">
          <cell r="A69" t="str">
            <v>LAMPIRAN 4a PENAWARAN</v>
          </cell>
        </row>
      </sheetData>
      <sheetData sheetId="28">
        <row r="69">
          <cell r="A69" t="str">
            <v>LAMPIRAN 4a PENAWARAN</v>
          </cell>
        </row>
      </sheetData>
      <sheetData sheetId="29">
        <row r="69">
          <cell r="A69" t="str">
            <v>LAMPIRAN 4a PENAWARAN</v>
          </cell>
        </row>
      </sheetData>
      <sheetData sheetId="30">
        <row r="69">
          <cell r="A69" t="str">
            <v>LAMPIRAN 4a PENAWARAN</v>
          </cell>
        </row>
      </sheetData>
      <sheetData sheetId="31">
        <row r="69">
          <cell r="A69" t="str">
            <v>LAMPIRAN 4a PENAWARAN</v>
          </cell>
        </row>
      </sheetData>
      <sheetData sheetId="32">
        <row r="69">
          <cell r="A69" t="str">
            <v>LAMPIRAN 4a PENAWARAN</v>
          </cell>
        </row>
      </sheetData>
      <sheetData sheetId="33">
        <row r="69">
          <cell r="A69" t="str">
            <v>LAMPIRAN 4a PENAWARAN</v>
          </cell>
        </row>
      </sheetData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>
        <row r="69">
          <cell r="A69" t="str">
            <v>LAMPIRAN 4a PENAWARAN</v>
          </cell>
        </row>
      </sheetData>
      <sheetData sheetId="136">
        <row r="69">
          <cell r="A69" t="str">
            <v>LAMPIRAN 4a PENAWARAN</v>
          </cell>
        </row>
      </sheetData>
      <sheetData sheetId="137">
        <row r="69">
          <cell r="A69" t="str">
            <v>LAMPIRAN 4a PENAWARAN</v>
          </cell>
        </row>
      </sheetData>
      <sheetData sheetId="138">
        <row r="69">
          <cell r="A69" t="str">
            <v>LAMPIRAN 4a PENAWARAN</v>
          </cell>
        </row>
      </sheetData>
      <sheetData sheetId="139">
        <row r="69">
          <cell r="A69" t="str">
            <v>LAMPIRAN 4a PENAWARAN</v>
          </cell>
        </row>
      </sheetData>
      <sheetData sheetId="140">
        <row r="69">
          <cell r="A69" t="str">
            <v>LAMPIRAN 4a PENAWARAN</v>
          </cell>
        </row>
      </sheetData>
      <sheetData sheetId="141">
        <row r="69">
          <cell r="A69" t="str">
            <v>LAMPIRAN 4a PENAWARAN</v>
          </cell>
        </row>
      </sheetData>
      <sheetData sheetId="142">
        <row r="69">
          <cell r="A69" t="str">
            <v>LAMPIRAN 4a PENAWARAN</v>
          </cell>
        </row>
      </sheetData>
      <sheetData sheetId="143">
        <row r="69">
          <cell r="A69" t="str">
            <v>LAMPIRAN 4a PENAWARAN</v>
          </cell>
        </row>
      </sheetData>
      <sheetData sheetId="144">
        <row r="69">
          <cell r="A69" t="str">
            <v>LAMPIRAN 4a PENAWARAN</v>
          </cell>
        </row>
      </sheetData>
      <sheetData sheetId="145">
        <row r="69">
          <cell r="A69" t="str">
            <v>LAMPIRAN 4a PENAWARAN</v>
          </cell>
        </row>
      </sheetData>
      <sheetData sheetId="146">
        <row r="69">
          <cell r="A69" t="str">
            <v>LAMPIRAN 4a PENAWARAN</v>
          </cell>
        </row>
      </sheetData>
      <sheetData sheetId="147">
        <row r="69">
          <cell r="A69" t="str">
            <v>LAMPIRAN 4a PENAWARAN</v>
          </cell>
        </row>
      </sheetData>
      <sheetData sheetId="148">
        <row r="69">
          <cell r="A69" t="str">
            <v>LAMPIRAN 4a PENAWARAN</v>
          </cell>
        </row>
      </sheetData>
      <sheetData sheetId="149">
        <row r="69">
          <cell r="A69" t="str">
            <v>LAMPIRAN 4a PENAWARAN</v>
          </cell>
        </row>
      </sheetData>
      <sheetData sheetId="150"/>
      <sheetData sheetId="151">
        <row r="69">
          <cell r="A69" t="str">
            <v>LAMPIRAN 4a PENAWARAN</v>
          </cell>
        </row>
      </sheetData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/>
      <sheetData sheetId="347">
        <row r="69">
          <cell r="A69" t="str">
            <v>LAMPIRAN 4a PENAWARAN</v>
          </cell>
        </row>
      </sheetData>
      <sheetData sheetId="348">
        <row r="69">
          <cell r="A69" t="str">
            <v>LAMPIRAN 4a PENAWARAN</v>
          </cell>
        </row>
      </sheetData>
      <sheetData sheetId="349">
        <row r="69">
          <cell r="A69" t="str">
            <v>LAMPIRAN 4a PENAWARAN</v>
          </cell>
        </row>
      </sheetData>
      <sheetData sheetId="350">
        <row r="69">
          <cell r="A69" t="str">
            <v>LAMPIRAN 4a PENAWARAN</v>
          </cell>
        </row>
      </sheetData>
      <sheetData sheetId="351">
        <row r="69">
          <cell r="A69" t="str">
            <v>LAMPIRAN 4a PENAWARAN</v>
          </cell>
        </row>
      </sheetData>
      <sheetData sheetId="352">
        <row r="69">
          <cell r="A69" t="str">
            <v>LAMPIRAN 4a PENAWARAN</v>
          </cell>
        </row>
      </sheetData>
      <sheetData sheetId="353"/>
      <sheetData sheetId="354"/>
      <sheetData sheetId="355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>
        <row r="69">
          <cell r="A69" t="str">
            <v>LAMPIRAN 4a PENAWARAN</v>
          </cell>
        </row>
      </sheetData>
      <sheetData sheetId="449">
        <row r="69">
          <cell r="A69" t="str">
            <v>LAMPIRAN 4a PENAWARAN</v>
          </cell>
        </row>
      </sheetData>
      <sheetData sheetId="450">
        <row r="69">
          <cell r="A69" t="str">
            <v>LAMPIRAN 4a PENAWARAN</v>
          </cell>
        </row>
      </sheetData>
      <sheetData sheetId="451">
        <row r="69">
          <cell r="A69" t="str">
            <v>LAMPIRAN 4a PENAWARAN</v>
          </cell>
        </row>
      </sheetData>
      <sheetData sheetId="452">
        <row r="69">
          <cell r="A69" t="str">
            <v>LAMPIRAN 4a PENAWARAN</v>
          </cell>
        </row>
      </sheetData>
      <sheetData sheetId="453">
        <row r="69">
          <cell r="A69" t="str">
            <v>LAMPIRAN 4a PENAWARAN</v>
          </cell>
        </row>
      </sheetData>
      <sheetData sheetId="454">
        <row r="69">
          <cell r="A69" t="str">
            <v>LAMPIRAN 4a PENAWARAN</v>
          </cell>
        </row>
      </sheetData>
      <sheetData sheetId="455">
        <row r="69">
          <cell r="A69" t="str">
            <v>LAMPIRAN 4a PENAWARAN</v>
          </cell>
        </row>
      </sheetData>
      <sheetData sheetId="456">
        <row r="69">
          <cell r="A69" t="str">
            <v>LAMPIRAN 4a PENAWARAN</v>
          </cell>
        </row>
      </sheetData>
      <sheetData sheetId="457">
        <row r="69">
          <cell r="A69" t="str">
            <v>LAMPIRAN 4a PENAWARAN</v>
          </cell>
        </row>
      </sheetData>
      <sheetData sheetId="458">
        <row r="69">
          <cell r="A69" t="str">
            <v>LAMPIRAN 4a PENAWARAN</v>
          </cell>
        </row>
      </sheetData>
      <sheetData sheetId="459">
        <row r="69">
          <cell r="A69" t="str">
            <v>LAMPIRAN 4a PENAWARAN</v>
          </cell>
        </row>
      </sheetData>
      <sheetData sheetId="460">
        <row r="69">
          <cell r="A69" t="str">
            <v>LAMPIRAN 4a PENAWARAN</v>
          </cell>
        </row>
      </sheetData>
      <sheetData sheetId="461">
        <row r="69">
          <cell r="A69" t="str">
            <v>LAMPIRAN 4a PENAWARAN</v>
          </cell>
        </row>
      </sheetData>
      <sheetData sheetId="462">
        <row r="69">
          <cell r="A69" t="str">
            <v>LAMPIRAN 4a PENAWARAN</v>
          </cell>
        </row>
      </sheetData>
      <sheetData sheetId="463">
        <row r="69">
          <cell r="A69" t="str">
            <v>LAMPIRAN 4a PENAWARAN</v>
          </cell>
        </row>
      </sheetData>
      <sheetData sheetId="464">
        <row r="69">
          <cell r="A69" t="str">
            <v>LAMPIRAN 4a PENAWARAN</v>
          </cell>
        </row>
      </sheetData>
      <sheetData sheetId="465">
        <row r="69">
          <cell r="A69" t="str">
            <v>LAMPIRAN 4a PENAWARAN</v>
          </cell>
        </row>
      </sheetData>
      <sheetData sheetId="466">
        <row r="69">
          <cell r="A69" t="str">
            <v>LAMPIRAN 4a PENAWARAN</v>
          </cell>
        </row>
      </sheetData>
      <sheetData sheetId="467">
        <row r="69">
          <cell r="A69" t="str">
            <v>LAMPIRAN 4a PENAWARAN</v>
          </cell>
        </row>
      </sheetData>
      <sheetData sheetId="468">
        <row r="69">
          <cell r="A69" t="str">
            <v>LAMPIRAN 4a PENAWARAN</v>
          </cell>
        </row>
      </sheetData>
      <sheetData sheetId="469">
        <row r="69">
          <cell r="A69" t="str">
            <v>LAMPIRAN 4a PENAWARAN</v>
          </cell>
        </row>
      </sheetData>
      <sheetData sheetId="470">
        <row r="69">
          <cell r="A69" t="str">
            <v>LAMPIRAN 4a PENAWARAN</v>
          </cell>
        </row>
      </sheetData>
      <sheetData sheetId="471">
        <row r="69">
          <cell r="A69" t="str">
            <v>LAMPIRAN 4a PENAWARAN</v>
          </cell>
        </row>
      </sheetData>
      <sheetData sheetId="472">
        <row r="69">
          <cell r="A69" t="str">
            <v>LAMPIRAN 4a PENAWARAN</v>
          </cell>
        </row>
      </sheetData>
      <sheetData sheetId="473">
        <row r="69">
          <cell r="A69" t="str">
            <v>LAMPIRAN 4a PENAWARAN</v>
          </cell>
        </row>
      </sheetData>
      <sheetData sheetId="474">
        <row r="69">
          <cell r="A69" t="str">
            <v>LAMPIRAN 4a PENAWARAN</v>
          </cell>
        </row>
      </sheetData>
      <sheetData sheetId="475">
        <row r="69">
          <cell r="A69" t="str">
            <v>LAMPIRAN 4a PENAWARAN</v>
          </cell>
        </row>
      </sheetData>
      <sheetData sheetId="476">
        <row r="69">
          <cell r="A69" t="str">
            <v>LAMPIRAN 4a PENAWARAN</v>
          </cell>
        </row>
      </sheetData>
      <sheetData sheetId="477">
        <row r="69">
          <cell r="A69" t="str">
            <v>LAMPIRAN 4a PENAWARAN</v>
          </cell>
        </row>
      </sheetData>
      <sheetData sheetId="478">
        <row r="69">
          <cell r="A69" t="str">
            <v>LAMPIRAN 4a PENAWARAN</v>
          </cell>
        </row>
      </sheetData>
      <sheetData sheetId="479">
        <row r="69">
          <cell r="A69" t="str">
            <v>LAMPIRAN 4a PENAWARAN</v>
          </cell>
        </row>
      </sheetData>
      <sheetData sheetId="480">
        <row r="69">
          <cell r="A69" t="str">
            <v>LAMPIRAN 4a PENAWARAN</v>
          </cell>
        </row>
      </sheetData>
      <sheetData sheetId="481">
        <row r="69">
          <cell r="A69" t="str">
            <v>LAMPIRAN 4a PENAWARAN</v>
          </cell>
        </row>
      </sheetData>
      <sheetData sheetId="482">
        <row r="69">
          <cell r="A69" t="str">
            <v>LAMPIRAN 4a PENAWARAN</v>
          </cell>
        </row>
      </sheetData>
      <sheetData sheetId="483">
        <row r="69">
          <cell r="A69" t="str">
            <v>LAMPIRAN 4a PENAWARAN</v>
          </cell>
        </row>
      </sheetData>
      <sheetData sheetId="484">
        <row r="69">
          <cell r="A69" t="str">
            <v>LAMPIRAN 4a PENAWARAN</v>
          </cell>
        </row>
      </sheetData>
      <sheetData sheetId="485">
        <row r="69">
          <cell r="A69" t="str">
            <v>LAMPIRAN 4a PENAWARAN</v>
          </cell>
        </row>
      </sheetData>
      <sheetData sheetId="486">
        <row r="69">
          <cell r="A69" t="str">
            <v>LAMPIRAN 4a PENAWARAN</v>
          </cell>
        </row>
      </sheetData>
      <sheetData sheetId="487">
        <row r="69">
          <cell r="A69" t="str">
            <v>LAMPIRAN 4a PENAWARAN</v>
          </cell>
        </row>
      </sheetData>
      <sheetData sheetId="488">
        <row r="69">
          <cell r="A69" t="str">
            <v>LAMPIRAN 4a PENAWARAN</v>
          </cell>
        </row>
      </sheetData>
      <sheetData sheetId="489">
        <row r="69">
          <cell r="A69" t="str">
            <v>LAMPIRAN 4a PENAWARAN</v>
          </cell>
        </row>
      </sheetData>
      <sheetData sheetId="490">
        <row r="69">
          <cell r="A69" t="str">
            <v>LAMPIRAN 4a PENAWARAN</v>
          </cell>
        </row>
      </sheetData>
      <sheetData sheetId="491">
        <row r="69">
          <cell r="A69" t="str">
            <v>LAMPIRAN 4a PENAWARAN</v>
          </cell>
        </row>
      </sheetData>
      <sheetData sheetId="492">
        <row r="69">
          <cell r="A69" t="str">
            <v>LAMPIRAN 4a PENAWARAN</v>
          </cell>
        </row>
      </sheetData>
      <sheetData sheetId="493">
        <row r="69">
          <cell r="A69" t="str">
            <v>LAMPIRAN 4a PENAWARAN</v>
          </cell>
        </row>
      </sheetData>
      <sheetData sheetId="494">
        <row r="69">
          <cell r="A69" t="str">
            <v>LAMPIRAN 4a PENAWARAN</v>
          </cell>
        </row>
      </sheetData>
      <sheetData sheetId="495">
        <row r="69">
          <cell r="A69" t="str">
            <v>LAMPIRAN 4a PENAWARAN</v>
          </cell>
        </row>
      </sheetData>
      <sheetData sheetId="496">
        <row r="69">
          <cell r="A69" t="str">
            <v>LAMPIRAN 4a PENAWARAN</v>
          </cell>
        </row>
      </sheetData>
      <sheetData sheetId="497">
        <row r="69">
          <cell r="A69" t="str">
            <v>LAMPIRAN 4a PENAWARAN</v>
          </cell>
        </row>
      </sheetData>
      <sheetData sheetId="498">
        <row r="69">
          <cell r="A69" t="str">
            <v>LAMPIRAN 4a PENAWARAN</v>
          </cell>
        </row>
      </sheetData>
      <sheetData sheetId="499">
        <row r="69">
          <cell r="A69" t="str">
            <v>LAMPIRAN 4a PENAWARAN</v>
          </cell>
        </row>
      </sheetData>
      <sheetData sheetId="500">
        <row r="69">
          <cell r="A69" t="str">
            <v>LAMPIRAN 4a PENAWARAN</v>
          </cell>
        </row>
      </sheetData>
      <sheetData sheetId="501">
        <row r="69">
          <cell r="A69" t="str">
            <v>LAMPIRAN 4a PENAWARAN</v>
          </cell>
        </row>
      </sheetData>
      <sheetData sheetId="502">
        <row r="69">
          <cell r="A69" t="str">
            <v>LAMPIRAN 4a PENAWARAN</v>
          </cell>
        </row>
      </sheetData>
      <sheetData sheetId="503">
        <row r="69">
          <cell r="A69" t="str">
            <v>LAMPIRAN 4a PENAWARAN</v>
          </cell>
        </row>
      </sheetData>
      <sheetData sheetId="504">
        <row r="69">
          <cell r="A69" t="str">
            <v>LAMPIRAN 4a PENAWARAN</v>
          </cell>
        </row>
      </sheetData>
      <sheetData sheetId="505">
        <row r="69">
          <cell r="A69" t="str">
            <v>LAMPIRAN 4a PENAWARAN</v>
          </cell>
        </row>
      </sheetData>
      <sheetData sheetId="506">
        <row r="69">
          <cell r="A69" t="str">
            <v>LAMPIRAN 4a PENAWARAN</v>
          </cell>
        </row>
      </sheetData>
      <sheetData sheetId="507">
        <row r="69">
          <cell r="A69" t="str">
            <v>LAMPIRAN 4a PENAWARAN</v>
          </cell>
        </row>
      </sheetData>
      <sheetData sheetId="508">
        <row r="69">
          <cell r="A69" t="str">
            <v>LAMPIRAN 4a PENAWARAN</v>
          </cell>
        </row>
      </sheetData>
      <sheetData sheetId="509">
        <row r="69">
          <cell r="A69" t="str">
            <v>LAMPIRAN 4a PENAWARAN</v>
          </cell>
        </row>
      </sheetData>
      <sheetData sheetId="510">
        <row r="69">
          <cell r="A69" t="str">
            <v>LAMPIRAN 4a PENAWARAN</v>
          </cell>
        </row>
      </sheetData>
      <sheetData sheetId="511">
        <row r="69">
          <cell r="A69" t="str">
            <v>LAMPIRAN 4a PENAWARAN</v>
          </cell>
        </row>
      </sheetData>
      <sheetData sheetId="512">
        <row r="69">
          <cell r="A69" t="str">
            <v>LAMPIRAN 4a PENAWARAN</v>
          </cell>
        </row>
      </sheetData>
      <sheetData sheetId="513">
        <row r="69">
          <cell r="A69" t="str">
            <v>LAMPIRAN 4a PENAWARAN</v>
          </cell>
        </row>
      </sheetData>
      <sheetData sheetId="514">
        <row r="69">
          <cell r="A69" t="str">
            <v>LAMPIRAN 4a PENAWARAN</v>
          </cell>
        </row>
      </sheetData>
      <sheetData sheetId="515">
        <row r="69">
          <cell r="A69" t="str">
            <v>LAMPIRAN 4a PENAWARAN</v>
          </cell>
        </row>
      </sheetData>
      <sheetData sheetId="516">
        <row r="69">
          <cell r="A69" t="str">
            <v>LAMPIRAN 4a PENAWARAN</v>
          </cell>
        </row>
      </sheetData>
      <sheetData sheetId="517">
        <row r="69">
          <cell r="A69" t="str">
            <v>LAMPIRAN 4a PENAWARAN</v>
          </cell>
        </row>
      </sheetData>
      <sheetData sheetId="518">
        <row r="69">
          <cell r="A69" t="str">
            <v>LAMPIRAN 4a PENAWARAN</v>
          </cell>
        </row>
      </sheetData>
      <sheetData sheetId="519">
        <row r="69">
          <cell r="A69" t="str">
            <v>LAMPIRAN 4a PENAWARAN</v>
          </cell>
        </row>
      </sheetData>
      <sheetData sheetId="520">
        <row r="69">
          <cell r="A69" t="str">
            <v>LAMPIRAN 4a PENAWARAN</v>
          </cell>
        </row>
      </sheetData>
      <sheetData sheetId="521">
        <row r="69">
          <cell r="A69" t="str">
            <v>LAMPIRAN 4a PENAWARAN</v>
          </cell>
        </row>
      </sheetData>
      <sheetData sheetId="522">
        <row r="69">
          <cell r="A69" t="str">
            <v>LAMPIRAN 4a PENAWARAN</v>
          </cell>
        </row>
      </sheetData>
      <sheetData sheetId="523">
        <row r="69">
          <cell r="A69" t="str">
            <v>LAMPIRAN 4a PENAWARAN</v>
          </cell>
        </row>
      </sheetData>
      <sheetData sheetId="524">
        <row r="69">
          <cell r="A69" t="str">
            <v>LAMPIRAN 4a PENAWARAN</v>
          </cell>
        </row>
      </sheetData>
      <sheetData sheetId="525">
        <row r="69">
          <cell r="A69" t="str">
            <v>LAMPIRAN 4a PENAWARAN</v>
          </cell>
        </row>
      </sheetData>
      <sheetData sheetId="526">
        <row r="69">
          <cell r="A69" t="str">
            <v>LAMPIRAN 4a PENAWARAN</v>
          </cell>
        </row>
      </sheetData>
      <sheetData sheetId="527">
        <row r="69">
          <cell r="A69" t="str">
            <v>LAMPIRAN 4a PENAWARAN</v>
          </cell>
        </row>
      </sheetData>
      <sheetData sheetId="528">
        <row r="69">
          <cell r="A69" t="str">
            <v>LAMPIRAN 4a PENAWARAN</v>
          </cell>
        </row>
      </sheetData>
      <sheetData sheetId="529">
        <row r="69">
          <cell r="A69" t="str">
            <v>LAMPIRAN 4a PENAWARAN</v>
          </cell>
        </row>
      </sheetData>
      <sheetData sheetId="530">
        <row r="69">
          <cell r="A69" t="str">
            <v>LAMPIRAN 4a PENAWARAN</v>
          </cell>
        </row>
      </sheetData>
      <sheetData sheetId="531">
        <row r="69">
          <cell r="A69" t="str">
            <v>LAMPIRAN 4a PENAWARAN</v>
          </cell>
        </row>
      </sheetData>
      <sheetData sheetId="532">
        <row r="69">
          <cell r="A69" t="str">
            <v>LAMPIRAN 4a PENAWARAN</v>
          </cell>
        </row>
      </sheetData>
      <sheetData sheetId="533">
        <row r="69">
          <cell r="A69" t="str">
            <v>LAMPIRAN 4a PENAWARAN</v>
          </cell>
        </row>
      </sheetData>
      <sheetData sheetId="534">
        <row r="69">
          <cell r="A69" t="str">
            <v>LAMPIRAN 4a PENAWARAN</v>
          </cell>
        </row>
      </sheetData>
      <sheetData sheetId="535">
        <row r="69">
          <cell r="A69" t="str">
            <v>LAMPIRAN 4a PENAWARAN</v>
          </cell>
        </row>
      </sheetData>
      <sheetData sheetId="536">
        <row r="69">
          <cell r="A69" t="str">
            <v>LAMPIRAN 4a PENAWARAN</v>
          </cell>
        </row>
      </sheetData>
      <sheetData sheetId="537">
        <row r="69">
          <cell r="A69" t="str">
            <v>LAMPIRAN 4a PENAWARAN</v>
          </cell>
        </row>
      </sheetData>
      <sheetData sheetId="538">
        <row r="69">
          <cell r="A69" t="str">
            <v>LAMPIRAN 4a PENAWARAN</v>
          </cell>
        </row>
      </sheetData>
      <sheetData sheetId="539">
        <row r="69">
          <cell r="A69" t="str">
            <v>LAMPIRAN 4a PENAWARAN</v>
          </cell>
        </row>
      </sheetData>
      <sheetData sheetId="540">
        <row r="69">
          <cell r="A69" t="str">
            <v>LAMPIRAN 4a PENAWARAN</v>
          </cell>
        </row>
      </sheetData>
      <sheetData sheetId="541">
        <row r="69">
          <cell r="A69" t="str">
            <v>LAMPIRAN 4a PENAWARAN</v>
          </cell>
        </row>
      </sheetData>
      <sheetData sheetId="542">
        <row r="69">
          <cell r="A69" t="str">
            <v>LAMPIRAN 4a PENAWARAN</v>
          </cell>
        </row>
      </sheetData>
      <sheetData sheetId="543">
        <row r="69">
          <cell r="A69" t="str">
            <v>LAMPIRAN 4a PENAWARAN</v>
          </cell>
        </row>
      </sheetData>
      <sheetData sheetId="544">
        <row r="69">
          <cell r="A69" t="str">
            <v>LAMPIRAN 4a PENAWARAN</v>
          </cell>
        </row>
      </sheetData>
      <sheetData sheetId="545">
        <row r="69">
          <cell r="A69" t="str">
            <v>LAMPIRAN 4a PENAWARAN</v>
          </cell>
        </row>
      </sheetData>
      <sheetData sheetId="546">
        <row r="69">
          <cell r="A69" t="str">
            <v>LAMPIRAN 4a PENAWARAN</v>
          </cell>
        </row>
      </sheetData>
      <sheetData sheetId="547">
        <row r="69">
          <cell r="A69" t="str">
            <v>LAMPIRAN 4a PENAWARAN</v>
          </cell>
        </row>
      </sheetData>
      <sheetData sheetId="548">
        <row r="69">
          <cell r="A69" t="str">
            <v>LAMPIRAN 4a PENAWARAN</v>
          </cell>
        </row>
      </sheetData>
      <sheetData sheetId="549">
        <row r="69">
          <cell r="A69" t="str">
            <v>LAMPIRAN 4a PENAWARAN</v>
          </cell>
        </row>
      </sheetData>
      <sheetData sheetId="550">
        <row r="69">
          <cell r="A69" t="str">
            <v>LAMPIRAN 4a PENAWARAN</v>
          </cell>
        </row>
      </sheetData>
      <sheetData sheetId="551">
        <row r="69">
          <cell r="A69" t="str">
            <v>LAMPIRAN 4a PENAWARAN</v>
          </cell>
        </row>
      </sheetData>
      <sheetData sheetId="552">
        <row r="69">
          <cell r="A69" t="str">
            <v>LAMPIRAN 4a PENAWARAN</v>
          </cell>
        </row>
      </sheetData>
      <sheetData sheetId="553">
        <row r="69">
          <cell r="A69" t="str">
            <v>LAMPIRAN 4a PENAWARAN</v>
          </cell>
        </row>
      </sheetData>
      <sheetData sheetId="554">
        <row r="69">
          <cell r="A69" t="str">
            <v>LAMPIRAN 4a PENAWARAN</v>
          </cell>
        </row>
      </sheetData>
      <sheetData sheetId="555">
        <row r="69">
          <cell r="A69" t="str">
            <v>LAMPIRAN 4a PENAWARAN</v>
          </cell>
        </row>
      </sheetData>
      <sheetData sheetId="556">
        <row r="69">
          <cell r="A69" t="str">
            <v>LAMPIRAN 4a PENAWARAN</v>
          </cell>
        </row>
      </sheetData>
      <sheetData sheetId="557">
        <row r="69">
          <cell r="A69" t="str">
            <v>LAMPIRAN 4a PENAWARAN</v>
          </cell>
        </row>
      </sheetData>
      <sheetData sheetId="558">
        <row r="69">
          <cell r="A69" t="str">
            <v>LAMPIRAN 4a PENAWARAN</v>
          </cell>
        </row>
      </sheetData>
      <sheetData sheetId="559">
        <row r="69">
          <cell r="A69" t="str">
            <v>LAMPIRAN 4a PENAWARAN</v>
          </cell>
        </row>
      </sheetData>
      <sheetData sheetId="560">
        <row r="69">
          <cell r="A69" t="str">
            <v>LAMPIRAN 4a PENAWARAN</v>
          </cell>
        </row>
      </sheetData>
      <sheetData sheetId="561">
        <row r="69">
          <cell r="A69" t="str">
            <v>LAMPIRAN 4a PENAWARAN</v>
          </cell>
        </row>
      </sheetData>
      <sheetData sheetId="562">
        <row r="69">
          <cell r="A69" t="str">
            <v>LAMPIRAN 4a PENAWARAN</v>
          </cell>
        </row>
      </sheetData>
      <sheetData sheetId="563">
        <row r="69">
          <cell r="A69" t="str">
            <v>LAMPIRAN 4a PENAWARAN</v>
          </cell>
        </row>
      </sheetData>
      <sheetData sheetId="564">
        <row r="69">
          <cell r="A69" t="str">
            <v>LAMPIRAN 4a PENAWARAN</v>
          </cell>
        </row>
      </sheetData>
      <sheetData sheetId="565">
        <row r="69">
          <cell r="A69" t="str">
            <v>LAMPIRAN 4a PENAWARAN</v>
          </cell>
        </row>
      </sheetData>
      <sheetData sheetId="566">
        <row r="69">
          <cell r="A69" t="str">
            <v>LAMPIRAN 4a PENAWARAN</v>
          </cell>
        </row>
      </sheetData>
      <sheetData sheetId="567">
        <row r="69">
          <cell r="A69" t="str">
            <v>LAMPIRAN 4a PENAWARAN</v>
          </cell>
        </row>
      </sheetData>
      <sheetData sheetId="568">
        <row r="69">
          <cell r="A69" t="str">
            <v>LAMPIRAN 4a PENAWARAN</v>
          </cell>
        </row>
      </sheetData>
      <sheetData sheetId="569">
        <row r="69">
          <cell r="A69" t="str">
            <v>LAMPIRAN 4a PENAWARAN</v>
          </cell>
        </row>
      </sheetData>
      <sheetData sheetId="570">
        <row r="69">
          <cell r="A69" t="str">
            <v>LAMPIRAN 4a PENAWARAN</v>
          </cell>
        </row>
      </sheetData>
      <sheetData sheetId="571">
        <row r="69">
          <cell r="A69" t="str">
            <v>LAMPIRAN 4a PENAWARAN</v>
          </cell>
        </row>
      </sheetData>
      <sheetData sheetId="572">
        <row r="69">
          <cell r="A69" t="str">
            <v>LAMPIRAN 4a PENAWARAN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>
        <row r="69">
          <cell r="A69" t="str">
            <v>LAMPIRAN 4a PENAWARAN</v>
          </cell>
        </row>
      </sheetData>
      <sheetData sheetId="677">
        <row r="69">
          <cell r="A69" t="str">
            <v>LAMPIRAN 4a PENAWARAN</v>
          </cell>
        </row>
      </sheetData>
      <sheetData sheetId="678">
        <row r="69">
          <cell r="A69" t="str">
            <v>LAMPIRAN 4a PENAWARAN</v>
          </cell>
        </row>
      </sheetData>
      <sheetData sheetId="679">
        <row r="69">
          <cell r="A69" t="str">
            <v>LAMPIRAN 4a PENAWARAN</v>
          </cell>
        </row>
      </sheetData>
      <sheetData sheetId="680">
        <row r="69">
          <cell r="A69" t="str">
            <v>LAMPIRAN 4a PENAWARAN</v>
          </cell>
        </row>
      </sheetData>
      <sheetData sheetId="681">
        <row r="69">
          <cell r="A69" t="str">
            <v>LAMPIRAN 4a PENAWARAN</v>
          </cell>
        </row>
      </sheetData>
      <sheetData sheetId="682">
        <row r="69">
          <cell r="A69" t="str">
            <v>LAMPIRAN 4a PENAWARAN</v>
          </cell>
        </row>
      </sheetData>
      <sheetData sheetId="683">
        <row r="69">
          <cell r="A69" t="str">
            <v>LAMPIRAN 4a PENAWARAN</v>
          </cell>
        </row>
      </sheetData>
      <sheetData sheetId="684">
        <row r="69">
          <cell r="A69" t="str">
            <v>LAMPIRAN 4a PENAWARAN</v>
          </cell>
        </row>
      </sheetData>
      <sheetData sheetId="685">
        <row r="69">
          <cell r="A69" t="str">
            <v>LAMPIRAN 4a PENAWARAN</v>
          </cell>
        </row>
      </sheetData>
      <sheetData sheetId="686">
        <row r="69">
          <cell r="A69" t="str">
            <v>LAMPIRAN 4a PENAWARAN</v>
          </cell>
        </row>
      </sheetData>
      <sheetData sheetId="687">
        <row r="69">
          <cell r="A69" t="str">
            <v>LAMPIRAN 4a PENAWARAN</v>
          </cell>
        </row>
      </sheetData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/>
      <sheetData sheetId="794" refreshError="1"/>
      <sheetData sheetId="795" refreshError="1"/>
      <sheetData sheetId="796"/>
      <sheetData sheetId="797"/>
      <sheetData sheetId="798"/>
      <sheetData sheetId="799"/>
      <sheetData sheetId="800"/>
      <sheetData sheetId="801"/>
      <sheetData sheetId="802" refreshError="1"/>
      <sheetData sheetId="803" refreshError="1"/>
      <sheetData sheetId="804"/>
      <sheetData sheetId="805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t-bnt"/>
      <sheetName val="Summary"/>
      <sheetName val="BQ"/>
      <sheetName val="D5"/>
      <sheetName val="D6"/>
      <sheetName val="Harga S Dasar"/>
      <sheetName val="Estimate"/>
      <sheetName val="alat"/>
      <sheetName val="D2"/>
      <sheetName val="D3"/>
      <sheetName val="D4"/>
      <sheetName val="D7"/>
      <sheetName val="D8"/>
      <sheetName val="10.1 (1)"/>
      <sheetName val="10.1 (2)"/>
      <sheetName val="10.1 (3)"/>
      <sheetName val="10.1 (4)"/>
      <sheetName val="10.1 (5)"/>
      <sheetName val="."/>
      <sheetName val="agregat"/>
      <sheetName val="quary"/>
      <sheetName val="D9"/>
      <sheetName val="D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b lt 2 bo"/>
      <sheetName val="bhn_upah"/>
      <sheetName val="RAB 2007"/>
      <sheetName val="HRG BHN"/>
      <sheetName val="KH-Q1,Q2,01"/>
      <sheetName val="DAF-1"/>
      <sheetName val="analisa hor"/>
      <sheetName val="Cover Daf-2"/>
      <sheetName val="BAG-2"/>
      <sheetName val="A"/>
      <sheetName val="hsd"/>
      <sheetName val="sai"/>
      <sheetName val="bau"/>
      <sheetName val="MAPP"/>
      <sheetName val="rek det 1-3"/>
      <sheetName val="WI"/>
      <sheetName val="upah &amp; bhn"/>
      <sheetName val="daf-3(OK)"/>
      <sheetName val="daf-7(OK)"/>
      <sheetName val="s_v13"/>
      <sheetName val="s_v14"/>
      <sheetName val="s_v16"/>
      <sheetName val="Breakdown"/>
      <sheetName val="TOWN"/>
      <sheetName val="Kuantitas _ Harga"/>
      <sheetName val="Rincian"/>
      <sheetName val="Peralatan (2)"/>
      <sheetName val="DAF.H.SATUAN"/>
      <sheetName val="H.Satuan"/>
      <sheetName val="BOQ"/>
      <sheetName val="D2(1)"/>
      <sheetName val="Urai _Resap pengikat"/>
      <sheetName val="FAK"/>
      <sheetName val="001"/>
      <sheetName val="Basic"/>
      <sheetName val="BAHAN"/>
      <sheetName val="PEMBESIAN BALOK tukang (2)"/>
      <sheetName val="Cover"/>
      <sheetName val="ganda"/>
      <sheetName val="Analisa"/>
      <sheetName val="A-B (2)"/>
      <sheetName val="C-D (2)"/>
      <sheetName val="E-G (2)"/>
      <sheetName val="H-K (2)"/>
      <sheetName val="LEMBAR4"/>
      <sheetName val="UP_an"/>
      <sheetName val="3-DIV2"/>
      <sheetName val="data"/>
      <sheetName val="5-ALAT(1)"/>
      <sheetName val="4-Basic Price"/>
      <sheetName val="K-4"/>
      <sheetName val="Kuantitas &amp; Harga"/>
      <sheetName val="alat"/>
      <sheetName val="Daftar Alat"/>
      <sheetName val="Daftar Bahan"/>
      <sheetName val="Daftar Upah"/>
      <sheetName val="Progress"/>
      <sheetName val="AC-BC"/>
      <sheetName val="lev"/>
      <sheetName val="add.wc"/>
      <sheetName val="Agregat ABC"/>
      <sheetName val="UPAH_PERALATAN_BAHAN"/>
      <sheetName val="REKAP ANL. SATUAN PEK."/>
      <sheetName val="2.1"/>
      <sheetName val="6.3(6)tkt"/>
      <sheetName val="analis"/>
      <sheetName val="hrg stn"/>
      <sheetName val="Pekerjaan Utama"/>
      <sheetName val="SAT-DAS"/>
      <sheetName val="Analisa (ok punya)"/>
      <sheetName val="Bag_1"/>
      <sheetName val="DAFTAR 7"/>
      <sheetName val="DAF_1"/>
      <sheetName val="DAFTAR_8"/>
      <sheetName val="HARGA ALAT"/>
      <sheetName val="Bahan "/>
      <sheetName val="Upah"/>
      <sheetName val="Pekerjaan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dukan "/>
      <sheetName val="Hrg Dsr"/>
      <sheetName val="AHS_ars"/>
      <sheetName val="Item2"/>
      <sheetName val="Gorong-2"/>
      <sheetName val="Alat DC"/>
      <sheetName val="H.Satuan"/>
      <sheetName val="BQ diva"/>
      <sheetName val="Item3"/>
      <sheetName val="Item4"/>
      <sheetName val="Item5"/>
      <sheetName val="Item6"/>
      <sheetName val="Item7"/>
      <sheetName val="Item8"/>
      <sheetName val="Item9"/>
      <sheetName val="DC"/>
      <sheetName val="camp"/>
      <sheetName val="Pas-batu"/>
      <sheetName val="H_Satuan"/>
      <sheetName val="HarSat"/>
      <sheetName val="Lamp-4 Sat-Das"/>
      <sheetName val="Lamp-4 Anali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nawaran"/>
      <sheetName val="rekap"/>
      <sheetName val="rab1"/>
      <sheetName val="upahbahan"/>
      <sheetName val="metode"/>
      <sheetName val="analisa"/>
      <sheetName val="anal-alat"/>
      <sheetName val="scedule"/>
      <sheetName val="Sheet1"/>
      <sheetName val="pemb.utama"/>
      <sheetName val="kontrakterseleksi"/>
      <sheetName val="simak"/>
      <sheetName val="subkon"/>
      <sheetName val="lamp.13"/>
      <sheetName val="satjadi"/>
      <sheetName val="rab"/>
      <sheetName val="Sheet4"/>
      <sheetName val="timescedule"/>
      <sheetName val="skema"/>
      <sheetName val="usulanalat"/>
      <sheetName val="usulanstafinti"/>
      <sheetName val="dataadm"/>
      <sheetName val="isian kua."/>
      <sheetName val="Lan.hukum"/>
      <sheetName val="neraca"/>
      <sheetName val="personalia"/>
      <sheetName val="dataperalatan"/>
      <sheetName val="datapengalaman"/>
      <sheetName val="SKN"/>
      <sheetName val="CAVER"/>
      <sheetName val="OUTPUT"/>
      <sheetName val="Sheet2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gregat Halus &amp; Kasar"/>
      <sheetName val="Agregat Kelas A"/>
      <sheetName val="Agregat Kelas B"/>
      <sheetName val="Agregat Kelas C"/>
    </sheetNames>
    <sheetDataSet>
      <sheetData sheetId="0"/>
      <sheetData sheetId="1"/>
      <sheetData sheetId="2"/>
      <sheetData sheetId="3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B"/>
      <sheetName val="ANALISA"/>
      <sheetName val="HARG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ume"/>
      <sheetName val="Bangunan Utama"/>
      <sheetName val="Kolam Renang"/>
      <sheetName val="rekap"/>
      <sheetName val="Harga Satuan"/>
      <sheetName val="Bangunan Pengurangan"/>
      <sheetName val="ANALISA"/>
      <sheetName val="Sheet2"/>
      <sheetName val="Sheet3"/>
      <sheetName val="4-Basic Price"/>
      <sheetName val="BQ-E20-02(Rp)"/>
      <sheetName val="Man Power"/>
      <sheetName val="FINISHING"/>
      <sheetName val="Cover"/>
      <sheetName val="rab"/>
      <sheetName val="Material"/>
      <sheetName val="Sheet1"/>
      <sheetName val="BQ_E20_02_Rp_"/>
      <sheetName val="P01-1"/>
      <sheetName val="Bangunan_Utama"/>
      <sheetName val="Kolam_Renang"/>
      <sheetName val="Harga_Satuan"/>
      <sheetName val="Bangunan_Pengurangan"/>
      <sheetName val="upah_borong"/>
      <sheetName val="satuan_pek"/>
      <sheetName val="bau"/>
      <sheetName val="MAPP"/>
      <sheetName val="rek det 1-3"/>
      <sheetName val="UPAH"/>
      <sheetName val="Quantity"/>
      <sheetName val="sai"/>
      <sheetName val="hsd"/>
      <sheetName val="help"/>
      <sheetName val="bahan "/>
      <sheetName val="Jembatan I"/>
      <sheetName val="H.Satuan"/>
      <sheetName val="Harga bahan"/>
      <sheetName val="OH"/>
      <sheetName val="Harga"/>
      <sheetName val="PASAR+ TERMINAL"/>
      <sheetName val="AC"/>
      <sheetName val="bahan"/>
      <sheetName val="arab"/>
      <sheetName val="SAA"/>
      <sheetName val="B000(Steel)"/>
      <sheetName val="2000_080401"/>
      <sheetName val="Kuantitas &amp; Harga"/>
      <sheetName val="Pekerjaan Utama"/>
      <sheetName val="harsat"/>
      <sheetName val="AKUN"/>
      <sheetName val="daf-3(OK)"/>
      <sheetName val="daf-7(OK)"/>
      <sheetName val="TOWN"/>
      <sheetName val="rincian per proyek"/>
      <sheetName val="villa"/>
      <sheetName val="Ag Hls &amp; Ksr"/>
      <sheetName val="U&amp;B"/>
      <sheetName val="RPP01-1"/>
      <sheetName val="Hrg Bhn &amp; Upah"/>
      <sheetName val="analisa_gedung"/>
      <sheetName val="AN-PIPA"/>
      <sheetName val="Agregat Halus &amp; Kasar"/>
      <sheetName val="HB"/>
      <sheetName val="AN-KABEL"/>
      <sheetName val="DAFTAR HARGA"/>
      <sheetName val="AHSrutin"/>
      <sheetName val="Analisa Alat Berat"/>
      <sheetName val="bahan (2)"/>
      <sheetName val="HARGA ALAT"/>
      <sheetName val="ARS"/>
      <sheetName val="BQ-E20-02 (USD)"/>
      <sheetName val="HARSAT_BAH"/>
      <sheetName val="Plumbing"/>
      <sheetName val="daf_3_OK_"/>
      <sheetName val="daf_7_OK_"/>
      <sheetName val="Daftar Upah"/>
      <sheetName val="B.U.A"/>
      <sheetName val="Div-6"/>
      <sheetName val="Div-5"/>
      <sheetName val="Div1"/>
      <sheetName val="Div2"/>
      <sheetName val="Div-7"/>
      <sheetName val="Div-4"/>
      <sheetName val="Div-8"/>
      <sheetName val="INDEX"/>
      <sheetName val="Rupa2"/>
      <sheetName val="Analisa pek. pas &amp; beton"/>
      <sheetName val="Analisa pek. galian"/>
      <sheetName val="Analisa pek. pas atap"/>
      <sheetName val="DHU&amp;B"/>
      <sheetName val="Dasar2"/>
      <sheetName val="SAT. PEK"/>
      <sheetName val="Mat.Mek"/>
      <sheetName val="Mat.Elk"/>
      <sheetName val="BIAYA"/>
      <sheetName val="rekap bul"/>
      <sheetName val="Harga Dasar"/>
      <sheetName val="DASAR"/>
      <sheetName val="struktur tdk dipakai"/>
      <sheetName val="DafBhn+up"/>
      <sheetName val="AnlAlt2b"/>
      <sheetName val="bahan plengkap"/>
      <sheetName val="Daf. Kuantitas"/>
      <sheetName val="H_Satuan"/>
      <sheetName val="Jim House ref1"/>
      <sheetName val="8LT 12"/>
      <sheetName val="_bhn_uph"/>
      <sheetName val="Rev0"/>
      <sheetName val="AHS"/>
      <sheetName val="bhn,upah,alat"/>
      <sheetName val="Ans Kom Precast"/>
      <sheetName val="AHS ARS"/>
      <sheetName val="DAF-BAHAN"/>
      <sheetName val="DAF-UPAH"/>
      <sheetName val="bahan upah"/>
      <sheetName val=""/>
      <sheetName val="D7"/>
      <sheetName val="ALAMAT"/>
      <sheetName val="INFO"/>
      <sheetName val="ANA.SAT"/>
      <sheetName val="Baru"/>
      <sheetName val="H Satuan Dasar"/>
      <sheetName val="Har-sat"/>
      <sheetName val="check"/>
      <sheetName val="DAFTAR HARGA SATUAN MATERIAL"/>
      <sheetName val="Analisa STR"/>
      <sheetName val="ANALISA PEK.UMUM"/>
      <sheetName val="ANALISA KONST BTN"/>
      <sheetName val="bhn_upah"/>
      <sheetName val="3-DIV2"/>
      <sheetName val="Bhn"/>
      <sheetName val="ANA-TOOLS-KKA"/>
      <sheetName val="MC-00"/>
      <sheetName val="HS-DASAR"/>
      <sheetName val="upah bahan"/>
      <sheetName val="5-ALAT(1)"/>
      <sheetName val="railing"/>
      <sheetName val="MGG3"/>
      <sheetName val="BOQ"/>
      <sheetName val="841"/>
      <sheetName val="311"/>
      <sheetName val="715"/>
      <sheetName val="811"/>
      <sheetName val="Data"/>
      <sheetName val="Div.7.7.2"/>
      <sheetName val="NP"/>
      <sheetName val="DAFT_HARG_SAT_PEK.KD"/>
      <sheetName val="Plumbing &amp; Fire"/>
      <sheetName val="HargAlat-Upah"/>
      <sheetName val="Rinc. Harg.BHN"/>
      <sheetName val="B.1"/>
      <sheetName val="B.10"/>
      <sheetName val="B.11"/>
      <sheetName val="B.12"/>
      <sheetName val="B.13"/>
      <sheetName val="B.14"/>
      <sheetName val="B.15"/>
      <sheetName val="B.16"/>
      <sheetName val="B.17"/>
      <sheetName val="B.18"/>
      <sheetName val="B.2"/>
      <sheetName val="B.20"/>
      <sheetName val="B.21"/>
      <sheetName val="B.22"/>
      <sheetName val="B.23"/>
      <sheetName val="B.24"/>
      <sheetName val="B.25"/>
      <sheetName val="B.26"/>
      <sheetName val="B.28"/>
      <sheetName val="B.29"/>
      <sheetName val="B.3"/>
      <sheetName val="B.30"/>
      <sheetName val="B.4"/>
      <sheetName val="B.5"/>
      <sheetName val="B.6"/>
      <sheetName val="B.7"/>
      <sheetName val="B.8"/>
      <sheetName val="Rekap Anl.SNI"/>
      <sheetName val="Agregat ABC"/>
      <sheetName val="Peralatan"/>
      <sheetName val="Analisa Quarry"/>
      <sheetName val="NP-10"/>
      <sheetName val="NP-6"/>
      <sheetName val="NP-7"/>
      <sheetName val="NP-8"/>
      <sheetName val="HSLAIN-LAIN"/>
      <sheetName val="Anal"/>
      <sheetName val="Summary IP"/>
      <sheetName val="HS Alat"/>
      <sheetName val="HS Upah"/>
      <sheetName val="HS Bahan"/>
      <sheetName val="Metode"/>
      <sheetName val="BAG-2"/>
      <sheetName val="BAG_2"/>
      <sheetName val="SPK"/>
      <sheetName val="Unit Rate"/>
      <sheetName val="Galian 1"/>
      <sheetName val="SUBRKP ARS"/>
      <sheetName val="SUB REKAP ME"/>
      <sheetName val="RKK-01"/>
      <sheetName val="Currency"/>
      <sheetName val="Up &amp; bhn"/>
      <sheetName val="Str"/>
      <sheetName val="HRG BHN"/>
      <sheetName val="BTL-Persiapan"/>
      <sheetName val="BTL-Bau"/>
      <sheetName val="BTL-alat"/>
      <sheetName val="BTL-Rupa"/>
      <sheetName val="Anls"/>
      <sheetName val="ALT"/>
      <sheetName val="SUB"/>
      <sheetName val="UPH"/>
      <sheetName val="struktur"/>
      <sheetName val="GL_Account"/>
      <sheetName val="Analisa HSP"/>
      <sheetName val="MAP"/>
      <sheetName val="DivVII"/>
      <sheetName val="B"/>
      <sheetName val="AN 2"/>
      <sheetName val="AN 4"/>
      <sheetName val="AN 1"/>
      <sheetName val="AN 3"/>
      <sheetName val="besi"/>
      <sheetName val="LUMP SUM"/>
      <sheetName val="HG-UPAH"/>
      <sheetName val="SATUAN_JADI"/>
      <sheetName val="chemcal"/>
      <sheetName val="Hrg Upah &amp; Bhn"/>
      <sheetName val="BBM-03"/>
      <sheetName val="UBA"/>
      <sheetName val="Daftar Customer"/>
      <sheetName val="Equity"/>
      <sheetName val="Basic Price"/>
      <sheetName val="schedule"/>
      <sheetName val="rESUME hDS"/>
      <sheetName val="Analisa Alat"/>
      <sheetName val="Anl_Q"/>
      <sheetName val="DHS"/>
      <sheetName val="5-Peralatan"/>
      <sheetName val="3-DIV4"/>
      <sheetName val="6"/>
      <sheetName val="RAB 2007"/>
      <sheetName val="MT_an"/>
      <sheetName val="U. div 2"/>
      <sheetName val="Master Edit"/>
      <sheetName val="%"/>
      <sheetName val="cal borepile"/>
      <sheetName val="UP_an"/>
      <sheetName val="Analisa Bore File"/>
      <sheetName val="hrg dasar"/>
      <sheetName val="D7(1)"/>
      <sheetName val="CH"/>
      <sheetName val="Kuantitas _ Harga"/>
      <sheetName val="Rekap Biaya"/>
      <sheetName val="RAP"/>
      <sheetName val="SK"/>
      <sheetName val="Tunduk Panitia"/>
      <sheetName val="Bangunan_Utama1"/>
      <sheetName val="Kolam_Renang1"/>
      <sheetName val="Harga_Satuan1"/>
      <sheetName val="Bangunan_Pengurangan1"/>
      <sheetName val="rek_det_1-3"/>
      <sheetName val="bahan_"/>
      <sheetName val="Jembatan_I"/>
      <sheetName val="Harga_bahan"/>
      <sheetName val="PASAR+_TERMINAL"/>
      <sheetName val="Bangunan_Utama2"/>
      <sheetName val="Kolam_Renang2"/>
      <sheetName val="Harga_Satuan2"/>
      <sheetName val="Bangunan_Pengurangan2"/>
      <sheetName val="rek_det_1-31"/>
      <sheetName val="bahan_1"/>
      <sheetName val="Jembatan_I1"/>
      <sheetName val="H_Satuan1"/>
      <sheetName val="Harga_bahan1"/>
      <sheetName val="PASAR+_TERMINAL1"/>
      <sheetName val="Analisa (ok punya)"/>
      <sheetName val="SAT-DAS"/>
      <sheetName val="AHS BC"/>
      <sheetName val="AHS BS"/>
      <sheetName val="AHS JBC"/>
      <sheetName val="AHS TP"/>
      <sheetName val="AHS TuP"/>
      <sheetName val="AHS TYN"/>
      <sheetName val="AHS TYP"/>
      <sheetName val="pricing BC"/>
      <sheetName val="pricing BS"/>
      <sheetName val="pricing JBC"/>
      <sheetName val="pricing TP"/>
      <sheetName val="pricing TuP"/>
      <sheetName val="pricing TYN"/>
      <sheetName val="pricing TYP"/>
      <sheetName val="Bend Citarum"/>
      <sheetName val="Bend Sempol"/>
      <sheetName val="Jembatan Box Culvert"/>
      <sheetName val="Tukad Punggawa"/>
      <sheetName val="Tukad Pakerisan"/>
      <sheetName val="Tukad Yeh Ning"/>
      <sheetName val="Tukad Yeh Pulet"/>
      <sheetName val="Daftar Sewa"/>
      <sheetName val="Peralatan (2)"/>
      <sheetName val="L2MO(1)"/>
      <sheetName val="Analisa (2)"/>
      <sheetName val="Brdw"/>
      <sheetName val="Daf_Harga"/>
      <sheetName val="PNT"/>
      <sheetName val="dasboard"/>
      <sheetName val="Alat_k3"/>
      <sheetName val="bahan dan upah"/>
      <sheetName val="2.3(2) Gor"/>
      <sheetName val="8.4.2 Rambu"/>
      <sheetName val="Rekap "/>
      <sheetName val="AKP-1"/>
      <sheetName val="Daftar_Upah"/>
      <sheetName val="Harga_Dasar"/>
      <sheetName val="B_U_A"/>
      <sheetName val="Kuantitas_&amp;_Harga"/>
      <sheetName val="Pekerjaan_Utama"/>
      <sheetName val="rincian_per_proyek"/>
      <sheetName val="Ag_Hls_&amp;_Ksr"/>
      <sheetName val="Hrg_Bhn_&amp;_Upah"/>
      <sheetName val="4-Basic_Price"/>
      <sheetName val="Daftar_Upah1"/>
      <sheetName val="Harga_Dasar1"/>
      <sheetName val="B_U_A1"/>
      <sheetName val="Kuantitas_&amp;_Harga1"/>
      <sheetName val="Pekerjaan_Utama1"/>
      <sheetName val="rincian_per_proyek1"/>
      <sheetName val="Ag_Hls_&amp;_Ksr1"/>
      <sheetName val="Hrg_Bhn_&amp;_Upah1"/>
      <sheetName val="4-Basic_Price1"/>
      <sheetName val="Bangunan_Utama3"/>
      <sheetName val="Kolam_Renang3"/>
      <sheetName val="Harga_Satuan3"/>
      <sheetName val="Bangunan_Pengurangan3"/>
      <sheetName val="bahan_2"/>
      <sheetName val="Jembatan_I2"/>
      <sheetName val="H_Satuan2"/>
      <sheetName val="Daftar_Upah2"/>
      <sheetName val="Harga_Dasar2"/>
      <sheetName val="B_U_A2"/>
      <sheetName val="rek_det_1-32"/>
      <sheetName val="Kuantitas_&amp;_Harga2"/>
      <sheetName val="Pekerjaan_Utama2"/>
      <sheetName val="rincian_per_proyek2"/>
      <sheetName val="Ag_Hls_&amp;_Ksr2"/>
      <sheetName val="Hrg_Bhn_&amp;_Upah2"/>
      <sheetName val="4-Basic_Price2"/>
      <sheetName val="Bangunan_Utama4"/>
      <sheetName val="Kolam_Renang4"/>
      <sheetName val="Harga_Satuan4"/>
      <sheetName val="Bangunan_Pengurangan4"/>
      <sheetName val="bahan_3"/>
      <sheetName val="Jembatan_I3"/>
      <sheetName val="H_Satuan3"/>
      <sheetName val="Daftar_Upah3"/>
      <sheetName val="Harga_Dasar3"/>
      <sheetName val="B_U_A3"/>
      <sheetName val="rek_det_1-33"/>
      <sheetName val="Kuantitas_&amp;_Harga3"/>
      <sheetName val="Pekerjaan_Utama3"/>
      <sheetName val="rincian_per_proyek3"/>
      <sheetName val="Ag_Hls_&amp;_Ksr3"/>
      <sheetName val="Hrg_Bhn_&amp;_Upah3"/>
      <sheetName val="4-Basic_Price3"/>
      <sheetName val="Bangunan_Utama5"/>
      <sheetName val="Kolam_Renang5"/>
      <sheetName val="Harga_Satuan5"/>
      <sheetName val="Bangunan_Pengurangan5"/>
      <sheetName val="bahan_4"/>
      <sheetName val="Jembatan_I4"/>
      <sheetName val="H_Satuan4"/>
      <sheetName val="Daftar_Upah4"/>
      <sheetName val="Harga_Dasar4"/>
      <sheetName val="B_U_A4"/>
      <sheetName val="rek_det_1-34"/>
      <sheetName val="Kuantitas_&amp;_Harga4"/>
      <sheetName val="Pekerjaan_Utama4"/>
      <sheetName val="rincian_per_proyek4"/>
      <sheetName val="Ag_Hls_&amp;_Ksr4"/>
      <sheetName val="Hrg_Bhn_&amp;_Upah4"/>
      <sheetName val="4-Basic_Price4"/>
      <sheetName val="Bangunan_Utama6"/>
      <sheetName val="Kolam_Renang6"/>
      <sheetName val="Harga_Satuan6"/>
      <sheetName val="Bangunan_Pengurangan6"/>
      <sheetName val="bahan_5"/>
      <sheetName val="Jembatan_I5"/>
      <sheetName val="H_Satuan5"/>
      <sheetName val="Daftar_Upah5"/>
      <sheetName val="Harga_Dasar5"/>
      <sheetName val="B_U_A5"/>
      <sheetName val="rek_det_1-35"/>
      <sheetName val="Kuantitas_&amp;_Harga5"/>
      <sheetName val="Pekerjaan_Utama5"/>
      <sheetName val="rincian_per_proyek5"/>
      <sheetName val="Ag_Hls_&amp;_Ksr5"/>
      <sheetName val="Hrg_Bhn_&amp;_Upah5"/>
      <sheetName val="4-Basic_Price5"/>
      <sheetName val="Bangunan_Utama7"/>
      <sheetName val="Kolam_Renang7"/>
      <sheetName val="Harga_Satuan7"/>
      <sheetName val="Bangunan_Pengurangan7"/>
      <sheetName val="bahan_6"/>
      <sheetName val="Jembatan_I6"/>
      <sheetName val="H_Satuan6"/>
      <sheetName val="Daftar_Upah6"/>
      <sheetName val="Harga_Dasar6"/>
      <sheetName val="B_U_A6"/>
      <sheetName val="rek_det_1-36"/>
      <sheetName val="Kuantitas_&amp;_Harga6"/>
      <sheetName val="Pekerjaan_Utama6"/>
      <sheetName val="rincian_per_proyek6"/>
      <sheetName val="Ag_Hls_&amp;_Ksr6"/>
      <sheetName val="Hrg_Bhn_&amp;_Upah6"/>
      <sheetName val="4-Basic_Price6"/>
      <sheetName val="Bangunan_Utama8"/>
      <sheetName val="Kolam_Renang8"/>
      <sheetName val="Harga_Satuan8"/>
      <sheetName val="Bangunan_Pengurangan8"/>
      <sheetName val="bahan_7"/>
      <sheetName val="Jembatan_I7"/>
      <sheetName val="H_Satuan7"/>
      <sheetName val="Daftar_Upah7"/>
      <sheetName val="Harga_Dasar7"/>
      <sheetName val="B_U_A7"/>
      <sheetName val="rek_det_1-37"/>
      <sheetName val="Kuantitas_&amp;_Harga7"/>
      <sheetName val="Pekerjaan_Utama7"/>
      <sheetName val="rincian_per_proyek7"/>
      <sheetName val="Ag_Hls_&amp;_Ksr7"/>
      <sheetName val="Hrg_Bhn_&amp;_Upah7"/>
      <sheetName val="4-Basic_Price7"/>
      <sheetName val="Bangunan_Utama9"/>
      <sheetName val="Kolam_Renang9"/>
      <sheetName val="Harga_Satuan9"/>
      <sheetName val="Bangunan_Pengurangan9"/>
      <sheetName val="bahan_8"/>
      <sheetName val="Jembatan_I8"/>
      <sheetName val="H_Satuan8"/>
      <sheetName val="Daftar_Upah8"/>
      <sheetName val="Harga_Dasar8"/>
      <sheetName val="B_U_A8"/>
      <sheetName val="rek_det_1-38"/>
      <sheetName val="Kuantitas_&amp;_Harga8"/>
      <sheetName val="Pekerjaan_Utama8"/>
      <sheetName val="rincian_per_proyek8"/>
      <sheetName val="Ag_Hls_&amp;_Ksr8"/>
      <sheetName val="Hrg_Bhn_&amp;_Upah8"/>
      <sheetName val="4-Basic_Price8"/>
      <sheetName val="alat"/>
      <sheetName val="BL"/>
      <sheetName val="FINAL"/>
      <sheetName val="RESUME"/>
      <sheetName val="DAPRO"/>
      <sheetName val="SBDY"/>
      <sheetName val="DSDY"/>
      <sheetName val="LAM-22"/>
      <sheetName val="HrgUpahBahan"/>
      <sheetName val="1.Rekap RAB"/>
      <sheetName val="HarAlat"/>
      <sheetName val="HSPK"/>
      <sheetName val="DB"/>
      <sheetName val="Penwrn"/>
      <sheetName val="Data Input"/>
      <sheetName val="KD (K)"/>
      <sheetName val="Isian 3"/>
      <sheetName val="Data Rumus"/>
      <sheetName val="BEDAH"/>
      <sheetName val="LS-Rutin"/>
      <sheetName val="URAIAN "/>
      <sheetName val="HB "/>
      <sheetName val="harga lama"/>
      <sheetName val="BAG-III"/>
      <sheetName val="Alat R"/>
      <sheetName val="Type 54"/>
      <sheetName val="Gd-Alsus"/>
      <sheetName val="Mako SatBrimobda"/>
      <sheetName val="Type 130"/>
      <sheetName val="Master Schedule"/>
      <sheetName val="MPU"/>
      <sheetName val="URAI"/>
      <sheetName val="Bangunan_Utama15"/>
      <sheetName val="Kolam_Renang15"/>
      <sheetName val="Harga_Satuan15"/>
      <sheetName val="Bangunan_Pengurangan15"/>
      <sheetName val="bahan_14"/>
      <sheetName val="Jembatan_I14"/>
      <sheetName val="H_Satuan14"/>
      <sheetName val="rek_det_1-314"/>
      <sheetName val="Kuantitas_&amp;_Harga14"/>
      <sheetName val="Pekerjaan_Utama14"/>
      <sheetName val="rincian_per_proyek14"/>
      <sheetName val="Ag_Hls_&amp;_Ksr14"/>
      <sheetName val="Hrg_Bhn_&amp;_Upah14"/>
      <sheetName val="bahan_(2)14"/>
      <sheetName val="DAFTAR_HARGA14"/>
      <sheetName val="Agregat_Halus_&amp;_Kasar14"/>
      <sheetName val="Analisa_Alat_Berat14"/>
      <sheetName val="HARGA_ALAT14"/>
      <sheetName val="BQ-E20-02_(USD)14"/>
      <sheetName val="rekap_bul14"/>
      <sheetName val="Daftar_Upah14"/>
      <sheetName val="Harga_Dasar14"/>
      <sheetName val="B_U_A14"/>
      <sheetName val="Mat_Mek14"/>
      <sheetName val="Mat_Elk14"/>
      <sheetName val="4-Basic_Price14"/>
      <sheetName val="Man_Power14"/>
      <sheetName val="Harga_bahan14"/>
      <sheetName val="bahan_(2)6"/>
      <sheetName val="DAFTAR_HARGA6"/>
      <sheetName val="Agregat_Halus_&amp;_Kasar6"/>
      <sheetName val="Analisa_Alat_Berat6"/>
      <sheetName val="HARGA_ALAT6"/>
      <sheetName val="BQ-E20-02_(USD)6"/>
      <sheetName val="rekap_bul6"/>
      <sheetName val="Mat_Mek6"/>
      <sheetName val="Mat_Elk6"/>
      <sheetName val="Man_Power6"/>
      <sheetName val="Harga_bahan6"/>
      <sheetName val="bahan_(2)1"/>
      <sheetName val="DAFTAR_HARGA1"/>
      <sheetName val="Agregat_Halus_&amp;_Kasar1"/>
      <sheetName val="Analisa_Alat_Berat1"/>
      <sheetName val="HARGA_ALAT1"/>
      <sheetName val="BQ-E20-02_(USD)1"/>
      <sheetName val="rekap_bul1"/>
      <sheetName val="Mat_Mek1"/>
      <sheetName val="Mat_Elk1"/>
      <sheetName val="Man_Power1"/>
      <sheetName val="bahan_(2)"/>
      <sheetName val="DAFTAR_HARGA"/>
      <sheetName val="Agregat_Halus_&amp;_Kasar"/>
      <sheetName val="Analisa_Alat_Berat"/>
      <sheetName val="HARGA_ALAT"/>
      <sheetName val="BQ-E20-02_(USD)"/>
      <sheetName val="rekap_bul"/>
      <sheetName val="Mat_Mek"/>
      <sheetName val="Mat_Elk"/>
      <sheetName val="Man_Power"/>
      <sheetName val="bahan_(2)4"/>
      <sheetName val="DAFTAR_HARGA4"/>
      <sheetName val="Agregat_Halus_&amp;_Kasar4"/>
      <sheetName val="Analisa_Alat_Berat4"/>
      <sheetName val="HARGA_ALAT4"/>
      <sheetName val="BQ-E20-02_(USD)4"/>
      <sheetName val="rekap_bul4"/>
      <sheetName val="Mat_Mek4"/>
      <sheetName val="Mat_Elk4"/>
      <sheetName val="Man_Power4"/>
      <sheetName val="Harga_bahan4"/>
      <sheetName val="bahan_(2)2"/>
      <sheetName val="DAFTAR_HARGA2"/>
      <sheetName val="Agregat_Halus_&amp;_Kasar2"/>
      <sheetName val="Analisa_Alat_Berat2"/>
      <sheetName val="HARGA_ALAT2"/>
      <sheetName val="BQ-E20-02_(USD)2"/>
      <sheetName val="rekap_bul2"/>
      <sheetName val="Mat_Mek2"/>
      <sheetName val="Mat_Elk2"/>
      <sheetName val="Man_Power2"/>
      <sheetName val="Harga_bahan2"/>
      <sheetName val="bahan_(2)3"/>
      <sheetName val="DAFTAR_HARGA3"/>
      <sheetName val="Agregat_Halus_&amp;_Kasar3"/>
      <sheetName val="Analisa_Alat_Berat3"/>
      <sheetName val="HARGA_ALAT3"/>
      <sheetName val="BQ-E20-02_(USD)3"/>
      <sheetName val="rekap_bul3"/>
      <sheetName val="Mat_Mek3"/>
      <sheetName val="Mat_Elk3"/>
      <sheetName val="Man_Power3"/>
      <sheetName val="Harga_bahan3"/>
      <sheetName val="bahan_(2)5"/>
      <sheetName val="DAFTAR_HARGA5"/>
      <sheetName val="Agregat_Halus_&amp;_Kasar5"/>
      <sheetName val="Analisa_Alat_Berat5"/>
      <sheetName val="HARGA_ALAT5"/>
      <sheetName val="BQ-E20-02_(USD)5"/>
      <sheetName val="rekap_bul5"/>
      <sheetName val="Mat_Mek5"/>
      <sheetName val="Mat_Elk5"/>
      <sheetName val="Man_Power5"/>
      <sheetName val="Harga_bahan5"/>
      <sheetName val="bahan_(2)7"/>
      <sheetName val="DAFTAR_HARGA7"/>
      <sheetName val="Agregat_Halus_&amp;_Kasar7"/>
      <sheetName val="Analisa_Alat_Berat7"/>
      <sheetName val="HARGA_ALAT7"/>
      <sheetName val="BQ-E20-02_(USD)7"/>
      <sheetName val="rekap_bul7"/>
      <sheetName val="Mat_Mek7"/>
      <sheetName val="Mat_Elk7"/>
      <sheetName val="Man_Power7"/>
      <sheetName val="Harga_bahan7"/>
      <sheetName val="bahan_(2)8"/>
      <sheetName val="DAFTAR_HARGA8"/>
      <sheetName val="Agregat_Halus_&amp;_Kasar8"/>
      <sheetName val="Analisa_Alat_Berat8"/>
      <sheetName val="HARGA_ALAT8"/>
      <sheetName val="BQ-E20-02_(USD)8"/>
      <sheetName val="rekap_bul8"/>
      <sheetName val="Mat_Mek8"/>
      <sheetName val="Mat_Elk8"/>
      <sheetName val="Man_Power8"/>
      <sheetName val="Harga_bahan8"/>
      <sheetName val="Bangunan_Utama10"/>
      <sheetName val="Kolam_Renang10"/>
      <sheetName val="Harga_Satuan10"/>
      <sheetName val="Bangunan_Pengurangan10"/>
      <sheetName val="bahan_9"/>
      <sheetName val="Jembatan_I9"/>
      <sheetName val="H_Satuan9"/>
      <sheetName val="rek_det_1-39"/>
      <sheetName val="Kuantitas_&amp;_Harga9"/>
      <sheetName val="Pekerjaan_Utama9"/>
      <sheetName val="rincian_per_proyek9"/>
      <sheetName val="air gumba"/>
      <sheetName val="UpahBahan"/>
      <sheetName val="pem B E S I an"/>
      <sheetName val="PRD 01-05 ( PERSIAPAN )"/>
      <sheetName val="PRD 01 - 123 "/>
      <sheetName val="Dash"/>
      <sheetName val="h.sat-bbm"/>
      <sheetName val="ANAL-SEC II"/>
      <sheetName val="ANAL-SEC III"/>
      <sheetName val="ahs1"/>
      <sheetName val="ahs3"/>
      <sheetName val="HARGA MATERIAL"/>
      <sheetName val="AGG A"/>
      <sheetName val="AGG B"/>
      <sheetName val="DAFTAR BAHAN"/>
      <sheetName val="ATBL"/>
      <sheetName val="DAFTAR ALAT"/>
      <sheetName val="MARKA"/>
      <sheetName val="PAS. BATU"/>
      <sheetName val="PRIME COAT"/>
      <sheetName val="URUKAN"/>
      <sheetName val="Ur.Agregat"/>
      <sheetName val="Anl-Mobil(14)"/>
      <sheetName val="Anl.Ls(15)"/>
      <sheetName val="Anl-II"/>
      <sheetName val="Anl(7a)"/>
      <sheetName val="Umum"/>
      <sheetName val="HSD (8)"/>
      <sheetName val="kas"/>
      <sheetName val="divI"/>
    </sheetNames>
    <sheetDataSet>
      <sheetData sheetId="0" refreshError="1"/>
      <sheetData sheetId="1" refreshError="1">
        <row r="17">
          <cell r="AL17">
            <v>1.0529999999999999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/>
      <sheetData sheetId="473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"/>
      <sheetName val="Daftar"/>
      <sheetName val="SRT"/>
      <sheetName val="Sipil"/>
      <sheetName val="Rkp"/>
      <sheetName val="BOQ"/>
      <sheetName val="Ana"/>
      <sheetName val="SDY"/>
      <sheetName val="Meto"/>
      <sheetName val="Mos"/>
      <sheetName val="Lamp 1"/>
      <sheetName val="Lamp.12"/>
      <sheetName val="Lamp.11"/>
      <sheetName val="Sche"/>
      <sheetName val="u_Alat"/>
      <sheetName val="Inti"/>
      <sheetName val="Hitung"/>
      <sheetName val="Agg.A"/>
      <sheetName val="Ana .A"/>
      <sheetName val="Sheet1"/>
      <sheetName val="Alat"/>
      <sheetName val="Staf"/>
      <sheetName val="Meth "/>
      <sheetName val="NP (2)"/>
      <sheetName val="PAD-F"/>
      <sheetName val="Hargamat"/>
      <sheetName val="H-BHN"/>
      <sheetName val="Metod TWR"/>
      <sheetName val="ANSAT K'AYI"/>
      <sheetName val="Rekap"/>
      <sheetName val="Isolasi Luar Dalam"/>
      <sheetName val="Isolasi Luar"/>
      <sheetName val="Resume_Analisa"/>
      <sheetName val="ana_str"/>
      <sheetName val="Harga ME "/>
      <sheetName val="Traf&amp;Genst"/>
      <sheetName val="Rekap Direct Cost"/>
      <sheetName val="Mat"/>
      <sheetName val="main summary"/>
      <sheetName val="Rekap Prelim"/>
      <sheetName val="Hargamaterial"/>
      <sheetName val="Material"/>
      <sheetName val="Lt 1"/>
      <sheetName val="ANALISA"/>
      <sheetName val="BAHAN"/>
      <sheetName val="D4"/>
      <sheetName val="D6"/>
      <sheetName val="D7"/>
      <sheetName val="D8"/>
      <sheetName val="SAT"/>
      <sheetName val="Analisa Upah &amp; Bahan Plum"/>
      <sheetName val="NP"/>
      <sheetName val="41,9&amp;36,3"/>
      <sheetName val="HSBU "/>
      <sheetName val="Upah+Bahan"/>
      <sheetName val="ANALISA HARGA SATUAN"/>
      <sheetName val="UPAH"/>
      <sheetName val="Harga Satuan"/>
      <sheetName val="Anal-1"/>
      <sheetName val="BQ-E20-02(Rp)"/>
      <sheetName val="Ch"/>
      <sheetName val="Perhitungan RAB"/>
      <sheetName val="Analisa Upah _ Bahan Plum"/>
      <sheetName val="Bill of Qty MEP"/>
      <sheetName val="DAFTAR HARGA BAHAN "/>
      <sheetName val="hargaSatuan"/>
      <sheetName val="DAFTAR ANALISA HARGA SATUAN"/>
      <sheetName val="at r pkt"/>
      <sheetName val="Upah Bahan"/>
      <sheetName val="DivVII"/>
      <sheetName val="DUB"/>
      <sheetName val="DU&amp;B"/>
      <sheetName val="Harsat"/>
      <sheetName val="TAB"/>
      <sheetName val="DH"/>
      <sheetName val="4-Basic Price"/>
      <sheetName val="dt"/>
      <sheetName val="SEX"/>
      <sheetName val="FHB"/>
      <sheetName val="Data"/>
      <sheetName val="Data PJ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SPH"/>
      <sheetName val="Bill"/>
      <sheetName val="Daftar Harga Sa"/>
      <sheetName val="MOS"/>
      <sheetName val="Daft_Analisa"/>
      <sheetName val="Analisa 2"/>
      <sheetName val="Mobilisasi"/>
      <sheetName val="Mtd.JK"/>
      <sheetName val="Mtd.JG"/>
      <sheetName val="Plant"/>
      <sheetName val="Ch_List"/>
      <sheetName val="Alat"/>
      <sheetName val="Analat"/>
      <sheetName val="Analat 2"/>
      <sheetName val="Staff Inti"/>
      <sheetName val="Subkon"/>
      <sheetName val="Jadual"/>
      <sheetName val="Summary"/>
      <sheetName val="Harga S Dasar UNTUK IDISI"/>
      <sheetName val="isian"/>
      <sheetName val="peralatan"/>
      <sheetName val="meterial"/>
      <sheetName val="upahtenaga"/>
      <sheetName val="main summary"/>
      <sheetName val="H.Satuan"/>
      <sheetName val="Material"/>
      <sheetName val="HARSAT_BAH"/>
      <sheetName val="Analisa Gabungan"/>
      <sheetName val="Sub"/>
      <sheetName val="Elektronik"/>
      <sheetName val="Plumbing"/>
      <sheetName val="Electrikal"/>
      <sheetName val="Fire Fighting"/>
      <sheetName val="Item Kompensasi"/>
      <sheetName val="input"/>
      <sheetName val="FINISHING"/>
      <sheetName val="D4"/>
      <sheetName val="D6"/>
      <sheetName val="D7"/>
      <sheetName val="D8"/>
      <sheetName val="TANJUNG-CONV"/>
      <sheetName val="Sheet1"/>
      <sheetName val="PERHITUNGAN"/>
      <sheetName val="Daf-Harga"/>
      <sheetName val="Harga ME "/>
      <sheetName val="Analisa BOW"/>
      <sheetName val="ahs1"/>
      <sheetName val="ahs3"/>
      <sheetName val="Bangunan Utama"/>
      <sheetName val="Bahan"/>
      <sheetName val="RAB"/>
      <sheetName val="RAP"/>
      <sheetName val="Analisa Upah &amp; Bahan Plum"/>
      <sheetName val="DAFTAR HARGA"/>
      <sheetName val="Harga Bahan"/>
      <sheetName val="Upah"/>
      <sheetName val="NP"/>
      <sheetName val="CBL"/>
      <sheetName val="HarSat"/>
      <sheetName val="REQDELTA"/>
      <sheetName val="analisa_gedung"/>
      <sheetName val="Pricing"/>
      <sheetName val="hrgsat"/>
      <sheetName val="HARSAT-lain"/>
      <sheetName val="HARSAT-tanah"/>
      <sheetName val="Data"/>
      <sheetName val="PRICE"/>
      <sheetName val="ANALISA PEK.UMUM"/>
      <sheetName val="A"/>
      <sheetName val="16-AC-27JULI"/>
      <sheetName val="REKAP_ARSITEKTUR."/>
      <sheetName val="Analisa Baku ME"/>
      <sheetName val="DIV.1"/>
      <sheetName val="Sat Bah _ Up"/>
      <sheetName val="Daf Bahan"/>
      <sheetName val="Standby Alat"/>
      <sheetName val="AC"/>
      <sheetName val="BQ_E20_02_Rp_"/>
      <sheetName val="HARGA ALAT"/>
      <sheetName val="Daf 1"/>
      <sheetName val="PileCap"/>
      <sheetName val="Elektrikal"/>
      <sheetName val="Harga bahan-1"/>
      <sheetName val="rekap1"/>
      <sheetName val="DETAIL POS 123"/>
      <sheetName val="PAD-F"/>
      <sheetName val="UBA RAB"/>
      <sheetName val="ahas-ins"/>
      <sheetName val="BQ-E20-02(Rp)"/>
      <sheetName val="analisa"/>
      <sheetName val="Master 1.0"/>
      <sheetName val="SEX"/>
      <sheetName val="HARGA MATERIAL"/>
      <sheetName val="BH"/>
      <sheetName val="daf-3(OK)"/>
      <sheetName val="daf-7(OK)"/>
      <sheetName val="Marshal"/>
      <sheetName val="Mekanikal"/>
      <sheetName val="basic"/>
      <sheetName val="Anal-Grout!Back!Water"/>
      <sheetName val="AHSP"/>
      <sheetName val="AHSP'05"/>
      <sheetName val="2008"/>
      <sheetName val="BoQ "/>
      <sheetName val="B.U ARC BANG. UTAMA"/>
      <sheetName val="tuong"/>
      <sheetName val="CV"/>
      <sheetName val="Rekap Prelim"/>
      <sheetName val="Rekap Direct Cost"/>
      <sheetName val="Agregat Halus &amp; Kasar"/>
      <sheetName val="bahan "/>
      <sheetName val="Cover"/>
      <sheetName val="anal"/>
      <sheetName val="영업소실적"/>
      <sheetName val="CH"/>
      <sheetName val="Daftar_Harga_Sa"/>
      <sheetName val="Analisa_2"/>
      <sheetName val="Mtd_JK"/>
      <sheetName val="Mtd_JG"/>
      <sheetName val="Analat_2"/>
      <sheetName val="Staff_Inti"/>
      <sheetName val="Balok L.1"/>
      <sheetName val="bill 3.9"/>
      <sheetName val="RKP PLUMBING"/>
      <sheetName val="Paint Type B"/>
      <sheetName val="sai"/>
      <sheetName val="hsd"/>
      <sheetName val="Volume"/>
      <sheetName val="Spec ME"/>
      <sheetName val="Hrg Upah Bhn"/>
      <sheetName val="SUR-HARGA"/>
      <sheetName val="Analisa pre"/>
      <sheetName val="Analisa Harsat"/>
      <sheetName val="Harga"/>
      <sheetName val="pivot1"/>
      <sheetName val="NP (2)"/>
      <sheetName val="ANALIS ALAT"/>
      <sheetName val="G_SUMMARY"/>
      <sheetName val="BONTANG"/>
      <sheetName val="main_summary"/>
      <sheetName val="Analisa_Upah_&amp;_Bahan_Plum"/>
      <sheetName val="H_Satuan"/>
      <sheetName val="Bangunan_Utama"/>
      <sheetName val="Analisa Upah _ Bahan Plum"/>
      <sheetName val="notasi"/>
      <sheetName val="RAPA"/>
      <sheetName val="vol-pek"/>
      <sheetName val="BOQ+BTL"/>
      <sheetName val="AHS"/>
      <sheetName val="BAHAN &amp; UPAH"/>
      <sheetName val="Eval TW I 2014"/>
      <sheetName val="Prognosa 2014"/>
      <sheetName val="pemasaran2013"/>
      <sheetName val="3. KONTRAK(stu)"/>
      <sheetName val="Hrg"/>
      <sheetName val="Input Data"/>
      <sheetName val="DRUP (ASLI)"/>
      <sheetName val="RAB (OK)"/>
      <sheetName val="Data Masukan"/>
      <sheetName val="Fisik 2012"/>
      <sheetName val="Pek. Persiapan"/>
      <sheetName val="Rekap Anl.K"/>
      <sheetName val="Rekap Anl.SNI"/>
      <sheetName val="@"/>
      <sheetName val="Profil"/>
      <sheetName val="5-ALAT(1)"/>
      <sheetName val="4-Basic Price"/>
      <sheetName val="Currency Rate"/>
      <sheetName val="351BQMCN"/>
      <sheetName val="TE TS FA LAN MATV"/>
      <sheetName val="Form A"/>
      <sheetName val="HargAlat-Upah"/>
      <sheetName val="Rinc. Harg.BHN"/>
      <sheetName val="Schedule"/>
      <sheetName val="Currency"/>
      <sheetName val="absen mekanik&amp;log"/>
      <sheetName val="MC0"/>
      <sheetName val="3-DIV2"/>
      <sheetName val="BQ"/>
      <sheetName val="UPAH BAHAN "/>
      <sheetName val="Harga S Dasar"/>
      <sheetName val="harga lokal"/>
      <sheetName val="PROSEN"/>
      <sheetName val="ANALIS2"/>
      <sheetName val="Komponen"/>
      <sheetName val="K210"/>
      <sheetName val="B_U"/>
      <sheetName val="Harsat Bahan"/>
      <sheetName val="BOQ"/>
      <sheetName val="S_DAYA"/>
      <sheetName val="DAF-1"/>
      <sheetName val="MAP"/>
      <sheetName val="div-8"/>
      <sheetName val="Man_Power_Const"/>
      <sheetName val="HB"/>
      <sheetName val="alat-1"/>
      <sheetName val="harga rob"/>
      <sheetName val="ANL_BETON"/>
      <sheetName val="ANL_BETON (2)"/>
      <sheetName val="BAHAN ME"/>
      <sheetName val="KG BESI &amp; LUAS BKST"/>
      <sheetName val="RAB  ARSITEKTUR"/>
      <sheetName val="RAB ELEKTRIKAL"/>
      <sheetName val="RAB LAIN2"/>
      <sheetName val="RAB MEKANIKAL &amp; PLUMBING"/>
      <sheetName val="RAB  PERSIAPAN"/>
      <sheetName val="RAB STRUKTUR"/>
      <sheetName val="RAB  TANAH DAN PONDASI"/>
      <sheetName val="RAB TEL,DATA&amp;EL SYS"/>
      <sheetName val="SAT_PEK_1"/>
      <sheetName val="SAT_PEK (2)"/>
      <sheetName val="SAT_PEK ME"/>
      <sheetName val="UPAH ME"/>
      <sheetName val="Satuan"/>
      <sheetName val="Harga Satuan"/>
      <sheetName val="Koefisien"/>
      <sheetName val="Menu"/>
      <sheetName val="SAT"/>
      <sheetName val="tidak dipakai 1"/>
      <sheetName val="daf_3_OK_"/>
      <sheetName val="daf_7_OK_"/>
      <sheetName val="SUM"/>
      <sheetName val="S.UPAH"/>
      <sheetName val="ME"/>
      <sheetName val="Analisa_21"/>
      <sheetName val="Daftar_Harga_Sa1"/>
      <sheetName val="Mtd_JK1"/>
      <sheetName val="Mtd_JG1"/>
      <sheetName val="Analat_21"/>
      <sheetName val="Staff_Inti1"/>
      <sheetName val="main_summary1"/>
      <sheetName val="Analisa_22"/>
      <sheetName val="Daftar_Harga_Sa2"/>
      <sheetName val="Mtd_JK2"/>
      <sheetName val="Mtd_JG2"/>
      <sheetName val="Analat_22"/>
      <sheetName val="Staff_Inti2"/>
      <sheetName val="main_summary2"/>
      <sheetName val="IBASE"/>
      <sheetName val="Bill-19"/>
      <sheetName val="sum-bill22"/>
      <sheetName val="AHS_Kusen"/>
      <sheetName val="dasboard"/>
      <sheetName val="harsat&amp;upah"/>
      <sheetName val="TOWN"/>
      <sheetName val="DAF_2"/>
      <sheetName val="Analisa ME"/>
      <sheetName val="Anls"/>
      <sheetName val="Gradasi wc2"/>
      <sheetName val="upah.bahan.alat"/>
      <sheetName val="analisa.K"/>
      <sheetName val="daftarkuantitas"/>
      <sheetName val="Tanggal"/>
      <sheetName val="Analisa Harga Satuan"/>
      <sheetName val="LNPB"/>
      <sheetName val="Pemakaian besi"/>
      <sheetName val="Ind.MP Sch."/>
      <sheetName val="Harga uPAH"/>
      <sheetName val="analis"/>
      <sheetName val="Sat Upah"/>
      <sheetName val="HASAT DASAR"/>
      <sheetName val="ANALISA HARGA SAT."/>
      <sheetName val="time shedule"/>
      <sheetName val="SCHEDULE TENAGA"/>
      <sheetName val="CAPACITY"/>
      <sheetName val="analysis2"/>
      <sheetName val="basic price"/>
      <sheetName val="BQ- Cawang - MRI"/>
      <sheetName val="3-DIV4"/>
      <sheetName val="dasar"/>
      <sheetName val="Meto"/>
      <sheetName val="Rate"/>
      <sheetName val="Harga_ME_"/>
      <sheetName val="Analisa_BOW"/>
      <sheetName val="Analisa_Gabungan"/>
      <sheetName val="Fire_Fighting"/>
      <sheetName val="Item_Kompensasi"/>
      <sheetName val="DAFTAR_HARGA"/>
      <sheetName val="Harga_Bahan"/>
      <sheetName val="Sat_Bah___Up"/>
      <sheetName val="Daf_Bahan"/>
      <sheetName val="Daf_1"/>
      <sheetName val="Harga_bahan-1"/>
      <sheetName val="DETAIL_POS_123"/>
      <sheetName val="UBA_RAB"/>
      <sheetName val="Master_1_0"/>
      <sheetName val="ANALISA_PEK_UMUM"/>
      <sheetName val="HARGA_ALAT"/>
      <sheetName val="REKAP_ARSITEKTUR_"/>
      <sheetName val="Analisa_Baku_ME"/>
      <sheetName val="DIV_1"/>
      <sheetName val="HARGA_MATERIAL"/>
      <sheetName val="DRUP_(ASLI)"/>
      <sheetName val="Balok_L_1"/>
      <sheetName val="B_U_ARC_BANG__UTAMA"/>
      <sheetName val="Bangunan_Utama1"/>
      <sheetName val="H_Satuan1"/>
      <sheetName val="Analisa_Upah_&amp;_Bahan_Plum1"/>
      <sheetName val="Harga_ME_1"/>
      <sheetName val="Analisa_BOW1"/>
      <sheetName val="Analisa_Gabungan1"/>
      <sheetName val="Fire_Fighting1"/>
      <sheetName val="Item_Kompensasi1"/>
      <sheetName val="DAFTAR_HARGA1"/>
      <sheetName val="Harga_Bahan1"/>
      <sheetName val="Sat_Bah___Up1"/>
      <sheetName val="Daf_Bahan1"/>
      <sheetName val="Daf_11"/>
      <sheetName val="Harga_bahan-11"/>
      <sheetName val="DETAIL_POS_1231"/>
      <sheetName val="UBA_RAB1"/>
      <sheetName val="Master_1_01"/>
      <sheetName val="ANALISA_PEK_UMUM1"/>
      <sheetName val="HARGA_ALAT1"/>
      <sheetName val="REKAP_ARSITEKTUR_1"/>
      <sheetName val="Analisa_Baku_ME1"/>
      <sheetName val="DIV_11"/>
      <sheetName val="HARGA_MATERIAL1"/>
      <sheetName val="DRUP_(ASLI)1"/>
      <sheetName val="Balok_L_11"/>
      <sheetName val="B_U_ARC_BANG__UTAMA1"/>
      <sheetName val="Data Alat"/>
      <sheetName val="product"/>
      <sheetName val="Basicprice"/>
      <sheetName val="metode"/>
      <sheetName val="hitungan"/>
      <sheetName val="schalat"/>
      <sheetName val="schman"/>
      <sheetName val="schmat"/>
      <sheetName val="HRG-DASAR"/>
      <sheetName val="Daf Alat"/>
      <sheetName val="RAB THP1"/>
      <sheetName val="schtot"/>
      <sheetName val="dc"/>
      <sheetName val="RAB TOTAL"/>
      <sheetName val="Hardas"/>
      <sheetName val="EXT 23-05-2013"/>
      <sheetName val="POL"/>
      <sheetName val="Div2"/>
      <sheetName val="Master Edit"/>
      <sheetName val="Cash Flow bulanan"/>
      <sheetName val="Prelim"/>
      <sheetName val="Analisa ME "/>
      <sheetName val="Direct Cost"/>
      <sheetName val="ANAL.BOW"/>
      <sheetName val="I-KAMAR"/>
      <sheetName val="SHEET PIE &amp; MINI PILE"/>
      <sheetName val="HARGA ME"/>
      <sheetName val="Lamp.2,3&amp;4"/>
      <sheetName val="ASat"/>
      <sheetName val="STA"/>
      <sheetName val="PCG"/>
      <sheetName val="DSN"/>
      <sheetName val="TPT"/>
      <sheetName val="ANALISA SNI"/>
      <sheetName val="LINE"/>
      <sheetName val="Hargamaterial"/>
      <sheetName val="har-sat"/>
      <sheetName val="Sec I ML"/>
      <sheetName val="upah bahan"/>
      <sheetName val="jln"/>
      <sheetName val="UP_an"/>
      <sheetName val="Beton"/>
      <sheetName val="Aspal (2)"/>
      <sheetName val="Relok-PJU"/>
      <sheetName val="BHN"/>
      <sheetName val="2"/>
      <sheetName val="6"/>
      <sheetName val="Daftar Kuantitas &amp; Harga"/>
      <sheetName val="bahan dan upah"/>
      <sheetName val="Data Info"/>
      <sheetName val="Huruf"/>
      <sheetName val="info"/>
      <sheetName val="Estimate"/>
      <sheetName val="AGG"/>
      <sheetName val="B_6"/>
      <sheetName val="B_7"/>
      <sheetName val="B_8"/>
      <sheetName val="B_9"/>
      <sheetName val="B_10 (4)"/>
      <sheetName val="MT"/>
      <sheetName val="PCI CLG"/>
      <sheetName val="Kuantitas &amp; Harga"/>
      <sheetName val="ANALISA_ALAT_AWAL"/>
      <sheetName val="ANA_ALAT"/>
      <sheetName val="ANA-MATERIAL"/>
      <sheetName val="Analisa Material AWAL"/>
      <sheetName val="BL-RBP"/>
      <sheetName val="Sat_uph"/>
      <sheetName val="DATA1"/>
      <sheetName val="AN-ALAT"/>
      <sheetName val="NP (4)"/>
      <sheetName val="MASTER BAHAN ME"/>
      <sheetName val="LAP. MINGG"/>
      <sheetName val="HSD Bahan"/>
      <sheetName val="Sum IF"/>
      <sheetName val="HSD Upah"/>
      <sheetName val="10.PERPUST"/>
      <sheetName val="11.DEKAN"/>
      <sheetName val="12.MASJID"/>
      <sheetName val="13.ASRAMA"/>
      <sheetName val="2.FAK hutan"/>
      <sheetName val="3.F.TEKKOM"/>
      <sheetName val="4.F.T.PRODI"/>
      <sheetName val="5.F.TARBIYAH"/>
      <sheetName val="6.F.SYARIAH"/>
      <sheetName val="7.F. SASTRA"/>
      <sheetName val="8.PASCASARJANA"/>
      <sheetName val="9.REKTORAT"/>
      <sheetName val="1.FAK DIDIK"/>
      <sheetName val="tigajaya"/>
      <sheetName val="HARGA BAHAN&amp;upah"/>
      <sheetName val="BABY"/>
      <sheetName val="BACK"/>
      <sheetName val="conc-mix"/>
      <sheetName val="HARG-BAHAN"/>
      <sheetName val="ANA bab 6"/>
      <sheetName val="HSD ALAT"/>
      <sheetName val="HSD UPAH "/>
      <sheetName val="SAA"/>
      <sheetName val="Cost Control Utk Perub RAP"/>
      <sheetName val="Sel Dev"/>
      <sheetName val="Proposal"/>
      <sheetName val="RAP Change"/>
      <sheetName val="RAP Sisa"/>
      <sheetName val="RINCIAN HAR06"/>
      <sheetName val="Scedule"/>
      <sheetName val="3"/>
      <sheetName val="10"/>
      <sheetName val="DS_CERMEN"/>
      <sheetName val="KAYANGAN"/>
      <sheetName val="KOPANG"/>
      <sheetName val=" Bahan  oK"/>
      <sheetName val=" Alat  ok"/>
      <sheetName val="Upah   oK"/>
      <sheetName val="Peralatan (2)"/>
      <sheetName val="kurva S"/>
      <sheetName val="BoQ vo"/>
      <sheetName val="1.A"/>
      <sheetName val="1.B."/>
      <sheetName val="1.C"/>
      <sheetName val="2.A"/>
      <sheetName val="3.A"/>
      <sheetName val="3.B"/>
      <sheetName val="4A"/>
      <sheetName val="4.B"/>
      <sheetName val="bhn "/>
      <sheetName val="LS-Rutin"/>
      <sheetName val="FORM X COST"/>
      <sheetName val="ANALIS "/>
      <sheetName val="3-DIV5"/>
      <sheetName val="HARGA DASAR"/>
      <sheetName val="Bu_str"/>
      <sheetName val="PO-2"/>
      <sheetName val="ankoef Beton"/>
      <sheetName val="DAF-2"/>
      <sheetName val="GVL"/>
      <sheetName val="Daftar_Harga_Sa14"/>
      <sheetName val="Analisa_214"/>
      <sheetName val="Mtd_JK14"/>
      <sheetName val="Mtd_JG14"/>
      <sheetName val="Analat_214"/>
      <sheetName val="Staff_Inti14"/>
      <sheetName val="main_summary14"/>
      <sheetName val="H_Satuan14"/>
      <sheetName val="Analisa_Upah_&amp;_Bahan_Plum14"/>
      <sheetName val="Bangunan_Utama14"/>
      <sheetName val="Master_1_014"/>
      <sheetName val="Harga_Bahan14"/>
      <sheetName val="Harga_ME_14"/>
      <sheetName val="Analisa_BOW14"/>
      <sheetName val="Analisa_Gabungan14"/>
      <sheetName val="Fire_Fighting14"/>
      <sheetName val="Item_Kompensasi14"/>
      <sheetName val="DAFTAR_HARGA14"/>
      <sheetName val="Daf_114"/>
      <sheetName val="Harga_bahan-114"/>
      <sheetName val="DETAIL_POS_12314"/>
      <sheetName val="UBA_RAB14"/>
      <sheetName val="HARGA_ALAT14"/>
      <sheetName val="HARGA_MATERIAL14"/>
      <sheetName val="B_U_ARC_BANG__UTAMA14"/>
      <sheetName val="Harga_S_Dasar_UNTUK_IDISI14"/>
      <sheetName val="Daftar_Harga_Sa6"/>
      <sheetName val="Analisa_26"/>
      <sheetName val="Mtd_JK6"/>
      <sheetName val="Mtd_JG6"/>
      <sheetName val="Analat_26"/>
      <sheetName val="Staff_Inti6"/>
      <sheetName val="main_summary6"/>
      <sheetName val="H_Satuan6"/>
      <sheetName val="Analisa_Upah_&amp;_Bahan_Plum6"/>
      <sheetName val="Bangunan_Utama6"/>
      <sheetName val="Master_1_06"/>
      <sheetName val="Harga_Bahan6"/>
      <sheetName val="Harga_ME_6"/>
      <sheetName val="Analisa_BOW6"/>
      <sheetName val="Analisa_Gabungan6"/>
      <sheetName val="Fire_Fighting6"/>
      <sheetName val="Item_Kompensasi6"/>
      <sheetName val="DAFTAR_HARGA6"/>
      <sheetName val="Daf_16"/>
      <sheetName val="Harga_bahan-16"/>
      <sheetName val="DETAIL_POS_1236"/>
      <sheetName val="UBA_RAB6"/>
      <sheetName val="HARGA_ALAT6"/>
      <sheetName val="HARGA_MATERIAL6"/>
      <sheetName val="B_U_ARC_BANG__UTAMA6"/>
      <sheetName val="Harga_S_Dasar_UNTUK_IDISI6"/>
      <sheetName val="Harga_S_Dasar_UNTUK_IDISI1"/>
      <sheetName val="Harga_S_Dasar_UNTUK_IDISI"/>
      <sheetName val="Daftar_Harga_Sa4"/>
      <sheetName val="Analisa_24"/>
      <sheetName val="Mtd_JK4"/>
      <sheetName val="Mtd_JG4"/>
      <sheetName val="Analat_24"/>
      <sheetName val="Staff_Inti4"/>
      <sheetName val="main_summary4"/>
      <sheetName val="H_Satuan4"/>
      <sheetName val="Analisa_Upah_&amp;_Bahan_Plum4"/>
      <sheetName val="Bangunan_Utama4"/>
      <sheetName val="Master_1_04"/>
      <sheetName val="Harga_Bahan4"/>
      <sheetName val="Harga_ME_4"/>
      <sheetName val="Analisa_BOW4"/>
      <sheetName val="Analisa_Gabungan4"/>
      <sheetName val="Fire_Fighting4"/>
      <sheetName val="Item_Kompensasi4"/>
      <sheetName val="DAFTAR_HARGA4"/>
      <sheetName val="Daf_14"/>
      <sheetName val="Harga_bahan-14"/>
      <sheetName val="DETAIL_POS_1234"/>
      <sheetName val="UBA_RAB4"/>
      <sheetName val="HARGA_ALAT4"/>
      <sheetName val="HARGA_MATERIAL4"/>
      <sheetName val="B_U_ARC_BANG__UTAMA4"/>
      <sheetName val="Harga_S_Dasar_UNTUK_IDISI4"/>
      <sheetName val="H_Satuan2"/>
      <sheetName val="Analisa_Upah_&amp;_Bahan_Plum2"/>
      <sheetName val="Bangunan_Utama2"/>
      <sheetName val="Master_1_02"/>
      <sheetName val="Harga_Bahan2"/>
      <sheetName val="Harga_ME_2"/>
      <sheetName val="Analisa_BOW2"/>
      <sheetName val="Analisa_Gabungan2"/>
      <sheetName val="Fire_Fighting2"/>
      <sheetName val="Item_Kompensasi2"/>
      <sheetName val="DAFTAR_HARGA2"/>
      <sheetName val="Daf_12"/>
      <sheetName val="Harga_bahan-12"/>
      <sheetName val="DETAIL_POS_1232"/>
      <sheetName val="UBA_RAB2"/>
      <sheetName val="HARGA_ALAT2"/>
      <sheetName val="HARGA_MATERIAL2"/>
      <sheetName val="B_U_ARC_BANG__UTAMA2"/>
      <sheetName val="Harga_S_Dasar_UNTUK_IDISI2"/>
      <sheetName val="Daftar_Harga_Sa3"/>
      <sheetName val="Analisa_23"/>
      <sheetName val="Mtd_JK3"/>
      <sheetName val="Mtd_JG3"/>
      <sheetName val="Analat_23"/>
      <sheetName val="Staff_Inti3"/>
      <sheetName val="main_summary3"/>
      <sheetName val="H_Satuan3"/>
      <sheetName val="Analisa_Upah_&amp;_Bahan_Plum3"/>
      <sheetName val="Bangunan_Utama3"/>
      <sheetName val="Master_1_03"/>
      <sheetName val="Harga_Bahan3"/>
      <sheetName val="Harga_ME_3"/>
      <sheetName val="Analisa_BOW3"/>
      <sheetName val="Analisa_Gabungan3"/>
      <sheetName val="Fire_Fighting3"/>
      <sheetName val="Item_Kompensasi3"/>
      <sheetName val="DAFTAR_HARGA3"/>
      <sheetName val="Daf_13"/>
      <sheetName val="Harga_bahan-13"/>
      <sheetName val="DETAIL_POS_1233"/>
      <sheetName val="UBA_RAB3"/>
      <sheetName val="HARGA_ALAT3"/>
      <sheetName val="HARGA_MATERIAL3"/>
      <sheetName val="B_U_ARC_BANG__UTAMA3"/>
      <sheetName val="Harga_S_Dasar_UNTUK_IDISI3"/>
      <sheetName val="Daftar_Harga_Sa5"/>
      <sheetName val="Analisa_25"/>
      <sheetName val="Mtd_JK5"/>
      <sheetName val="Mtd_JG5"/>
      <sheetName val="Analat_25"/>
      <sheetName val="Staff_Inti5"/>
      <sheetName val="main_summary5"/>
      <sheetName val="H_Satuan5"/>
      <sheetName val="Analisa_Upah_&amp;_Bahan_Plum5"/>
      <sheetName val="Bangunan_Utama5"/>
      <sheetName val="Master_1_05"/>
      <sheetName val="Harga_Bahan5"/>
      <sheetName val="Harga_ME_5"/>
      <sheetName val="Analisa_BOW5"/>
      <sheetName val="Analisa_Gabungan5"/>
      <sheetName val="Fire_Fighting5"/>
      <sheetName val="Item_Kompensasi5"/>
      <sheetName val="DAFTAR_HARGA5"/>
      <sheetName val="Daf_15"/>
      <sheetName val="Harga_bahan-15"/>
      <sheetName val="DETAIL_POS_1235"/>
      <sheetName val="UBA_RAB5"/>
      <sheetName val="HARGA_ALAT5"/>
      <sheetName val="HARGA_MATERIAL5"/>
      <sheetName val="B_U_ARC_BANG__UTAMA5"/>
      <sheetName val="Harga_S_Dasar_UNTUK_IDISI5"/>
      <sheetName val="Daftar_Harga_Sa7"/>
      <sheetName val="Analisa_27"/>
      <sheetName val="Mtd_JK7"/>
      <sheetName val="Mtd_JG7"/>
      <sheetName val="Analat_27"/>
      <sheetName val="Staff_Inti7"/>
      <sheetName val="main_summary7"/>
      <sheetName val="H_Satuan7"/>
      <sheetName val="Analisa_Upah_&amp;_Bahan_Plum7"/>
      <sheetName val="Bangunan_Utama7"/>
      <sheetName val="Master_1_07"/>
      <sheetName val="Harga_Bahan7"/>
      <sheetName val="Harga_ME_7"/>
      <sheetName val="#REF"/>
      <sheetName val="Daf.Biaya sewa alat"/>
      <sheetName val="Data PJ"/>
      <sheetName val="KH Bahagia"/>
      <sheetName val="TOTAL"/>
      <sheetName val="DAFTAR 7"/>
      <sheetName val="DAFTAR_8"/>
      <sheetName val="HB "/>
      <sheetName val="Analisa_BOW7"/>
      <sheetName val="Analisa_Gabungan7"/>
      <sheetName val="Fire_Fighting7"/>
      <sheetName val="Item_Kompensasi7"/>
      <sheetName val="DAFTAR_HARGA7"/>
      <sheetName val="Daf_17"/>
      <sheetName val="Harga_bahan-17"/>
      <sheetName val="DETAIL_POS_1237"/>
      <sheetName val="UBA_RAB7"/>
      <sheetName val="HARGA_ALAT7"/>
      <sheetName val="HARGA_MATERIAL7"/>
      <sheetName val="B_U_ARC_BANG__UTAMA7"/>
      <sheetName val="Harga_S_Dasar_UNTUK_IDISI7"/>
      <sheetName val="Daftar_Harga_Sa8"/>
      <sheetName val="Analisa_28"/>
      <sheetName val="Mtd_JK8"/>
      <sheetName val="Mtd_JG8"/>
      <sheetName val="Analat_28"/>
      <sheetName val="Staff_Inti8"/>
      <sheetName val="Harga_S_Dasar_UNTUK_IDISI8"/>
      <sheetName val="main_summary8"/>
      <sheetName val="H_Satuan8"/>
      <sheetName val="Analisa_Upah_&amp;_Bahan_Plum8"/>
      <sheetName val="Bangunan_Utama8"/>
      <sheetName val="Master_1_08"/>
      <sheetName val="Harga_Bahan8"/>
      <sheetName val="Harga_ME_8"/>
      <sheetName val="Analisa_BOW8"/>
      <sheetName val="Analisa_Gabungan8"/>
      <sheetName val="Fire_Fighting8"/>
      <sheetName val="Item_Kompensasi8"/>
      <sheetName val="DAFTAR_HARGA8"/>
      <sheetName val="Daf_18"/>
      <sheetName val="Harga_bahan-18"/>
      <sheetName val="DETAIL_POS_1238"/>
      <sheetName val="UBA_RAB8"/>
      <sheetName val="HARGA_ALAT8"/>
      <sheetName val="HARGA_MATERIAL8"/>
      <sheetName val="B_U_ARC_BANG__UTAMA8"/>
      <sheetName val="Daftar_Harga_Sa9"/>
      <sheetName val="Analisa_29"/>
      <sheetName val="Mtd_JK9"/>
      <sheetName val="Mtd_JG9"/>
      <sheetName val="Analat_29"/>
      <sheetName val="Staff_Inti9"/>
      <sheetName val="main_summary9"/>
      <sheetName val="H_Satuan9"/>
      <sheetName val="Analisa_Upah_&amp;_Bahan_Plum9"/>
      <sheetName val="Bangunan_Utama9"/>
      <sheetName val="Master_1_09"/>
      <sheetName val="Harga_Bahan9"/>
      <sheetName val="Harga_ME_9"/>
      <sheetName val="Analisa_BOW9"/>
      <sheetName val="Analisa_Gabungan9"/>
      <sheetName val="Fire_Fighting9"/>
      <sheetName val="Item_Kompensasi9"/>
      <sheetName val="DAFTAR_HARGA9"/>
      <sheetName val="Daf_19"/>
      <sheetName val="Harga_bahan-19"/>
      <sheetName val="DETAIL_POS_1239"/>
      <sheetName val="UBA_RAB9"/>
      <sheetName val="HARGA_ALAT9"/>
      <sheetName val="HARGA_MATERIAL9"/>
      <sheetName val="B_U_ARC_BANG__UTAMA9"/>
      <sheetName val="Harga_S_Dasar_UNTUK_IDISI9"/>
      <sheetName val="Daftar_Harga_Sa10"/>
      <sheetName val="Analisa_210"/>
      <sheetName val="Mtd_JK10"/>
      <sheetName val="Mtd_JG10"/>
      <sheetName val="Analat_210"/>
      <sheetName val="Staff_Inti10"/>
      <sheetName val="main_summary10"/>
      <sheetName val="H_Satuan10"/>
      <sheetName val="Analisa_Upah_&amp;_Bahan_Plum10"/>
      <sheetName val="Bangunan_Utama10"/>
      <sheetName val="Master_1_010"/>
      <sheetName val="Harga_Bahan10"/>
      <sheetName val="Harga_ME_10"/>
      <sheetName val="Analisa_BOW10"/>
      <sheetName val="Analisa_Gabungan10"/>
      <sheetName val="Fire_Fighting10"/>
      <sheetName val="Item_Kompensasi10"/>
      <sheetName val="DAFTAR_HARGA10"/>
      <sheetName val="Daf_110"/>
      <sheetName val="Harga_bahan-110"/>
      <sheetName val="DETAIL_POS_12310"/>
      <sheetName val="UBA_RAB10"/>
      <sheetName val="HARGA_ALAT10"/>
      <sheetName val="HARGA_MATERIAL10"/>
      <sheetName val="B_U_ARC_BANG__UTAMA10"/>
      <sheetName val="Harga_S_Dasar_UNTUK_IDISI10"/>
      <sheetName val="Daftar_Harga_Sa13"/>
      <sheetName val="Analisa_213"/>
      <sheetName val="Mtd_JK13"/>
      <sheetName val="Mtd_JG13"/>
      <sheetName val="Analat_213"/>
      <sheetName val="Staff_Inti13"/>
      <sheetName val="main_summary13"/>
      <sheetName val="H_Satuan13"/>
      <sheetName val="Analisa_Upah_&amp;_Bahan_Plum13"/>
      <sheetName val="Bangunan_Utama13"/>
      <sheetName val="Master_1_013"/>
      <sheetName val="Harga_Bahan13"/>
      <sheetName val="Harga_ME_13"/>
      <sheetName val="Analisa_BOW13"/>
      <sheetName val="Analisa_Gabungan13"/>
      <sheetName val="Fire_Fighting13"/>
      <sheetName val="Item_Kompensasi13"/>
      <sheetName val="DAFTAR_HARGA13"/>
      <sheetName val="Daf_113"/>
      <sheetName val="Harga_bahan-113"/>
      <sheetName val="DETAIL_POS_12313"/>
      <sheetName val="UBA_RAB13"/>
      <sheetName val="HARGA_ALAT13"/>
      <sheetName val="HARGA_MATERIAL13"/>
      <sheetName val="B_U_ARC_BANG__UTAMA13"/>
      <sheetName val="Harga_S_Dasar_UNTUK_IDISI13"/>
      <sheetName val="Daftar_Harga_Sa11"/>
      <sheetName val="Analisa_211"/>
      <sheetName val="Mtd_JK11"/>
      <sheetName val="Mtd_JG11"/>
      <sheetName val="Analat_211"/>
      <sheetName val="Staff_Inti11"/>
      <sheetName val="main_summary11"/>
      <sheetName val="H_Satuan11"/>
      <sheetName val="Analisa_Upah_&amp;_Bahan_Plum11"/>
      <sheetName val="Bangunan_Utama11"/>
      <sheetName val="Master_1_011"/>
      <sheetName val="Harga_Bahan11"/>
      <sheetName val="Harga_ME_11"/>
      <sheetName val="Analisa_BOW11"/>
      <sheetName val="Analisa_Gabungan11"/>
      <sheetName val="Fire_Fighting11"/>
      <sheetName val="Item_Kompensasi11"/>
      <sheetName val="DAFTAR_HARGA11"/>
      <sheetName val="Daf_111"/>
      <sheetName val="Harga_bahan-111"/>
      <sheetName val="DETAIL_POS_12311"/>
      <sheetName val="UBA_RAB11"/>
      <sheetName val="HARGA_ALAT11"/>
      <sheetName val="HARGA_MATERIAL11"/>
      <sheetName val="B_U_ARC_BANG__UTAMA11"/>
      <sheetName val="Harga_S_Dasar_UNTUK_IDISI11"/>
      <sheetName val="Daftar_Harga_Sa12"/>
      <sheetName val="Analisa_212"/>
      <sheetName val="Mtd_JK12"/>
      <sheetName val="Mtd_JG12"/>
      <sheetName val="Analat_212"/>
      <sheetName val="Staff_Inti12"/>
      <sheetName val="main_summary12"/>
      <sheetName val="H_Satuan12"/>
      <sheetName val="Analisa_Upah_&amp;_Bahan_Plum12"/>
      <sheetName val="Bangunan_Utama12"/>
      <sheetName val="Master_1_012"/>
      <sheetName val="Harga_Bahan12"/>
      <sheetName val="Harga_ME_12"/>
      <sheetName val="Analisa_BOW12"/>
      <sheetName val="Analisa_Gabungan12"/>
      <sheetName val="Fire_Fighting12"/>
      <sheetName val="Item_Kompensasi12"/>
      <sheetName val="DAFTAR_HARGA12"/>
      <sheetName val="Daf_112"/>
      <sheetName val="Harga_bahan-112"/>
      <sheetName val="DETAIL_POS_12312"/>
      <sheetName val="UBA_RAB12"/>
      <sheetName val="HARGA_ALAT12"/>
      <sheetName val="HARGA_MATERIAL12"/>
      <sheetName val="B_U_ARC_BANG__UTAMA12"/>
      <sheetName val="Harga_S_Dasar_UNTUK_IDISI12"/>
      <sheetName val="Daftar_Harga_Sa19"/>
      <sheetName val="Analisa_219"/>
      <sheetName val="Mtd_JK19"/>
      <sheetName val="Mtd_JG19"/>
      <sheetName val="Analat_219"/>
      <sheetName val="Staff_Inti19"/>
      <sheetName val="main_summary19"/>
      <sheetName val="H_Satuan19"/>
      <sheetName val="Analisa_Upah_&amp;_Bahan_Plum19"/>
      <sheetName val="Bangunan_Utama19"/>
      <sheetName val="Master_1_019"/>
      <sheetName val="Harga_Bahan19"/>
      <sheetName val="Harga_ME_19"/>
      <sheetName val="Analisa_BOW19"/>
      <sheetName val="Analisa_Gabungan19"/>
      <sheetName val="Fire_Fighting19"/>
      <sheetName val="Item_Kompensasi19"/>
      <sheetName val="DAFTAR_HARGA19"/>
      <sheetName val="Daf_119"/>
      <sheetName val="Harga_bahan-119"/>
      <sheetName val="DETAIL_POS_12319"/>
      <sheetName val="UBA_RAB19"/>
      <sheetName val="HARGA_ALAT19"/>
      <sheetName val="HARGA_MATERIAL19"/>
      <sheetName val="B_U_ARC_BANG__UTAMA19"/>
      <sheetName val="Harga_S_Dasar_UNTUK_IDISI19"/>
      <sheetName val="Daftar_Harga_Sa15"/>
      <sheetName val="Analisa_215"/>
      <sheetName val="Mtd_JK15"/>
      <sheetName val="Mtd_JG15"/>
      <sheetName val="Analat_215"/>
      <sheetName val="Staff_Inti15"/>
      <sheetName val="main_summary15"/>
      <sheetName val="H_Satuan15"/>
      <sheetName val="Analisa_Upah_&amp;_Bahan_Plum15"/>
      <sheetName val="Bangunan_Utama15"/>
      <sheetName val="Master_1_015"/>
      <sheetName val="Harga_Bahan15"/>
      <sheetName val="Harga_ME_15"/>
      <sheetName val="Analisa_BOW15"/>
      <sheetName val="Analisa_Gabungan15"/>
      <sheetName val="Fire_Fighting15"/>
      <sheetName val="Item_Kompensasi15"/>
      <sheetName val="DAFTAR_HARGA15"/>
      <sheetName val="Daf_115"/>
      <sheetName val="Harga_bahan-115"/>
      <sheetName val="DETAIL_POS_12315"/>
      <sheetName val="UBA_RAB15"/>
      <sheetName val="HARGA_ALAT15"/>
      <sheetName val="HARGA_MATERIAL15"/>
      <sheetName val="B_U_ARC_BANG__UTAMA15"/>
      <sheetName val="Harga_S_Dasar_UNTUK_IDISI15"/>
      <sheetName val="Daftar_Harga_Sa16"/>
      <sheetName val="Analisa_216"/>
      <sheetName val="Mtd_JK16"/>
      <sheetName val="Mtd_JG16"/>
      <sheetName val="Analat_216"/>
      <sheetName val="Staff_Inti16"/>
      <sheetName val="main_summary16"/>
      <sheetName val="H_Satuan16"/>
      <sheetName val="Analisa_Upah_&amp;_Bahan_Plum16"/>
      <sheetName val="Bangunan_Utama16"/>
      <sheetName val="Master_1_016"/>
      <sheetName val="Harga_Bahan16"/>
      <sheetName val="Harga_ME_16"/>
      <sheetName val="Analisa_BOW16"/>
      <sheetName val="Analisa_Gabungan16"/>
      <sheetName val="Fire_Fighting16"/>
      <sheetName val="Item_Kompensasi16"/>
      <sheetName val="DAFTAR_HARGA16"/>
      <sheetName val="Daf_116"/>
      <sheetName val="Harga_bahan-116"/>
      <sheetName val="DETAIL_POS_12316"/>
      <sheetName val="UBA_RAB16"/>
      <sheetName val="HARGA_ALAT16"/>
      <sheetName val="HARGA_MATERIAL16"/>
      <sheetName val="B_U_ARC_BANG__UTAMA16"/>
      <sheetName val="Harga_S_Dasar_UNTUK_IDISI16"/>
      <sheetName val="Daftar_Harga_Sa17"/>
      <sheetName val="Analisa_217"/>
      <sheetName val="Mtd_JK17"/>
      <sheetName val="Mtd_JG17"/>
      <sheetName val="Analat_217"/>
      <sheetName val="Staff_Inti17"/>
      <sheetName val="main_summary17"/>
      <sheetName val="H_Satuan17"/>
      <sheetName val="Analisa_Upah_&amp;_Bahan_Plum17"/>
      <sheetName val="Bangunan_Utama17"/>
      <sheetName val="Master_1_017"/>
      <sheetName val="Harga_Bahan17"/>
      <sheetName val="Harga_ME_17"/>
      <sheetName val="Analisa_BOW17"/>
      <sheetName val="Analisa_Gabungan17"/>
      <sheetName val="Fire_Fighting17"/>
      <sheetName val="Item_Kompensasi17"/>
      <sheetName val="DAFTAR_HARGA17"/>
      <sheetName val="Daf_117"/>
      <sheetName val="Harga_bahan-117"/>
      <sheetName val="DETAIL_POS_12317"/>
      <sheetName val="UBA_RAB17"/>
      <sheetName val="HARGA_ALAT17"/>
      <sheetName val="HARGA_MATERIAL17"/>
      <sheetName val="B_U_ARC_BANG__UTAMA17"/>
      <sheetName val="Harga_S_Dasar_UNTUK_IDISI17"/>
      <sheetName val="Daftar_Harga_Sa18"/>
      <sheetName val="Analisa_218"/>
      <sheetName val="Mtd_JK18"/>
      <sheetName val="Mtd_JG18"/>
      <sheetName val="Analat_218"/>
      <sheetName val="Staff_Inti18"/>
      <sheetName val="main_summary18"/>
      <sheetName val="H_Satuan18"/>
      <sheetName val="Analisa_Upah_&amp;_Bahan_Plum18"/>
      <sheetName val="Bangunan_Utama18"/>
      <sheetName val="Master_1_018"/>
      <sheetName val="Harga_Bahan18"/>
      <sheetName val="Harga_ME_18"/>
      <sheetName val="Analisa_BOW18"/>
      <sheetName val="Analisa_Gabungan18"/>
      <sheetName val="Fire_Fighting18"/>
      <sheetName val="Item_Kompensasi18"/>
      <sheetName val="DAFTAR_HARGA18"/>
      <sheetName val="Daf_118"/>
      <sheetName val="Harga_bahan-118"/>
      <sheetName val="DETAIL_POS_12318"/>
      <sheetName val="UBA_RAB18"/>
      <sheetName val="HARGA_ALAT18"/>
      <sheetName val="HARGA_MATERIAL18"/>
      <sheetName val="B_U_ARC_BANG__UTAMA18"/>
      <sheetName val="Harga_S_Dasar_UNTUK_IDISI18"/>
      <sheetName val="Daftar_Harga_Sa20"/>
      <sheetName val="Analisa_220"/>
      <sheetName val="Mtd_JK20"/>
      <sheetName val="Mtd_JG20"/>
      <sheetName val="Analat_220"/>
      <sheetName val="Staff_Inti20"/>
      <sheetName val="main_summary20"/>
      <sheetName val="H_Satuan20"/>
      <sheetName val="Analisa_Upah_&amp;_Bahan_Plum20"/>
      <sheetName val="Bangunan_Utama20"/>
      <sheetName val="Master_1_020"/>
      <sheetName val="Harga_Bahan20"/>
      <sheetName val="Harga_ME_20"/>
      <sheetName val="Analisa_BOW20"/>
      <sheetName val="Analisa_Gabungan20"/>
      <sheetName val="Fire_Fighting20"/>
      <sheetName val="Item_Kompensasi20"/>
      <sheetName val="DAFTAR_HARGA20"/>
      <sheetName val="Daf_120"/>
      <sheetName val="Harga_bahan-120"/>
      <sheetName val="DETAIL_POS_12320"/>
      <sheetName val="UBA_RAB20"/>
      <sheetName val="HARGA_ALAT20"/>
      <sheetName val="HARGA_MATERIAL20"/>
      <sheetName val="B_U_ARC_BANG__UTAMA20"/>
      <sheetName val="Harga_S_Dasar_UNTUK_IDISI20"/>
      <sheetName val="Appendix 2(SatDas)"/>
      <sheetName val="hrg-sat.pek"/>
      <sheetName val="dataa"/>
      <sheetName val="BA.Just"/>
      <sheetName val="PERALATAN "/>
      <sheetName val="str-harsat"/>
      <sheetName val="Umum"/>
      <sheetName val="D &amp; W sizes"/>
      <sheetName val="L-Mechanical"/>
      <sheetName val="RAB AR&amp;STR"/>
      <sheetName val="DAF-5"/>
      <sheetName val="Fill this out first___"/>
      <sheetName val="SchC"/>
      <sheetName val="SchA"/>
      <sheetName val="SewAlat"/>
      <sheetName val="SchB"/>
      <sheetName val="SchD"/>
      <sheetName val="Antek1"/>
      <sheetName val="Rinc__Harg_BHN1"/>
      <sheetName val="bill_3_91"/>
      <sheetName val="Rekap_Prelim1"/>
      <sheetName val="Rekap_Direct_Cost1"/>
      <sheetName val="Agregat_Halus_&amp;_Kasar1"/>
      <sheetName val="bahan_1"/>
      <sheetName val="upah_bahan_alat1"/>
      <sheetName val="analisa_K1"/>
      <sheetName val="Sat_Upah1"/>
      <sheetName val="Harga_Satuan1"/>
      <sheetName val="BoQ_1"/>
      <sheetName val="UPAH_BAHAN_1"/>
      <sheetName val="Harga_S_Dasar1"/>
      <sheetName val="Standby_Alat1"/>
      <sheetName val="HASAT_DASAR1"/>
      <sheetName val="harga_lokal1"/>
      <sheetName val="Harsat_Bahan1"/>
      <sheetName val="Rinc__Harg_BHN"/>
      <sheetName val="bill_3_9"/>
      <sheetName val="Rekap_Prelim"/>
      <sheetName val="Rekap_Direct_Cost"/>
      <sheetName val="Agregat_Halus_&amp;_Kasar"/>
      <sheetName val="bahan_"/>
      <sheetName val="upah_bahan_alat"/>
      <sheetName val="analisa_K"/>
      <sheetName val="Sat_Upah"/>
      <sheetName val="Harga_Satuan"/>
      <sheetName val="BoQ_"/>
      <sheetName val="UPAH_BAHAN_"/>
      <sheetName val="Harga_S_Dasar"/>
      <sheetName val="Standby_Alat"/>
      <sheetName val="HASAT_DASAR"/>
      <sheetName val="harga_lokal"/>
      <sheetName val="Harsat_Bahan"/>
      <sheetName val="Rinc__Harg_BHN2"/>
      <sheetName val="Balok_L_12"/>
      <sheetName val="bill_3_92"/>
      <sheetName val="Rekap_Prelim2"/>
      <sheetName val="Rekap_Direct_Cost2"/>
      <sheetName val="Agregat_Halus_&amp;_Kasar2"/>
      <sheetName val="bahan_2"/>
      <sheetName val="ANALISA_PEK_UMUM2"/>
      <sheetName val="upah_bahan_alat2"/>
      <sheetName val="analisa_K2"/>
      <sheetName val="Sat_Upah2"/>
      <sheetName val="Harga_Satuan2"/>
      <sheetName val="Sat_Bah___Up2"/>
      <sheetName val="REKAP_ARSITEKTUR_2"/>
      <sheetName val="Analisa_Baku_ME2"/>
      <sheetName val="DIV_12"/>
      <sheetName val="Daf_Bahan2"/>
      <sheetName val="BoQ_2"/>
      <sheetName val="UPAH_BAHAN_2"/>
      <sheetName val="Harga_S_Dasar2"/>
      <sheetName val="Standby_Alat2"/>
      <sheetName val="HASAT_DASAR2"/>
      <sheetName val="harga_lokal2"/>
      <sheetName val="Harsat_Bahan2"/>
      <sheetName val="eklok"/>
      <sheetName val="am_al"/>
      <sheetName val="antr_kt"/>
      <sheetName val="Baik"/>
      <sheetName val="sp_dr"/>
      <sheetName val="kmnts"/>
      <sheetName val="perum"/>
      <sheetName val="Prop"/>
      <sheetName val="klmbg"/>
      <sheetName val="kt_kcl"/>
      <sheetName val="Rehab NAD"/>
      <sheetName val="pmbrdy"/>
      <sheetName val="metro"/>
      <sheetName val="desa"/>
      <sheetName val="batas"/>
      <sheetName val="stratgs"/>
      <sheetName val="tertinggal"/>
      <sheetName val="bau"/>
      <sheetName val="MAPP"/>
      <sheetName val="rek det 1-3"/>
      <sheetName val="Analisa Harga"/>
      <sheetName val="FORMESTIMASI"/>
      <sheetName val="Analisa Prov'07"/>
      <sheetName val="Rekap RAP"/>
      <sheetName val="HARGADASAR"/>
      <sheetName val="hafele"/>
      <sheetName val="UNIT-PRICE"/>
      <sheetName val="List Plant"/>
      <sheetName val="AnMobilisasi"/>
      <sheetName val="BAG_2"/>
      <sheetName val="I_KAMAR"/>
      <sheetName val="DATA PROYEK"/>
      <sheetName val="BA Evaluasi"/>
      <sheetName val="Permhnan CCO"/>
      <sheetName val="Persetujuan CCO"/>
      <sheetName val="Rekap MC"/>
      <sheetName val="Penyampaian Evaluasi"/>
      <sheetName val="R. RapatCCO"/>
      <sheetName val="Master Schedule"/>
      <sheetName val="keb-BHN"/>
      <sheetName val="Anal - Alat"/>
      <sheetName val="Upah,Bahan&amp;ALAT"/>
      <sheetName val="COVER BA (2)"/>
      <sheetName val="BA CCO"/>
      <sheetName val="ELEMENT SUM"/>
      <sheetName val="PP"/>
      <sheetName val="PriceList"/>
      <sheetName val="ANA.SAT"/>
      <sheetName val="Baru"/>
      <sheetName val="Lamp-4 Sat-Das"/>
      <sheetName val="an.selatan"/>
      <sheetName val="an.tengah"/>
      <sheetName val="an.utara"/>
      <sheetName val="61004"/>
      <sheetName val="61005"/>
      <sheetName val="61006"/>
      <sheetName val="61007"/>
      <sheetName val="61008"/>
      <sheetName val="extern"/>
      <sheetName val="Analisa_pre"/>
      <sheetName val="Analisa_Harsat"/>
      <sheetName val="Alat-3"/>
      <sheetName val="anal pipa"/>
      <sheetName val="upah_borong"/>
      <sheetName val="satuan_pek"/>
      <sheetName val="A Bantu"/>
      <sheetName val="ABP"/>
      <sheetName val="3-DIV3"/>
      <sheetName val="RBP1"/>
      <sheetName val="RBP2"/>
      <sheetName val="bank"/>
      <sheetName val="BL"/>
      <sheetName val="BTL"/>
      <sheetName val="gaji"/>
      <sheetName val="DATA-BOQ"/>
      <sheetName val="5-Analisa Peralatan"/>
      <sheetName val="4-Quarry"/>
      <sheetName val="Alatt"/>
      <sheetName val="D6-1b"/>
      <sheetName val="6b"/>
      <sheetName val="SPL"/>
      <sheetName val="Rekap ANL"/>
      <sheetName val="base(r1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459">
          <cell r="B1459" t="str">
            <v xml:space="preserve">ANALISA HARGA SATUAN </v>
          </cell>
        </row>
        <row r="1460">
          <cell r="B1460" t="str">
            <v>ANALISA HARGA SATUAN</v>
          </cell>
        </row>
        <row r="1461">
          <cell r="B1461" t="str">
            <v>PAKET PROYEK</v>
          </cell>
          <cell r="E1461" t="str">
            <v>:</v>
          </cell>
          <cell r="F1461" t="str">
            <v>KALIMANTAN TIMUR</v>
          </cell>
        </row>
        <row r="1462">
          <cell r="E1462" t="str">
            <v>:</v>
          </cell>
          <cell r="F1462" t="str">
            <v>KALIMANTAN TIMUR</v>
          </cell>
        </row>
        <row r="1463">
          <cell r="B1463" t="str">
            <v>JENIS PEKERJAAN</v>
          </cell>
          <cell r="E1463" t="str">
            <v>:</v>
          </cell>
          <cell r="F1463" t="str">
            <v>SOIL CEMENT (Mixing in Place dengan Tanah Existing)</v>
          </cell>
        </row>
        <row r="1464">
          <cell r="B1464" t="str">
            <v>SATUAN PEKERJAAN</v>
          </cell>
          <cell r="E1464" t="str">
            <v>:</v>
          </cell>
          <cell r="F1464" t="str">
            <v>Per M3</v>
          </cell>
        </row>
        <row r="1466">
          <cell r="E1466" t="str">
            <v>:</v>
          </cell>
          <cell r="F1466" t="str">
            <v>Per M3</v>
          </cell>
        </row>
        <row r="1467">
          <cell r="H1467" t="str">
            <v>PERKIRAAN</v>
          </cell>
          <cell r="I1467" t="str">
            <v>HARGA</v>
          </cell>
          <cell r="J1467" t="str">
            <v>JUMLAH</v>
          </cell>
        </row>
        <row r="1468">
          <cell r="B1468" t="str">
            <v>No</v>
          </cell>
          <cell r="C1468" t="str">
            <v>KOMPONEN</v>
          </cell>
          <cell r="G1468" t="str">
            <v>SAT</v>
          </cell>
          <cell r="H1468" t="str">
            <v>KUANTITAS</v>
          </cell>
          <cell r="I1468" t="str">
            <v>SATUAN</v>
          </cell>
          <cell r="J1468" t="str">
            <v>HARGA</v>
          </cell>
        </row>
        <row r="1469">
          <cell r="I1469" t="str">
            <v>(Rp)</v>
          </cell>
          <cell r="J1469" t="str">
            <v>( Rp )</v>
          </cell>
        </row>
        <row r="1470">
          <cell r="I1470" t="str">
            <v>(Rp)</v>
          </cell>
          <cell r="J1470" t="str">
            <v>( Rp )</v>
          </cell>
        </row>
        <row r="1471">
          <cell r="B1471" t="str">
            <v>A</v>
          </cell>
          <cell r="D1471" t="str">
            <v>TENAGA KERJA</v>
          </cell>
        </row>
        <row r="1472">
          <cell r="B1472">
            <v>1</v>
          </cell>
          <cell r="D1472" t="str">
            <v xml:space="preserve">Pekerja </v>
          </cell>
          <cell r="G1472" t="str">
            <v>Jam</v>
          </cell>
          <cell r="H1472">
            <v>0.55300000000000005</v>
          </cell>
          <cell r="I1472">
            <v>4285.7142857142853</v>
          </cell>
          <cell r="J1472">
            <v>2370</v>
          </cell>
        </row>
        <row r="1473">
          <cell r="B1473">
            <v>2</v>
          </cell>
          <cell r="D1473" t="str">
            <v>Mandor</v>
          </cell>
          <cell r="G1473" t="str">
            <v>Jam</v>
          </cell>
          <cell r="H1473">
            <v>9.2166666666666675E-2</v>
          </cell>
          <cell r="I1473">
            <v>3571.4285714285716</v>
          </cell>
          <cell r="J1473">
            <v>329.16666666666669</v>
          </cell>
        </row>
        <row r="1475">
          <cell r="G1475" t="str">
            <v>Jam</v>
          </cell>
          <cell r="H1475">
            <v>9.2166666666666675E-2</v>
          </cell>
          <cell r="I1475">
            <v>3571.4285714285716</v>
          </cell>
          <cell r="J1475">
            <v>329.16666666666669</v>
          </cell>
        </row>
        <row r="1476">
          <cell r="H1476" t="str">
            <v>JUMLAH HARGA TENAGA</v>
          </cell>
          <cell r="J1476">
            <v>2699.1666666666665</v>
          </cell>
        </row>
        <row r="1477">
          <cell r="J1477">
            <v>2699.1666666666665</v>
          </cell>
        </row>
        <row r="1478">
          <cell r="B1478" t="str">
            <v>B</v>
          </cell>
          <cell r="D1478" t="str">
            <v>BAHAN</v>
          </cell>
        </row>
        <row r="1479">
          <cell r="B1479">
            <v>1</v>
          </cell>
          <cell r="D1479" t="str">
            <v>Semen (Bahan terpisah)</v>
          </cell>
          <cell r="G1479" t="str">
            <v>Ton</v>
          </cell>
          <cell r="H1479" t="str">
            <v>-</v>
          </cell>
          <cell r="I1479" t="str">
            <v>-</v>
          </cell>
          <cell r="J1479" t="str">
            <v>-</v>
          </cell>
        </row>
        <row r="1480">
          <cell r="B1480">
            <v>2</v>
          </cell>
          <cell r="D1480" t="str">
            <v>Terpal</v>
          </cell>
          <cell r="G1480" t="str">
            <v>M2</v>
          </cell>
          <cell r="H1480">
            <v>1E-3</v>
          </cell>
          <cell r="I1480">
            <v>75000</v>
          </cell>
          <cell r="J1480">
            <v>75</v>
          </cell>
        </row>
        <row r="1483">
          <cell r="G1483" t="str">
            <v>M2</v>
          </cell>
          <cell r="H1483">
            <v>1E-3</v>
          </cell>
          <cell r="I1483">
            <v>75000</v>
          </cell>
          <cell r="J1483">
            <v>75</v>
          </cell>
        </row>
        <row r="1484">
          <cell r="H1484" t="str">
            <v>JUMLAH HARGA BAHAN</v>
          </cell>
          <cell r="J1484">
            <v>75</v>
          </cell>
        </row>
        <row r="1485">
          <cell r="J1485">
            <v>75</v>
          </cell>
        </row>
        <row r="1486">
          <cell r="B1486" t="str">
            <v>C</v>
          </cell>
          <cell r="D1486" t="str">
            <v>PERALATAN</v>
          </cell>
        </row>
        <row r="1487">
          <cell r="B1487">
            <v>1</v>
          </cell>
          <cell r="D1487" t="str">
            <v>Soil Stabilizer</v>
          </cell>
          <cell r="G1487" t="str">
            <v>Jam</v>
          </cell>
          <cell r="H1487">
            <v>8.0000000000000002E-3</v>
          </cell>
          <cell r="I1487">
            <v>2661907.2727272725</v>
          </cell>
          <cell r="J1487">
            <v>21295.258181818179</v>
          </cell>
        </row>
        <row r="1488">
          <cell r="B1488">
            <v>2</v>
          </cell>
          <cell r="D1488" t="str">
            <v>Water Tank Truck</v>
          </cell>
          <cell r="G1488" t="str">
            <v>Jam</v>
          </cell>
          <cell r="H1488">
            <v>7.4999999999999997E-3</v>
          </cell>
          <cell r="I1488">
            <v>34000</v>
          </cell>
          <cell r="J1488">
            <v>255</v>
          </cell>
        </row>
        <row r="1489">
          <cell r="B1489">
            <v>3</v>
          </cell>
          <cell r="D1489" t="str">
            <v>Pad foot Roller</v>
          </cell>
          <cell r="G1489" t="str">
            <v>Jam</v>
          </cell>
          <cell r="H1489">
            <v>0.02</v>
          </cell>
          <cell r="I1489">
            <v>280000</v>
          </cell>
          <cell r="J1489">
            <v>5600</v>
          </cell>
        </row>
        <row r="1490">
          <cell r="B1490">
            <v>4</v>
          </cell>
          <cell r="D1490" t="str">
            <v>Vibratory Roller</v>
          </cell>
          <cell r="G1490" t="str">
            <v>Jam</v>
          </cell>
          <cell r="H1490">
            <v>2.5000000000000001E-2</v>
          </cell>
          <cell r="I1490">
            <v>280000</v>
          </cell>
          <cell r="J1490">
            <v>7000</v>
          </cell>
        </row>
        <row r="1491">
          <cell r="B1491">
            <v>5</v>
          </cell>
          <cell r="D1491" t="str">
            <v>Pneumatic Tire Roller</v>
          </cell>
          <cell r="G1491" t="str">
            <v>Jam</v>
          </cell>
          <cell r="H1491">
            <v>2.5000000000000001E-2</v>
          </cell>
          <cell r="I1491">
            <v>280000</v>
          </cell>
          <cell r="J1491">
            <v>7000</v>
          </cell>
        </row>
        <row r="1492">
          <cell r="B1492">
            <v>6</v>
          </cell>
          <cell r="D1492" t="str">
            <v>Motor Grader</v>
          </cell>
          <cell r="G1492" t="str">
            <v>Jam</v>
          </cell>
          <cell r="H1492">
            <v>6.6666666666666671E-3</v>
          </cell>
          <cell r="I1492">
            <v>345500</v>
          </cell>
          <cell r="J1492">
            <v>2303.3333333333335</v>
          </cell>
        </row>
        <row r="1493">
          <cell r="B1493">
            <v>7</v>
          </cell>
          <cell r="D1493" t="str">
            <v>Alat Bantu</v>
          </cell>
          <cell r="G1493" t="str">
            <v>Ls</v>
          </cell>
          <cell r="H1493">
            <v>1</v>
          </cell>
          <cell r="I1493">
            <v>100</v>
          </cell>
          <cell r="J1493">
            <v>100</v>
          </cell>
        </row>
        <row r="1494">
          <cell r="G1494" t="str">
            <v>Ls</v>
          </cell>
          <cell r="H1494">
            <v>1</v>
          </cell>
          <cell r="I1494">
            <v>100</v>
          </cell>
          <cell r="J1494">
            <v>100</v>
          </cell>
        </row>
        <row r="1495">
          <cell r="H1495" t="str">
            <v>JUMLAH HARGA PERALATAN</v>
          </cell>
          <cell r="J1495">
            <v>43553.591515151515</v>
          </cell>
        </row>
        <row r="1496">
          <cell r="J1496">
            <v>43553.591515151515</v>
          </cell>
        </row>
        <row r="1497">
          <cell r="B1497" t="str">
            <v>D</v>
          </cell>
          <cell r="D1497" t="str">
            <v>JUMLAH ( A + B + C )</v>
          </cell>
          <cell r="J1497">
            <v>46327.758181818179</v>
          </cell>
        </row>
        <row r="1498">
          <cell r="B1498" t="str">
            <v>E</v>
          </cell>
          <cell r="D1498" t="str">
            <v>O/H + Jasa &amp; Keuntungan (15%)</v>
          </cell>
          <cell r="H1498" t="str">
            <v>:  15 % X D</v>
          </cell>
          <cell r="J1498">
            <v>6949.1637272727266</v>
          </cell>
        </row>
        <row r="1499">
          <cell r="B1499" t="str">
            <v>F</v>
          </cell>
          <cell r="D1499" t="str">
            <v xml:space="preserve">HARGA SATUAN PEKERJAAN </v>
          </cell>
          <cell r="H1499" t="str">
            <v>:  ( D + E )</v>
          </cell>
          <cell r="J1499">
            <v>53276.921909090903</v>
          </cell>
        </row>
        <row r="1500">
          <cell r="B1500" t="str">
            <v>G</v>
          </cell>
          <cell r="D1500" t="str">
            <v>DIBULATKAN</v>
          </cell>
          <cell r="J1500">
            <v>53277</v>
          </cell>
        </row>
        <row r="1502">
          <cell r="J1502">
            <v>53277</v>
          </cell>
        </row>
        <row r="1503">
          <cell r="B1503" t="str">
            <v xml:space="preserve">ANALISA HARGA SATUAN </v>
          </cell>
        </row>
        <row r="1504">
          <cell r="B1504" t="str">
            <v>ANALISA HARGA SATUAN</v>
          </cell>
        </row>
        <row r="1505">
          <cell r="B1505" t="str">
            <v>PAKET PROYEK</v>
          </cell>
          <cell r="E1505" t="str">
            <v>:</v>
          </cell>
          <cell r="F1505" t="str">
            <v>KALIMANTAN TIMUR</v>
          </cell>
        </row>
        <row r="1506">
          <cell r="E1506" t="str">
            <v>:</v>
          </cell>
          <cell r="F1506" t="str">
            <v>KALIMANTAN TIMUR</v>
          </cell>
        </row>
        <row r="1507">
          <cell r="B1507" t="str">
            <v>JENIS PEKERJAAN</v>
          </cell>
          <cell r="E1507" t="str">
            <v>:</v>
          </cell>
          <cell r="F1507" t="str">
            <v>CEMENT FOR SOIL CEMENT</v>
          </cell>
        </row>
        <row r="1508">
          <cell r="B1508" t="str">
            <v>SATUAN PEKERJAAN</v>
          </cell>
          <cell r="E1508" t="str">
            <v>:</v>
          </cell>
          <cell r="F1508" t="str">
            <v>Per Ton</v>
          </cell>
        </row>
        <row r="1510">
          <cell r="E1510" t="str">
            <v>:</v>
          </cell>
          <cell r="F1510" t="str">
            <v>Per Ton</v>
          </cell>
        </row>
        <row r="1511">
          <cell r="H1511" t="str">
            <v>PERKIRAAN</v>
          </cell>
          <cell r="I1511" t="str">
            <v>HARGA</v>
          </cell>
          <cell r="J1511" t="str">
            <v>JUMLAH</v>
          </cell>
        </row>
        <row r="1512">
          <cell r="B1512" t="str">
            <v>No</v>
          </cell>
          <cell r="C1512" t="str">
            <v>KOMPONEN</v>
          </cell>
          <cell r="G1512" t="str">
            <v>SAT</v>
          </cell>
          <cell r="H1512" t="str">
            <v>KUANTITAS</v>
          </cell>
          <cell r="I1512" t="str">
            <v>SATUAN</v>
          </cell>
          <cell r="J1512" t="str">
            <v>HARGA</v>
          </cell>
        </row>
        <row r="1513">
          <cell r="I1513" t="str">
            <v>(Rp)</v>
          </cell>
          <cell r="J1513" t="str">
            <v>( Rp )</v>
          </cell>
        </row>
        <row r="1514">
          <cell r="I1514" t="str">
            <v>(Rp)</v>
          </cell>
          <cell r="J1514" t="str">
            <v>( Rp )</v>
          </cell>
        </row>
        <row r="1515">
          <cell r="B1515" t="str">
            <v>A</v>
          </cell>
          <cell r="D1515" t="str">
            <v>TENAGA KERJA</v>
          </cell>
        </row>
        <row r="1516">
          <cell r="B1516">
            <v>1</v>
          </cell>
          <cell r="D1516" t="str">
            <v xml:space="preserve">Pekerja </v>
          </cell>
          <cell r="G1516" t="str">
            <v>Jam</v>
          </cell>
          <cell r="H1516">
            <v>7.880217209690894</v>
          </cell>
          <cell r="I1516">
            <v>4285.7142857142853</v>
          </cell>
          <cell r="J1516">
            <v>33772.359470103831</v>
          </cell>
        </row>
        <row r="1517">
          <cell r="B1517">
            <v>2</v>
          </cell>
          <cell r="D1517" t="str">
            <v>Mandor</v>
          </cell>
          <cell r="G1517" t="str">
            <v>Jam</v>
          </cell>
          <cell r="H1517">
            <v>0.98502715121136175</v>
          </cell>
          <cell r="I1517">
            <v>3571.4285714285716</v>
          </cell>
          <cell r="J1517">
            <v>3517.9541114691492</v>
          </cell>
        </row>
        <row r="1519">
          <cell r="G1519" t="str">
            <v>Jam</v>
          </cell>
          <cell r="H1519">
            <v>0.98502715121136175</v>
          </cell>
          <cell r="I1519">
            <v>3571.4285714285716</v>
          </cell>
          <cell r="J1519">
            <v>3517.9541114691492</v>
          </cell>
        </row>
        <row r="1520">
          <cell r="H1520" t="str">
            <v>JUMLAH HARGA TENAGA</v>
          </cell>
          <cell r="J1520">
            <v>37290.313581572977</v>
          </cell>
        </row>
        <row r="1521">
          <cell r="J1521">
            <v>37290.313581572977</v>
          </cell>
        </row>
        <row r="1522">
          <cell r="B1522" t="str">
            <v>B</v>
          </cell>
          <cell r="D1522" t="str">
            <v>BAHAN</v>
          </cell>
        </row>
        <row r="1523">
          <cell r="B1523">
            <v>1</v>
          </cell>
          <cell r="D1523" t="str">
            <v>Semen</v>
          </cell>
          <cell r="G1523" t="str">
            <v>Ton</v>
          </cell>
          <cell r="H1523">
            <v>1000</v>
          </cell>
          <cell r="I1523">
            <v>21000</v>
          </cell>
          <cell r="J1523">
            <v>21000000</v>
          </cell>
        </row>
        <row r="1524">
          <cell r="B1524">
            <v>2</v>
          </cell>
          <cell r="D1524" t="str">
            <v>Silo Induk di Pelabuhan</v>
          </cell>
          <cell r="G1524" t="str">
            <v>Bh</v>
          </cell>
          <cell r="H1524">
            <v>5.7142857142857143E-3</v>
          </cell>
          <cell r="I1524">
            <v>67336.363636363632</v>
          </cell>
          <cell r="J1524">
            <v>384.77922077922074</v>
          </cell>
        </row>
        <row r="1525">
          <cell r="B1525">
            <v>3</v>
          </cell>
          <cell r="D1525" t="str">
            <v>Truck Capsule</v>
          </cell>
          <cell r="G1525" t="str">
            <v>Jam</v>
          </cell>
          <cell r="H1525">
            <v>4.5833333333333323E-2</v>
          </cell>
          <cell r="I1525">
            <v>227401.81818181818</v>
          </cell>
          <cell r="J1525">
            <v>10422.58333333333</v>
          </cell>
        </row>
        <row r="1526">
          <cell r="D1526" t="str">
            <v xml:space="preserve"> (angkut semen dr Pelab ke Silo Induk)</v>
          </cell>
        </row>
        <row r="1527">
          <cell r="D1527" t="str">
            <v>(angkut semen dr Pelab ke Silo Induk)</v>
          </cell>
        </row>
        <row r="1528">
          <cell r="H1528" t="str">
            <v>JUMLAH HARGA BAHAN</v>
          </cell>
          <cell r="J1528">
            <v>21010807.362554111</v>
          </cell>
        </row>
        <row r="1529">
          <cell r="J1529">
            <v>21010807.362554111</v>
          </cell>
        </row>
        <row r="1530">
          <cell r="B1530" t="str">
            <v>C</v>
          </cell>
          <cell r="D1530" t="str">
            <v>PERALATAN</v>
          </cell>
        </row>
        <row r="1531">
          <cell r="B1531">
            <v>1</v>
          </cell>
          <cell r="D1531" t="str">
            <v>Truck Capsule (dr Silo Induk - Silo Lapgn)</v>
          </cell>
          <cell r="G1531" t="str">
            <v>Jam</v>
          </cell>
          <cell r="H1531">
            <v>0.48333333333333328</v>
          </cell>
          <cell r="I1531">
            <v>227401.81818181818</v>
          </cell>
          <cell r="J1531">
            <v>109910.87878787877</v>
          </cell>
        </row>
        <row r="1532">
          <cell r="B1532">
            <v>2</v>
          </cell>
          <cell r="D1532" t="str">
            <v>Silo Lapangan</v>
          </cell>
          <cell r="G1532" t="str">
            <v>Bh</v>
          </cell>
          <cell r="H1532">
            <v>2.5000000000000001E-2</v>
          </cell>
          <cell r="I1532">
            <v>13467.272727272726</v>
          </cell>
          <cell r="J1532">
            <v>336.68181818181819</v>
          </cell>
        </row>
        <row r="1533">
          <cell r="B1533">
            <v>3</v>
          </cell>
          <cell r="D1533" t="str">
            <v>Truck Capsule (dr Silo Lapgn - Lok. Pek.)</v>
          </cell>
          <cell r="G1533" t="str">
            <v>Jam</v>
          </cell>
          <cell r="H1533">
            <v>0.42514619883040938</v>
          </cell>
          <cell r="I1533">
            <v>227401.81818181818</v>
          </cell>
          <cell r="J1533">
            <v>96679.018607123871</v>
          </cell>
        </row>
        <row r="1534">
          <cell r="G1534" t="str">
            <v>Jam</v>
          </cell>
          <cell r="H1534">
            <v>0.42514619883040938</v>
          </cell>
          <cell r="I1534">
            <v>227401.81818181818</v>
          </cell>
          <cell r="J1534">
            <v>96679.018607123871</v>
          </cell>
        </row>
        <row r="1535">
          <cell r="H1535" t="str">
            <v>JUMLAH HARGA PERALATAN</v>
          </cell>
          <cell r="J1535">
            <v>206926.57921318448</v>
          </cell>
        </row>
        <row r="1536">
          <cell r="J1536">
            <v>206926.57921318448</v>
          </cell>
        </row>
        <row r="1537">
          <cell r="B1537" t="str">
            <v>D</v>
          </cell>
          <cell r="D1537" t="str">
            <v>JUMLAH ( A + B + C )</v>
          </cell>
          <cell r="J1537">
            <v>21255024.255348869</v>
          </cell>
        </row>
        <row r="1538">
          <cell r="B1538" t="str">
            <v>E</v>
          </cell>
          <cell r="D1538" t="str">
            <v>O/H + Jasa &amp; Keuntungan (15%)</v>
          </cell>
          <cell r="H1538" t="str">
            <v>:  15 % X D</v>
          </cell>
          <cell r="J1538">
            <v>3188253.6383023304</v>
          </cell>
        </row>
        <row r="1539">
          <cell r="B1539" t="str">
            <v>F</v>
          </cell>
          <cell r="D1539" t="str">
            <v xml:space="preserve">HARGA SATUAN PEKERJAAN </v>
          </cell>
          <cell r="H1539" t="str">
            <v>:  ( D + E )</v>
          </cell>
          <cell r="J1539">
            <v>24443277.893651199</v>
          </cell>
        </row>
        <row r="1540">
          <cell r="B1540" t="str">
            <v>G</v>
          </cell>
          <cell r="D1540" t="str">
            <v>DIBULATKAN</v>
          </cell>
          <cell r="J1540">
            <v>24443278</v>
          </cell>
        </row>
        <row r="1542">
          <cell r="J1542">
            <v>24443278</v>
          </cell>
        </row>
        <row r="1543">
          <cell r="B1543" t="str">
            <v xml:space="preserve">ANALISA HARGA SATUAN </v>
          </cell>
        </row>
        <row r="1544">
          <cell r="B1544" t="str">
            <v>ANALISA HARGA SATUAN</v>
          </cell>
        </row>
        <row r="1545">
          <cell r="B1545" t="str">
            <v>PAKET PROYEK</v>
          </cell>
          <cell r="E1545" t="str">
            <v>:</v>
          </cell>
          <cell r="F1545" t="str">
            <v>KALIMANTAN TIMUR</v>
          </cell>
        </row>
        <row r="1546">
          <cell r="E1546" t="str">
            <v>:</v>
          </cell>
          <cell r="F1546" t="str">
            <v>KALIMANTAN TIMUR</v>
          </cell>
        </row>
        <row r="1547">
          <cell r="B1547" t="str">
            <v>JENIS PEKERJAAN</v>
          </cell>
          <cell r="E1547" t="str">
            <v>:</v>
          </cell>
          <cell r="F1547" t="str">
            <v>SOIL CEMENT (Mixing in Place dengan Tanah Existing termasuk semen)</v>
          </cell>
        </row>
        <row r="1548">
          <cell r="B1548" t="str">
            <v>SATUAN PEKERJAAN</v>
          </cell>
          <cell r="E1548" t="str">
            <v>:</v>
          </cell>
          <cell r="F1548" t="str">
            <v>Per M3</v>
          </cell>
        </row>
        <row r="1550">
          <cell r="E1550" t="str">
            <v>:</v>
          </cell>
          <cell r="F1550" t="str">
            <v>Per M3</v>
          </cell>
        </row>
        <row r="1551">
          <cell r="H1551" t="str">
            <v>PERKIRAAN</v>
          </cell>
          <cell r="I1551" t="str">
            <v>HARGA</v>
          </cell>
          <cell r="J1551" t="str">
            <v>JUMLAH</v>
          </cell>
        </row>
        <row r="1552">
          <cell r="B1552" t="str">
            <v>No</v>
          </cell>
          <cell r="C1552" t="str">
            <v>KOMPONEN</v>
          </cell>
          <cell r="G1552" t="str">
            <v>SAT</v>
          </cell>
          <cell r="H1552" t="str">
            <v>KUANTITAS</v>
          </cell>
          <cell r="I1552" t="str">
            <v>SATUAN</v>
          </cell>
          <cell r="J1552" t="str">
            <v>HARGA</v>
          </cell>
        </row>
        <row r="1553">
          <cell r="I1553" t="str">
            <v>(Rp)</v>
          </cell>
          <cell r="J1553" t="str">
            <v>( Rp )</v>
          </cell>
        </row>
        <row r="1554">
          <cell r="I1554" t="str">
            <v>(Rp)</v>
          </cell>
          <cell r="J1554" t="str">
            <v>( Rp )</v>
          </cell>
        </row>
        <row r="1555">
          <cell r="B1555" t="str">
            <v>A</v>
          </cell>
          <cell r="D1555" t="str">
            <v>TENAGA KERJA</v>
          </cell>
        </row>
        <row r="1556">
          <cell r="B1556">
            <v>1</v>
          </cell>
          <cell r="D1556" t="str">
            <v xml:space="preserve">Pekerja </v>
          </cell>
          <cell r="G1556" t="str">
            <v>Jam</v>
          </cell>
          <cell r="H1556">
            <v>0.55300000000000005</v>
          </cell>
          <cell r="I1556">
            <v>4285.7142857142853</v>
          </cell>
          <cell r="J1556">
            <v>2370</v>
          </cell>
        </row>
        <row r="1557">
          <cell r="B1557">
            <v>2</v>
          </cell>
          <cell r="D1557" t="str">
            <v>Mandor</v>
          </cell>
          <cell r="G1557" t="str">
            <v>Jam</v>
          </cell>
          <cell r="H1557">
            <v>9.2166666666666675E-2</v>
          </cell>
          <cell r="I1557">
            <v>3571.4285714285716</v>
          </cell>
          <cell r="J1557">
            <v>329.16666666666669</v>
          </cell>
        </row>
        <row r="1559">
          <cell r="G1559" t="str">
            <v>Jam</v>
          </cell>
          <cell r="H1559">
            <v>9.2166666666666675E-2</v>
          </cell>
          <cell r="I1559">
            <v>3571.4285714285716</v>
          </cell>
          <cell r="J1559">
            <v>329.16666666666669</v>
          </cell>
        </row>
        <row r="1560">
          <cell r="H1560" t="str">
            <v>JUMLAH HARGA TENAGA</v>
          </cell>
          <cell r="J1560">
            <v>2699.1666666666665</v>
          </cell>
        </row>
        <row r="1561">
          <cell r="J1561">
            <v>2699.1666666666665</v>
          </cell>
        </row>
        <row r="1562">
          <cell r="B1562" t="str">
            <v>B</v>
          </cell>
          <cell r="D1562" t="str">
            <v>BAHAN</v>
          </cell>
        </row>
        <row r="1563">
          <cell r="B1563">
            <v>1</v>
          </cell>
          <cell r="D1563" t="str">
            <v>Semen</v>
          </cell>
          <cell r="G1563" t="str">
            <v>Kg</v>
          </cell>
          <cell r="H1563">
            <v>227.99295774647894</v>
          </cell>
          <cell r="I1563">
            <v>21255.024255348868</v>
          </cell>
          <cell r="J1563">
            <v>4845995.8469501389</v>
          </cell>
        </row>
        <row r="1564">
          <cell r="B1564">
            <v>2</v>
          </cell>
          <cell r="D1564" t="str">
            <v>Terpal</v>
          </cell>
          <cell r="G1564" t="str">
            <v>M2</v>
          </cell>
          <cell r="H1564">
            <v>1E-3</v>
          </cell>
          <cell r="I1564">
            <v>75000</v>
          </cell>
          <cell r="J1564">
            <v>75</v>
          </cell>
        </row>
        <row r="1567">
          <cell r="G1567" t="str">
            <v>M2</v>
          </cell>
          <cell r="H1567">
            <v>1E-3</v>
          </cell>
          <cell r="I1567">
            <v>75000</v>
          </cell>
          <cell r="J1567">
            <v>75</v>
          </cell>
        </row>
        <row r="1568">
          <cell r="H1568" t="str">
            <v>JUMLAH HARGA BAHAN</v>
          </cell>
          <cell r="J1568">
            <v>4846070.8469501389</v>
          </cell>
        </row>
        <row r="1569">
          <cell r="J1569">
            <v>4846070.8469501389</v>
          </cell>
        </row>
        <row r="1570">
          <cell r="B1570" t="str">
            <v>C</v>
          </cell>
          <cell r="D1570" t="str">
            <v>PERALATAN</v>
          </cell>
        </row>
        <row r="1571">
          <cell r="B1571">
            <v>1</v>
          </cell>
          <cell r="D1571" t="str">
            <v>Soil Stabilizer</v>
          </cell>
          <cell r="G1571" t="str">
            <v>Jam</v>
          </cell>
          <cell r="H1571">
            <v>8.0000000000000002E-3</v>
          </cell>
          <cell r="I1571">
            <v>2661907.2727272725</v>
          </cell>
          <cell r="J1571">
            <v>21295.258181818179</v>
          </cell>
        </row>
        <row r="1572">
          <cell r="B1572">
            <v>2</v>
          </cell>
          <cell r="D1572" t="str">
            <v>Water Tank Truck</v>
          </cell>
          <cell r="G1572" t="str">
            <v>Jam</v>
          </cell>
          <cell r="H1572">
            <v>7.4999999999999997E-3</v>
          </cell>
          <cell r="I1572">
            <v>34000</v>
          </cell>
          <cell r="J1572">
            <v>255</v>
          </cell>
        </row>
        <row r="1573">
          <cell r="B1573">
            <v>3</v>
          </cell>
          <cell r="D1573" t="str">
            <v>Pad foot Roller</v>
          </cell>
          <cell r="G1573" t="str">
            <v>Jam</v>
          </cell>
          <cell r="H1573">
            <v>0.02</v>
          </cell>
          <cell r="I1573">
            <v>280000</v>
          </cell>
          <cell r="J1573">
            <v>5600</v>
          </cell>
        </row>
        <row r="1574">
          <cell r="B1574">
            <v>4</v>
          </cell>
          <cell r="D1574" t="str">
            <v>Vibratory Roller</v>
          </cell>
          <cell r="G1574" t="str">
            <v>Jam</v>
          </cell>
          <cell r="H1574">
            <v>2.5000000000000001E-2</v>
          </cell>
          <cell r="I1574">
            <v>280000</v>
          </cell>
          <cell r="J1574">
            <v>7000</v>
          </cell>
        </row>
        <row r="1575">
          <cell r="B1575">
            <v>5</v>
          </cell>
          <cell r="D1575" t="str">
            <v>Pneumatic Tire Roller</v>
          </cell>
          <cell r="G1575" t="str">
            <v>Jam</v>
          </cell>
          <cell r="H1575">
            <v>2.5000000000000001E-2</v>
          </cell>
          <cell r="I1575">
            <v>280000</v>
          </cell>
          <cell r="J1575">
            <v>7000</v>
          </cell>
        </row>
        <row r="1576">
          <cell r="B1576">
            <v>6</v>
          </cell>
          <cell r="D1576" t="str">
            <v>Motor Grader</v>
          </cell>
          <cell r="G1576" t="str">
            <v>Jam</v>
          </cell>
          <cell r="H1576">
            <v>6.6666666666666671E-3</v>
          </cell>
          <cell r="I1576">
            <v>345500</v>
          </cell>
          <cell r="J1576">
            <v>2303.3333333333335</v>
          </cell>
        </row>
        <row r="1577">
          <cell r="B1577">
            <v>7</v>
          </cell>
          <cell r="D1577" t="str">
            <v>Alat Bantu</v>
          </cell>
          <cell r="G1577" t="str">
            <v>Ls</v>
          </cell>
          <cell r="H1577">
            <v>1</v>
          </cell>
          <cell r="I1577">
            <v>100</v>
          </cell>
          <cell r="J1577">
            <v>100</v>
          </cell>
        </row>
        <row r="1578">
          <cell r="G1578" t="str">
            <v>Ls</v>
          </cell>
          <cell r="H1578">
            <v>1</v>
          </cell>
          <cell r="I1578">
            <v>100</v>
          </cell>
          <cell r="J1578">
            <v>100</v>
          </cell>
        </row>
        <row r="1579">
          <cell r="H1579" t="str">
            <v>JUMLAH HARGA PERALATAN</v>
          </cell>
          <cell r="J1579">
            <v>43553.591515151515</v>
          </cell>
        </row>
        <row r="1580">
          <cell r="J1580">
            <v>43553.591515151515</v>
          </cell>
        </row>
        <row r="1581">
          <cell r="B1581" t="str">
            <v>D</v>
          </cell>
          <cell r="D1581" t="str">
            <v>JUMLAH ( A + B + C )</v>
          </cell>
          <cell r="J1581">
            <v>4892323.6051319577</v>
          </cell>
        </row>
        <row r="1582">
          <cell r="B1582" t="str">
            <v>E</v>
          </cell>
          <cell r="D1582" t="str">
            <v>O/H + Jasa &amp; Keuntungan (15%)</v>
          </cell>
          <cell r="H1582" t="str">
            <v>:  15 % X D</v>
          </cell>
          <cell r="J1582">
            <v>733848.54076979368</v>
          </cell>
        </row>
        <row r="1583">
          <cell r="B1583" t="str">
            <v>F</v>
          </cell>
          <cell r="D1583" t="str">
            <v xml:space="preserve">HARGA SATUAN PEKERJAAN </v>
          </cell>
          <cell r="H1583" t="str">
            <v>:  ( D + E )</v>
          </cell>
          <cell r="J1583">
            <v>5626172.1459017517</v>
          </cell>
        </row>
        <row r="1584">
          <cell r="B1584" t="str">
            <v>G</v>
          </cell>
          <cell r="D1584" t="str">
            <v>DIBULATKAN</v>
          </cell>
          <cell r="J1584">
            <v>5626172</v>
          </cell>
        </row>
        <row r="1586">
          <cell r="J1586">
            <v>5626172</v>
          </cell>
        </row>
        <row r="1587">
          <cell r="B1587" t="str">
            <v xml:space="preserve">ANALISA HARGA SATUAN </v>
          </cell>
        </row>
        <row r="1588">
          <cell r="B1588" t="str">
            <v>ANALISA HARGA SATUAN</v>
          </cell>
        </row>
        <row r="1589">
          <cell r="B1589" t="str">
            <v>PAKET PROYEK</v>
          </cell>
          <cell r="E1589" t="str">
            <v>:</v>
          </cell>
          <cell r="F1589" t="str">
            <v>KALIMANTAN TIMUR</v>
          </cell>
        </row>
        <row r="1590">
          <cell r="E1590" t="str">
            <v>:</v>
          </cell>
          <cell r="F1590" t="str">
            <v>KALIMANTAN TIMUR</v>
          </cell>
        </row>
        <row r="1591">
          <cell r="B1591" t="str">
            <v>JENIS PEKERJAAN</v>
          </cell>
          <cell r="E1591" t="str">
            <v>:</v>
          </cell>
          <cell r="F1591" t="str">
            <v>SOIL FOR SOIL CEMENT</v>
          </cell>
        </row>
        <row r="1592">
          <cell r="B1592" t="str">
            <v>SATUAN PEKERJAAN</v>
          </cell>
          <cell r="E1592" t="str">
            <v>:</v>
          </cell>
          <cell r="F1592" t="str">
            <v>Per m3</v>
          </cell>
        </row>
        <row r="1594">
          <cell r="E1594" t="str">
            <v>:</v>
          </cell>
          <cell r="F1594" t="str">
            <v>Per m3</v>
          </cell>
        </row>
        <row r="1595">
          <cell r="H1595" t="str">
            <v>PERKIRAAN</v>
          </cell>
          <cell r="I1595" t="str">
            <v>HARGA</v>
          </cell>
          <cell r="J1595" t="str">
            <v>JUMLAH</v>
          </cell>
        </row>
        <row r="1596">
          <cell r="B1596" t="str">
            <v>No</v>
          </cell>
          <cell r="C1596" t="str">
            <v>KOMPONEN</v>
          </cell>
          <cell r="G1596" t="str">
            <v>SAT</v>
          </cell>
          <cell r="H1596" t="str">
            <v>KUANTITAS</v>
          </cell>
          <cell r="I1596" t="str">
            <v>SATUAN</v>
          </cell>
          <cell r="J1596" t="str">
            <v>HARGA</v>
          </cell>
        </row>
        <row r="1597">
          <cell r="I1597" t="str">
            <v>(Rp)</v>
          </cell>
          <cell r="J1597" t="str">
            <v>( Rp )</v>
          </cell>
        </row>
        <row r="1598">
          <cell r="I1598" t="str">
            <v>(Rp)</v>
          </cell>
          <cell r="J1598" t="str">
            <v>( Rp )</v>
          </cell>
        </row>
        <row r="1599">
          <cell r="B1599" t="str">
            <v>A</v>
          </cell>
          <cell r="D1599" t="str">
            <v>TENAGA KERJA</v>
          </cell>
        </row>
        <row r="1600">
          <cell r="B1600">
            <v>1</v>
          </cell>
          <cell r="D1600" t="str">
            <v xml:space="preserve">Pekerja </v>
          </cell>
          <cell r="G1600" t="str">
            <v>Jam</v>
          </cell>
          <cell r="H1600">
            <v>0.10158730158730159</v>
          </cell>
          <cell r="I1600">
            <v>4285.7142857142853</v>
          </cell>
          <cell r="J1600">
            <v>435.37414965986392</v>
          </cell>
        </row>
        <row r="1601">
          <cell r="B1601">
            <v>2</v>
          </cell>
          <cell r="D1601" t="str">
            <v>Mandor</v>
          </cell>
          <cell r="G1601" t="str">
            <v>Jam</v>
          </cell>
          <cell r="H1601">
            <v>2.5396825396825397E-2</v>
          </cell>
          <cell r="I1601">
            <v>3571.4285714285716</v>
          </cell>
          <cell r="J1601">
            <v>90.702947845804985</v>
          </cell>
        </row>
        <row r="1603">
          <cell r="G1603" t="str">
            <v>Jam</v>
          </cell>
          <cell r="H1603">
            <v>2.5396825396825397E-2</v>
          </cell>
          <cell r="I1603">
            <v>3571.4285714285716</v>
          </cell>
          <cell r="J1603">
            <v>90.702947845804985</v>
          </cell>
        </row>
        <row r="1604">
          <cell r="H1604" t="str">
            <v>JUMLAH HARGA TENAGA</v>
          </cell>
          <cell r="J1604">
            <v>526.07709750566892</v>
          </cell>
        </row>
        <row r="1605">
          <cell r="J1605">
            <v>526.07709750566892</v>
          </cell>
        </row>
        <row r="1606">
          <cell r="B1606" t="str">
            <v>B</v>
          </cell>
          <cell r="D1606" t="str">
            <v>BAHAN</v>
          </cell>
        </row>
        <row r="1607">
          <cell r="B1607">
            <v>1</v>
          </cell>
          <cell r="D1607" t="str">
            <v>Tanah untuk soil semen</v>
          </cell>
          <cell r="G1607" t="str">
            <v>M3</v>
          </cell>
          <cell r="H1607">
            <v>1.2</v>
          </cell>
          <cell r="I1607">
            <v>7000</v>
          </cell>
          <cell r="J1607">
            <v>8400</v>
          </cell>
        </row>
        <row r="1608">
          <cell r="G1608" t="str">
            <v>M3</v>
          </cell>
          <cell r="H1608">
            <v>1.2</v>
          </cell>
          <cell r="I1608">
            <v>7000</v>
          </cell>
          <cell r="J1608">
            <v>8400</v>
          </cell>
        </row>
        <row r="1609">
          <cell r="H1609" t="str">
            <v>JUMLAH HARGA BAHAN</v>
          </cell>
          <cell r="J1609">
            <v>8400</v>
          </cell>
        </row>
        <row r="1610">
          <cell r="J1610">
            <v>8400</v>
          </cell>
        </row>
        <row r="1611">
          <cell r="B1611" t="str">
            <v>C</v>
          </cell>
          <cell r="D1611" t="str">
            <v>PERALATAN</v>
          </cell>
        </row>
        <row r="1612">
          <cell r="B1612">
            <v>1</v>
          </cell>
          <cell r="D1612" t="str">
            <v>Excavator</v>
          </cell>
          <cell r="G1612" t="str">
            <v>Jam</v>
          </cell>
          <cell r="H1612">
            <v>1.4285714285714285E-2</v>
          </cell>
          <cell r="I1612">
            <v>354000</v>
          </cell>
          <cell r="J1612">
            <v>5057.1428571428569</v>
          </cell>
        </row>
        <row r="1613">
          <cell r="B1613">
            <v>2</v>
          </cell>
          <cell r="D1613" t="str">
            <v>Dump Truck</v>
          </cell>
          <cell r="G1613" t="str">
            <v>Jam</v>
          </cell>
          <cell r="H1613">
            <v>0.26904761904761904</v>
          </cell>
          <cell r="I1613">
            <v>194500</v>
          </cell>
          <cell r="J1613">
            <v>52329.761904761901</v>
          </cell>
        </row>
        <row r="1614">
          <cell r="B1614">
            <v>3</v>
          </cell>
          <cell r="D1614" t="str">
            <v>Wheel Loader</v>
          </cell>
          <cell r="G1614" t="str">
            <v>Jam</v>
          </cell>
          <cell r="H1614">
            <v>1.1111111111111112E-2</v>
          </cell>
          <cell r="I1614">
            <v>301500</v>
          </cell>
          <cell r="J1614">
            <v>3350</v>
          </cell>
        </row>
        <row r="1615">
          <cell r="G1615" t="str">
            <v>Jam</v>
          </cell>
          <cell r="H1615">
            <v>1.1111111111111112E-2</v>
          </cell>
          <cell r="I1615">
            <v>301500</v>
          </cell>
          <cell r="J1615">
            <v>3350</v>
          </cell>
        </row>
        <row r="1616">
          <cell r="H1616" t="str">
            <v>JUMLAH HARGA PERALATAN</v>
          </cell>
          <cell r="J1616">
            <v>60736.904761904756</v>
          </cell>
        </row>
        <row r="1617">
          <cell r="J1617">
            <v>60736.904761904756</v>
          </cell>
        </row>
        <row r="1618">
          <cell r="B1618" t="str">
            <v>D</v>
          </cell>
          <cell r="D1618" t="str">
            <v>JUMLAH ( A + B + C )</v>
          </cell>
          <cell r="J1618">
            <v>69662.981859410429</v>
          </cell>
        </row>
        <row r="1619">
          <cell r="B1619" t="str">
            <v>E</v>
          </cell>
          <cell r="D1619" t="str">
            <v>O/H + Jasa &amp; Keuntungan (15%)</v>
          </cell>
          <cell r="H1619" t="str">
            <v>:  15 % X D</v>
          </cell>
          <cell r="J1619">
            <v>10449.447278911564</v>
          </cell>
        </row>
        <row r="1620">
          <cell r="B1620" t="str">
            <v>F</v>
          </cell>
          <cell r="D1620" t="str">
            <v xml:space="preserve">HARGA SATUAN PEKERJAAN </v>
          </cell>
          <cell r="H1620" t="str">
            <v>:  ( D + E )</v>
          </cell>
          <cell r="J1620">
            <v>80112.429138321997</v>
          </cell>
        </row>
        <row r="1621">
          <cell r="B1621" t="str">
            <v>G</v>
          </cell>
          <cell r="D1621" t="str">
            <v>DIBULATKAN</v>
          </cell>
          <cell r="J1621">
            <v>80112</v>
          </cell>
        </row>
        <row r="1623">
          <cell r="J1623">
            <v>80112</v>
          </cell>
        </row>
        <row r="1624">
          <cell r="B1624" t="str">
            <v xml:space="preserve">ANALISA HARGA SATUAN </v>
          </cell>
        </row>
        <row r="1625">
          <cell r="B1625" t="str">
            <v>ANALISA HARGA SATUAN</v>
          </cell>
        </row>
        <row r="1626">
          <cell r="B1626" t="str">
            <v>PAKET PROYEK</v>
          </cell>
          <cell r="E1626" t="str">
            <v>:</v>
          </cell>
          <cell r="F1626" t="str">
            <v>KALIMANTAN TIMUR</v>
          </cell>
        </row>
        <row r="1627">
          <cell r="E1627" t="str">
            <v>:</v>
          </cell>
          <cell r="F1627" t="str">
            <v>KALIMANTAN TIMUR</v>
          </cell>
        </row>
        <row r="1628">
          <cell r="B1628" t="str">
            <v>JENIS PEKERJAAN</v>
          </cell>
          <cell r="E1628" t="str">
            <v>:</v>
          </cell>
          <cell r="F1628" t="str">
            <v>SOIL CEMENT (Rise Up dengan material tanah import termasuk semen)</v>
          </cell>
        </row>
        <row r="1629">
          <cell r="B1629" t="str">
            <v>SATUAN PEKERJAAN</v>
          </cell>
          <cell r="E1629" t="str">
            <v>:</v>
          </cell>
          <cell r="F1629" t="str">
            <v>Per M3</v>
          </cell>
        </row>
        <row r="1631">
          <cell r="E1631" t="str">
            <v>:</v>
          </cell>
          <cell r="F1631" t="str">
            <v>Per M3</v>
          </cell>
        </row>
        <row r="1632">
          <cell r="H1632" t="str">
            <v>PERKIRAAN</v>
          </cell>
          <cell r="I1632" t="str">
            <v>HARGA</v>
          </cell>
          <cell r="J1632" t="str">
            <v>JUMLAH</v>
          </cell>
        </row>
        <row r="1633">
          <cell r="B1633" t="str">
            <v>No</v>
          </cell>
          <cell r="C1633" t="str">
            <v>KOMPONEN</v>
          </cell>
          <cell r="G1633" t="str">
            <v>SAT</v>
          </cell>
          <cell r="H1633" t="str">
            <v>KUANTITAS</v>
          </cell>
          <cell r="I1633" t="str">
            <v>SATUAN</v>
          </cell>
          <cell r="J1633" t="str">
            <v>HARGA</v>
          </cell>
        </row>
        <row r="1634">
          <cell r="I1634" t="str">
            <v>(Rp)</v>
          </cell>
          <cell r="J1634" t="str">
            <v>( Rp )</v>
          </cell>
        </row>
        <row r="1635">
          <cell r="I1635" t="str">
            <v>(Rp)</v>
          </cell>
          <cell r="J1635" t="str">
            <v>( Rp )</v>
          </cell>
        </row>
        <row r="1636">
          <cell r="B1636" t="str">
            <v>A</v>
          </cell>
          <cell r="D1636" t="str">
            <v>TENAGA KERJA</v>
          </cell>
        </row>
        <row r="1637">
          <cell r="B1637">
            <v>1</v>
          </cell>
          <cell r="D1637" t="str">
            <v xml:space="preserve">Pekerja </v>
          </cell>
          <cell r="G1637" t="str">
            <v>Jam</v>
          </cell>
          <cell r="H1637">
            <v>0.55300000000000005</v>
          </cell>
          <cell r="I1637">
            <v>4285.7142857142853</v>
          </cell>
          <cell r="J1637">
            <v>2370</v>
          </cell>
        </row>
        <row r="1638">
          <cell r="B1638">
            <v>2</v>
          </cell>
          <cell r="D1638" t="str">
            <v>Mandor</v>
          </cell>
          <cell r="G1638" t="str">
            <v>Jam</v>
          </cell>
          <cell r="H1638">
            <v>9.2166666666666675E-2</v>
          </cell>
          <cell r="I1638">
            <v>3571.4285714285716</v>
          </cell>
          <cell r="J1638">
            <v>329.16666666666669</v>
          </cell>
        </row>
        <row r="1640">
          <cell r="G1640" t="str">
            <v>Jam</v>
          </cell>
          <cell r="H1640">
            <v>9.2166666666666675E-2</v>
          </cell>
          <cell r="I1640">
            <v>3571.4285714285716</v>
          </cell>
          <cell r="J1640">
            <v>329.16666666666669</v>
          </cell>
        </row>
        <row r="1641">
          <cell r="H1641" t="str">
            <v>JUMLAH HARGA TENAGA</v>
          </cell>
          <cell r="J1641">
            <v>2699.1666666666665</v>
          </cell>
        </row>
        <row r="1642">
          <cell r="J1642">
            <v>2699.1666666666665</v>
          </cell>
        </row>
        <row r="1643">
          <cell r="B1643" t="str">
            <v>B</v>
          </cell>
          <cell r="D1643" t="str">
            <v>BAHAN</v>
          </cell>
        </row>
        <row r="1644">
          <cell r="B1644">
            <v>1</v>
          </cell>
          <cell r="D1644" t="str">
            <v>Semen</v>
          </cell>
          <cell r="G1644" t="str">
            <v>Kg</v>
          </cell>
          <cell r="H1644">
            <v>227.99295774647894</v>
          </cell>
          <cell r="I1644">
            <v>21255.024255348868</v>
          </cell>
          <cell r="J1644">
            <v>4845995.8469501389</v>
          </cell>
        </row>
        <row r="1645">
          <cell r="B1645">
            <v>2</v>
          </cell>
          <cell r="D1645" t="str">
            <v>Terpal</v>
          </cell>
          <cell r="G1645" t="str">
            <v>M2</v>
          </cell>
          <cell r="H1645">
            <v>1E-3</v>
          </cell>
          <cell r="I1645">
            <v>75000</v>
          </cell>
          <cell r="J1645">
            <v>75</v>
          </cell>
        </row>
        <row r="1646">
          <cell r="B1646">
            <v>3</v>
          </cell>
          <cell r="D1646" t="str">
            <v>Tanah untuk soil semen</v>
          </cell>
          <cell r="G1646" t="str">
            <v>M3</v>
          </cell>
          <cell r="H1646">
            <v>1.2</v>
          </cell>
          <cell r="I1646">
            <v>69662.981859410429</v>
          </cell>
          <cell r="J1646">
            <v>83595.578231292515</v>
          </cell>
        </row>
        <row r="1647">
          <cell r="G1647" t="str">
            <v>M3</v>
          </cell>
          <cell r="H1647">
            <v>1.2</v>
          </cell>
          <cell r="I1647">
            <v>69662.981859410429</v>
          </cell>
          <cell r="J1647">
            <v>83595.578231292515</v>
          </cell>
        </row>
        <row r="1648">
          <cell r="H1648" t="str">
            <v>JUMLAH HARGA BAHAN</v>
          </cell>
          <cell r="J1648">
            <v>4929666.4251814317</v>
          </cell>
        </row>
        <row r="1649">
          <cell r="J1649">
            <v>4929666.4251814317</v>
          </cell>
        </row>
        <row r="1650">
          <cell r="B1650" t="str">
            <v>C</v>
          </cell>
          <cell r="D1650" t="str">
            <v>PERALATAN</v>
          </cell>
        </row>
        <row r="1651">
          <cell r="B1651">
            <v>1</v>
          </cell>
          <cell r="D1651" t="str">
            <v>Soil Stabilizer</v>
          </cell>
          <cell r="G1651" t="str">
            <v>Jam</v>
          </cell>
          <cell r="H1651">
            <v>8.0000000000000002E-3</v>
          </cell>
          <cell r="I1651">
            <v>2661907.2727272725</v>
          </cell>
          <cell r="J1651">
            <v>21295.258181818179</v>
          </cell>
        </row>
        <row r="1652">
          <cell r="B1652">
            <v>2</v>
          </cell>
          <cell r="D1652" t="str">
            <v>Water Tank Truck</v>
          </cell>
          <cell r="G1652" t="str">
            <v>Jam</v>
          </cell>
          <cell r="H1652">
            <v>7.4999999999999997E-3</v>
          </cell>
          <cell r="I1652">
            <v>34000</v>
          </cell>
          <cell r="J1652">
            <v>255</v>
          </cell>
        </row>
        <row r="1653">
          <cell r="B1653">
            <v>3</v>
          </cell>
          <cell r="D1653" t="str">
            <v>Pad foot Roller</v>
          </cell>
          <cell r="G1653" t="str">
            <v>Jam</v>
          </cell>
          <cell r="H1653">
            <v>0.02</v>
          </cell>
          <cell r="I1653">
            <v>280000</v>
          </cell>
          <cell r="J1653">
            <v>5600</v>
          </cell>
        </row>
        <row r="1654">
          <cell r="B1654">
            <v>4</v>
          </cell>
          <cell r="D1654" t="str">
            <v>Vibratory Roller</v>
          </cell>
          <cell r="G1654" t="str">
            <v>Jam</v>
          </cell>
          <cell r="H1654">
            <v>2.5000000000000001E-2</v>
          </cell>
          <cell r="I1654">
            <v>280000</v>
          </cell>
          <cell r="J1654">
            <v>7000</v>
          </cell>
        </row>
        <row r="1655">
          <cell r="B1655">
            <v>5</v>
          </cell>
          <cell r="D1655" t="str">
            <v>Pneumatic Tire Roller</v>
          </cell>
          <cell r="G1655" t="str">
            <v>Jam</v>
          </cell>
          <cell r="H1655">
            <v>2.5000000000000001E-2</v>
          </cell>
          <cell r="I1655">
            <v>280000</v>
          </cell>
          <cell r="J1655">
            <v>7000</v>
          </cell>
        </row>
        <row r="1656">
          <cell r="B1656">
            <v>6</v>
          </cell>
          <cell r="D1656" t="str">
            <v>Motor Grader</v>
          </cell>
          <cell r="G1656" t="str">
            <v>Jam</v>
          </cell>
          <cell r="H1656">
            <v>6.6666666666666671E-3</v>
          </cell>
          <cell r="I1656">
            <v>345500</v>
          </cell>
          <cell r="J1656">
            <v>2303.3333333333335</v>
          </cell>
        </row>
        <row r="1657">
          <cell r="B1657">
            <v>7</v>
          </cell>
          <cell r="D1657" t="str">
            <v>Alat Bantu</v>
          </cell>
          <cell r="G1657" t="str">
            <v>Ls</v>
          </cell>
          <cell r="H1657">
            <v>1</v>
          </cell>
          <cell r="I1657">
            <v>100</v>
          </cell>
          <cell r="J1657">
            <v>100</v>
          </cell>
        </row>
        <row r="1658">
          <cell r="G1658" t="str">
            <v>Ls</v>
          </cell>
          <cell r="H1658">
            <v>1</v>
          </cell>
          <cell r="I1658">
            <v>100</v>
          </cell>
          <cell r="J1658">
            <v>100</v>
          </cell>
        </row>
        <row r="1659">
          <cell r="H1659" t="str">
            <v>JUMLAH HARGA PERALATAN</v>
          </cell>
          <cell r="J1659">
            <v>43553.591515151515</v>
          </cell>
        </row>
        <row r="1660">
          <cell r="J1660">
            <v>43553.591515151515</v>
          </cell>
        </row>
        <row r="1661">
          <cell r="B1661" t="str">
            <v>D</v>
          </cell>
          <cell r="D1661" t="str">
            <v>JUMLAH ( A + B + C )</v>
          </cell>
          <cell r="J1661">
            <v>4975919.1833632505</v>
          </cell>
        </row>
        <row r="1662">
          <cell r="B1662" t="str">
            <v>E</v>
          </cell>
          <cell r="D1662" t="str">
            <v>O/H + Jasa &amp; Keuntungan (15%)</v>
          </cell>
          <cell r="H1662" t="str">
            <v>:  15 % X D</v>
          </cell>
          <cell r="J1662">
            <v>746387.87750448752</v>
          </cell>
        </row>
        <row r="1663">
          <cell r="B1663" t="str">
            <v>F</v>
          </cell>
          <cell r="D1663" t="str">
            <v xml:space="preserve">HARGA SATUAN PEKERJAAN </v>
          </cell>
          <cell r="H1663" t="str">
            <v>:  ( D + E )</v>
          </cell>
          <cell r="J1663">
            <v>5722307.060867738</v>
          </cell>
        </row>
        <row r="1664">
          <cell r="B1664" t="str">
            <v>G</v>
          </cell>
          <cell r="D1664" t="str">
            <v>DIBULATKAN</v>
          </cell>
          <cell r="J1664">
            <v>5722307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>
        <row r="1459">
          <cell r="B1459" t="str">
            <v xml:space="preserve">ANALISA HARGA SATUAN </v>
          </cell>
        </row>
      </sheetData>
      <sheetData sheetId="559"/>
      <sheetData sheetId="560">
        <row r="1459">
          <cell r="B1459" t="str">
            <v xml:space="preserve">ANALISA HARGA SATUAN </v>
          </cell>
        </row>
      </sheetData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/>
      <sheetData sheetId="109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th AC Base nego"/>
      <sheetName val="Ana AC Base Nego"/>
      <sheetName val="analisa nego"/>
      <sheetName val="data kontrak"/>
      <sheetName val="ch"/>
      <sheetName val="srt"/>
      <sheetName val="Rekap PNW"/>
      <sheetName val="BOQ PNW"/>
      <sheetName val="Major"/>
      <sheetName val="Ana Pnw"/>
      <sheetName val="meth Pnw"/>
      <sheetName val="HSD"/>
      <sheetName val="PNW vs NEGO"/>
      <sheetName val="MOS"/>
      <sheetName val="Sche."/>
      <sheetName val="MOB"/>
      <sheetName val="Ana Hasil nego"/>
      <sheetName val="meth hsl nego"/>
      <sheetName val="Ana-K.250"/>
      <sheetName val="Meth-K.250"/>
      <sheetName val="Alat"/>
      <sheetName val="Staf"/>
      <sheetName val="Pengurus"/>
      <sheetName val="Pemilik"/>
      <sheetName val="Sub."/>
      <sheetName val="Sipil"/>
      <sheetName val="Ana Tack C"/>
      <sheetName val="Meth Tack C"/>
      <sheetName val="cost-alat"/>
      <sheetName val="Conf."/>
      <sheetName val="COV"/>
      <sheetName val="WORD"/>
      <sheetName val="S.ALAT"/>
      <sheetName val="S.ALAT.2"/>
      <sheetName val="Bobot"/>
      <sheetName val="OE vs FE "/>
      <sheetName val="BOQ Pamanukan"/>
      <sheetName val="WORD nego"/>
      <sheetName val="Pnw vs RAP"/>
      <sheetName val="Kuantitas &amp; Harga"/>
      <sheetName val="HRG BHN"/>
      <sheetName val="PEKERJAAN PERSIAPAN"/>
      <sheetName val="Ans Kom Precast"/>
      <sheetName val="PJ"/>
      <sheetName val="UPAH &amp; BHN"/>
      <sheetName val="5-Peralatan"/>
      <sheetName val="Lt 1"/>
      <sheetName val="ANALISA"/>
      <sheetName val="Markup"/>
      <sheetName val="D &amp; W sizes"/>
      <sheetName val="ES STG"/>
      <sheetName val="RAB"/>
      <sheetName val="harga"/>
      <sheetName val="BQ"/>
      <sheetName val="Meto"/>
      <sheetName val="K210"/>
      <sheetName val="BQ-E20-02(Rp)"/>
      <sheetName val="UPH &amp; BHN"/>
      <sheetName val="B.T"/>
      <sheetName val="3-DIV5"/>
      <sheetName val="BOQ-Indonesia"/>
      <sheetName val="Analisa "/>
      <sheetName val="Analisa HSP"/>
      <sheetName val="hsp_STR_A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-Rutin"/>
      <sheetName val="Analisa HSP"/>
      <sheetName val="Kuantitas"/>
    </sheetNames>
    <sheetDataSet>
      <sheetData sheetId="0"/>
      <sheetData sheetId="1" refreshError="1"/>
      <sheetData sheetId="2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ta peralatan"/>
      <sheetName val="data personalia"/>
      <sheetName val="pengalaman"/>
      <sheetName val="neraca"/>
      <sheetName val="SKN "/>
      <sheetName val="isian kualifikasi"/>
      <sheetName val="Surat Minat"/>
      <sheetName val="Surat penawaran"/>
      <sheetName val="Div1"/>
      <sheetName val="Div2"/>
      <sheetName val="Div 2"/>
      <sheetName val="Div3"/>
      <sheetName val="Div5"/>
      <sheetName val="Div4"/>
      <sheetName val="Div8b"/>
      <sheetName val="Div 6"/>
      <sheetName val="Div 7"/>
      <sheetName val="Div 8"/>
      <sheetName val="USULAN PSONIL INTI&amp;PERALATAN"/>
      <sheetName val="DAFTAR SEWA ALAT"/>
      <sheetName val="JADUAL"/>
      <sheetName val="KNTRK YG DISELEKSI"/>
      <sheetName val="CVER PENAWARAN"/>
      <sheetName val="DAFTAR LAMPIRAN"/>
      <sheetName val="SKon"/>
      <sheetName val="Kapasitas AMP.S.C"/>
      <sheetName val="cover temp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rat"/>
      <sheetName val="Div1"/>
      <sheetName val="Div2"/>
      <sheetName val="Div 2"/>
      <sheetName val="Div3"/>
      <sheetName val="Div5"/>
      <sheetName val="Div4"/>
      <sheetName val="Div8b"/>
      <sheetName val="Div 6"/>
      <sheetName val="Div 7"/>
      <sheetName val="Div 8"/>
      <sheetName val="Jadwal"/>
      <sheetName val="Utama"/>
      <sheetName val="Lamp8"/>
      <sheetName val="Lamp"/>
      <sheetName val="SKon"/>
      <sheetName val="Kapasitas AMP.S.C"/>
      <sheetName val="Staf"/>
      <sheetName val="Al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"/>
      <sheetName val="SRT"/>
      <sheetName val="SCH"/>
      <sheetName val="REK"/>
      <sheetName val="BOQ"/>
      <sheetName val="MJR"/>
      <sheetName val="HSD"/>
      <sheetName val="ANA"/>
      <sheetName val="MET"/>
      <sheetName val="MOS"/>
      <sheetName val="RTN"/>
      <sheetName val="ALT"/>
      <sheetName val="STF"/>
      <sheetName val="SUB"/>
      <sheetName val="DLM"/>
      <sheetName val="ana alat"/>
      <sheetName val="LMP.1"/>
      <sheetName val="LMP.2"/>
      <sheetName val="IND"/>
      <sheetName val="TM"/>
      <sheetName val="kon"/>
      <sheetName val="Anls Bahan"/>
      <sheetName val="Catatan"/>
      <sheetName val="DivVII"/>
      <sheetName val="rumus"/>
      <sheetName val="HARGA ALAT"/>
      <sheetName val="Analisa HSP"/>
      <sheetName val="huruf"/>
      <sheetName val="Bill-2"/>
      <sheetName val="RAB"/>
      <sheetName val="Material"/>
      <sheetName val="rab me (by owner) "/>
      <sheetName val="BQ (by owner)"/>
      <sheetName val="rab me (fisik)"/>
      <sheetName val="S_DAYA"/>
      <sheetName val="DPU"/>
      <sheetName val="INPUT"/>
      <sheetName val="ANALISA"/>
      <sheetName val="HARGA BAHAN"/>
      <sheetName val="ANL TOREN"/>
      <sheetName val="PENYUSUTAN ALAT"/>
      <sheetName val="Basic Price"/>
      <sheetName val="DIV.1"/>
      <sheetName val="cover"/>
      <sheetName val="meth hsl nego"/>
      <sheetName val="databest"/>
      <sheetName val="Vol Sipil &amp; Ars"/>
      <sheetName val="Cash Flow bulanan"/>
      <sheetName val="Sheet1"/>
      <sheetName val="4-Basic Price"/>
      <sheetName val="Harga Satuan Dasar"/>
      <sheetName val="HARGA RATA"/>
      <sheetName val="Kuantitas &amp; Harga"/>
      <sheetName val="HRG BHN"/>
      <sheetName val="HST"/>
      <sheetName val="AN"/>
      <sheetName val="BQ_E20_02_Rp_"/>
    </sheetNames>
    <sheetDataSet>
      <sheetData sheetId="0" refreshError="1">
        <row r="29">
          <cell r="C29" t="str">
            <v>PT. SENECA INDONESIA</v>
          </cell>
        </row>
        <row r="31">
          <cell r="C31" t="str">
            <v>I S K A K   E F F E R I 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 Biaya"/>
      <sheetName val="Kuantitas &amp; Harga"/>
      <sheetName val="Vol"/>
      <sheetName val="Sketsa Takaras 1"/>
      <sheetName val="CROSS"/>
      <sheetName val="Pas. Batu"/>
      <sheetName val="Pekerjaan Utama"/>
      <sheetName val="%"/>
      <sheetName val="Compatibility Rep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Q Kontrak"/>
      <sheetName val="Kronologi"/>
      <sheetName val="Sheet1 (2)"/>
      <sheetName val="INFO"/>
      <sheetName val="Data-Kont"/>
      <sheetName val="M-ITEM"/>
      <sheetName val="UPAH&amp;BHN"/>
      <sheetName val="BOP"/>
      <sheetName val="ANALISA"/>
      <sheetName val="RAB"/>
      <sheetName val="Surat-Pen"/>
      <sheetName val="REKAP"/>
      <sheetName val="SCHEDULE"/>
      <sheetName val="METHOD"/>
      <sheetName val="ON-SITE"/>
      <sheetName val="SUB-KONTR"/>
      <sheetName val="T-TERIMA"/>
      <sheetName val="LIST"/>
      <sheetName val="s-inti"/>
      <sheetName val="SPernyataan"/>
      <sheetName val="d-alat"/>
      <sheetName val="Bangunan Utama"/>
      <sheetName val="DIV.1"/>
      <sheetName val="DIV_1"/>
      <sheetName val="H.Satuan"/>
      <sheetName val="HARGA"/>
      <sheetName val="Elektrikal"/>
      <sheetName val="SAT-UP"/>
      <sheetName val="SBhn"/>
      <sheetName val="HARGA SATUAN"/>
      <sheetName val="PEK. DINDING"/>
      <sheetName val="PEK. LANTAI"/>
      <sheetName val="PEK.PENGECATAN"/>
      <sheetName val="PEK. TANAH"/>
      <sheetName val="SATUAN PEKERJAAN"/>
      <sheetName val="PEK. PLAFOND"/>
      <sheetName val="PEK. PASANGAN"/>
      <sheetName val="PEK KUSEN"/>
      <sheetName val="PEK.PENUTUP ATAP"/>
      <sheetName val="RAB.DETAIL"/>
      <sheetName val="Anal"/>
      <sheetName val="Fak"/>
      <sheetName val="Rek-Tot"/>
      <sheetName val="hsd"/>
      <sheetName val="HB "/>
      <sheetName val="SAT-DAS"/>
      <sheetName val="S_CURVE"/>
      <sheetName val="DAFTAR ISI"/>
      <sheetName val="cover"/>
      <sheetName val="Rincian"/>
      <sheetName val="BQ_E20_02_Rp_"/>
      <sheetName val="Analisa 2"/>
      <sheetName val="divI"/>
      <sheetName val="Kuantitas &amp; Harga"/>
      <sheetName val="Rek-Analisa"/>
      <sheetName val="Urugan Pasir"/>
      <sheetName val="faktor"/>
      <sheetName val="index"/>
      <sheetName val="4-Basic Price"/>
      <sheetName val="C.1"/>
      <sheetName val="C.10"/>
      <sheetName val="C.11"/>
      <sheetName val="C.12"/>
      <sheetName val="C.13"/>
      <sheetName val="C.14"/>
      <sheetName val="C.15"/>
      <sheetName val="C.16"/>
      <sheetName val="C.17"/>
      <sheetName val="C.19"/>
      <sheetName val="C.20"/>
      <sheetName val="C.21"/>
      <sheetName val="C.22"/>
      <sheetName val="C.23"/>
      <sheetName val="C.24"/>
      <sheetName val="C.25"/>
      <sheetName val="C.6"/>
      <sheetName val="C.7"/>
      <sheetName val="C.8"/>
      <sheetName val="C.9"/>
      <sheetName val="dft-harga"/>
      <sheetName val="Tabels"/>
      <sheetName val="Peralatan"/>
      <sheetName val="Analisa HSP"/>
      <sheetName val="LS-Rutin"/>
      <sheetName val="D7(1)"/>
      <sheetName val="dasar"/>
      <sheetName val="harga upah"/>
      <sheetName val="A"/>
      <sheetName val="PERNYA-INTI"/>
      <sheetName val="5-ALAT(1)"/>
      <sheetName val="BHN&amp;TNG"/>
      <sheetName val="BOQ"/>
      <sheetName val="Biaya alat"/>
      <sheetName val="daf-3(OK)"/>
      <sheetName val="daf-7(OK)"/>
      <sheetName val="Analisa Quarry"/>
      <sheetName val="NP-10"/>
      <sheetName val="NP-6"/>
      <sheetName val="NP-7"/>
      <sheetName val="NP-8"/>
      <sheetName val="HSLAIN-LAIN"/>
      <sheetName val="Div2"/>
      <sheetName val="Peralatan (2)"/>
      <sheetName val="Perm. Test"/>
      <sheetName val="NP"/>
      <sheetName val="Input"/>
      <sheetName val="BHN"/>
      <sheetName val=" HARGA"/>
      <sheetName val="BOQ_Kontrak"/>
      <sheetName val="Sheet1_(2)"/>
      <sheetName val="MAP"/>
      <sheetName val="Budget"/>
      <sheetName val="Operasional Alat"/>
      <sheetName val="uraian peralatan"/>
      <sheetName val="Hsatbahan"/>
      <sheetName val="data"/>
      <sheetName val="ANA-PEK"/>
      <sheetName val="B-P"/>
      <sheetName val="ANTEK-AGGA"/>
      <sheetName val="BD-LS"/>
      <sheetName val="BQ"/>
      <sheetName val="alat"/>
      <sheetName val="Aggr"/>
      <sheetName val="Basic Price"/>
      <sheetName val="MASTER"/>
      <sheetName val="HRS-ATB"/>
      <sheetName val="ANTEK-PRIME"/>
      <sheetName val="ANTEK-TIMB"/>
      <sheetName val="841"/>
      <sheetName val="311"/>
      <sheetName val="analt"/>
      <sheetName val="div-8"/>
      <sheetName val="DivVII"/>
      <sheetName val="Daftar Harga"/>
      <sheetName val="HRG-SATUAN"/>
      <sheetName val="ASAT"/>
      <sheetName val="Sheet2"/>
      <sheetName val="Daf 1"/>
      <sheetName val="pvc"/>
      <sheetName val="D7"/>
      <sheetName val="Alat R"/>
      <sheetName val="Sheet15"/>
      <sheetName val="bahan"/>
      <sheetName val="keb-BHN"/>
      <sheetName val="Satuan Bahan &amp; Upah"/>
      <sheetName val="m schedule"/>
      <sheetName val="HARGA SATUAN  "/>
      <sheetName val="Harsat Upah"/>
      <sheetName val="Harsat Bahan"/>
      <sheetName val="REQDELTA"/>
      <sheetName val="hargaSatuan"/>
      <sheetName val="rumus"/>
      <sheetName val="Kuantitas_Harga"/>
      <sheetName val="DKH"/>
      <sheetName val="1007_7_2"/>
      <sheetName val="RINCIAN HAR06"/>
      <sheetName val="H-Dasar-Bahan"/>
      <sheetName val="SELISIH HARGA"/>
      <sheetName val="OFFICE 2 LT"/>
      <sheetName val="ANALIS-ALAT"/>
      <sheetName val="AN-HSD"/>
      <sheetName val="AN-Agregat"/>
      <sheetName val="Anls Alat"/>
      <sheetName val="Anls BPJK"/>
      <sheetName val="Harga sewa Alat"/>
      <sheetName val="TABEL LABOR"/>
      <sheetName val="TIMES"/>
      <sheetName val="REKAP.TKDN"/>
      <sheetName val="analis"/>
      <sheetName val="hrg stn"/>
      <sheetName val="Data PJ"/>
      <sheetName val="2.1"/>
      <sheetName val="6.3(6)tkt"/>
      <sheetName val="div7"/>
      <sheetName val="Harga Dasar"/>
      <sheetName val="Srt-Pengantar"/>
      <sheetName val=" AnaBah"/>
      <sheetName val="TRAFFIC"/>
      <sheetName val="5-Analisa Peralatan"/>
      <sheetName val="HRG BHN"/>
      <sheetName val="CH"/>
      <sheetName val="H_Satuan"/>
      <sheetName val="harsat"/>
      <sheetName val="RAPA"/>
      <sheetName val="notasi"/>
      <sheetName val="Agregat ABC"/>
      <sheetName val="Progres Rasio LR"/>
      <sheetName val="DATA PROYEK"/>
      <sheetName val="Analisa Harsat CCO Intern"/>
      <sheetName val="Analisa Harsat"/>
      <sheetName val="AnHarSat Real Saat Ini"/>
      <sheetName val="AnHarSat Real Sd Saat Lalu"/>
      <sheetName val="BUL"/>
      <sheetName val="Pengadaan Bahan"/>
      <sheetName val="Daftar Alat"/>
      <sheetName val="K5"/>
      <sheetName val="Pemakaian Bahan"/>
      <sheetName val="Volume Intern"/>
      <sheetName val="RAP"/>
      <sheetName val="Progress Ekstern"/>
      <sheetName val="Laporan Harian"/>
      <sheetName val="Hrn I"/>
      <sheetName val="Hrn II"/>
      <sheetName val="Hrn III"/>
      <sheetName val="Harsat Alat"/>
      <sheetName val="Harsat SubKon"/>
      <sheetName val="Schedule UBA"/>
      <sheetName val="Rekap K5"/>
      <sheetName val="Biaya LONSTAD"/>
      <sheetName val="Laporan Mingguan"/>
      <sheetName val="Rekap MC"/>
      <sheetName val="Volume Mingguan"/>
      <sheetName val="Laporan Bulanan"/>
      <sheetName val="Schedule Intern"/>
      <sheetName val="Rekap Sisa Bahan"/>
      <sheetName val="EARNED VALUE"/>
      <sheetName val="Isolasi Luar Dalam"/>
      <sheetName val="Isolasi Luar"/>
      <sheetName val="UP MINOR"/>
      <sheetName val="AC-BC"/>
      <sheetName val="lev"/>
      <sheetName val="add.wc"/>
      <sheetName val="EQ_an"/>
      <sheetName val="AB"/>
      <sheetName val="Bill rekap"/>
      <sheetName val="Bill of Qty"/>
      <sheetName val="UPAH &amp; BAHAN"/>
      <sheetName val="meth hsl nego"/>
      <sheetName val="DIV.2"/>
      <sheetName val="Meto"/>
      <sheetName val="(ANALISA-lain)"/>
      <sheetName val="DAF-KUAN"/>
      <sheetName val="VOLUM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 Harga"/>
      <sheetName val="Sum"/>
      <sheetName val="Daf 1"/>
      <sheetName val="Daf 2"/>
      <sheetName val="Daf 3"/>
      <sheetName val="Daf 4"/>
      <sheetName val="KLA"/>
      <sheetName val="LAMP-AO"/>
      <sheetName val="LAM-C"/>
      <sheetName val="LAM-A&amp;B"/>
      <sheetName val="INFO"/>
      <sheetName val="CAT_HRG"/>
      <sheetName val="TOTAL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DAF-14"/>
      <sheetName val="DAF-15"/>
      <sheetName val="DAF-16"/>
      <sheetName val="REKAP ME"/>
      <sheetName val="PENDAHULUAN (ME)"/>
      <sheetName val="HYD KT"/>
      <sheetName val="HYDRANT"/>
      <sheetName val="SPR KT"/>
      <sheetName val="SPRINKLER"/>
      <sheetName val="PL KT"/>
      <sheetName val="PLUMBING"/>
      <sheetName val="Pipe"/>
      <sheetName val="valve "/>
      <sheetName val="Fitt"/>
      <sheetName val="sch"/>
      <sheetName val="Sheet5"/>
      <sheetName val="Sheet1"/>
      <sheetName val="Dafmat"/>
      <sheetName val="CP-2"/>
      <sheetName val="4-HSD"/>
      <sheetName val="R1"/>
      <sheetName val="R2"/>
      <sheetName val="R3"/>
      <sheetName val="R4"/>
      <sheetName val="R5"/>
      <sheetName val="R6"/>
      <sheetName val="R7"/>
      <sheetName val="R8"/>
      <sheetName val="R10"/>
      <sheetName val="HSBU ANA"/>
      <sheetName val="bahan"/>
      <sheetName val="rumus"/>
      <sheetName val="LBK1"/>
      <sheetName val="BOQ EXTERN"/>
      <sheetName val="BOQ INTERN"/>
      <sheetName val="SCHEDULE"/>
      <sheetName val="Sumber Daya"/>
      <sheetName val="database"/>
      <sheetName val="TOWN"/>
      <sheetName val="BAG-2"/>
      <sheetName val="upah"/>
      <sheetName val="Pek. Tanah"/>
      <sheetName val="Pek. Pondasi"/>
      <sheetName val="Pek. Dinding"/>
      <sheetName val="Pek. Plesteran"/>
      <sheetName val="Pek. Kayu"/>
      <sheetName val="Pek. Beton"/>
      <sheetName val="Pek. Penutup Atap"/>
      <sheetName val="Pek. Langit-langit"/>
      <sheetName val="Pek. Sanitasi"/>
      <sheetName val="Pek. Besi &amp; Alumunium"/>
      <sheetName val="Pek. Kunci &amp; Kaca"/>
      <sheetName val="Pek. Penutup Lantai &amp; dinding"/>
      <sheetName val="Pek. Pengecatan"/>
      <sheetName val="BAG_2"/>
      <sheetName val="Cover"/>
      <sheetName val="daffin"/>
      <sheetName val="harsat"/>
      <sheetName val="satuan_pek_str"/>
      <sheetName val="BTL-Persiapan"/>
      <sheetName val="BTL-Bau"/>
      <sheetName val="BTL-alat"/>
      <sheetName val="BTL-Rupa"/>
      <sheetName val="I_KAMAR"/>
      <sheetName val="I-KAMAR"/>
      <sheetName val="Mall"/>
      <sheetName val="Analisa Harga Satuan"/>
      <sheetName val="RC-ANL"/>
      <sheetName val="HSATUAN"/>
      <sheetName val="Material"/>
      <sheetName val="Traf&amp;Genst"/>
      <sheetName val="An Arsitektur"/>
      <sheetName val="An Struktur"/>
      <sheetName val="BOQ"/>
      <sheetName val="Unit Rate"/>
      <sheetName val="Cat_Harga1"/>
      <sheetName val="Daf_11"/>
      <sheetName val="Daf_21"/>
      <sheetName val="Daf_31"/>
      <sheetName val="Daf_41"/>
      <sheetName val="REKAP_ME1"/>
      <sheetName val="PENDAHULUAN_(ME)1"/>
      <sheetName val="HYD_KT1"/>
      <sheetName val="SPR_KT1"/>
      <sheetName val="PL_KT1"/>
      <sheetName val="valve_1"/>
      <sheetName val="Cat_Harga"/>
      <sheetName val="Daf_1"/>
      <sheetName val="Daf_2"/>
      <sheetName val="Daf_3"/>
      <sheetName val="Daf_4"/>
      <sheetName val="REKAP_ME"/>
      <sheetName val="PENDAHULUAN_(ME)"/>
      <sheetName val="HYD_KT"/>
      <sheetName val="SPR_KT"/>
      <sheetName val="PL_KT"/>
      <sheetName val="valve_"/>
      <sheetName val="RC-ANLPP"/>
      <sheetName val="Anl"/>
      <sheetName val="ES_PARK"/>
      <sheetName val="ME Mall"/>
      <sheetName val="Bahan "/>
      <sheetName val="Pekerjaan "/>
      <sheetName val="ANALISA ALAT BERAT"/>
      <sheetName val="Ana"/>
      <sheetName val="Analisa Upah &amp; Bahan Plum"/>
      <sheetName val="NAME"/>
      <sheetName val="Daftar Harga Material"/>
      <sheetName val="daf-3(OK)"/>
      <sheetName val="daf-7(OK)"/>
      <sheetName val="Prelim"/>
      <sheetName val="Analisa ME "/>
      <sheetName val="Direct Cost"/>
      <sheetName val="Analisa -Baku"/>
      <sheetName val="Daftar Harga"/>
      <sheetName val="rab - persiapan &amp; lantai-1"/>
      <sheetName val="RAB Triduta"/>
      <sheetName val="analisa"/>
      <sheetName val="ana_str"/>
      <sheetName val="Hargamat"/>
      <sheetName val="A"/>
      <sheetName val="STRUKTUR"/>
      <sheetName val="ARSITEKTUR"/>
      <sheetName val="Alat"/>
      <sheetName val="Analisa Gabungan"/>
      <sheetName val="Sub"/>
      <sheetName val="HB "/>
      <sheetName val="Unit Price"/>
      <sheetName val="DUCTING "/>
      <sheetName val="6_9D_W"/>
      <sheetName val="6_10__I"/>
      <sheetName val="2_12PA"/>
      <sheetName val="2_1P"/>
      <sheetName val="2_3C"/>
      <sheetName val="2_4F"/>
      <sheetName val="Isolasi Luar Dalam"/>
      <sheetName val="Isolasi Luar"/>
      <sheetName val="harga dasar"/>
      <sheetName val="FINISHING"/>
      <sheetName val="Grand total"/>
      <sheetName val="RAB"/>
      <sheetName val="I-ME"/>
      <sheetName val="data"/>
      <sheetName val="D4"/>
      <sheetName val="D6"/>
      <sheetName val="D7"/>
      <sheetName val="D8"/>
      <sheetName val=" R A B"/>
      <sheetName val="Harsat Upah"/>
      <sheetName val="Perhitungan Besi"/>
      <sheetName val="BQ-E20-02(Rp)"/>
      <sheetName val="atap"/>
      <sheetName val="Genst"/>
      <sheetName val="Hrg"/>
      <sheetName val="hs-str"/>
      <sheetName val="REKAP_Akap"/>
      <sheetName val="H Satuan Dasar"/>
      <sheetName val="Bill-2"/>
      <sheetName val="R A B"/>
      <sheetName val="anal"/>
      <sheetName val="Elektrikal"/>
      <sheetName val="Harga Bahan"/>
      <sheetName val="Harga ME "/>
      <sheetName val="DAFTAR NO_8"/>
      <sheetName val="H.Satuan"/>
      <sheetName val="Sheet1 (2)"/>
      <sheetName val="ANALISA HARGA "/>
      <sheetName val="FORM X COST"/>
      <sheetName val="Trafo"/>
      <sheetName val="Elekt"/>
      <sheetName val="Rekap TamKur"/>
      <sheetName val="DAF_5_1"/>
      <sheetName val="DAF_5_2"/>
      <sheetName val="Lt. Dasar"/>
      <sheetName val="Faktor"/>
      <sheetName val="Lt. 2 "/>
      <sheetName val="Kode plat"/>
      <sheetName val="AN_Kusen"/>
      <sheetName val="AN_Tdr"/>
      <sheetName val="Rekap Total"/>
      <sheetName val="Tangga"/>
      <sheetName val="BOQ_EXTERN"/>
      <sheetName val="BOQ_INTERN"/>
      <sheetName val="Sumber_Daya"/>
      <sheetName val="Pek__Tanah"/>
      <sheetName val="Pek__Pondasi"/>
      <sheetName val="Pek__Dinding"/>
      <sheetName val="Pek__Plesteran"/>
      <sheetName val="Pek__Kayu"/>
      <sheetName val="Pek__Beton"/>
      <sheetName val="Pek__Penutup_Atap"/>
      <sheetName val="Pek__Langit-langit"/>
      <sheetName val="Pek__Sanitasi"/>
      <sheetName val="Pek__Besi_&amp;_Alumunium"/>
      <sheetName val="Pek__Kunci_&amp;_Kaca"/>
      <sheetName val="Pek__Penutup_Lantai_&amp;_dinding"/>
      <sheetName val="Pek__Pengecatan"/>
      <sheetName val="AC"/>
      <sheetName val="Hit Vol Str Jambi"/>
      <sheetName val="Packet"/>
      <sheetName val="a.h ars sum"/>
      <sheetName val="Sanitair"/>
      <sheetName val="a.h str"/>
      <sheetName val="har-sat"/>
      <sheetName val="a.h ars"/>
      <sheetName val="HAL-1"/>
      <sheetName val="hasat"/>
      <sheetName val="Sheet3"/>
      <sheetName val="Harga Satuan"/>
      <sheetName val="analt"/>
      <sheetName val="Cover Daf-2"/>
      <sheetName val="STR"/>
      <sheetName val="p_luar"/>
      <sheetName val="RINC FIN T4  _3_"/>
      <sheetName val="RINC FIN T4  _2_"/>
      <sheetName val="fin SB"/>
      <sheetName val="FIN PARKIR"/>
      <sheetName val="RINC FIN T4 "/>
      <sheetName val="EXTERNAL WORK"/>
      <sheetName val="Harga"/>
      <sheetName val="Harga "/>
      <sheetName val="Pipa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HIDRO"/>
      <sheetName val="Cover Daf_2"/>
      <sheetName val="daf_3_OK_"/>
      <sheetName val="PERALATAN AHU"/>
      <sheetName val="AIR CURTAIN"/>
      <sheetName val="DIFFUSER &amp; GRILLE "/>
      <sheetName val="PERALATAN EVB+CU"/>
      <sheetName val="PERALATAN FAN"/>
      <sheetName val="KATUP-KATUP"/>
      <sheetName val="BASIC"/>
      <sheetName val="ANA-HRG"/>
      <sheetName val="Agregat Halus &amp; Kasar"/>
      <sheetName val="Hsatbahan"/>
      <sheetName val="BasicPrice"/>
      <sheetName val="dinding"/>
      <sheetName val="rekap RAP"/>
      <sheetName val="cash flow"/>
      <sheetName val="RAP"/>
      <sheetName val="Tawar"/>
      <sheetName val="HARGA ALAT"/>
      <sheetName val="ahs-pipapl"/>
      <sheetName val="Anls FA (Inst)"/>
      <sheetName val="HRG BHN"/>
      <sheetName val="Standard Room Deluxe Queen"/>
      <sheetName val="AN-LANTAI"/>
      <sheetName val="AN-KUSEN"/>
      <sheetName val="AN-PLAFOND"/>
      <sheetName val="AN-GRC"/>
      <sheetName val="AN-RAILING"/>
      <sheetName val="ESCON"/>
      <sheetName val="Fire Fighting"/>
      <sheetName val="daf_7_OK_"/>
      <sheetName val="Ahs.2"/>
      <sheetName val="Ahs.1"/>
      <sheetName val="#REF!"/>
      <sheetName val="H.SAT"/>
      <sheetName val="AHSbj"/>
      <sheetName val="Rekap Harga Satuan"/>
      <sheetName val="final-wkc"/>
      <sheetName val="A+Supl."/>
      <sheetName val="7"/>
      <sheetName val="KH_Q1_Q2_01"/>
      <sheetName val="hsd"/>
      <sheetName val="anal_hs"/>
      <sheetName val="COST TO GO tanpa keluar"/>
      <sheetName val="COST TO GO dengan baju"/>
      <sheetName val="Upah&amp;Harga"/>
      <sheetName val="Bill_2"/>
      <sheetName val="Bill of Qty MEP"/>
      <sheetName val="lab bahasa"/>
      <sheetName val="Rek Arsitektur"/>
      <sheetName val="HARSAT_BAH"/>
      <sheetName val="Bill 4.2"/>
      <sheetName val="Bill 3.5"/>
      <sheetName val="BQ"/>
      <sheetName val="hsp_STR_ARS"/>
      <sheetName val="Rab "/>
      <sheetName val="Rekap"/>
      <sheetName val="An-ELC"/>
      <sheetName val="An-Elektrikal"/>
      <sheetName val="An-GENSET"/>
      <sheetName val="An-LIFT"/>
      <sheetName val="An-PK"/>
      <sheetName val="An-Plumbing"/>
      <sheetName val="An-VAC"/>
      <sheetName val="RAB-EL-Apt"/>
      <sheetName val="RAB-ELC-Apt"/>
      <sheetName val="RAB-ELC-Kondotel"/>
      <sheetName val="RAB-EL-Kondotel"/>
      <sheetName val="RAB-GENSET"/>
      <sheetName val="RAB-LIFT (Apt)"/>
      <sheetName val="RAB-LIFT (Kondotel)"/>
      <sheetName val="RAB-PK (A)"/>
      <sheetName val="RAB-PK (K)"/>
      <sheetName val="RAB-PL (Apt)"/>
      <sheetName val="RAB-PL(Kondotel)"/>
      <sheetName val="RAB-VAC (Apartment)"/>
      <sheetName val="RAB-VAC (K)"/>
      <sheetName val="Subkon"/>
      <sheetName val="Analisa hy"/>
      <sheetName val="formula"/>
      <sheetName val="Pipe Bridge"/>
      <sheetName val="Conveyor Bridge"/>
      <sheetName val="B_Conveyor"/>
      <sheetName val="Pekerjaan Luar"/>
      <sheetName val="M_O_S_"/>
      <sheetName val="B_Processing I"/>
      <sheetName val="B_Processing II"/>
      <sheetName val="B_Processing III"/>
      <sheetName val="B_Processing IV"/>
      <sheetName val="B_Processing V"/>
      <sheetName val="B_Produksi_skm_"/>
      <sheetName val="B_ Utility"/>
      <sheetName val="Basic Price"/>
      <sheetName val="Peralatan"/>
      <sheetName val="Beton(B)"/>
      <sheetName val="Uph&amp;bhn"/>
      <sheetName val="Bangunan Utama"/>
      <sheetName val="bau"/>
      <sheetName val="MAPP"/>
      <sheetName val="rek det 1-3"/>
      <sheetName val="sdm"/>
      <sheetName val="map"/>
      <sheetName val="rkp"/>
      <sheetName val="Anls"/>
      <sheetName val="304_06"/>
      <sheetName val="교통대책내역"/>
      <sheetName val="ST-Kantor"/>
      <sheetName val="Analisa Harga"/>
      <sheetName val="Bahan dan Upah"/>
      <sheetName val="4"/>
      <sheetName val="200"/>
      <sheetName val="304-06"/>
      <sheetName val="truth"/>
      <sheetName val="blok 7"/>
      <sheetName val="Kell_Dind_"/>
      <sheetName val="Pintu Jendela"/>
      <sheetName val="DAFTAR NO_2"/>
      <sheetName val="DAFTAR NO_3"/>
      <sheetName val="BQ_E20_02_Rp_"/>
      <sheetName val="Lt 1"/>
      <sheetName val="Summary"/>
      <sheetName val="REF.ONLY"/>
      <sheetName val="STD GD.UTAMA"/>
      <sheetName val="Sat~Bahu"/>
      <sheetName val="struktur tdk dipakai"/>
      <sheetName val="RPP-6"/>
      <sheetName val="Analisa HSP"/>
      <sheetName val="Daf Bahan"/>
      <sheetName val="MECA "/>
      <sheetName val="An-Alat"/>
      <sheetName val="majuLantai 1"/>
      <sheetName val="RAKAP-SMP"/>
      <sheetName val="REKAP-SMU"/>
      <sheetName val="REKAP-TK"/>
      <sheetName val="rab-TK-SD-str"/>
      <sheetName val="RAB-STR.SMP"/>
      <sheetName val="RAB-STR.SMU"/>
      <sheetName val="Resume"/>
      <sheetName val="??????"/>
      <sheetName val="REKAP STRUKTUR"/>
      <sheetName val="SATPEK"/>
      <sheetName val="Bitung"/>
      <sheetName val="arab"/>
      <sheetName val="Bill rekap"/>
      <sheetName val="Bill of Qty"/>
      <sheetName val="BABY"/>
      <sheetName val="BACK"/>
      <sheetName val="conc-mix"/>
      <sheetName val="NC-CM"/>
      <sheetName val="Harsat Bahan"/>
      <sheetName val="Upah&amp;Bahan"/>
      <sheetName val="2_1"/>
      <sheetName val="2_2"/>
      <sheetName val="Cost_BD_Steel"/>
      <sheetName val="SCH_GG &amp; SAS"/>
      <sheetName val="ISIAN"/>
      <sheetName val="OH_10BLN"/>
      <sheetName val="351BQMCN"/>
      <sheetName val="Bas vx_x0005_&amp;_x0000__x0000_"/>
      <sheetName val="Anal. Alat"/>
      <sheetName val="antek12a-13"/>
      <sheetName val="KOEF"/>
      <sheetName val="L2a"/>
      <sheetName val="Currency"/>
      <sheetName val="BQ-1A prelim"/>
      <sheetName val="SBDY"/>
      <sheetName val="HARGA BAHAN &amp; UPAH"/>
      <sheetName val="TERBILANG"/>
      <sheetName val="VOLUME"/>
      <sheetName val="B"/>
      <sheetName val="D"/>
      <sheetName val="ANAL KOEF"/>
      <sheetName val="PO-2"/>
      <sheetName val="Sheet15"/>
      <sheetName val="Analisa Teknik"/>
      <sheetName val="C-OFF"/>
      <sheetName val="rab 4"/>
      <sheetName val="Analisa &amp; Upah"/>
      <sheetName val="P-tanah"/>
      <sheetName val="DAS-SAT"/>
      <sheetName val="Job Sheet"/>
      <sheetName val="REKAP ARSITEKTUR"/>
      <sheetName val="REKAP STRKTR"/>
      <sheetName val="HARGA SAT"/>
      <sheetName val="Gal Sal"/>
      <sheetName val="______"/>
      <sheetName val="villa"/>
      <sheetName val="VA_code"/>
      <sheetName val="GORDING &amp; beban plat BEL MIRING"/>
      <sheetName val="GORDING storage"/>
      <sheetName val="Dashboard"/>
      <sheetName val="AHS"/>
      <sheetName val="valve"/>
      <sheetName val="Bill No. 6.1 Peralatan Utama"/>
      <sheetName val="6-MVAC"/>
      <sheetName val=" RAB"/>
      <sheetName val="REK"/>
      <sheetName val="Analisa Strct"/>
      <sheetName val="An Fin"/>
      <sheetName val="D3"/>
      <sheetName val="10.1 (1)"/>
      <sheetName val="10.1 (2)"/>
      <sheetName val="10.1 (3)"/>
      <sheetName val="10.1 (4)"/>
      <sheetName val="10.1 (5)"/>
      <sheetName val="anal pipa"/>
      <sheetName val="MC-1"/>
      <sheetName val="Panel"/>
      <sheetName val="rab me (by owner) "/>
      <sheetName val="rab me"/>
      <sheetName val="BQ (by owner)"/>
      <sheetName val="rab me (fisik)"/>
      <sheetName val="Prog CD"/>
      <sheetName val="Outline"/>
      <sheetName val="DETAIL"/>
      <sheetName val="analisa ARS"/>
      <sheetName val="Analisa Upah _ Bahan Plum"/>
      <sheetName val="REQDELTA"/>
      <sheetName val="Master 1.0"/>
      <sheetName val="TAMKUR "/>
      <sheetName val="Analisa_Upah_&amp;_Bahan_Plum"/>
      <sheetName val="Harga_ME_"/>
      <sheetName val="An_Arsitektur"/>
      <sheetName val="An_Struktur"/>
      <sheetName val="Unit_Rate"/>
      <sheetName val="rab_-_persiapan_&amp;_lantai-1"/>
      <sheetName val="RAB_Triduta"/>
      <sheetName val="ME_Mall"/>
      <sheetName val="analisa_ARS"/>
      <sheetName val="Analisa_Upah___Bahan_Plum"/>
      <sheetName val="Master_1_0"/>
      <sheetName val="TAMKUR_"/>
      <sheetName val="Analisa_Upah_&amp;_Bahan_Plum1"/>
      <sheetName val="Harga_ME_1"/>
      <sheetName val="BOQ_EXTERN1"/>
      <sheetName val="BOQ_INTERN1"/>
      <sheetName val="Sumber_Daya1"/>
      <sheetName val="Pek__Tanah1"/>
      <sheetName val="Pek__Pondasi1"/>
      <sheetName val="Pek__Dinding1"/>
      <sheetName val="Pek__Plesteran1"/>
      <sheetName val="Pek__Kayu1"/>
      <sheetName val="Pek__Beton1"/>
      <sheetName val="Pek__Penutup_Atap1"/>
      <sheetName val="Pek__Langit-langit1"/>
      <sheetName val="Pek__Sanitasi1"/>
      <sheetName val="Pek__Besi_&amp;_Alumunium1"/>
      <sheetName val="Pek__Kunci_&amp;_Kaca1"/>
      <sheetName val="Pek__Penutup_Lantai_&amp;_dinding1"/>
      <sheetName val="Pek__Pengecatan1"/>
      <sheetName val="An_Arsitektur1"/>
      <sheetName val="An_Struktur1"/>
      <sheetName val="Unit_Rate1"/>
      <sheetName val="rab_-_persiapan_&amp;_lantai-11"/>
      <sheetName val="RAB_Triduta1"/>
      <sheetName val="ME_Mall1"/>
      <sheetName val="analisa_ARS1"/>
      <sheetName val="Analisa_Upah___Bahan_Plum1"/>
      <sheetName val="Master_1_01"/>
      <sheetName val="TAMKUR_1"/>
      <sheetName val="cargo"/>
      <sheetName val="LS-Rutin"/>
      <sheetName val="STRUKTUR-1"/>
      <sheetName val="STD"/>
      <sheetName val="SAP"/>
      <sheetName val="Breakdown Structure"/>
      <sheetName val="Breakdown Architecture"/>
      <sheetName val="Cat_Harga2"/>
      <sheetName val="Daf_32"/>
      <sheetName val="Daf_42"/>
      <sheetName val="REKAP_ME2"/>
      <sheetName val="PENDAHULUAN_(ME)2"/>
      <sheetName val="HYD_KT2"/>
      <sheetName val="SPR_KT2"/>
      <sheetName val="PL_KT2"/>
      <sheetName val="valve_2"/>
      <sheetName val="HB_"/>
      <sheetName val="Analisa_Harga_Satuan"/>
      <sheetName val="DUCTING_"/>
      <sheetName val="Daftar_Harga_Material"/>
      <sheetName val="Daftar_Harga"/>
      <sheetName val="Isolasi_Luar_Dalam"/>
      <sheetName val="Isolasi_Luar"/>
      <sheetName val="Grand_total"/>
      <sheetName val="Analisa_Gabungan"/>
      <sheetName val="Analisa_ME_"/>
      <sheetName val="Direct_Cost"/>
      <sheetName val="Analisa_-Baku"/>
      <sheetName val="ANALISA_ALAT_BERAT"/>
      <sheetName val="Bahan_"/>
      <sheetName val="Pekerjaan_"/>
      <sheetName val="Analisa_Harga"/>
      <sheetName val="_R_A_B"/>
      <sheetName val="harga_dasar"/>
      <sheetName val="FORM_X_COST"/>
      <sheetName val="Rekap_TamKur"/>
      <sheetName val="Lt__Dasar"/>
      <sheetName val="Lt__2_"/>
      <sheetName val="Kode_plat"/>
      <sheetName val="Rekap_Total"/>
      <sheetName val="Harsat_Upah"/>
      <sheetName val="Perhitungan_Besi"/>
      <sheetName val="HSBU_ANA"/>
      <sheetName val="Hit_Vol_Str_Jambi"/>
      <sheetName val="EXTERNAL_WORK"/>
      <sheetName val="Cover_Daf-2"/>
      <sheetName val="Harga_"/>
      <sheetName val="Agregat_Halus_&amp;_Kasar"/>
      <sheetName val="RINC_FIN_T4___3_"/>
      <sheetName val="RINC_FIN_T4___2_"/>
      <sheetName val="fin_SB"/>
      <sheetName val="FIN_PARKIR"/>
      <sheetName val="RINC_FIN_T4_"/>
      <sheetName val="H_Satuan_Dasar"/>
      <sheetName val="HRG_BHN"/>
      <sheetName val="Cover_Daf_2"/>
      <sheetName val="HARGA_ALAT"/>
      <sheetName val="Fire_Fighting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Harga_Satuan"/>
      <sheetName val="Breakdown_Structure"/>
      <sheetName val="Breakdown_Architecture"/>
      <sheetName val="PERALATAN_AHU"/>
      <sheetName val="AIR_CURTAIN"/>
      <sheetName val="DIFFUSER_&amp;_GRILLE_"/>
      <sheetName val="PERALATAN_EVB+CU"/>
      <sheetName val="PERALATAN_FAN"/>
      <sheetName val="DAFTAR_NO_8"/>
      <sheetName val="Standard_Room_Deluxe_Queen"/>
      <sheetName val="rekap_RAP"/>
      <sheetName val="cash_flow"/>
      <sheetName val="HARGA MATERIAL"/>
      <sheetName val="Bas vx_x0005_&amp;"/>
      <sheetName val="Data Input"/>
      <sheetName val="Isian 3"/>
      <sheetName val="Data Rumus"/>
      <sheetName val="SNI 21-3-09"/>
      <sheetName val="D_ANALISA"/>
      <sheetName val="Daftar Upah"/>
      <sheetName val="HSUB SARPRA"/>
      <sheetName val="UPAH DAN BAHAN"/>
      <sheetName val="CH"/>
      <sheetName val="DIV.1"/>
      <sheetName val="DIV_1"/>
      <sheetName val="7. Comparison of Asphalt etc"/>
      <sheetName val="ANSAT"/>
      <sheetName val="ANALISA ALAT"/>
      <sheetName val="Upah Bahan"/>
      <sheetName val="PT."/>
      <sheetName val="Input"/>
      <sheetName val="Besi &amp; Bekisting-CBD"/>
      <sheetName val="Analisa HS"/>
      <sheetName val="HPS PC"/>
      <sheetName val="A.1.Persiapan non std"/>
    </sheetNames>
    <sheetDataSet>
      <sheetData sheetId="0" refreshError="1"/>
      <sheetData sheetId="1" refreshError="1"/>
      <sheetData sheetId="2" refreshError="1">
        <row r="423">
          <cell r="K423">
            <v>606378000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/>
      <sheetData sheetId="419" refreshError="1"/>
      <sheetData sheetId="420" refreshError="1"/>
      <sheetData sheetId="421" refreshError="1"/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 refreshError="1"/>
      <sheetData sheetId="509" refreshError="1"/>
      <sheetData sheetId="510" refreshError="1"/>
      <sheetData sheetId="511" refreshError="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/>
      <sheetData sheetId="624" refreshError="1"/>
      <sheetData sheetId="625"/>
      <sheetData sheetId="626"/>
      <sheetData sheetId="627"/>
      <sheetData sheetId="628"/>
      <sheetData sheetId="629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nawaran"/>
      <sheetName val="upah"/>
      <sheetName val="analisa"/>
      <sheetName val="RAB"/>
      <sheetName val="scedule"/>
      <sheetName val="METODE"/>
      <sheetName val="subkon"/>
      <sheetName val="personil"/>
      <sheetName val="alat"/>
      <sheetName val="Sheet3"/>
      <sheetName val="rangking"/>
      <sheetName val="Sheet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o"/>
      <sheetName val="PENG"/>
      <sheetName val="MODAL"/>
      <sheetName val="CH"/>
      <sheetName val="SRT"/>
      <sheetName val="Lamp"/>
      <sheetName val="lamp.6"/>
      <sheetName val="lamp.7"/>
      <sheetName val="Lamp.8"/>
      <sheetName val="lamp.9"/>
      <sheetName val="Alat"/>
      <sheetName val="lamp.10"/>
      <sheetName val="cv"/>
      <sheetName val="subkon"/>
      <sheetName val="nonABRI"/>
      <sheetName val="REK"/>
      <sheetName val="BOQ"/>
      <sheetName val="%"/>
      <sheetName val="ANA(2a)"/>
      <sheetName val="METODA"/>
      <sheetName val="MET-BAB-02"/>
      <sheetName val="MET-BAB-03"/>
      <sheetName val="MET-BAB-04"/>
      <sheetName val="MET-BAB-06"/>
      <sheetName val="MET-BAB-07"/>
      <sheetName val="MET-BAB-08"/>
      <sheetName val="MOB"/>
      <sheetName val="RTN"/>
      <sheetName val="MOS"/>
      <sheetName val="HSD"/>
      <sheetName val="BALT"/>
      <sheetName val="SCH-anak"/>
      <sheetName val="SCH -INDUK"/>
      <sheetName val="SCH (alat)"/>
      <sheetName val="SCH (orang)"/>
      <sheetName val="SCH (2)"/>
      <sheetName val="SCH (3)"/>
      <sheetName val="ANA (2b) (bak)"/>
      <sheetName val="ANA (BAK)"/>
      <sheetName val="MET"/>
      <sheetName val="MET (BAK)"/>
      <sheetName val="DLM"/>
      <sheetName val="LMP.1"/>
      <sheetName val="IND"/>
      <sheetName val="CMK"/>
      <sheetName val="TM"/>
      <sheetName val="LMP.12 (2)"/>
      <sheetName val="bhn luar"/>
      <sheetName val="nonpns"/>
      <sheetName val="staf (2)"/>
      <sheetName val="surat "/>
      <sheetName val="SCH"/>
      <sheetName val="ANA"/>
      <sheetName val="dpu"/>
      <sheetName val="Met-02"/>
      <sheetName val="MET-03"/>
      <sheetName val="MET-03 (1)"/>
      <sheetName val="MET-BAB-06 (a)"/>
      <sheetName val="MET-bab6 (B)"/>
      <sheetName val="ANA LS"/>
      <sheetName val="ANA LS (2)"/>
      <sheetName val="Met Rtn"/>
      <sheetName val="LMP.6"/>
      <sheetName val="alat min"/>
      <sheetName val="Kar"/>
      <sheetName val="sisipan (2)"/>
      <sheetName val="sisipan"/>
      <sheetName val="Sheet2"/>
      <sheetName val="Sheet1"/>
      <sheetName val="LMP.12"/>
      <sheetName val="HSD (2)"/>
      <sheetName val="LMP 7"/>
      <sheetName val="staf"/>
      <sheetName val="MET-BAB-06 (2)"/>
      <sheetName val="MET-BAB-06b"/>
      <sheetName val="metod"/>
      <sheetName val="SISIP"/>
      <sheetName val="Sheet2 (2)"/>
      <sheetName val="Sheet1 (2)"/>
      <sheetName val="MJR"/>
      <sheetName val="ALT"/>
      <sheetName val="STF"/>
      <sheetName val="MET-bab2"/>
      <sheetName val="MET-bab3"/>
      <sheetName val="MET-bab4"/>
      <sheetName val="MET-bab5"/>
      <sheetName val="MET-bab6"/>
      <sheetName val="MET-bab7"/>
      <sheetName val="MET-bab8"/>
      <sheetName val="LMP.2"/>
      <sheetName val="Pas.Batu Mortar"/>
      <sheetName val="Perhitungan RAB"/>
      <sheetName val="Mobilisasi"/>
      <sheetName val="Galian drainase.sal."/>
      <sheetName val="Galian Biasa"/>
      <sheetName val="Penyiapa Badan Jln"/>
      <sheetName val="LPA Klas B Bahu.Jln"/>
      <sheetName val="LPA Klas B."/>
      <sheetName val="LPA Klas A "/>
      <sheetName val="Lap.Resap Ikat"/>
      <sheetName val="Lapis Perekat"/>
      <sheetName val="Laston ACWC"/>
      <sheetName val="Laston AC-BC"/>
      <sheetName val="Ac Bc Levelling"/>
      <sheetName val="gambar"/>
      <sheetName val="HSD BHN"/>
      <sheetName val="konfir"/>
      <sheetName val="MET-BAB-5.6(1)"/>
      <sheetName val="MET-BAB-05"/>
      <sheetName val="ANA. MOB"/>
      <sheetName val="ANA.LS-RUTIN"/>
      <sheetName val="ANALISA"/>
      <sheetName val="STAFF"/>
      <sheetName val="LAMP. CL"/>
      <sheetName val="SUB.KON"/>
      <sheetName val="data"/>
      <sheetName val="rms"/>
      <sheetName val="MET-BAB-7.5(3)"/>
      <sheetName val="MET BAB-3.2 (1)"/>
      <sheetName val="alat backup"/>
      <sheetName val="KEPADA"/>
      <sheetName val="ANA "/>
      <sheetName val="Surat"/>
      <sheetName val="Rekap"/>
      <sheetName val="DS"/>
      <sheetName val="Jadwal"/>
      <sheetName val="Ana. PU"/>
      <sheetName val="ANA Mob"/>
      <sheetName val="ANA Rutin"/>
      <sheetName val="Confirm"/>
      <sheetName val="Sub-Kont"/>
      <sheetName val="Met-PU-2.2"/>
      <sheetName val="Met-PU-6.3 (5)"/>
      <sheetName val="Met-PU-6.3 (6)"/>
      <sheetName val="Met-PU-6.3 (7)"/>
      <sheetName val="Met-PU-2.1"/>
      <sheetName val="Met-PU-3.1 (1)"/>
      <sheetName val="Met-PU-3.2 (1)"/>
      <sheetName val="Met-PU-4.2 (2)"/>
      <sheetName val="Schedule"/>
      <sheetName val="Alamat"/>
      <sheetName val="LP-1"/>
      <sheetName val="CHECK"/>
      <sheetName val="Sahm"/>
      <sheetName val="SK"/>
      <sheetName val="jo (2)"/>
      <sheetName val="GEL"/>
      <sheetName val="ORG2"/>
      <sheetName val="person1"/>
      <sheetName val="Riwayat"/>
      <sheetName val="Met.baru"/>
      <sheetName val="Scraping"/>
      <sheetName val="pengisian spesi"/>
      <sheetName val="pengisian Pasir"/>
      <sheetName val="HSD bahn-uph"/>
      <sheetName val="hsd (alat)"/>
      <sheetName val="AN-Equipment"/>
      <sheetName val="Minat"/>
      <sheetName val="Mob demob"/>
      <sheetName val="Jadwal Utama"/>
      <sheetName val="Ana utama"/>
      <sheetName val="Jadwal Bahan"/>
      <sheetName val="Jadwal Tenaga"/>
      <sheetName val="Jadwal Alat"/>
      <sheetName val="CUR (2)"/>
      <sheetName val="met beton"/>
      <sheetName val="Asumsi"/>
      <sheetName val="Lamp.Meth"/>
      <sheetName val="Inti (2)"/>
      <sheetName val="CUR"/>
      <sheetName val="sAHAM"/>
      <sheetName val="Peta"/>
      <sheetName val="KOP"/>
      <sheetName val="cov.2"/>
      <sheetName val="Person"/>
      <sheetName val="Daf.Alat"/>
      <sheetName val="SCHE (2)"/>
      <sheetName val="Aneq"/>
      <sheetName val="Scraping (approac)"/>
      <sheetName val="5-Peralatan"/>
      <sheetName val="hit str"/>
      <sheetName val="Data PJ"/>
      <sheetName val="Progress"/>
      <sheetName val="LAMP-7 HSD"/>
      <sheetName val="LAMP-8b HSD (3)"/>
      <sheetName val="LAMP - 9 HSD (4)"/>
      <sheetName val="DMPU"/>
      <sheetName val="Met-master"/>
      <sheetName val="lamp -12 Daft Personil"/>
      <sheetName val="lamp -13 Daft Alat Utama"/>
      <sheetName val="lamp -14 Daft Pek Subkon"/>
      <sheetName val="lamp-10 MET-2"/>
      <sheetName val="met-pel2"/>
      <sheetName val="lamp-10 MET-PEL"/>
    </sheetNames>
    <sheetDataSet>
      <sheetData sheetId="0" refreshError="1"/>
      <sheetData sheetId="1" refreshError="1"/>
      <sheetData sheetId="2" refreshError="1"/>
      <sheetData sheetId="3" refreshError="1">
        <row r="26">
          <cell r="C26">
            <v>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t"/>
      <sheetName val="MPU"/>
      <sheetName val="Jad"/>
      <sheetName val="RAB"/>
      <sheetName val="Mob"/>
      <sheetName val="Ana"/>
      <sheetName val="Alat"/>
      <sheetName val="U&amp;B"/>
      <sheetName val="Sub"/>
      <sheetName val="Mob. Alat"/>
      <sheetName val="Mob Alat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H.Satuan"/>
      <sheetName val="Analisa-1"/>
      <sheetName val="analtek (5)"/>
      <sheetName val="Pendahuluan"/>
      <sheetName val="Bongkar"/>
      <sheetName val="lain-lain"/>
      <sheetName val="KONSTRUKSI"/>
      <sheetName val="BHN&amp;ALAT"/>
      <sheetName val="BillQ"/>
      <sheetName val="BEKISTING"/>
      <sheetName val="SUBKON"/>
      <sheetName val="MOB"/>
      <sheetName val="ANATEK"/>
      <sheetName val="An.Tek"/>
      <sheetName val="SCHEDULE"/>
      <sheetName val="H_Satuan"/>
      <sheetName val="ana_str"/>
      <sheetName val="Hargamat"/>
      <sheetName val="Daftar Harga"/>
      <sheetName val="Daftar Upah"/>
      <sheetName val="upah"/>
      <sheetName val="Analisa STR"/>
      <sheetName val="Analisa"/>
      <sheetName val="Daf 1"/>
      <sheetName val="harsat"/>
      <sheetName val="Daft.8 ~ BAS"/>
      <sheetName val="Daft.7 ~ CCTV"/>
      <sheetName val="Daft.3 ~ FA"/>
      <sheetName val="Daft.1 ~ LIS"/>
      <sheetName val="Daft.6 ~ MATV"/>
      <sheetName val="Daft.2 ~ PETIR"/>
      <sheetName val="Daft.5 ~ TS"/>
      <sheetName val="Daf.4 ~ TLP"/>
      <sheetName val="Bank"/>
      <sheetName val="Sheet15"/>
      <sheetName val="Manpower"/>
      <sheetName val="Equipt,Tools&amp;Cons"/>
      <sheetName val="FINISHING"/>
      <sheetName val="ANALIS"/>
      <sheetName val="Harsat Bahan"/>
      <sheetName val="Harsat Upah"/>
      <sheetName val="FORM X COST"/>
      <sheetName val="bahan"/>
      <sheetName val="Analisa Harga Satuan"/>
      <sheetName val="H_Satuan1"/>
      <sheetName val="analtek_(5)"/>
      <sheetName val="An_Tek"/>
      <sheetName val="Analisa_Harga_Satuan"/>
      <sheetName val="Analisa Struktur Beton"/>
      <sheetName val="HRG BHN"/>
      <sheetName val="HS"/>
      <sheetName val="dongia _2_"/>
      <sheetName val="lam_moi"/>
      <sheetName val="chitiet"/>
      <sheetName val="DONGIA"/>
      <sheetName val="chitimc"/>
      <sheetName val="gtrinh"/>
      <sheetName val="DON GIA"/>
      <sheetName val="_REF"/>
      <sheetName val="TNHCHINH"/>
      <sheetName val="THPDMoi  _2_"/>
      <sheetName val="thao_go"/>
      <sheetName val="TH XL"/>
      <sheetName val="CHITIET VL_NC_TT _1p"/>
      <sheetName val="TDTKP1"/>
      <sheetName val="bau"/>
      <sheetName val="GAJI"/>
      <sheetName val="Harga Satuan"/>
      <sheetName val="RAP"/>
      <sheetName val="DIV.III"/>
      <sheetName val="DAF_1"/>
      <sheetName val="rumus"/>
      <sheetName val="BAG-2"/>
      <sheetName val="BAHAN _ UPAH_2"/>
      <sheetName val="Traf&amp;Genst"/>
      <sheetName val="Sheet1 (2)"/>
      <sheetName val="Hrg"/>
      <sheetName val="HARGA"/>
      <sheetName val="Material"/>
      <sheetName val="upah bahan"/>
      <sheetName val="ana"/>
      <sheetName val="daf-3(OK)"/>
      <sheetName val="daf-7(OK)"/>
      <sheetName val="Harga Material"/>
      <sheetName val="bahan+upah"/>
      <sheetName val="AHSbj"/>
      <sheetName val="REKAP_Akap"/>
      <sheetName val="boq"/>
      <sheetName val="harga bahan"/>
      <sheetName val="RAB"/>
      <sheetName val="DC-jembatan kresek_KERJA"/>
      <sheetName val="Upah dan BahanOK"/>
      <sheetName val="ANALISA GRS TENGAH"/>
      <sheetName val="Bangunan Utama"/>
      <sheetName val="cover"/>
      <sheetName val="H_Dasar"/>
      <sheetName val="ANALISA ALAT BERAT"/>
      <sheetName val="STR"/>
      <sheetName val="satuan_pek"/>
      <sheetName val="Analisa 2"/>
      <sheetName val="Sheet1"/>
      <sheetName val="MixBed"/>
      <sheetName val="CondPol"/>
      <sheetName val="STRUKTUR-1"/>
      <sheetName val="I-KAMAR"/>
      <sheetName val="Daftar Harga Material"/>
      <sheetName val="PileCap"/>
      <sheetName val="H.SAT"/>
      <sheetName val="Harga Upah &amp; Bahan"/>
      <sheetName val="Analisa HSP"/>
      <sheetName val="PKK"/>
      <sheetName val="PO-2"/>
      <sheetName val="4-MVAC"/>
      <sheetName val="378TWV1"/>
      <sheetName val="formula"/>
      <sheetName val="analisa_ars"/>
      <sheetName val="3-DIV4"/>
      <sheetName val="Ana PasBatu 7.4"/>
      <sheetName val="Genuk"/>
      <sheetName val="ATBL"/>
      <sheetName val="AC-BASE"/>
      <sheetName val="Anl"/>
      <sheetName val="Upah&amp;Bahan"/>
      <sheetName val="Als Struk"/>
      <sheetName val="anal"/>
      <sheetName val="LEMBAR1"/>
      <sheetName val="LEMBAR2"/>
      <sheetName val="LEMBAR3"/>
      <sheetName val="LEMBAR4"/>
      <sheetName val="LEMBAR5"/>
      <sheetName val="By"/>
      <sheetName val="Analisa umum"/>
      <sheetName val="BQ-E20-02(Rp)"/>
      <sheetName val="Cover Daf-2"/>
      <sheetName val="Temp&amp;Site"/>
      <sheetName val="Analis-K"/>
      <sheetName val="An_pdkg"/>
      <sheetName val="data"/>
      <sheetName val="TE TS FA LAN MATV"/>
      <sheetName val="BAG_2"/>
      <sheetName val="Analisa Quarry"/>
      <sheetName val="Resume"/>
      <sheetName val="harga 2008"/>
      <sheetName val="D6"/>
      <sheetName val="D8(1)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Lokasi"/>
      <sheetName val="Hargabahan"/>
      <sheetName val="Alat Berat"/>
      <sheetName val="Kuantitas"/>
      <sheetName val="Supl.X"/>
      <sheetName val="4-Basic Price"/>
      <sheetName val="REF.ONLY"/>
      <sheetName val="Anls Hrg"/>
      <sheetName val="M. Onsite"/>
      <sheetName val="RAB "/>
      <sheetName val="Sheet3"/>
      <sheetName val="RKP"/>
      <sheetName val="schedulle"/>
      <sheetName val="Currency"/>
      <sheetName val="H-SAT"/>
      <sheetName val="NP"/>
      <sheetName val="Kuantitas &amp; Harga"/>
      <sheetName val="7.1(8)"/>
      <sheetName val="3.1(1)"/>
      <sheetName val="5.4(2)"/>
      <sheetName val="6.1(1)"/>
      <sheetName val="3.2(1)"/>
      <sheetName val="Lamp. Bahan"/>
      <sheetName val="D6-1b"/>
      <sheetName val="6b"/>
      <sheetName val="Data Alat"/>
      <sheetName val="HDS"/>
      <sheetName val="Harga S Dasar UNTUK IDISI"/>
      <sheetName val="isian"/>
      <sheetName val="Rinc. Harg.BHN"/>
      <sheetName val="ANALISA Pek. kunci n kaca"/>
      <sheetName val="H Satuan Dasar"/>
      <sheetName val="Analisa Teknik"/>
      <sheetName val="RAB JALUR TEMILING "/>
      <sheetName val="product"/>
      <sheetName val="Harga Sat"/>
      <sheetName val="H_Satuan2"/>
      <sheetName val="analtek_(5)1"/>
      <sheetName val="An_Tek1"/>
      <sheetName val="Daftar_Harga"/>
      <sheetName val="Daftar_Upah"/>
      <sheetName val="Analisa_STR"/>
      <sheetName val="Analisa_Struktur_Beton"/>
      <sheetName val="HRG_BHN"/>
      <sheetName val="dongia__2_"/>
      <sheetName val="DON_GIA"/>
      <sheetName val="THPDMoi___2_"/>
      <sheetName val="TH_XL"/>
      <sheetName val="CHITIET_VL_NC_TT__1p"/>
      <sheetName val="Analisa_Harga_Satuan1"/>
      <sheetName val="Harga_Satuan"/>
      <sheetName val="DIV_III"/>
      <sheetName val="FORM_X_COST"/>
      <sheetName val="Daft_8_~_BAS"/>
      <sheetName val="Daft_7_~_CCTV"/>
      <sheetName val="Daft_3_~_FA"/>
      <sheetName val="Daft_1_~_LIS"/>
      <sheetName val="Daft_6_~_MATV"/>
      <sheetName val="Daft_2_~_PETIR"/>
      <sheetName val="Daft_5_~_TS"/>
      <sheetName val="Daf_4_~_TLP"/>
      <sheetName val="Harsat_Bahan"/>
      <sheetName val="Harsat_Upah"/>
      <sheetName val="upah_bahan"/>
      <sheetName val="Als_Struk"/>
      <sheetName val="BAHAN___UPAH_2"/>
      <sheetName val="Sheet1_(2)"/>
      <sheetName val="Harga_Material"/>
      <sheetName val="DC-jembatan_kresek_KERJA"/>
      <sheetName val="Div2"/>
      <sheetName val="Perm. Test"/>
      <sheetName val="Price"/>
      <sheetName val="hsd"/>
      <sheetName val="faktor"/>
      <sheetName val="index"/>
      <sheetName val="Analisa Harga"/>
      <sheetName val="DAF-5"/>
      <sheetName val="IPA1"/>
      <sheetName val="Rincian"/>
      <sheetName val="Data PJ"/>
      <sheetName val="DIV.2"/>
      <sheetName val="Mat.Mek"/>
      <sheetName val="Mat.Elk"/>
      <sheetName val="Pipe"/>
      <sheetName val="SBhn"/>
      <sheetName val="HB "/>
      <sheetName val="Anal-1"/>
      <sheetName val="REKAP_STRUKTUR"/>
      <sheetName val="MT_an"/>
      <sheetName val="UPH,BHN,ALT"/>
      <sheetName val="Analis harga"/>
      <sheetName val="ESCON"/>
      <sheetName val="B"/>
      <sheetName val="alat"/>
      <sheetName val="kont anak1"/>
      <sheetName val="AC"/>
      <sheetName val="2.1"/>
      <sheetName val="Kuantitas_Harga"/>
      <sheetName val="B.Alat"/>
      <sheetName val="An-Pek-Arui"/>
      <sheetName val="Owning"/>
      <sheetName val="BASIC"/>
      <sheetName val="K210"/>
      <sheetName val="Komponen"/>
      <sheetName val="AGG"/>
      <sheetName val="B_6"/>
      <sheetName val="B_7"/>
      <sheetName val="B_8"/>
      <sheetName val="B_9"/>
      <sheetName val="B_10 (4)"/>
      <sheetName val="MT"/>
      <sheetName val="MASTER Alat"/>
      <sheetName val="DB"/>
      <sheetName val="D7"/>
      <sheetName val="huruf"/>
      <sheetName val="CH"/>
      <sheetName val="jpr"/>
      <sheetName val="Summary"/>
      <sheetName val="ANALISA (2)"/>
      <sheetName val="ANALISA (5)"/>
      <sheetName val="Peralatan"/>
      <sheetName val="analisa_gedung"/>
      <sheetName val="Basic Price"/>
      <sheetName val="SAT-DAS"/>
      <sheetName val="Analisa (ok)"/>
      <sheetName val="K-4"/>
      <sheetName val="ANLS_1"/>
      <sheetName val="dBase"/>
      <sheetName val="anl-A"/>
      <sheetName val="anl-B"/>
      <sheetName val="anl-C"/>
      <sheetName val="anl-D"/>
      <sheetName val="anl-E"/>
      <sheetName val="anl-F"/>
      <sheetName val="anl-G"/>
      <sheetName val="anl-H"/>
      <sheetName val="anl-I"/>
      <sheetName val="anl-J"/>
      <sheetName val="anl-K"/>
      <sheetName val="anl-L"/>
      <sheetName val="anl-M"/>
      <sheetName val="anl-N"/>
      <sheetName val="Grading Tahap 1"/>
      <sheetName val="bahan dan upah"/>
      <sheetName val="Bab 6 -3(5)"/>
      <sheetName val="2.3(2) Gor"/>
      <sheetName val="8.4.2 Rambu"/>
      <sheetName val="5-ALAT(1)"/>
      <sheetName val="cal borepile"/>
      <sheetName val="compaction"/>
      <sheetName val="BILL"/>
      <sheetName val="DIV1"/>
      <sheetName val="DAY"/>
      <sheetName val="HIDRO"/>
      <sheetName val="rab lt 2 bo"/>
      <sheetName val="4-Quarry"/>
      <sheetName val="EQ_an"/>
      <sheetName val="SAP"/>
      <sheetName val="NP-10"/>
      <sheetName val="NP-6"/>
      <sheetName val="NP-7"/>
      <sheetName val="NP-8"/>
      <sheetName val="HSLAIN-LAIN"/>
      <sheetName val="Analisa pek. pas &amp; beton"/>
      <sheetName val="Analisa pek. galian"/>
      <sheetName val="Analisa pek. pas atap"/>
      <sheetName val="DHU&amp;B"/>
      <sheetName val="Dasar2"/>
      <sheetName val="SAT. PEK"/>
      <sheetName val="TB-Detail-IDR"/>
      <sheetName val="R A 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"/>
      <sheetName val="CHECK"/>
      <sheetName val="SCHE"/>
      <sheetName val="SRT"/>
      <sheetName val="Rek"/>
      <sheetName val="BQ"/>
      <sheetName val="MJR"/>
      <sheetName val="Ana"/>
      <sheetName val="Met"/>
      <sheetName val="hsd"/>
      <sheetName val="Mob"/>
      <sheetName val="AN-E"/>
      <sheetName val="MOS"/>
      <sheetName val="ALAT"/>
      <sheetName val="GEL"/>
      <sheetName val="Form"/>
      <sheetName val="Lamp Mob"/>
      <sheetName val="STAF"/>
      <sheetName val="PENG."/>
      <sheetName val="Ana (2)"/>
      <sheetName val="Met Col"/>
      <sheetName val="Ana.Non "/>
      <sheetName val="Meth.Non"/>
      <sheetName val="PENG.2"/>
      <sheetName val="PENG.3"/>
      <sheetName val="ORG2"/>
      <sheetName val="CUR"/>
      <sheetName val="Minat"/>
      <sheetName val="Sheet1"/>
      <sheetName val="IND"/>
      <sheetName val="BOQ"/>
      <sheetName val="STF (2)"/>
      <sheetName val="alt-cimangkok"/>
      <sheetName val="SCH"/>
      <sheetName val="SUB"/>
      <sheetName val="DLM"/>
      <sheetName val="BALT"/>
      <sheetName val="LMP.1"/>
      <sheetName val="LMP.2"/>
      <sheetName val="RTN"/>
      <sheetName val="ANA (BAK)"/>
      <sheetName val="MET (BAK)"/>
      <sheetName val="CMK"/>
      <sheetName val="TM"/>
      <sheetName val="Meth"/>
      <sheetName val="Analisa Struktur Beton"/>
      <sheetName val="Analisa Harga Satuan"/>
      <sheetName val="ANALISA"/>
      <sheetName val="Material"/>
      <sheetName val="Analisa STR"/>
      <sheetName val="Harga Satuan"/>
      <sheetName val="Hargamat"/>
      <sheetName val="Metod TWR"/>
      <sheetName val="H.Satuan"/>
      <sheetName val="BHN"/>
      <sheetName val="Bank"/>
      <sheetName val="O&amp;O-Alat"/>
      <sheetName val="HarSat"/>
      <sheetName val="REKTOR"/>
      <sheetName val="DEKAN"/>
      <sheetName val="Daftar Harga"/>
      <sheetName val="DU&amp;B"/>
      <sheetName val="bahan"/>
      <sheetName val="Informasi"/>
      <sheetName val="INPUT"/>
      <sheetName val="DAB"/>
      <sheetName val="Daftar Harga Satuan"/>
      <sheetName val="Div3"/>
      <sheetName val="HSPK"/>
      <sheetName val="Analisa 2"/>
      <sheetName val="upah_borong"/>
      <sheetName val="satuan_pek"/>
      <sheetName val="FHB"/>
      <sheetName val="Rekap"/>
      <sheetName val="SAT-DAS"/>
    </sheetNames>
    <sheetDataSet>
      <sheetData sheetId="0" refreshError="1">
        <row r="1">
          <cell r="A1" t="str">
            <v>Bandung, 1 Agustus 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P"/>
      <sheetName val="MUKAMC"/>
      <sheetName val="REKAPMC"/>
      <sheetName val="REKAP"/>
      <sheetName val="MOBILISASI"/>
      <sheetName val="P_LALIN"/>
      <sheetName val="GALIAN TANAH"/>
      <sheetName val="TIMBUNAN BIASA"/>
      <sheetName val="LPA"/>
      <sheetName val="LPB"/>
      <sheetName val="PREM"/>
      <sheetName val="TACK"/>
      <sheetName val="ATB"/>
      <sheetName val="MCADAM"/>
      <sheetName val="BETON K-250"/>
      <sheetName val="BETON K-125"/>
      <sheetName val="PEMBESIAN"/>
      <sheetName val="CERUCUK"/>
      <sheetName val="PAS_BATU"/>
      <sheetName val="PEMBONGKARAN JBT LAMA"/>
      <sheetName val="PERANCAH"/>
      <sheetName val="PATOK PENUNTUN"/>
      <sheetName val="PENGECATAN"/>
      <sheetName val="PEMBONGKARAN PB_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"/>
      <sheetName val="surat "/>
      <sheetName val="LMP.12"/>
      <sheetName val="SCH"/>
      <sheetName val="HSD"/>
      <sheetName val="BHN"/>
      <sheetName val="konfir"/>
      <sheetName val="DPU"/>
      <sheetName val="Rek."/>
      <sheetName val="BoQ "/>
      <sheetName val="ANA"/>
      <sheetName val="agg.b"/>
      <sheetName val="ac-wc"/>
      <sheetName val="ac-bc"/>
      <sheetName val="jln.btn"/>
      <sheetName val="SUBkon"/>
      <sheetName val="staf (2)"/>
      <sheetName val="MET-bab6 (2)"/>
      <sheetName val="MET PAVING BLOK"/>
      <sheetName val="AGG B"/>
      <sheetName val="AGG A"/>
      <sheetName val="LMP 7"/>
      <sheetName val="alat"/>
      <sheetName val="staf"/>
      <sheetName val="BALT"/>
      <sheetName val="IND"/>
      <sheetName val="MET TULANGAN"/>
      <sheetName val="analisa lain"/>
      <sheetName val="MET-bab6.3(6a)"/>
      <sheetName val="MET-bab6 (5a) "/>
      <sheetName val="MET-BAB-5.6(1)"/>
      <sheetName val="Met Bab 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.Satuan"/>
      <sheetName val="BILL"/>
      <sheetName val="BQrinci"/>
      <sheetName val="analvol"/>
      <sheetName val="Proses"/>
      <sheetName val="Bag_A"/>
      <sheetName val="Jam Alat"/>
      <sheetName val="Pintu"/>
      <sheetName val="Stone"/>
      <sheetName val="Tanah"/>
      <sheetName val="Rumput"/>
      <sheetName val="Item5"/>
      <sheetName val="Bitumen"/>
      <sheetName val="Concrete"/>
      <sheetName val="Misccl"/>
      <sheetName val="Rumus"/>
      <sheetName val="Gorong-2"/>
      <sheetName val="H-quarry"/>
      <sheetName val="Pas-batu"/>
      <sheetName val="Resiko"/>
      <sheetName val="IDDLE"/>
      <sheetName val="Gal_C"/>
      <sheetName val="Lab"/>
      <sheetName val="Pareto"/>
      <sheetName val="Vol Lining"/>
      <sheetName val="Kapasitas"/>
      <sheetName val="Rekap"/>
      <sheetName val="Jadwal"/>
      <sheetName val="Fleet"/>
      <sheetName val="Mobilisasi"/>
      <sheetName val="Vol K.225"/>
      <sheetName val="H_Satuan"/>
      <sheetName val="Analisa HSP"/>
      <sheetName val="H_Satuan1"/>
      <sheetName val="Jam_Alat"/>
      <sheetName val="Vol_Lining"/>
      <sheetName val="Vol_K_225"/>
      <sheetName val="harsat"/>
      <sheetName val="Analisa &amp; Upah"/>
      <sheetName val="A"/>
      <sheetName val="Div2"/>
      <sheetName val="ESCON"/>
      <sheetName val="villa"/>
      <sheetName val="HRG BHN"/>
      <sheetName val="Bill 2 Summary"/>
      <sheetName val="AHSbj"/>
      <sheetName val="bilangan"/>
      <sheetName val="Mob"/>
      <sheetName val="3.Mob"/>
      <sheetName val="HARGA MATERIAL"/>
      <sheetName val="FINISHING"/>
      <sheetName val="Bill_Qua"/>
      <sheetName val="Daf 1"/>
      <sheetName val="D.1.7"/>
      <sheetName val="D.2.3"/>
      <sheetName val="D.BOARD LAMA"/>
      <sheetName val="Bank"/>
      <sheetName val="Bunga"/>
      <sheetName val="BAHAN"/>
      <sheetName val="Mark-up"/>
      <sheetName val="Unit Rate"/>
      <sheetName val="Har_mat"/>
      <sheetName val="Sat Bahan"/>
      <sheetName val="Sat Alat"/>
      <sheetName val="Sat Upah"/>
      <sheetName val="Daf Harga"/>
      <sheetName val="An_ Harga"/>
      <sheetName val="As"/>
      <sheetName val="Cash Flow bulanan"/>
      <sheetName val="Cover Daf-2"/>
      <sheetName val="Material"/>
      <sheetName val="anal"/>
      <sheetName val="HARGA ALAT"/>
      <sheetName val="Bill 5 Summary"/>
      <sheetName val="DAF-BAHAN"/>
      <sheetName val="DAF-UPAH"/>
      <sheetName val="ANALISA"/>
      <sheetName val="HARSAT BAHAN"/>
      <sheetName val="Bill 4 Summary"/>
      <sheetName val="Bill 3 Summary"/>
      <sheetName val="MON_OH"/>
      <sheetName val="Analisa Harga"/>
      <sheetName val="I-KAMAR"/>
      <sheetName val="SORT"/>
      <sheetName val="B.T"/>
      <sheetName val="KET"/>
      <sheetName val="Subkon"/>
      <sheetName val="Equip"/>
      <sheetName val="ANHAR"/>
      <sheetName val="D.1.5"/>
      <sheetName val="D.2.2"/>
      <sheetName val="RAB Arsitek"/>
      <sheetName val="Data"/>
      <sheetName val="I-ME"/>
      <sheetName val="FORM X COST"/>
      <sheetName val="BQ-IABK"/>
      <sheetName val="Analisa Upah &amp; Bahan Plum"/>
      <sheetName val="Marshal"/>
      <sheetName val="F 3-8"/>
      <sheetName val="BQ ME"/>
      <sheetName val="struktur tdk dipakai"/>
      <sheetName val="MAP"/>
      <sheetName val="351BQMCN"/>
      <sheetName val="Upah &amp; Bahan"/>
      <sheetName val="MAPDC"/>
      <sheetName val="ALUMUNIUM"/>
      <sheetName val="Harsat Upah"/>
      <sheetName val="Harsat Pekerjaan"/>
      <sheetName val="Agregat Halus &amp; Kasar"/>
      <sheetName val="Summary"/>
      <sheetName val="61004"/>
      <sheetName val="Utilitas"/>
      <sheetName val="Bill 2.4."/>
      <sheetName val="Analisa _ Upah"/>
      <sheetName val="AC_C"/>
      <sheetName val="GD 14"/>
      <sheetName val="BQ-E20-02(Rp)"/>
      <sheetName val="K725"/>
      <sheetName val="L4"/>
      <sheetName val="K33H"/>
      <sheetName val="K621"/>
      <sheetName val="K819"/>
      <sheetName val="K331"/>
      <sheetName val="ALAT"/>
      <sheetName val="Cover"/>
      <sheetName val="harga bahan"/>
      <sheetName val="harga upah"/>
      <sheetName val="sub"/>
      <sheetName val="ANHSSat"/>
      <sheetName val="BQ"/>
      <sheetName val="hsp-STR-ARS"/>
      <sheetName val="ANALISA PEK.UMUM"/>
      <sheetName val="HSD"/>
      <sheetName val="data Masjid Ksrn"/>
      <sheetName val="RAB Interior"/>
      <sheetName val="BAU"/>
      <sheetName val="Daft.Kuantitas"/>
      <sheetName val="BHN"/>
      <sheetName val="ANALISA ALAT BERAT"/>
      <sheetName val="Ana"/>
      <sheetName val="HL"/>
      <sheetName val="DATABASE"/>
      <sheetName val="MASTER"/>
      <sheetName val="DCost-4"/>
      <sheetName val="HrgUpahBahan"/>
      <sheetName val="Harga Dasar"/>
      <sheetName val="HARDAS PERKIM 2"/>
      <sheetName val="extern"/>
      <sheetName val="daf-3(OK)"/>
      <sheetName val="daf-7(OK)"/>
      <sheetName val="Bill 2_4_"/>
      <sheetName val="Daftar Harga"/>
      <sheetName val="Daftar Upah"/>
      <sheetName val="ANALISA GRS TENGAH"/>
      <sheetName val="Anl"/>
      <sheetName val="UPAH"/>
      <sheetName val="BOQ1"/>
      <sheetName val="DAF_1"/>
      <sheetName val="SCHEDULE"/>
      <sheetName val="basic"/>
      <sheetName val="Hardas"/>
      <sheetName val="alm"/>
      <sheetName val="Dashboard"/>
      <sheetName val="Data Ktr Bupati Tapsel"/>
      <sheetName val="Anl.Sipil"/>
      <sheetName val="hs_str"/>
      <sheetName val="UBA"/>
      <sheetName val="Schedulle(S-curve)Break"/>
      <sheetName val="Analisa SNI"/>
      <sheetName val="Als Struk"/>
      <sheetName val="har-sat"/>
      <sheetName val="HB "/>
      <sheetName val="DHS"/>
      <sheetName val="BQ "/>
      <sheetName val="DETAIL"/>
      <sheetName val="BOW"/>
      <sheetName val="TE TS FA LAN MATV"/>
      <sheetName val="Sheet1"/>
      <sheetName val="ref"/>
      <sheetName val="BAG-2"/>
      <sheetName val="CH"/>
      <sheetName val="AKUN"/>
      <sheetName val="Sis Hidrol"/>
      <sheetName val="Brk Dwn Sipil"/>
      <sheetName val="Pipa 10 mm"/>
      <sheetName val="Pipa 8 mm"/>
      <sheetName val="Pipa Fiber"/>
      <sheetName val="Pipa PE"/>
      <sheetName val="Rekap Tot"/>
      <sheetName val="Economic Assumptions"/>
      <sheetName val="EE-PROP"/>
      <sheetName val="slab"/>
      <sheetName val="Urai _Resap pengikat"/>
      <sheetName val="PRD 01-7"/>
      <sheetName val="PRD 01-8"/>
      <sheetName val="PRD 01-11"/>
      <sheetName val="PRD 01-10"/>
      <sheetName val=" Harsat Baru"/>
      <sheetName val="Rab Struktur"/>
      <sheetName val="perhitungan indeks"/>
      <sheetName val="REKAP ANALISA SESUAI PU"/>
      <sheetName val="ANALISA STRUKTUR "/>
      <sheetName val="REKAP ANALISA TO PRINT"/>
      <sheetName val="Input"/>
      <sheetName val="RL-01"/>
      <sheetName val="SPEC"/>
      <sheetName val="Upah dan Bahan"/>
      <sheetName val="5-Digit"/>
      <sheetName val="Analisa 2"/>
      <sheetName val="AC"/>
      <sheetName val="Perhit.Alat"/>
      <sheetName val="rab-str.Adm"/>
      <sheetName val="TP ALAT"/>
      <sheetName val="#REF!"/>
      <sheetName val="arab"/>
      <sheetName val="Fill this out first..."/>
      <sheetName val="Pipa 200"/>
      <sheetName val="TOT_RAP"/>
      <sheetName val="Harga Satuan"/>
      <sheetName val="DAPRO"/>
      <sheetName val="BL"/>
      <sheetName val="SBDY"/>
      <sheetName val="SNI"/>
      <sheetName val="bialang"/>
      <sheetName val="kontribusi"/>
      <sheetName val="likuiditas"/>
      <sheetName val="Manajerial"/>
      <sheetName val="revenue"/>
      <sheetName val="progres sub unv"/>
      <sheetName val="rework"/>
      <sheetName val="CCO"/>
      <sheetName val="informasi"/>
      <sheetName val="black_out"/>
      <sheetName val="610.07A"/>
      <sheetName val="Perhitungan Besi"/>
      <sheetName val="BasicPrice"/>
      <sheetName val="H_Satuan2"/>
      <sheetName val="Jam_Alat1"/>
      <sheetName val="Vol_Lining1"/>
      <sheetName val="Vol_K_2251"/>
      <sheetName val="Bangunan Utama"/>
      <sheetName val="Analisa Gabungan"/>
      <sheetName val="SITE-E"/>
      <sheetName val="Bill of Qty"/>
      <sheetName val="Bill rekap"/>
      <sheetName val="4"/>
      <sheetName val="DAF-2"/>
      <sheetName val="Fins-Beng&amp;Fas"/>
      <sheetName val="Kabel"/>
      <sheetName val="RAP"/>
      <sheetName val="SEX"/>
      <sheetName val="9-1차이내역"/>
      <sheetName val="MENU"/>
      <sheetName val="Rupa2"/>
      <sheetName val="N-AC"/>
      <sheetName val="RPP01 6"/>
      <sheetName val="pricelist"/>
      <sheetName val="MAT"/>
      <sheetName val="UP"/>
      <sheetName val="BOQ"/>
      <sheetName val="POL"/>
      <sheetName val="Analisa Quarry"/>
      <sheetName val="Peralatan"/>
      <sheetName val="O&amp;O-Alat"/>
      <sheetName val="billed"/>
      <sheetName val="COST TOGO"/>
      <sheetName val="report"/>
      <sheetName val="antisipasi"/>
      <sheetName val="R A B"/>
      <sheetName val="Analisa STR"/>
      <sheetName val="bhn,upah,alat"/>
      <sheetName val="Ans Kom Precast"/>
      <sheetName val="HS"/>
      <sheetName val="D.BOARD"/>
      <sheetName val="hsp_STR_ARS"/>
      <sheetName val="UPAH BAHAN ARST"/>
      <sheetName val="6106"/>
      <sheetName val="met bab3"/>
      <sheetName val="anal bab8"/>
      <sheetName val="ANS STR"/>
      <sheetName val="HARGA BAHAN UPAH"/>
      <sheetName val="Analisa Harga Satuan"/>
      <sheetName val="Hit Vol Str Jambi"/>
      <sheetName val="PRELI-CAP"/>
      <sheetName val="MAPP"/>
      <sheetName val="4-MVAC"/>
      <sheetName val="II.1 STR GED A"/>
      <sheetName val="Rekap Direct Cost"/>
      <sheetName val="Analisa 021"/>
      <sheetName val="RAB_DURI"/>
      <sheetName val="Alat &amp; Bahan"/>
      <sheetName val="MADC"/>
      <sheetName val="ANAL2"/>
      <sheetName val="dil"/>
      <sheetName val="dild"/>
      <sheetName val="dti"/>
      <sheetName val="H-SATUAN"/>
      <sheetName val="PRY01-1"/>
      <sheetName val="PRY02"/>
      <sheetName val="REKAP A BESAR"/>
      <sheetName val="daf harga (reil)"/>
      <sheetName val=" Biaya alat jam (reil)"/>
      <sheetName val="Anal-Grout!Back!Water"/>
      <sheetName val=" Biaya alat jam"/>
      <sheetName val="AHSP"/>
      <sheetName val="STRUKTUR-1"/>
      <sheetName val="H Sat Jembatan"/>
      <sheetName val="MB_SOFTCOST_DETAIL"/>
      <sheetName val="SOFTCOST_R2"/>
      <sheetName val="HARDCOST"/>
      <sheetName val="MB_GENERAL"/>
      <sheetName val="ANPRO"/>
      <sheetName val="Sum"/>
      <sheetName val="L_O&amp;O"/>
      <sheetName val="RAB ME"/>
      <sheetName val="sheet 2"/>
      <sheetName val="hrg-dsr"/>
      <sheetName val="keb-BHN"/>
      <sheetName val="ALAT-1"/>
      <sheetName val="HargaSat"/>
      <sheetName val="Harga"/>
      <sheetName val="BILL 1"/>
      <sheetName val="RESUME"/>
      <sheetName val="BILL OF QUANTITY"/>
      <sheetName val="BAG_2"/>
      <sheetName val=" R A B"/>
      <sheetName val="DAF-1"/>
      <sheetName val="ANALISA SNI'07(ubh bgsting)"/>
      <sheetName val="Based KV, palembang &amp; KJI"/>
      <sheetName val="Hrg Bhn (2)"/>
      <sheetName val="H.SAT"/>
      <sheetName val="Bor Pile"/>
      <sheetName val="ANALISA SM"/>
      <sheetName val="ANALISA "/>
      <sheetName val="HG-UPAH"/>
      <sheetName val="HG_JADI"/>
      <sheetName val="7.ASAT"/>
      <sheetName val="7.DATA"/>
      <sheetName val="5.RBKI"/>
      <sheetName val="6.RBKA"/>
      <sheetName val="Upah&amp;Bahan"/>
      <sheetName val="HSATUAN"/>
      <sheetName val="Rekap Vol"/>
      <sheetName val="Rekap Anal"/>
      <sheetName val="B.as"/>
      <sheetName val="penawaran baja"/>
      <sheetName val="Pos 4-1"/>
      <sheetName val="TJ1Q47"/>
      <sheetName val="Sheet15"/>
      <sheetName val="Harga Satuan (T.P.)"/>
      <sheetName val="Analisa HSP (T.P.)"/>
      <sheetName val="TSS"/>
      <sheetName val="D-3"/>
      <sheetName val="beton"/>
      <sheetName val="CashFlow"/>
      <sheetName val="An H.Sat Pek.Ut"/>
      <sheetName val="Sch"/>
      <sheetName val="HaSatUp"/>
      <sheetName val="Rab"/>
      <sheetName val="BIL"/>
      <sheetName val="Kode"/>
      <sheetName val="Hst_mat"/>
      <sheetName val="WAYANG"/>
      <sheetName val="DB"/>
      <sheetName val="Mall"/>
      <sheetName val="FORM_X_COST"/>
      <sheetName val="Bill_5_Summary"/>
      <sheetName val="GD_14"/>
      <sheetName val="Analisa_&amp;_Upah"/>
      <sheetName val="D_BOARD_LAMA"/>
      <sheetName val="HARSAT_BAHAN"/>
      <sheetName val="Bill_4_Summary"/>
      <sheetName val="Bill_3_Summary"/>
      <sheetName val="Analisa___Upah"/>
      <sheetName val="HARGA_MATERIAL"/>
      <sheetName val="Bill_2_Summary"/>
      <sheetName val="Hrg_Bhn"/>
      <sheetName val="RAB_Arsitek"/>
      <sheetName val="BQ_ME"/>
      <sheetName val="struktur_tdk_dipakai"/>
      <sheetName val="Analisa_Harga"/>
      <sheetName val="Agregat_Halus_&amp;_Kasar"/>
      <sheetName val="Daf_Harga"/>
      <sheetName val="An__Harga"/>
      <sheetName val="Upah_&amp;_Bahan"/>
      <sheetName val="D_1_7"/>
      <sheetName val="D_1_5"/>
      <sheetName val="D_2_3"/>
      <sheetName val="D_2_2"/>
      <sheetName val="Bill_2_4_"/>
      <sheetName val="B_T"/>
      <sheetName val="harga_bahan"/>
      <sheetName val="harga_upah"/>
      <sheetName val="Bill_2_4_1"/>
      <sheetName val="Daftar_Harga"/>
      <sheetName val="Daftar_Upah"/>
      <sheetName val="ANALISA_GRS_TENGAH"/>
      <sheetName val="Unit_Rate"/>
      <sheetName val="F_3-8"/>
      <sheetName val="Harsat_Upah"/>
      <sheetName val="Harsat_Pekerjaan"/>
      <sheetName val="PRD_01-7"/>
      <sheetName val="PRD_01-8"/>
      <sheetName val="PRD_01-11"/>
      <sheetName val="PRD_01-10"/>
      <sheetName val="_Harsat_Baru"/>
      <sheetName val="Rab_Struktur"/>
      <sheetName val="perhitungan_indeks"/>
      <sheetName val="Analisa_Upah_&amp;_Bahan_Plum"/>
      <sheetName val="rab-str_Adm"/>
      <sheetName val="Cash_Flow_bulanan"/>
      <sheetName val="Cover_Daf-2"/>
      <sheetName val="HARGA_ALAT"/>
      <sheetName val="Als_Struk"/>
      <sheetName val="data_Masjid_Ksrn"/>
      <sheetName val="RAB_Interior"/>
      <sheetName val="Bangunan_Utama"/>
      <sheetName val="BILL_1"/>
      <sheetName val="Sat_Bahan"/>
      <sheetName val="Sat_Alat"/>
      <sheetName val="Sat_Upah"/>
      <sheetName val="Analisa_SNI"/>
      <sheetName val="Anal-2"/>
      <sheetName val="sai"/>
      <sheetName val="PDP"/>
      <sheetName val="RPP01-1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.1"/>
      <sheetName val="DCF SD JUNI 04"/>
      <sheetName val="alok_bunga"/>
      <sheetName val="PANELKAST"/>
      <sheetName val="KOEF"/>
      <sheetName val="IPA1"/>
      <sheetName val="an-satuan"/>
      <sheetName val="Unit"/>
      <sheetName val="Mat.Elk"/>
      <sheetName val="Mat.Mek"/>
      <sheetName val="AHS Isolasi"/>
      <sheetName val="ahsAC"/>
      <sheetName val="Duct"/>
      <sheetName val="AHS"/>
      <sheetName val="OHD"/>
      <sheetName val="Manpower"/>
      <sheetName val="Equipt,Tools&amp;Cons"/>
      <sheetName val="STRUKTUR"/>
      <sheetName val="ARSITEKTUR"/>
      <sheetName val="대비표"/>
      <sheetName val="An_pdkg"/>
      <sheetName val="An Struktur"/>
      <sheetName val="Unit Rate (2)"/>
      <sheetName val="VOLUME"/>
      <sheetName val="PileCap"/>
      <sheetName val="Rinci-Biaya"/>
      <sheetName val="Rinci-Pendapatan"/>
      <sheetName val="Accept. Letter"/>
      <sheetName val="BINA GRAFINDO"/>
      <sheetName val="BINA MITRA "/>
      <sheetName val="DAOUD MATULA"/>
      <sheetName val="RISMAN"/>
      <sheetName val="SUCOFINDO"/>
      <sheetName val="MAHRUM NISA"/>
      <sheetName val="PURWANTO"/>
      <sheetName val="RUDI SAIFIN"/>
      <sheetName val="Analis"/>
      <sheetName val="UPH,BHN,ALT"/>
      <sheetName val="Analis harga"/>
      <sheetName val="SAP"/>
      <sheetName val="Rek"/>
      <sheetName val="ALATBERAT"/>
      <sheetName val="tabel berat"/>
      <sheetName val="Str BT"/>
      <sheetName val="Analysis"/>
      <sheetName val="Analysis2"/>
      <sheetName val="BREAKER"/>
      <sheetName val="IDLE ALAT"/>
      <sheetName val="DATA1"/>
      <sheetName val="div-2"/>
      <sheetName val="Input Data"/>
      <sheetName val="GVL§CT"/>
      <sheetName val="Allowance"/>
      <sheetName val="SPJ"/>
      <sheetName val="Gaji"/>
      <sheetName val="PekTanah"/>
      <sheetName val="Piling"/>
      <sheetName val="RANGKUM"/>
      <sheetName val="InputAlat"/>
      <sheetName val="Dewatering"/>
      <sheetName val="Jalan"/>
      <sheetName val="Jembatan"/>
      <sheetName val="River Protect"/>
      <sheetName val="SAT-DAS"/>
      <sheetName val="H_Satuan3"/>
      <sheetName val="Jam_Alat2"/>
      <sheetName val="Vol_Lining2"/>
      <sheetName val="Vol_K_2252"/>
      <sheetName val="progres_sub_unv"/>
      <sheetName val="3_Mob"/>
      <sheetName val="Harga_Dasar"/>
      <sheetName val="HARDAS_PERKIM_2"/>
      <sheetName val="TE_TS_FA_LAN_MATV"/>
      <sheetName val="ANALISA_PEK_UMUM"/>
      <sheetName val="Data_Ktr_Bupati_Tapsel"/>
      <sheetName val="Anl_Sipil"/>
      <sheetName val="Analisa_Quarry"/>
      <sheetName val="HB_"/>
      <sheetName val="BQ_"/>
      <sheetName val="Analisa_STR"/>
      <sheetName val="Ans_Kom_Precast"/>
      <sheetName val="Upah_dan_Bahan"/>
      <sheetName val="Analisa_2"/>
      <sheetName val="Fill_this_out_first___"/>
      <sheetName val="Analisa_HSP"/>
      <sheetName val="Perhit_Alat"/>
      <sheetName val="Economic_Assumptions"/>
      <sheetName val="Urai__Resap_pengikat"/>
      <sheetName val="610_07A"/>
      <sheetName val="Perhitungan_Besi"/>
      <sheetName val="Analisa_Gabungan"/>
      <sheetName val="Bill_of_Qty"/>
      <sheetName val="Bill_rekap"/>
      <sheetName val="Pipa_200"/>
      <sheetName val="Daft_Kuantitas"/>
      <sheetName val="ANALISA_ALAT_BERAT"/>
      <sheetName val="Harga_Satuan"/>
      <sheetName val="RPP01_6"/>
      <sheetName val="Alat_&amp;_Bahan"/>
      <sheetName val="pricing"/>
      <sheetName val="DEPRE 05"/>
      <sheetName val="LR-OKT-06"/>
      <sheetName val="DivVI"/>
      <sheetName val="BREAKDOWN"/>
      <sheetName val="Peralatan (2)"/>
      <sheetName val="Daftar Sewa"/>
      <sheetName val="HARSAT-lain"/>
      <sheetName val="HARSAT-tanah"/>
      <sheetName val="bidang"/>
      <sheetName val="Perm. Test"/>
      <sheetName val="DU&amp;B"/>
      <sheetName val="HARDAS-UPAH"/>
      <sheetName val="SCURVE"/>
      <sheetName val="Calcu 02"/>
      <sheetName val="BBM-03"/>
      <sheetName val="RAB (A) (2)"/>
      <sheetName val="Bobot"/>
      <sheetName val="Analisa Mob. 3"/>
      <sheetName val="Analisa Mob.1"/>
      <sheetName val="Analisa-Harga"/>
      <sheetName val="Analisa Alat"/>
      <sheetName val="data-pendukung"/>
      <sheetName val="CC"/>
      <sheetName val="R. Upah"/>
      <sheetName val="R. Bahan"/>
      <sheetName val="R. Alat"/>
      <sheetName val="R. Subkont"/>
      <sheetName val="D7(1)"/>
      <sheetName val="PI"/>
      <sheetName val="2. MVAC R1"/>
      <sheetName val="Pipe"/>
      <sheetName val="DIV.2"/>
      <sheetName val="Material-mr"/>
      <sheetName val="Daft.Sewa Alat"/>
      <sheetName val="inter"/>
      <sheetName val="Rekapitulasi"/>
      <sheetName val="01A- RAB"/>
      <sheetName val="STR PODIUM"/>
      <sheetName val="STR PODIUM (2)"/>
      <sheetName val="REKAP STR"/>
      <sheetName val="REKAP ME CSPL"/>
      <sheetName val="Faktor"/>
      <sheetName val="Ana PasBatu 7.4"/>
      <sheetName val="Grading Tahap 1"/>
      <sheetName val="SUMBER DAYA"/>
      <sheetName val="chitimc"/>
      <sheetName val="dongia _2_"/>
      <sheetName val="LKVL_CK_HT_GD1"/>
      <sheetName val="giathanh1"/>
      <sheetName val="THPDMoi  _2_"/>
      <sheetName val="gtrinh"/>
      <sheetName val="phuluc1"/>
      <sheetName val="TONG HOP VL_NC"/>
      <sheetName val="lam_moi"/>
      <sheetName val="chitiet"/>
      <sheetName val="TONGKE3p "/>
      <sheetName val="TH VL_ NC_ DDHT Thanhphuoc"/>
      <sheetName val="_REF"/>
      <sheetName val="DONGIA"/>
      <sheetName val="thao_go"/>
      <sheetName val="DON GIA"/>
      <sheetName val="TONGKE_HT"/>
      <sheetName val="DG"/>
      <sheetName val="dtxl"/>
      <sheetName val="t_h HA THE"/>
      <sheetName val="CHITIET VL_NC_TT _1p"/>
      <sheetName val="TONG HOP VL_NC TT"/>
      <sheetName val="TNHCHINH"/>
      <sheetName val="TH XL"/>
      <sheetName val="CHITIET VL_NC"/>
      <sheetName val="VC"/>
      <sheetName val="Tiepdia"/>
      <sheetName val="CHITIET VL_NC_TT_3p"/>
      <sheetName val="TDTKP"/>
      <sheetName val="TDTKP1"/>
      <sheetName val="KPVC_BD "/>
      <sheetName val="VCV_BE_TONG"/>
      <sheetName val="A.1.Persiapan non std"/>
      <sheetName val="DATA BASE"/>
      <sheetName val="HVAC"/>
      <sheetName val="uph"/>
      <sheetName val="QSS Building"/>
      <sheetName val="Unit Cost"/>
      <sheetName val="Sec I ML"/>
      <sheetName val="Sat. Pek."/>
      <sheetName val="RAB AR&amp;STR"/>
      <sheetName val="HSAT(PR)"/>
      <sheetName val="anal SNI"/>
      <sheetName val="Upah Bhn"/>
      <sheetName val="AN-KOEF"/>
      <sheetName val="HDS"/>
      <sheetName val="BT.KALI"/>
      <sheetName val="GEDUNG-A"/>
      <sheetName val="Daf_Harga1"/>
      <sheetName val="An__Harga1"/>
      <sheetName val="Analisa_&amp;_Upah1"/>
      <sheetName val="Bill_5_Summary1"/>
      <sheetName val="Bill_2_Summary1"/>
      <sheetName val="struktur_tdk_dipakai1"/>
      <sheetName val="D_BOARD_LAMA1"/>
      <sheetName val="RAB_Arsitek1"/>
      <sheetName val="FORM_X_COST1"/>
      <sheetName val="Analisa_Harga1"/>
      <sheetName val="Sis_Hidrol"/>
      <sheetName val="Brk_Dwn_Sipil"/>
      <sheetName val="Pipa_10_mm"/>
      <sheetName val="Pipa_8_mm"/>
      <sheetName val="Pipa_Fiber"/>
      <sheetName val="Pipa_PE"/>
      <sheetName val="Rekap_Tot"/>
      <sheetName val="HARGA_MATERIAL1"/>
      <sheetName val="Cash_Flow_bulanan1"/>
      <sheetName val="Cover_Daf-21"/>
      <sheetName val="D_1_71"/>
      <sheetName val="D_2_31"/>
      <sheetName val="HARSAT_BAHAN1"/>
      <sheetName val="Bill_4_Summary1"/>
      <sheetName val="Bill_3_Summary1"/>
      <sheetName val="Analisa_Upah_&amp;_Bahan_Plum1"/>
      <sheetName val="B_T1"/>
      <sheetName val="HARGA_ALAT1"/>
      <sheetName val="D_1_51"/>
      <sheetName val="D_2_21"/>
      <sheetName val="Unit_Rate1"/>
      <sheetName val="F_3-81"/>
      <sheetName val="BQ_ME1"/>
      <sheetName val="Upah_&amp;_Bahan1"/>
      <sheetName val="Harsat_Upah1"/>
      <sheetName val="Harsat_Pekerjaan1"/>
      <sheetName val="Agregat_Halus_&amp;_Kasar1"/>
      <sheetName val="Analisa___Upah1"/>
      <sheetName val="GD_141"/>
      <sheetName val="Bill_2_4_2"/>
      <sheetName val="harga_bahan1"/>
      <sheetName val="harga_upah1"/>
      <sheetName val="data_Masjid_Ksrn1"/>
      <sheetName val="drawing"/>
      <sheetName val="D6"/>
      <sheetName val="D8(1)"/>
      <sheetName val="ANALISA OKE"/>
      <sheetName val="Hargabahan"/>
      <sheetName val="Alat Berat"/>
      <sheetName val="Kuantitas"/>
      <sheetName val="Harga S Dasar UNTUK IDISI"/>
      <sheetName val="isian"/>
      <sheetName val="Bill of Qty MEP"/>
      <sheetName val="bbtest2"/>
      <sheetName val="dongia (2)"/>
      <sheetName val="THPDMoi  (2)"/>
      <sheetName val="lam-moi"/>
      <sheetName val="#REF"/>
      <sheetName val="thao-go"/>
      <sheetName val="CHITIET VL-NC"/>
      <sheetName val="CHITIET VL-NC-TT -1p"/>
      <sheetName val="CHITIET VL-NC-TT-3p"/>
      <sheetName val="TONGKE-HT"/>
      <sheetName val="t-h HA THE"/>
      <sheetName val="Rekap. ME"/>
      <sheetName val="o rekap#4"/>
      <sheetName val="Hrg_Bhn1"/>
      <sheetName val="Harga_Satuan_(T_P_)"/>
      <sheetName val="Analisa_HSP_(T_P_)"/>
      <sheetName val="Analisa_Harga_Satuan"/>
      <sheetName val="Hit_Vol_Str_Jambi"/>
      <sheetName val="D_BOARD"/>
      <sheetName val="B_as"/>
      <sheetName val="penawaran_baja"/>
      <sheetName val="Pos_4-1"/>
      <sheetName val="Rekap_Anal"/>
      <sheetName val="UPAH_BAHAN_ARST"/>
      <sheetName val="met_bab3"/>
      <sheetName val="anal_bab8"/>
      <sheetName val="II_1_STR_GED_A"/>
      <sheetName val="REKAP_ANALISA_SESUAI_PU"/>
      <sheetName val="ANALISA_STRUKTUR_"/>
      <sheetName val="REKAP_ANALISA_TO_PRINT"/>
      <sheetName val="TP_ALAT"/>
      <sheetName val="ANS_STR"/>
      <sheetName val="HARGA_BAHAN_UPAH"/>
      <sheetName val="An_Struktur"/>
      <sheetName val="Unit_Rate_(2)"/>
      <sheetName val="ANALISA_SM"/>
      <sheetName val="Rekap_Direct_Cost"/>
      <sheetName val="Analisa_021"/>
      <sheetName val="R_A_B"/>
      <sheetName val="BILL_OF_QUANTITY"/>
      <sheetName val="_R_A_B"/>
      <sheetName val="H_SAT"/>
      <sheetName val="COST_TOGO"/>
      <sheetName val="Hrg_Bhn_(2)"/>
      <sheetName val="Mat_Elk"/>
      <sheetName val="Mat_Mek"/>
      <sheetName val="AHS_Isolasi"/>
      <sheetName val="RAB_ME"/>
      <sheetName val="sheet_2"/>
      <sheetName val="REKAP_A_BESAR"/>
      <sheetName val="daf_harga_(reil)"/>
      <sheetName val="_Biaya_alat_jam_(reil)"/>
      <sheetName val="_Biaya_alat_jam"/>
      <sheetName val="jadw"/>
      <sheetName val="ESC"/>
      <sheetName val="BQ-Str"/>
      <sheetName val="C3"/>
      <sheetName val="SDM"/>
      <sheetName val="LAMP_P2"/>
      <sheetName val="P-5"/>
      <sheetName val="LAMP_P5"/>
      <sheetName val="PERS_P2"/>
      <sheetName val="PERS_P5"/>
      <sheetName val="PERS_P6"/>
      <sheetName val="RKP"/>
      <sheetName val="61005"/>
      <sheetName val="61006"/>
      <sheetName val="61007"/>
      <sheetName val="61008"/>
      <sheetName val="P-2"/>
      <sheetName val="P-6"/>
      <sheetName val="HS-DASAR"/>
      <sheetName val="Ana. PU"/>
      <sheetName val="Master 1.0"/>
      <sheetName val="hsat-SD"/>
      <sheetName val="Rekap-SD"/>
      <sheetName val="skets"/>
      <sheetName val="An-str(krgnyr)"/>
      <sheetName val="BU"/>
      <sheetName val="Rek-Analisa"/>
      <sheetName val="pivot1"/>
      <sheetName val="BY_Lgsg-2"/>
      <sheetName val="A_Harga-13"/>
      <sheetName val="Owning cost Alat"/>
      <sheetName val="etraksi"/>
      <sheetName val="Base-A"/>
      <sheetName val="Up &amp; bhn"/>
      <sheetName val="Str"/>
      <sheetName val="name"/>
      <sheetName val="BQ25"/>
      <sheetName val="REK ADD"/>
      <sheetName val="BQ22"/>
      <sheetName val="BQ23"/>
      <sheetName val="M.Pekerjaan"/>
      <sheetName val="Hrg"/>
      <sheetName val="MASTER 1"/>
      <sheetName val="Urugan Pasir"/>
      <sheetName val="NC-CM"/>
      <sheetName val="Tenaker"/>
      <sheetName val="H.SAT-PRK"/>
      <sheetName val="H-SAT"/>
      <sheetName val="ca"/>
      <sheetName val="Sheet7"/>
      <sheetName val="Elec-ins"/>
      <sheetName val="Anals.1"/>
      <sheetName val="BQ_IABK"/>
      <sheetName val="Det Str BT"/>
      <sheetName val="Schdule"/>
      <sheetName val="BERAT TUL."/>
      <sheetName val="14.jalan&amp;saluran"/>
      <sheetName val="Cash2"/>
      <sheetName val="BAHAN (2)"/>
      <sheetName val="Bantuan Entry"/>
      <sheetName val="Bill-1"/>
      <sheetName val="Profil"/>
      <sheetName val="DAFMAT"/>
      <sheetName val="Galian 1"/>
      <sheetName val="DHSD"/>
      <sheetName val="Analisa (ok punya)"/>
      <sheetName val="ANAK-Smb"/>
      <sheetName val="ANALSUBKON"/>
      <sheetName val="kontol"/>
      <sheetName val="IPAL.1 "/>
      <sheetName val="PIPA.1"/>
      <sheetName val="Maleleng"/>
      <sheetName val="Sat.Pekerjaan"/>
      <sheetName val="besi"/>
      <sheetName val="D7"/>
      <sheetName val="3-DIV2"/>
      <sheetName val="RAB_Interior1"/>
      <sheetName val="Sat_Bahan1"/>
      <sheetName val="Sat_Alat1"/>
      <sheetName val="Sat_Upah1"/>
      <sheetName val="Bill_2_4_3"/>
      <sheetName val="Daftar_Harga1"/>
      <sheetName val="Daftar_Upah1"/>
      <sheetName val="ANALISA_GRS_TENGAH1"/>
      <sheetName val="PRD_01-71"/>
      <sheetName val="PRD_01-81"/>
      <sheetName val="PRD_01-111"/>
      <sheetName val="PRD_01-101"/>
      <sheetName val="_Harsat_Baru1"/>
      <sheetName val="Rab_Struktur1"/>
      <sheetName val="perhitungan_indeks1"/>
      <sheetName val="Als_Struk1"/>
      <sheetName val="rab-str_Adm1"/>
      <sheetName val="Analisa_SNI1"/>
      <sheetName val="Bangunan_Utama1"/>
      <sheetName val="BILL_11"/>
      <sheetName val="Based_KV,_palembang_&amp;_KJI"/>
      <sheetName val="DIV_1"/>
      <sheetName val="DCF_SD_JUNI_04"/>
      <sheetName val="Calcu_02"/>
      <sheetName val="H_Sat_Jembatan"/>
      <sheetName val="Bor_Pile"/>
      <sheetName val="H_Satuan4"/>
      <sheetName val="Jam_Alat3"/>
      <sheetName val="Vol_Lining3"/>
      <sheetName val="Vol_K_2253"/>
      <sheetName val="Daf_Harga2"/>
      <sheetName val="An__Harga2"/>
      <sheetName val="Analisa_&amp;_Upah2"/>
      <sheetName val="Bill_5_Summary2"/>
      <sheetName val="Bill_2_Summary2"/>
      <sheetName val="struktur_tdk_dipakai2"/>
      <sheetName val="D_BOARD_LAMA2"/>
      <sheetName val="RAB_Arsitek2"/>
      <sheetName val="FORM_X_COST2"/>
      <sheetName val="Analisa_Harga2"/>
      <sheetName val="Sis_Hidrol1"/>
      <sheetName val="Brk_Dwn_Sipil1"/>
      <sheetName val="Pipa_10_mm1"/>
      <sheetName val="Pipa_8_mm1"/>
      <sheetName val="Pipa_Fiber1"/>
      <sheetName val="Pipa_PE1"/>
      <sheetName val="Rekap_Tot1"/>
      <sheetName val="HARGA_MATERIAL2"/>
      <sheetName val="Cash_Flow_bulanan2"/>
      <sheetName val="Cover_Daf-22"/>
      <sheetName val="D_1_72"/>
      <sheetName val="D_2_32"/>
      <sheetName val="HARSAT_BAHAN2"/>
      <sheetName val="Bill_4_Summary2"/>
      <sheetName val="Bill_3_Summary2"/>
      <sheetName val="Analisa_Upah_&amp;_Bahan_Plum2"/>
      <sheetName val="B_T2"/>
      <sheetName val="HARGA_ALAT2"/>
      <sheetName val="3_Mob1"/>
      <sheetName val="D_1_52"/>
      <sheetName val="D_2_22"/>
      <sheetName val="Unit_Rate2"/>
      <sheetName val="F_3-82"/>
      <sheetName val="BQ_ME2"/>
      <sheetName val="Upah_&amp;_Bahan2"/>
      <sheetName val="Harsat_Upah2"/>
      <sheetName val="Harsat_Pekerjaan2"/>
      <sheetName val="Agregat_Halus_&amp;_Kasar2"/>
      <sheetName val="Analisa___Upah2"/>
      <sheetName val="GD_142"/>
      <sheetName val="Bill_2_4_4"/>
      <sheetName val="harga_bahan2"/>
      <sheetName val="harga_upah2"/>
      <sheetName val="ANALISA_PEK_UMUM1"/>
      <sheetName val="data_Masjid_Ksrn2"/>
      <sheetName val="RAB_Interior2"/>
      <sheetName val="Daft_Kuantitas1"/>
      <sheetName val="ANALISA_ALAT_BERAT1"/>
      <sheetName val="Sat_Bahan2"/>
      <sheetName val="Sat_Alat2"/>
      <sheetName val="Sat_Upah2"/>
      <sheetName val="HARGA_DASAR1"/>
      <sheetName val="Bill_2_4_5"/>
      <sheetName val="Daftar_Harga2"/>
      <sheetName val="Daftar_Upah2"/>
      <sheetName val="ANALISA_GRS_TENGAH2"/>
      <sheetName val="Economic_Assumptions1"/>
      <sheetName val="Urai__Resap_pengikat1"/>
      <sheetName val="PRD_01-72"/>
      <sheetName val="PRD_01-82"/>
      <sheetName val="PRD_01-112"/>
      <sheetName val="PRD_01-102"/>
      <sheetName val="_Harsat_Baru2"/>
      <sheetName val="Rab_Struktur2"/>
      <sheetName val="perhitungan_indeks2"/>
      <sheetName val="Upah_dan_Bahan1"/>
      <sheetName val="Analisa_21"/>
      <sheetName val="Als_Struk2"/>
      <sheetName val="Perhit_Alat1"/>
      <sheetName val="rab-str_Adm2"/>
      <sheetName val="TP_ALAT1"/>
      <sheetName val="REKAP_ANALISA_SESUAI_PU1"/>
      <sheetName val="ANALISA_STRUKTUR_1"/>
      <sheetName val="REKAP_ANALISA_TO_PRINT1"/>
      <sheetName val="Fill_this_out_first___1"/>
      <sheetName val="Pipa_2001"/>
      <sheetName val="Harga_Satuan1"/>
      <sheetName val="Data_Ktr_Bupati_Tapsel1"/>
      <sheetName val="Anl_Sipil1"/>
      <sheetName val="Analisa_Quarry1"/>
      <sheetName val="Analisa_HSP1"/>
      <sheetName val="Perhitungan_Besi1"/>
      <sheetName val="Analisa_SNI2"/>
      <sheetName val="610_07A1"/>
      <sheetName val="D_BOARD1"/>
      <sheetName val="UPAH_BAHAN_ARST1"/>
      <sheetName val="met_bab31"/>
      <sheetName val="anal_bab81"/>
      <sheetName val="ANS_STR1"/>
      <sheetName val="HARGA_BAHAN_UPAH1"/>
      <sheetName val="Analisa_Harga_Satuan1"/>
      <sheetName val="Hit_Vol_Str_Jambi1"/>
      <sheetName val="HARDAS_PERKIM_21"/>
      <sheetName val="TE_TS_FA_LAN_MATV1"/>
      <sheetName val="HB_1"/>
      <sheetName val="BQ_1"/>
      <sheetName val="COST_TOGO1"/>
      <sheetName val="Analisa_STR1"/>
      <sheetName val="R_A_B1"/>
      <sheetName val="Ans_Kom_Precast1"/>
      <sheetName val="progres_sub_unv1"/>
      <sheetName val="Bangunan_Utama2"/>
      <sheetName val="Analisa_Gabungan1"/>
      <sheetName val="Bill_of_Qty1"/>
      <sheetName val="Bill_rekap1"/>
      <sheetName val="Rekap_Direct_Cost1"/>
      <sheetName val="Analisa_0211"/>
      <sheetName val="BILL_12"/>
      <sheetName val="BILL_OF_QUANTITY1"/>
      <sheetName val="_R_A_B1"/>
      <sheetName val="daf_harga_(reil)1"/>
      <sheetName val="_Biaya_alat_jam_(reil)1"/>
      <sheetName val="_Biaya_alat_jam1"/>
      <sheetName val="Based_KV,_palembang_&amp;_KJI1"/>
      <sheetName val="RPP01_61"/>
      <sheetName val="Alat_&amp;_Bahan1"/>
      <sheetName val="ANALISA_SM1"/>
      <sheetName val="Hrg_Bhn_(2)1"/>
      <sheetName val="II_1_STR_GED_A1"/>
      <sheetName val="REKAP_A_BESAR1"/>
      <sheetName val="DIV_11"/>
      <sheetName val="DCF_SD_JUNI_041"/>
      <sheetName val="Rekap_Anal1"/>
      <sheetName val="B_as1"/>
      <sheetName val="penawaran_baja1"/>
      <sheetName val="Pos_4-11"/>
      <sheetName val="Calcu_021"/>
      <sheetName val="Harga_Satuan_(T_P_)1"/>
      <sheetName val="Analisa_HSP_(T_P_)1"/>
      <sheetName val="H_Sat_Jembatan1"/>
      <sheetName val="H_SAT1"/>
      <sheetName val="Bor_Pile1"/>
      <sheetName val="Rekap Bill"/>
      <sheetName val="S.roomToyota"/>
      <sheetName val="..."/>
      <sheetName val="."/>
      <sheetName val="hasat"/>
      <sheetName val="MAP-2A"/>
      <sheetName val="schtng"/>
      <sheetName val="schbhn"/>
      <sheetName val="schalt"/>
      <sheetName val="Basic Price"/>
      <sheetName val="s"/>
      <sheetName val="uraian peralatan"/>
      <sheetName val="Daftar Harga Dasar"/>
      <sheetName val="UpahKerja"/>
      <sheetName val="cal borepile"/>
      <sheetName val="Rekap Gab"/>
      <sheetName val="S-Curve (2017)"/>
      <sheetName val="Sheet3"/>
      <sheetName val="Analisa RAP"/>
      <sheetName val="Data Keu"/>
      <sheetName val="Data Teknik"/>
      <sheetName val="Sch Tender"/>
      <sheetName val="CekList"/>
      <sheetName val="BQ OE"/>
      <sheetName val="Rekap RAP"/>
      <sheetName val="Penyebaran M"/>
      <sheetName val="ScheduleRAP"/>
      <sheetName val="PNT"/>
      <sheetName val="UPH_BHN_ALT"/>
      <sheetName val="dasar"/>
      <sheetName val="D8"/>
      <sheetName val="10.1 (1)"/>
      <sheetName val="10.1 (2)"/>
      <sheetName val="10.1 (3)"/>
      <sheetName val="10.1 (4)"/>
      <sheetName val="10.1 (5)"/>
      <sheetName val="STA"/>
      <sheetName val="PCG"/>
      <sheetName val="DSN"/>
      <sheetName val="TPT"/>
      <sheetName val="1.Cover"/>
      <sheetName val="BOM"/>
      <sheetName val="POINT SCHEDULE"/>
      <sheetName val="TB"/>
      <sheetName val="Balok L_2"/>
      <sheetName val="Spec ME"/>
      <sheetName val="mVAC"/>
      <sheetName val="LAPIUT"/>
      <sheetName val="Bill 2"/>
      <sheetName val="Bill 3"/>
      <sheetName val="Bill 4"/>
      <sheetName val="Bill 5"/>
      <sheetName val="Bill 6"/>
      <sheetName val="Bill 7"/>
      <sheetName val="tulang"/>
      <sheetName val="hit_BKMM"/>
      <sheetName val="BOM_ACS"/>
      <sheetName val="SCHEDULE "/>
      <sheetName val="SH breakdown"/>
      <sheetName val="Hrg-Bahan"/>
      <sheetName val="RAB -1"/>
      <sheetName val="harga ANALISA"/>
      <sheetName val="ANALISA GEDUNG"/>
      <sheetName val="ANALISA ME"/>
      <sheetName val="Foundation"/>
      <sheetName val="Kontrak"/>
      <sheetName val="LAPORAN"/>
      <sheetName val="Analisa (2)"/>
      <sheetName val="pas wm"/>
      <sheetName val="SchA"/>
      <sheetName val="SchC"/>
      <sheetName val="SewAlat"/>
      <sheetName val="Rekap M&amp;E ADD1_R"/>
      <sheetName val="H. Dasar"/>
      <sheetName val="BAR SCREEN"/>
      <sheetName val="Rekap Prelim"/>
      <sheetName val="Analisa Baku STR ARS"/>
      <sheetName val="Equipment"/>
      <sheetName val="Analisa ME "/>
      <sheetName val="V . REKAP TOTAL - MEP"/>
      <sheetName val="REKAP - SITEPLAN"/>
      <sheetName val="REKAP UTILITAS"/>
      <sheetName val="REKAP GEDUNG"/>
      <sheetName val="REKAP - POS JAGA"/>
      <sheetName val="RELOKASI - EXISTING"/>
      <sheetName val="V . 1 MEKANIKAL - SITEPLAN"/>
      <sheetName val="V . 2 ELEKTRIKAL - SITEPLAN"/>
      <sheetName val=" V . 1 MEKANIKAL - UTILITAS"/>
      <sheetName val=" V . 2 ELEKTRIKAL - UTILITAS "/>
      <sheetName val="V.1. MEKANIKAL - GDG"/>
      <sheetName val="V.2.1. ELEKTRIKAL GDG "/>
      <sheetName val="Analisa Harga Inst. Penerangan"/>
      <sheetName val="LINK"/>
      <sheetName val="hit.BKMM"/>
      <sheetName val="Rekap-Alat"/>
      <sheetName val="B Penunjang"/>
      <sheetName val="Met_ Minor"/>
      <sheetName val="12CGOU"/>
      <sheetName val="NP"/>
      <sheetName val="DIV1"/>
      <sheetName val="Data Alat"/>
      <sheetName val="Amplop"/>
      <sheetName val="Balance sheet"/>
      <sheetName val="ubah"/>
      <sheetName val="ANHAS"/>
      <sheetName val="BYALAT"/>
      <sheetName val="HSDALAT"/>
      <sheetName val="hRG Stn Bhn,Uph, perl"/>
      <sheetName val="H Satuan Dasar"/>
      <sheetName val="SHEDULE"/>
      <sheetName val="Steel"/>
      <sheetName val="rap rinci"/>
      <sheetName val="NP (2)"/>
      <sheetName val="Elektrikal"/>
      <sheetName val="AN-MAJOR"/>
      <sheetName val="Rekap 1"/>
      <sheetName val="rp"/>
      <sheetName val="Currency Rate"/>
      <sheetName val="3-DIV10"/>
      <sheetName val="304_06"/>
      <sheetName val="AHS - Riel"/>
      <sheetName val="HRG BAHAN &amp; UPAH okk"/>
      <sheetName val="Analis Kusen okk"/>
      <sheetName val="rek det 1-3"/>
      <sheetName val="TOTAL"/>
      <sheetName val="Kolom"/>
      <sheetName val="Realisasi Mingguan"/>
      <sheetName val="Realisasi Harian"/>
      <sheetName val="Sheet2"/>
      <sheetName val="Rencana Harian"/>
      <sheetName val="Rencana Mingguan"/>
      <sheetName val="Excavator"/>
      <sheetName val="Dump Truck"/>
      <sheetName val="Progres"/>
      <sheetName val="Tuki 1"/>
      <sheetName val="Tuki 2"/>
      <sheetName val="Tuki 3"/>
      <sheetName val="Tuki 4"/>
      <sheetName val="Tuki 5"/>
      <sheetName val="Tuki 6"/>
      <sheetName val="Tuki 7"/>
      <sheetName val="Tuki 8"/>
      <sheetName val="Besi Tuka"/>
      <sheetName val="Hargapek"/>
      <sheetName val=""/>
      <sheetName val="DAF_2"/>
      <sheetName val="SAT-BHN"/>
      <sheetName val=" Columns"/>
      <sheetName val="Pek. Tanah"/>
      <sheetName val="Pek. Pondasi"/>
      <sheetName val="Pek. Dinding"/>
      <sheetName val="Pek. Plesteran"/>
      <sheetName val="Pek. Kayu"/>
      <sheetName val="Pek. Beton"/>
      <sheetName val="Pek. Penutup Atap"/>
      <sheetName val="Pek. Langit-langit"/>
      <sheetName val="Pek. Sanitasi"/>
      <sheetName val="Pek. Besi &amp; Alumunium"/>
      <sheetName val="Pek. Kunci &amp; Kaca"/>
      <sheetName val="Pek. Penutup Lantai &amp; dinding"/>
      <sheetName val="Pek. Pengecatan"/>
      <sheetName val="eq_data"/>
      <sheetName val="Man Power"/>
      <sheetName val="Sat~Bahu"/>
      <sheetName val="Sch-5"/>
      <sheetName val="ANTEK"/>
      <sheetName val="RKP_BOQ"/>
      <sheetName val="610.04"/>
      <sheetName val="610.05"/>
      <sheetName val="610.06"/>
      <sheetName val="610.07"/>
      <sheetName val="610.08"/>
      <sheetName val="RINCIAN"/>
      <sheetName val="FORM BQ TL PRATU 4cct"/>
      <sheetName val="P"/>
      <sheetName val="Report detil kondisi"/>
      <sheetName val="detil kondisi"/>
      <sheetName val="rab - persiapan &amp; lantai-1"/>
      <sheetName val="RUMUS BTL"/>
      <sheetName val="PIPE&amp;ACCESORRIES (3)"/>
      <sheetName val="Biaya"/>
      <sheetName val="D3.4.4"/>
      <sheetName val="TABEL_DETASIR"/>
      <sheetName val="Front"/>
      <sheetName val="BQ-Tenis"/>
      <sheetName val="BOQ_Aula"/>
      <sheetName val="Prelim"/>
      <sheetName val="plumbing"/>
      <sheetName val="1. BQ"/>
      <sheetName val="Harga-RAB"/>
      <sheetName val="Upah,Bahan,Alat"/>
      <sheetName val="AnSipil"/>
      <sheetName val="rab-str-TAHAP.1-PC"/>
      <sheetName val="UPAH-2"/>
      <sheetName val="5-ALAT(1)"/>
      <sheetName val="4-Basic Price"/>
      <sheetName val="Terbilang"/>
      <sheetName val="LAL - PASAR PAGI "/>
      <sheetName val="terbilang1"/>
      <sheetName val="JAD-PEL"/>
      <sheetName val="GENERAL"/>
      <sheetName val="B"/>
      <sheetName val="EVAL-ANAL"/>
      <sheetName val="LKVL-CK-HT-GD1"/>
      <sheetName val="Sheet4"/>
      <sheetName val="EK-JAN-2010"/>
      <sheetName val="bahan+upah"/>
      <sheetName val="Z"/>
      <sheetName val="Anl_Bet"/>
      <sheetName val="HSPK"/>
      <sheetName val="Rekap analis"/>
      <sheetName val="BOQ-Indonesia"/>
      <sheetName val="MasterSchedule"/>
      <sheetName val="ANSAT"/>
      <sheetName val="HSU 2016"/>
      <sheetName val="DAF.HRG"/>
      <sheetName val="Estimate"/>
      <sheetName val="an. struktur"/>
      <sheetName val="note"/>
      <sheetName val="XZLC003_PART1"/>
      <sheetName val="H_Satuan5"/>
      <sheetName val="Jam_Alat4"/>
      <sheetName val="Vol_Lining4"/>
      <sheetName val="Vol_K_2254"/>
      <sheetName val="Analisa_&amp;_Upah3"/>
      <sheetName val="Bill_2_Summary3"/>
      <sheetName val="HARGA_MATERIAL3"/>
      <sheetName val="D_1_73"/>
      <sheetName val="D_2_33"/>
      <sheetName val="3_Mob2"/>
      <sheetName val="Daf_Harga3"/>
      <sheetName val="An__Harga3"/>
      <sheetName val="Cash_Flow_bulanan3"/>
      <sheetName val="Cover_Daf-23"/>
      <sheetName val="D_BOARD_LAMA3"/>
      <sheetName val="HARGA_ALAT3"/>
      <sheetName val="Bill_5_Summary3"/>
      <sheetName val="HARSAT_BAHAN3"/>
      <sheetName val="Bill_4_Summary3"/>
      <sheetName val="Bill_3_Summary3"/>
      <sheetName val="Analisa_Harga3"/>
      <sheetName val="B_T3"/>
      <sheetName val="D_1_53"/>
      <sheetName val="D_2_23"/>
      <sheetName val="RAB_Arsitek3"/>
      <sheetName val="FORM_X_COST3"/>
      <sheetName val="Analisa_Upah_&amp;_Bahan_Plum3"/>
      <sheetName val="Unit_Rate3"/>
      <sheetName val="F_3-83"/>
      <sheetName val="BQ_ME3"/>
      <sheetName val="struktur_tdk_dipakai3"/>
      <sheetName val="Upah_&amp;_Bahan3"/>
      <sheetName val="Harsat_Upah3"/>
      <sheetName val="Harsat_Pekerjaan3"/>
      <sheetName val="Agregat_Halus_&amp;_Kasar3"/>
      <sheetName val="Analisa___Upah3"/>
      <sheetName val="GD_143"/>
      <sheetName val="Bill_2_4_6"/>
      <sheetName val="harga_bahan3"/>
      <sheetName val="harga_upah3"/>
      <sheetName val="ANALISA_PEK_UMUM2"/>
      <sheetName val="data_Masjid_Ksrn3"/>
      <sheetName val="RAB_Interior3"/>
      <sheetName val="Daft_Kuantitas2"/>
      <sheetName val="Bill_2_4_7"/>
      <sheetName val="Daftar_Harga3"/>
      <sheetName val="Daftar_Upah3"/>
      <sheetName val="ANALISA_GRS_TENGAH3"/>
      <sheetName val="ANALISA_ALAT_BERAT2"/>
      <sheetName val="Sat_Bahan3"/>
      <sheetName val="Sat_Alat3"/>
      <sheetName val="Sat_Upah3"/>
      <sheetName val="Sis_Hidrol2"/>
      <sheetName val="Brk_Dwn_Sipil2"/>
      <sheetName val="Pipa_10_mm2"/>
      <sheetName val="Pipa_8_mm2"/>
      <sheetName val="Pipa_Fiber2"/>
      <sheetName val="Pipa_PE2"/>
      <sheetName val="Rekap_Tot2"/>
      <sheetName val="HARGA_DASAR2"/>
      <sheetName val="Economic_Assumptions2"/>
      <sheetName val="Urai__Resap_pengikat2"/>
      <sheetName val="PRD_01-73"/>
      <sheetName val="PRD_01-83"/>
      <sheetName val="PRD_01-113"/>
      <sheetName val="PRD_01-103"/>
      <sheetName val="_Harsat_Baru3"/>
      <sheetName val="Rab_Struktur3"/>
      <sheetName val="perhitungan_indeks3"/>
      <sheetName val="Analisa_SNI3"/>
      <sheetName val="610_07A2"/>
      <sheetName val="D_BOARD2"/>
      <sheetName val="UPAH_BAHAN_ARST2"/>
      <sheetName val="met_bab32"/>
      <sheetName val="anal_bab82"/>
      <sheetName val="ANS_STR2"/>
      <sheetName val="HARGA_BAHAN_UPAH2"/>
      <sheetName val="Perhitungan_Besi2"/>
      <sheetName val="Analisa_Harga_Satuan2"/>
      <sheetName val="Hit_Vol_Str_Jambi2"/>
      <sheetName val="Als_Struk3"/>
      <sheetName val="Analisa_22"/>
      <sheetName val="HARDAS_PERKIM_22"/>
      <sheetName val="Data_Ktr_Bupati_Tapsel2"/>
      <sheetName val="Anl_Sipil2"/>
      <sheetName val="Upah_dan_Bahan2"/>
      <sheetName val="HB_2"/>
      <sheetName val="BQ_2"/>
      <sheetName val="Bangunan_Utama3"/>
      <sheetName val="Analisa_Gabungan2"/>
      <sheetName val="rab-str_Adm3"/>
      <sheetName val="Harga_Satuan2"/>
      <sheetName val="Perhit_Alat2"/>
      <sheetName val="TP_ALAT2"/>
      <sheetName val="REKAP_ANALISA_SESUAI_PU2"/>
      <sheetName val="ANALISA_STRUKTUR_2"/>
      <sheetName val="REKAP_ANALISA_TO_PRINT2"/>
      <sheetName val="Fill_this_out_first___2"/>
      <sheetName val="Pipa_2002"/>
      <sheetName val="Analisa_Quarry2"/>
      <sheetName val="Analisa_HSP2"/>
      <sheetName val="TE_TS_FA_LAN_MATV2"/>
      <sheetName val="COST_TOGO2"/>
      <sheetName val="Analisa_STR2"/>
      <sheetName val="R_A_B2"/>
      <sheetName val="Ans_Kom_Precast2"/>
      <sheetName val="progres_sub_unv2"/>
      <sheetName val="Bill_of_Qty2"/>
      <sheetName val="Rekap_Direct_Cost2"/>
      <sheetName val="Analisa_0212"/>
      <sheetName val="Bill_rekap2"/>
      <sheetName val="BILL_13"/>
      <sheetName val="BILL_OF_QUANTITY2"/>
      <sheetName val="_R_A_B2"/>
      <sheetName val="daf_harga_(reil)2"/>
      <sheetName val="_Biaya_alat_jam_(reil)2"/>
      <sheetName val="_Biaya_alat_jam2"/>
      <sheetName val="Based_KV,_palembang_&amp;_KJI2"/>
      <sheetName val="RPP01_62"/>
      <sheetName val="Alat_&amp;_Bahan2"/>
      <sheetName val="ANALISA_SM2"/>
      <sheetName val="Hrg_Bhn_(2)2"/>
      <sheetName val="II_1_STR_GED_A2"/>
      <sheetName val="REKAP_A_BESAR2"/>
      <sheetName val="DIV_12"/>
      <sheetName val="DCF_SD_JUNI_042"/>
      <sheetName val="Rekap_Anal2"/>
      <sheetName val="B_as2"/>
      <sheetName val="penawaran_baja2"/>
      <sheetName val="Pos_4-12"/>
      <sheetName val="Calcu_022"/>
      <sheetName val="Harga_Satuan_(T_P_)2"/>
      <sheetName val="Analisa_HSP_(T_P_)2"/>
      <sheetName val="H_Sat_Jembatan2"/>
      <sheetName val="H_SAT2"/>
      <sheetName val="Bor_Pile2"/>
      <sheetName val="DEPRE_05"/>
      <sheetName val="Accept__Letter"/>
      <sheetName val="BINA_GRAFINDO"/>
      <sheetName val="BINA_MITRA_"/>
      <sheetName val="DAOUD_MATULA"/>
      <sheetName val="MAHRUM_NISA"/>
      <sheetName val="RUDI_SAIFIN"/>
      <sheetName val="An_H_Sat_Pek_Ut"/>
      <sheetName val="01A-_RAB"/>
      <sheetName val="BT_KALI"/>
      <sheetName val="ANALISA_SNI'07(ubh_bgsting)"/>
      <sheetName val="2__MVAC_R1"/>
      <sheetName val="Mat_Elk1"/>
      <sheetName val="Mat_Mek1"/>
      <sheetName val="AHS_Isolasi1"/>
      <sheetName val="RAB_ME1"/>
      <sheetName val="sheet_21"/>
      <sheetName val="ANALISA_"/>
      <sheetName val="7_ASAT"/>
      <sheetName val="7_DATA"/>
      <sheetName val="5_RBKI"/>
      <sheetName val="6_RBKA"/>
      <sheetName val="Perm__Test"/>
      <sheetName val="River_Protect"/>
      <sheetName val="Rekap_Bill"/>
      <sheetName val="An_Struktur1"/>
      <sheetName val="Unit_Rate_(2)1"/>
      <sheetName val="Sat__Pek_"/>
      <sheetName val="RAB_AR&amp;STR"/>
      <sheetName val="Str_BT"/>
      <sheetName val="STR_PODIUM"/>
      <sheetName val="STR_PODIUM_(2)"/>
      <sheetName val="REKAP_STR"/>
      <sheetName val="REKAP_ME_CSPL"/>
      <sheetName val="tabel_berat"/>
      <sheetName val="IDLE_ALAT"/>
      <sheetName val="Ana_PasBatu_7_4"/>
      <sheetName val="Sec_I_ML"/>
      <sheetName val="Balance_sheet"/>
      <sheetName val="M_Pekerjaan"/>
      <sheetName val="Peralatan_(2)"/>
      <sheetName val="Daftar_Sewa"/>
      <sheetName val="Galian_1"/>
      <sheetName val="o_rekap#4"/>
      <sheetName val="MASTER_1"/>
      <sheetName val="Analisa_(ok_punya)"/>
      <sheetName val="Rekap_Vol"/>
      <sheetName val="dongia_(2)"/>
      <sheetName val="DON_GIA"/>
      <sheetName val="THPDMoi__(2)"/>
      <sheetName val="CHITIET_VL-NC"/>
      <sheetName val="CHITIET_VL-NC-TT_-1p"/>
      <sheetName val="TH_XL"/>
      <sheetName val="CHITIET_VL-NC-TT-3p"/>
      <sheetName val="t-h_HA_THE"/>
      <sheetName val="TONGKE3p_"/>
      <sheetName val="Rekap__ME"/>
      <sheetName val="R__Upah"/>
      <sheetName val="R__Bahan"/>
      <sheetName val="R__Alat"/>
      <sheetName val="R__Subkont"/>
      <sheetName val="Analis_harga"/>
      <sheetName val="dongia__2_"/>
      <sheetName val="THPDMoi___2_"/>
      <sheetName val="TONG_HOP_VL_NC"/>
      <sheetName val="TH_VL__NC__DDHT_Thanhphuoc"/>
      <sheetName val="t_h_HA_THE"/>
      <sheetName val="CHITIET_VL_NC_TT__1p"/>
      <sheetName val="TONG_HOP_VL_NC_TT"/>
      <sheetName val="CHITIET_VL_NC"/>
      <sheetName val="CHITIET_VL_NC_TT_3p"/>
      <sheetName val="KPVC_BD_"/>
      <sheetName val="Grading_Tahap_1"/>
      <sheetName val="SUMBER_DAYA"/>
      <sheetName val="REK_ADD"/>
      <sheetName val="Input_Data"/>
      <sheetName val="S_roomToyota"/>
      <sheetName val="A_1_Persiapan_non_std"/>
      <sheetName val="Ana__PU"/>
      <sheetName val="Master_1_0"/>
      <sheetName val="Owning_cost_Alat"/>
      <sheetName val="Balok_L_2"/>
      <sheetName val="Spec_ME"/>
      <sheetName val="anal_SNI"/>
      <sheetName val="1_Cover"/>
      <sheetName val="Anals_1"/>
      <sheetName val="rap_rinci"/>
      <sheetName val="Analisa_Mob__3"/>
      <sheetName val="Analisa_Mob_1"/>
      <sheetName val="Analisa_Alat"/>
      <sheetName val="RAB_(A)_(2)"/>
      <sheetName val="BALT"/>
      <sheetName val="Kar"/>
      <sheetName val="ana_str"/>
      <sheetName val="Hargamat"/>
      <sheetName val="Mushala"/>
      <sheetName val="ANALISA BAHAN"/>
      <sheetName val="Boq-civil"/>
      <sheetName val="SUMIF"/>
      <sheetName val="Milsheet"/>
      <sheetName val="Rate"/>
      <sheetName val="OP. ALAT"/>
      <sheetName val="OP. PERJAM"/>
      <sheetName val="B. PERSONIL"/>
      <sheetName val="KAN. LOKAL"/>
      <sheetName val="own"/>
      <sheetName val="H_BHN"/>
      <sheetName val="A_BANTU"/>
      <sheetName val="schedulle"/>
      <sheetName val="주관사업"/>
      <sheetName val="요약배부"/>
      <sheetName val="SCD-S"/>
      <sheetName val="DOORS &amp;WINDOWS"/>
      <sheetName val="BQ-1A prelim"/>
      <sheetName val="index"/>
      <sheetName val="BOQ Mainroad IIA"/>
      <sheetName val="Currency"/>
      <sheetName val="D-3 (M)"/>
      <sheetName val="D-7 (M)"/>
      <sheetName val="satpek"/>
      <sheetName val="Rekap "/>
      <sheetName val="ANALISA BARU 40 M"/>
      <sheetName val="DIV"/>
      <sheetName val="Met1"/>
      <sheetName val="Met2"/>
      <sheetName val="dt"/>
      <sheetName val="HSBU"/>
      <sheetName val="HARGA RATA"/>
      <sheetName val="Analisa Precast A3"/>
      <sheetName val="GP.M Tump"/>
      <sheetName val="Reservoir"/>
      <sheetName val="VAC"/>
      <sheetName val="Vendor Quot.(Exchanger)"/>
      <sheetName val="manhour"/>
      <sheetName val="Analisa HS"/>
      <sheetName val="PP"/>
      <sheetName val="AnalAdjust"/>
      <sheetName val="datasheet"/>
      <sheetName val="WP Tanah 2013"/>
      <sheetName val="References"/>
      <sheetName val="Products"/>
      <sheetName val="Model Setup"/>
      <sheetName val="Translations"/>
      <sheetName val="Inst.Cap."/>
      <sheetName val="Production"/>
      <sheetName val="Daftar No MAPPI"/>
      <sheetName val="VLOOK"/>
      <sheetName val="DDB"/>
      <sheetName val="B-Ops-Sawit"/>
      <sheetName val="Inv"/>
      <sheetName val="Biaya-Inv"/>
      <sheetName val="Asumsi"/>
      <sheetName val="TONG HOP VL-NC"/>
      <sheetName val="TH VL, NC, DDHT Thanhphuoc"/>
      <sheetName val="TONG HOP VL-NC TT"/>
      <sheetName val="KPVC-BD "/>
      <sheetName val="VCV-BE-TONG"/>
      <sheetName val="RAB 1"/>
      <sheetName val="RAB 2"/>
      <sheetName val="RAB 3"/>
      <sheetName val="Hrg Pipa"/>
      <sheetName val="K"/>
      <sheetName val="AN-ALAT"/>
      <sheetName val="Meto"/>
      <sheetName val="HRG_SAT_2006"/>
      <sheetName val="Asumsi2"/>
      <sheetName val="Cover Daf_2"/>
      <sheetName val="S.UPAH"/>
      <sheetName val="S.BAHAN"/>
      <sheetName val="HIT-BALOK "/>
      <sheetName val="HIT-BETON"/>
      <sheetName val="QSS"/>
      <sheetName val="Breakdown_ACS (Actual)"/>
      <sheetName val="Breakdown_ACS (Contract)"/>
      <sheetName val="Prog Imbalan"/>
      <sheetName val="PSC_Calc"/>
      <sheetName val="Std-Prod KS"/>
      <sheetName val="TUNJUK JASA"/>
      <sheetName val="2. PEMBUKAAN"/>
      <sheetName val="4.0 RESUM KEWAJ HARGA"/>
      <sheetName val="Bab10"/>
      <sheetName val="BHN-ALAT"/>
      <sheetName val="Bab12"/>
      <sheetName val="PG"/>
      <sheetName val="meth hsl nego"/>
      <sheetName val="Penjumlahan"/>
      <sheetName val="Judul"/>
      <sheetName val="Overlap"/>
      <sheetName val="WorkPlan2"/>
      <sheetName val="DailyWeeklyPlan"/>
      <sheetName val="Pri"/>
      <sheetName val="Qry"/>
      <sheetName val="Cur"/>
      <sheetName val="Agg Halus &amp; Kasar"/>
      <sheetName val="Df-Kuan"/>
      <sheetName val="UP_an"/>
      <sheetName val="AMP"/>
      <sheetName val="PRICE"/>
      <sheetName val="DKH"/>
      <sheetName val="Div3"/>
      <sheetName val="Div4"/>
      <sheetName val="Final Summary"/>
      <sheetName val="BREAKDOWN 2"/>
      <sheetName val="Sheet9"/>
      <sheetName val="L3 An H Sat Mob"/>
      <sheetName val="ANALISA EL DAN ELC"/>
      <sheetName val="Satuan"/>
      <sheetName val="analisa STRUKTUR"/>
      <sheetName val="Diameter"/>
      <sheetName val="HSDMAT"/>
      <sheetName val="2.1.1.1 MOBILISASI"/>
      <sheetName val="2.1.1 PEK. PERSIAPAN"/>
      <sheetName val="2.2.1 TANAH"/>
      <sheetName val="4.1.1 BETON"/>
      <sheetName val="4.2.1 BESI &amp; ALUMINIUM"/>
      <sheetName val="4.4.1 DINDING PASANGAN"/>
      <sheetName val="4.4.2 PLESTERAN"/>
      <sheetName val="4.4.3 PENUTUP LANTAI &amp; DINDING"/>
      <sheetName val="4.5.1 PLAFOND"/>
      <sheetName val="4.5.2 ATAP"/>
      <sheetName val="4.7.1 CAT"/>
      <sheetName val="5.1.1 SANITASI GEDUNG"/>
      <sheetName val="SEWA ALT"/>
      <sheetName val="ANalat"/>
      <sheetName val="UMUM"/>
      <sheetName val="Daf. Upah &amp; Bah"/>
      <sheetName val="Divisi 10 (2)"/>
      <sheetName val="LPH 1"/>
      <sheetName val="5-Peralatan"/>
      <sheetName val="Harga Satuan Dasar"/>
      <sheetName val="PO2"/>
      <sheetName val="Hrg_Bhn2"/>
      <sheetName val="H_SAT-PRK"/>
      <sheetName val="DATA_BASE"/>
      <sheetName val="Upah_Bhn"/>
      <sheetName val="610_04"/>
      <sheetName val="610_05"/>
      <sheetName val="610_06"/>
      <sheetName val="610_07"/>
      <sheetName val="610_08"/>
      <sheetName val="Det_Str_BT"/>
      <sheetName val="BERAT_TUL_"/>
      <sheetName val="14_jalan&amp;saluran"/>
      <sheetName val="BAHAN_(2)"/>
      <sheetName val="QSS_Building"/>
      <sheetName val="Unit_Cost"/>
      <sheetName val="rab-str-TAHAP_1-PC"/>
      <sheetName val="DaftarHarga"/>
      <sheetName val="HM.MEK."/>
      <sheetName val="Factor"/>
      <sheetName val="DAF.ALAT"/>
      <sheetName val="COST-SUM"/>
      <sheetName val="bale"/>
      <sheetName val="E.work"/>
      <sheetName val="paving"/>
      <sheetName val="ponds"/>
      <sheetName val="R.wall"/>
      <sheetName val="LIST"/>
      <sheetName val="REKAP ME"/>
      <sheetName val="Income Statement-May 2004"/>
      <sheetName val="jpr"/>
      <sheetName val="Table"/>
      <sheetName val="Upah_Bahan"/>
      <sheetName val="Hsat1"/>
      <sheetName val="CODESS"/>
      <sheetName val="BP1_23"/>
      <sheetName val="Huruf (9)"/>
      <sheetName val="BGT"/>
      <sheetName val="BGT 07"/>
      <sheetName val="Isolasi Luar Dalam"/>
      <sheetName val="amtek"/>
      <sheetName val="Daftar Upah,Bhn,&amp; alat"/>
      <sheetName val="T-3.2 UP Material"/>
      <sheetName val="Hsatuan-OK"/>
      <sheetName val="DATA PROYEK"/>
      <sheetName val="6-AGREGAT"/>
      <sheetName val="RECORD"/>
      <sheetName val="Strand PDMR1"/>
      <sheetName val="Post tension PDMR1"/>
      <sheetName val="Rokan 1"/>
      <sheetName val="Jml HRG-ALT-04"/>
      <sheetName val="CCO ALT-04"/>
      <sheetName val="ACCESS"/>
      <sheetName val="AODB"/>
      <sheetName val="Rekap BQ"/>
      <sheetName val="BAS"/>
      <sheetName val="BHS"/>
      <sheetName val="GARBARATA"/>
      <sheetName val="CCTV"/>
      <sheetName val="JARINGAN DATA"/>
      <sheetName val="FA"/>
      <sheetName val="FIDS"/>
      <sheetName val="MASTER CLOCK"/>
      <sheetName val="IPTV"/>
      <sheetName val="IP PABX"/>
      <sheetName val="TATA SUARA"/>
      <sheetName val="H.DASAR"/>
      <sheetName val="XLS Avg Rev"/>
      <sheetName val="JOB'S"/>
      <sheetName val="200212ac"/>
      <sheetName val="REG TOTAL"/>
      <sheetName val="LDA LTW"/>
      <sheetName val="DIV INC"/>
      <sheetName val="MAIN"/>
      <sheetName val="LTM"/>
      <sheetName val="DropZone"/>
      <sheetName val="DCF 3"/>
      <sheetName val="EQ. IRR"/>
      <sheetName val="Debt Return Analy"/>
      <sheetName val="Toggles"/>
      <sheetName val="Particular Sch"/>
      <sheetName val="393585-DJS"/>
      <sheetName val="CISI INJ FITTING"/>
      <sheetName val="VESI-522444-DJSrev"/>
      <sheetName val="GammaEquivalents"/>
      <sheetName val="HIT-PLAT"/>
      <sheetName val="DIVI6"/>
      <sheetName val="Jln akses"/>
      <sheetName val="tubuh jln Cbg-Tjs"/>
      <sheetName val="Rab Sintel"/>
      <sheetName val="DED Bjr-Cjl"/>
      <sheetName val="Lahan +Tertib"/>
      <sheetName val="RC-ANL"/>
      <sheetName val="R.A.B."/>
      <sheetName val="BAHAN &amp; ALAT"/>
      <sheetName val="Rekap AHSP"/>
      <sheetName val="G.Grouting"/>
      <sheetName val="H. INSTRUMEN BAGONG"/>
      <sheetName val="F. Jalan &amp; Jembatan"/>
      <sheetName val="A. Persiapan"/>
      <sheetName val="Tenaga"/>
      <sheetName val="lampiran"/>
      <sheetName val="GeneralInfo"/>
      <sheetName val="3-DIV3"/>
      <sheetName val="4-Quarry"/>
      <sheetName val="Sat_Pekerjaan"/>
      <sheetName val="IPAL_1_"/>
      <sheetName val="PIPA_1"/>
      <sheetName val="D-3_(M)"/>
      <sheetName val="D-7_(M)"/>
      <sheetName val="Harga_S_Dasar_UNTUK_IDISI"/>
      <sheetName val="4-Basic_Price"/>
      <sheetName val="dhsb"/>
      <sheetName val="upah bahan"/>
      <sheetName val="A~H"/>
      <sheetName val="112-885"/>
      <sheetName val="Anl.+"/>
      <sheetName val="Upah,Bahan, Alat"/>
      <sheetName val="REKAPMC"/>
      <sheetName val="hrg sat"/>
      <sheetName val="hrg-sat.pek"/>
      <sheetName val="D3"/>
      <sheetName val="D4"/>
      <sheetName val="D5"/>
      <sheetName val="B.V.2"/>
      <sheetName val="B.V.1"/>
      <sheetName val="Hrg_Bhn3"/>
      <sheetName val="Perm__Test2"/>
      <sheetName val="DEPRE_052"/>
      <sheetName val="An_H_Sat_Pek_Ut2"/>
      <sheetName val="River_Protect2"/>
      <sheetName val="Mat_Elk2"/>
      <sheetName val="Mat_Mek2"/>
      <sheetName val="AHS_Isolasi2"/>
      <sheetName val="BINA_GRAFINDO2"/>
      <sheetName val="BINA_MITRA_2"/>
      <sheetName val="DAOUD_MATULA2"/>
      <sheetName val="MAHRUM_NISA2"/>
      <sheetName val="RUDI_SAIFIN2"/>
      <sheetName val="tabel_berat2"/>
      <sheetName val="Ana_PasBatu_7_42"/>
      <sheetName val="ANALISA_SNI'07(ubh_bgsting)2"/>
      <sheetName val="RAB_ME2"/>
      <sheetName val="sheet_22"/>
      <sheetName val="7_ASAT2"/>
      <sheetName val="7_DATA2"/>
      <sheetName val="5_RBKI2"/>
      <sheetName val="6_RBKA2"/>
      <sheetName val="An_Struktur2"/>
      <sheetName val="Unit_Rate_(2)2"/>
      <sheetName val="Input_Data2"/>
      <sheetName val="Accept__Letter1"/>
      <sheetName val="Perm__Test1"/>
      <sheetName val="DEPRE_051"/>
      <sheetName val="An_H_Sat_Pek_Ut1"/>
      <sheetName val="River_Protect1"/>
      <sheetName val="BINA_GRAFINDO1"/>
      <sheetName val="BINA_MITRA_1"/>
      <sheetName val="DAOUD_MATULA1"/>
      <sheetName val="MAHRUM_NISA1"/>
      <sheetName val="RUDI_SAIFIN1"/>
      <sheetName val="tabel_berat1"/>
      <sheetName val="Ana_PasBatu_7_41"/>
      <sheetName val="ANALISA_SNI'07(ubh_bgsting)1"/>
      <sheetName val="7_ASAT1"/>
      <sheetName val="7_DATA1"/>
      <sheetName val="5_RBKI1"/>
      <sheetName val="6_RBKA1"/>
      <sheetName val="ANALISA_1"/>
      <sheetName val="Input_Data1"/>
      <sheetName val="HPP X Q'TY"/>
      <sheetName val="RINCIAN-SC"/>
      <sheetName val=" hrg bhn"/>
      <sheetName val="bilang"/>
      <sheetName val="FACTORY"/>
      <sheetName val="(HSP)"/>
      <sheetName val="Bahan "/>
      <sheetName val="Pekerjaan "/>
      <sheetName val="Steel-Twr"/>
      <sheetName val="AN ALAT"/>
      <sheetName val="anaUTama"/>
      <sheetName val="EQ_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eklok"/>
      <sheetName val="am_al"/>
      <sheetName val="antr_kt"/>
      <sheetName val="Baik"/>
      <sheetName val="sp_dr"/>
      <sheetName val="kmnts"/>
      <sheetName val="perum"/>
      <sheetName val="klmbg"/>
      <sheetName val="kt_kcl"/>
      <sheetName val="Rehab NAD"/>
      <sheetName val="pmbrdy"/>
      <sheetName val="metro"/>
      <sheetName val="desa"/>
      <sheetName val="batas"/>
      <sheetName val="stratgs"/>
      <sheetName val="tertinggal"/>
      <sheetName val="Deep Well"/>
      <sheetName val="Pek Luar"/>
      <sheetName val="Parkir"/>
      <sheetName val="UPAH-BHN (2)"/>
      <sheetName val="20.1.1 Bahan Bangun &amp; Konstruks"/>
      <sheetName val="22 Operasional Kegiatan"/>
      <sheetName val="hargarob3"/>
      <sheetName val="10_Beton"/>
      <sheetName val="CAB 2"/>
      <sheetName val="UNIT PRICE"/>
      <sheetName val="ANAL.BOW"/>
      <sheetName val="D _ W sizes"/>
      <sheetName val="Buku Besar 1"/>
      <sheetName val="RAB OK!"/>
      <sheetName val="BQ_E20_02_Rp_"/>
      <sheetName val="Bahan+Upah ALL"/>
      <sheetName val="ANAL_2.1"/>
      <sheetName val="VOL_1"/>
      <sheetName val="LAMP_2.2"/>
      <sheetName val="M+MC"/>
      <sheetName val="Hrg.Sat"/>
      <sheetName val="Anal. Pancang"/>
      <sheetName val="Anal alat"/>
      <sheetName val="AC - BC"/>
      <sheetName val="AC - WC"/>
      <sheetName val="bhn-upah"/>
      <sheetName val="Peny_Bdn Jln"/>
      <sheetName val="Base B Bahu"/>
      <sheetName val="K-250"/>
      <sheetName val="Gali Biasa"/>
      <sheetName val="Gali_Sal"/>
      <sheetName val="Mortar"/>
      <sheetName val="Rutin Jembatan"/>
      <sheetName val="Rutin Saluran"/>
      <sheetName val="Prime"/>
      <sheetName val="Tack"/>
      <sheetName val="matrix"/>
      <sheetName val="Ur_Biasa"/>
      <sheetName val="Ur_Pil"/>
      <sheetName val="Baja"/>
      <sheetName val="Analisa -Baku"/>
      <sheetName val="BQNSC"/>
      <sheetName val="Contract-Data"/>
      <sheetName val="BETON BERTULANG "/>
      <sheetName val="00 _ Earthwork EF_RL"/>
      <sheetName val="DESBT"/>
      <sheetName val="boq TOGAFU"/>
      <sheetName val="schedulle1"/>
      <sheetName val="HUTANG"/>
      <sheetName val="KH-Q1,Q2,01"/>
      <sheetName val="Sumda1"/>
      <sheetName val="Material Properties"/>
      <sheetName val="eqp-rek"/>
      <sheetName val="RAW MATERIALS "/>
      <sheetName val="Conn. Lib"/>
      <sheetName val="Metod TWR"/>
      <sheetName val="2.0 Procurement"/>
      <sheetName val="PO-2"/>
      <sheetName val="rate-alat"/>
      <sheetName val="Harga Bahan Fabrikasi"/>
      <sheetName val="Uph&amp;bhn"/>
      <sheetName val="ANALISA_BAHAN"/>
      <sheetName val="Daft_Sewa_Alat"/>
      <sheetName val="H_Satuan_Dasar"/>
      <sheetName val="DIV_2"/>
      <sheetName val="pas_wm"/>
      <sheetName val="Bantuan_Entry"/>
      <sheetName val="1__BQ"/>
      <sheetName val="OP__ALAT"/>
      <sheetName val="OP__PERJAM"/>
      <sheetName val="B__PERSONIL"/>
      <sheetName val="KAN__LOKAL"/>
      <sheetName val="LAL_-_PASAR_PAGI_"/>
      <sheetName val="Rekap_M&amp;E_ADD1_R"/>
      <sheetName val="Analisa_(2)"/>
      <sheetName val="H__Dasar"/>
      <sheetName val="BAR_SCREEN"/>
      <sheetName val="Rekap_AHSP"/>
      <sheetName val="G_Grouting"/>
      <sheetName val="H__INSTRUMEN_BAGONG"/>
      <sheetName val="F__Jalan_&amp;_Jembatan"/>
      <sheetName val="A__Persiapan"/>
      <sheetName val="Cover_Daf_2"/>
      <sheetName val="Met__Minor"/>
      <sheetName val="Agg_Halus_&amp;_Kasar"/>
      <sheetName val="NP_(2)"/>
      <sheetName val="B_Penunjang"/>
      <sheetName val="harga_ANALISA"/>
      <sheetName val="ANALISA_GEDUNG"/>
      <sheetName val="ANALISA_ME"/>
      <sheetName val="_"/>
      <sheetName val="AHS_-_Riel"/>
      <sheetName val="Harga_Bahan_Fabrikasi"/>
      <sheetName val="HRG_BAHAN_&amp;_UPAH_okk"/>
      <sheetName val="Analis_Kusen_okk"/>
      <sheetName val="rek_det_1-3"/>
      <sheetName val="POINT_SCHEDULE"/>
      <sheetName val="SCHEDULE_"/>
      <sheetName val="Rekap_1"/>
      <sheetName val="Currency_Rate"/>
      <sheetName val="___"/>
      <sheetName val="hRG_Stn_Bhn,Uph,_perl"/>
      <sheetName val="Up_&amp;_bhn"/>
      <sheetName val="Rekap_analis"/>
      <sheetName val="Bill_2"/>
      <sheetName val="Bill_3"/>
      <sheetName val="Bill_4"/>
      <sheetName val="Bill_5"/>
      <sheetName val="Basic_Price"/>
      <sheetName val="Konfirm"/>
      <sheetName val="Inputdata"/>
      <sheetName val="PJ"/>
      <sheetName val="Traf&amp;Genst"/>
      <sheetName val="FINAL SUM"/>
      <sheetName val="MEApart 1"/>
      <sheetName val="MEApart 2"/>
      <sheetName val=" PE-F-42 MR 9 Manpower"/>
      <sheetName val="BLDG_DCI"/>
      <sheetName val="BLDG_MCI"/>
      <sheetName val="JAN2002"/>
      <sheetName val="BQ ARS"/>
      <sheetName val="Analisa Tend"/>
      <sheetName val="Final(1)summary"/>
      <sheetName val="BQ &amp; Harga"/>
      <sheetName val="97 사업추정(WEKI)"/>
      <sheetName val="Isolasi Luar"/>
      <sheetName val="Analisa Upah _ Bahan Plum"/>
      <sheetName val="CAT_5"/>
      <sheetName val="Gi¸VËtT­"/>
      <sheetName val="RAHS"/>
      <sheetName val="RAB VIDEO WALL KOE"/>
      <sheetName val="RAB PC"/>
      <sheetName val="ANALISA KOE"/>
      <sheetName val="DATA MENTAH"/>
      <sheetName val="AUTO"/>
      <sheetName val="REKAP KOE MDC"/>
      <sheetName val="AUTO (2)"/>
      <sheetName val="REKAP KOE"/>
      <sheetName val="RAB DESIGN KOE"/>
      <sheetName val="RAB persiapan"/>
      <sheetName val="RAB BUILD KOE"/>
      <sheetName val="KURVA S"/>
      <sheetName val="BARCHART"/>
      <sheetName val="harga akomodasi"/>
      <sheetName val="AUTO (3)"/>
      <sheetName val="Simulasi Margin mdc"/>
      <sheetName val="REKAP MDC"/>
      <sheetName val="RAB BUILD MDC"/>
      <sheetName val="RAB VIDEO WALL MDC"/>
      <sheetName val="RAB PC MDC"/>
      <sheetName val="RAB DESIGN MDC"/>
      <sheetName val="Detail Konstruksi"/>
      <sheetName val="Prakiraan RAP Konst"/>
      <sheetName val="AHS Konstr MDC"/>
      <sheetName val="DHS Konstr MDC"/>
      <sheetName val="ANALISA MDC"/>
      <sheetName val="KURVA S MDC"/>
      <sheetName val="BARCHART MDC "/>
      <sheetName val="AHS MDC (KANTOR)"/>
      <sheetName val="DHS MDC (KANTOR)"/>
      <sheetName val="Lt. 1 (A)"/>
      <sheetName val="9"/>
      <sheetName val="AN. HS PEK.BETON"/>
      <sheetName val="SOUND"/>
      <sheetName val="GPON"/>
      <sheetName val="RACK_EC"/>
      <sheetName val="GR_EC"/>
      <sheetName val="SS"/>
      <sheetName val="A.Card"/>
      <sheetName val="TLP"/>
      <sheetName val="TP"/>
      <sheetName val="D.Kamar"/>
      <sheetName val="cat"/>
      <sheetName val="HARDAS-MAT"/>
      <sheetName val="Bea Op Alat"/>
      <sheetName val="BY_Alat(sewa)-6"/>
      <sheetName val="Hit bi transport"/>
      <sheetName val="BY_Mat-4"/>
      <sheetName val="GBR-15"/>
      <sheetName val="PASOK-16"/>
      <sheetName val="ahs1"/>
      <sheetName val="ahs3"/>
      <sheetName val="Form 1"/>
      <sheetName val="Arsitek"/>
      <sheetName val="HARGADASAR"/>
      <sheetName val="7.공정표"/>
      <sheetName val="PRD 01-7 alat"/>
      <sheetName val="EDTL"/>
      <sheetName val="BACK"/>
      <sheetName val="LBK1"/>
      <sheetName val="L2B-METODE"/>
      <sheetName val="Lamp.2A Ana Sat Mata Pemb Ut"/>
      <sheetName val="railing"/>
      <sheetName val="Engine"/>
      <sheetName val="Monitor"/>
      <sheetName val="BEKISTING"/>
      <sheetName val="h90-160 (penebalan)"/>
      <sheetName val="rb-42M"/>
      <sheetName val="SPT TAHUNAN"/>
      <sheetName val="Rinc_Setoran Astek"/>
      <sheetName val="DPLK_PST"/>
      <sheetName val="jkk_takaful"/>
      <sheetName val="pt-perso"/>
      <sheetName val="금액내역서"/>
      <sheetName val="TIKET ATB"/>
      <sheetName val="RENPEN"/>
      <sheetName val="3-DIV4"/>
      <sheetName val="SAT_BHN"/>
      <sheetName val="Antek3"/>
      <sheetName val="5. Pek. CF Silo"/>
      <sheetName val="2. Pek. Preheater"/>
      <sheetName val="shor"/>
      <sheetName val="div-5"/>
      <sheetName val="div-6"/>
      <sheetName val="div-7"/>
      <sheetName val="ABSEN"/>
      <sheetName val="UPAH_B_KAS"/>
      <sheetName val="UPAH_B_KAS _2_"/>
      <sheetName val="T_TANGAN"/>
      <sheetName val="HS Dasar "/>
      <sheetName val="%"/>
      <sheetName val="Print"/>
      <sheetName val="Option List"/>
      <sheetName val="BLOK-BJR"/>
      <sheetName val="GP-WB"/>
      <sheetName val="TOTAL UPAH"/>
      <sheetName val="PLANT"/>
      <sheetName val="TL"/>
      <sheetName val="PROD 15-1"/>
      <sheetName val="DIND"/>
      <sheetName val="PS"/>
      <sheetName val="STR-ATAS"/>
      <sheetName val="ANAL_WK"/>
      <sheetName val="AHS-8FO"/>
      <sheetName val="AHS-8UP"/>
      <sheetName val="1.B"/>
      <sheetName val="COMBINE"/>
      <sheetName val="HB ARSITEKTUR"/>
      <sheetName val="HB STRUKTUR"/>
      <sheetName val="TAGIHAN"/>
      <sheetName val="DAF-3"/>
      <sheetName val="7.3.1 PD"/>
      <sheetName val="tb. besi"/>
      <sheetName val="Analis har"/>
      <sheetName val="change"/>
      <sheetName val="Cost Control Utk Perub RAP"/>
      <sheetName val="Sel Dev"/>
      <sheetName val="Proposal"/>
      <sheetName val="RAP Change"/>
      <sheetName val="RAP Sisa"/>
      <sheetName val="DB-PU"/>
      <sheetName val="Pay Items"/>
      <sheetName val="C &amp; G RHS"/>
      <sheetName val="13mm E.P "/>
      <sheetName val="20mm(E.P)"/>
      <sheetName val="20mm(StaircaseP.P)"/>
      <sheetName val="13mm P.P"/>
      <sheetName val="공사비"/>
      <sheetName val="Sheet5"/>
      <sheetName val="Kuantitas &amp; Harga"/>
      <sheetName val="LAP   (4)"/>
      <sheetName val="LAP   (11)"/>
      <sheetName val="upah.bahan.alat"/>
      <sheetName val="analisa.K"/>
      <sheetName val="daftarkuantitas"/>
      <sheetName val="LEMBAR1"/>
      <sheetName val="LEMBAR2"/>
      <sheetName val="LEMBAR3"/>
      <sheetName val="LEMBAR4"/>
      <sheetName val="LEMBAR5"/>
      <sheetName val="sw-alat"/>
      <sheetName val="anl-b1"/>
      <sheetName val="anl-b2"/>
      <sheetName val="anl-b3"/>
      <sheetName val="anl-b4 - Tdk Pakai"/>
      <sheetName val="anl-b5"/>
      <sheetName val="anl-b6"/>
      <sheetName val="anl-b8"/>
      <sheetName val="HDM"/>
      <sheetName val="MTD"/>
      <sheetName val="HDA"/>
      <sheetName val="HDU"/>
      <sheetName val="7.1(8)"/>
      <sheetName val="7.1(5)"/>
      <sheetName val="3.1(1)"/>
      <sheetName val="5.4(2)"/>
      <sheetName val="6.1(1)"/>
      <sheetName val="3.2(1)"/>
      <sheetName val="ANAL KOEF"/>
      <sheetName val="PEMBESIAN BALOK tukang (2)"/>
      <sheetName val="rekap bul"/>
      <sheetName val="analisa stripping"/>
      <sheetName val="Harga Bahan &amp; Upah "/>
      <sheetName val="UPAH&amp;BHN"/>
      <sheetName val="Schedule 11a"/>
      <sheetName val="Temporary"/>
      <sheetName val="Septick tank"/>
      <sheetName val="hitungan"/>
      <sheetName val="H.Material, Upah &amp; Alat"/>
      <sheetName val="Analisa H.Sat.Pek."/>
      <sheetName val="PENAWARAN"/>
      <sheetName val="D &amp; W sizes"/>
      <sheetName val="AN-RC"/>
      <sheetName val="(ANALISA-lain)"/>
      <sheetName val="satker"/>
      <sheetName val="an-bow"/>
      <sheetName val="an-sipil"/>
      <sheetName val="an-jln"/>
      <sheetName val="an-pipa"/>
      <sheetName val="V. Rapi"/>
      <sheetName val="Harga ME "/>
      <sheetName val="Bahan Upah"/>
      <sheetName val="res200"/>
      <sheetName val="Rekap Biaya"/>
      <sheetName val="JADUAL"/>
      <sheetName val="HSD Upah"/>
      <sheetName val="Demolation"/>
      <sheetName val="ALATSEWA"/>
      <sheetName val="harga-satuan"/>
      <sheetName val="Master 1.0 (2)"/>
      <sheetName val="Master Sch 1.0-sro2.Adari diske"/>
      <sheetName val="LO"/>
      <sheetName val="Master_1_0_(2)"/>
      <sheetName val="Master_Sch_1_0-sro2_Adari_diske"/>
      <sheetName val="Vibro_Roller"/>
      <sheetName val="REF.ONLY"/>
      <sheetName val="FLAF&amp;PARTSI"/>
      <sheetName val="SUMBER"/>
      <sheetName val="BAB_5_2_BiaLang"/>
      <sheetName val="Girder-30"/>
      <sheetName val="Ereksi-Girder-16"/>
      <sheetName val="ANALISA 1"/>
      <sheetName val="ctTBA"/>
      <sheetName val="DC"/>
      <sheetName val="UP-MAT-ALT"/>
      <sheetName val="GEN-ITEM"/>
      <sheetName val="terendah"/>
      <sheetName val="LOADDAT"/>
      <sheetName val="PROG"/>
      <sheetName val="BIAYA 07"/>
      <sheetName val="DET 08"/>
      <sheetName val="CF-hot"/>
      <sheetName val="Analis Kusen 1 ESKALASI"/>
      <sheetName val="NP (4)"/>
      <sheetName val="DRUP (ASLI)"/>
      <sheetName val="RKP PLUMBING"/>
      <sheetName val="01A_ RAB"/>
      <sheetName val="Bab13"/>
      <sheetName val="NS GD.UGD"/>
      <sheetName val="STD GD.UGD"/>
      <sheetName val="SELISIH HARGA"/>
      <sheetName val="gvl"/>
      <sheetName val="TYPE2"/>
      <sheetName val="GD B"/>
      <sheetName val="GD C"/>
      <sheetName val="GD D"/>
      <sheetName val="GD E"/>
      <sheetName val="GD F"/>
      <sheetName val="GD G"/>
      <sheetName val="GD N"/>
      <sheetName val="PH"/>
      <sheetName val="PURA"/>
      <sheetName val="GD A"/>
      <sheetName val="HLM"/>
      <sheetName val="M8"/>
      <sheetName val="CRUDE RE-bar"/>
      <sheetName val="GFA-20-N"/>
      <sheetName val="JSiar"/>
      <sheetName val="REQDELTA"/>
      <sheetName val="RC-BHN"/>
      <sheetName val="DIV-3"/>
      <sheetName val="DIV-8"/>
      <sheetName val="SAT"/>
      <sheetName val="FAK"/>
      <sheetName val="RAB-ME"/>
      <sheetName val="Master_1_01"/>
      <sheetName val="Master_1_0_(2)1"/>
      <sheetName val="Master_Sch_1_0-sro2_Adari_disk1"/>
      <sheetName val="Bill_of_Qty_MEP"/>
      <sheetName val="REF_ONLY"/>
      <sheetName val="Anl_+"/>
      <sheetName val="01A__RAB"/>
      <sheetName val="Analis_Kusen_1_ESKALASI"/>
      <sheetName val="NP_(4)"/>
      <sheetName val="rab_-_persiapan_&amp;_lantai-1"/>
      <sheetName val="RKP_PLUMBING"/>
      <sheetName val="GD_B"/>
      <sheetName val="GD_C"/>
      <sheetName val="GD_D"/>
      <sheetName val="GD_E"/>
      <sheetName val="GD_F"/>
      <sheetName val="GD_G"/>
      <sheetName val="GD_N"/>
      <sheetName val="GD_A"/>
      <sheetName val="CRUDE_RE-bar"/>
      <sheetName val="SELISIH_HARGA"/>
      <sheetName val="Man Power _ Comp"/>
      <sheetName val="MARK UP"/>
      <sheetName val="skenario"/>
      <sheetName val="REKAP (2)"/>
      <sheetName val="ES STG"/>
      <sheetName val="Lead Schedule"/>
      <sheetName val="Antek-2"/>
      <sheetName val="TOWN"/>
      <sheetName val="INPUT 2"/>
      <sheetName val="A LIS"/>
      <sheetName val="A REKAP"/>
      <sheetName val="LISTRIK"/>
      <sheetName val="RATE&amp;FCTR"/>
      <sheetName val="Quantity"/>
      <sheetName val="eval. Juli"/>
      <sheetName val="G1"/>
      <sheetName val="rincian per proyek"/>
      <sheetName val="Analisa Tekhnis"/>
      <sheetName val="jan"/>
      <sheetName val="FEB"/>
      <sheetName val="MAR"/>
      <sheetName val="BD Div-2 sd 7.6"/>
      <sheetName val="Input monthly capex"/>
      <sheetName val="DES 15"/>
      <sheetName val="PERFORM"/>
      <sheetName val="RAP1"/>
      <sheetName val="pivotscd"/>
      <sheetName val="BAG-III"/>
      <sheetName val="Eng_Hrs"/>
      <sheetName val="Master Sch 1.0-sro2"/>
      <sheetName val="1~3"/>
      <sheetName val="5"/>
      <sheetName val="6"/>
      <sheetName val="bill qty"/>
      <sheetName val="DivVII"/>
      <sheetName val="F1c DATA ADM6"/>
      <sheetName val="Master Edit"/>
      <sheetName val="Appendix 2(SatDas)"/>
      <sheetName val="Du_lieu"/>
      <sheetName val="5-RLP01"/>
      <sheetName val="1-LBP01"/>
      <sheetName val="DIVISI 3"/>
      <sheetName val="2 MASTER APP"/>
      <sheetName val="Master_1_02"/>
      <sheetName val="Master_1_0_(2)2"/>
      <sheetName val="Master_Sch_1_0-sro2_Adari_disk2"/>
      <sheetName val="Bill_of_Qty_MEP1"/>
      <sheetName val="Up_&amp;_bhn1"/>
      <sheetName val="REF_ONLY1"/>
      <sheetName val="BIAYA_07"/>
      <sheetName val="DET_08"/>
      <sheetName val="DRUP_(ASLI)"/>
      <sheetName val="NS_GD_UGD"/>
      <sheetName val="STD_GD_UGD"/>
      <sheetName val="MARK_UP"/>
      <sheetName val="Man_Power___Comp"/>
      <sheetName val="DIVISI_3"/>
      <sheetName val="AnalisaSIPIL RIIL"/>
      <sheetName val="IV_1"/>
      <sheetName val="I_3_3"/>
      <sheetName val="ListEL"/>
      <sheetName val="bahan dan upah"/>
      <sheetName val="Bab 6 -3(5)"/>
      <sheetName val="2.3(2) Gor"/>
      <sheetName val="8.4.2 Rambu"/>
      <sheetName val="HPP"/>
      <sheetName val="DKH-S3"/>
      <sheetName val="RinciBab1"/>
      <sheetName val="UMUM-PU"/>
      <sheetName val="pro ra op"/>
      <sheetName val="grafik"/>
      <sheetName val="schalat"/>
      <sheetName val="schman"/>
      <sheetName val="schmat"/>
      <sheetName val="3-DIV5"/>
      <sheetName val="By"/>
      <sheetName val="Anl.2s.d4e"/>
      <sheetName val="01A__RAB1"/>
      <sheetName val="REKAP_(2)"/>
      <sheetName val="Rekap_Biaya"/>
      <sheetName val="Rekap_RAP"/>
      <sheetName val="ES_STG"/>
      <sheetName val="Lead_Schedule"/>
      <sheetName val="INPUT_2"/>
      <sheetName val="A_LIS"/>
      <sheetName val="A_REKAP"/>
      <sheetName val="eval__Juli"/>
      <sheetName val="rincian_per_proyek"/>
      <sheetName val="BD_Div-2_sd_7_6"/>
      <sheetName val="Analisa_Tekhnis"/>
      <sheetName val="Analisa_RAP"/>
      <sheetName val="Penyebaran_M"/>
      <sheetName val="Input_monthly_capex"/>
      <sheetName val="Rekap_Prelim"/>
      <sheetName val="DES_15"/>
      <sheetName val="Hrg_Sat"/>
      <sheetName val="Master_Sch_1_0-sro2"/>
      <sheetName val="Master_1_03"/>
      <sheetName val="Master_1_0_(2)3"/>
      <sheetName val="Master_Sch_1_0-sro2_Adari_disk3"/>
      <sheetName val="Bill_of_Qty_MEP2"/>
      <sheetName val="REF_ONLY2"/>
      <sheetName val="Anl_+1"/>
      <sheetName val="01A-_RAB1"/>
      <sheetName val="Up_&amp;_bhn2"/>
      <sheetName val="BIAYA_071"/>
      <sheetName val="DET_081"/>
      <sheetName val="ANALISA_11"/>
      <sheetName val="RKP_PLUMBING1"/>
      <sheetName val="01A__RAB2"/>
      <sheetName val="DRUP_(ASLI)1"/>
      <sheetName val="Analis_Kusen_1_ESKALASI1"/>
      <sheetName val="NP_(4)1"/>
      <sheetName val="SELISIH_HARGA1"/>
      <sheetName val="NS_GD_UGD1"/>
      <sheetName val="STD_GD_UGD1"/>
      <sheetName val="rab_-_persiapan_&amp;_lantai-11"/>
      <sheetName val="MARK_UP1"/>
      <sheetName val="GD_B1"/>
      <sheetName val="GD_C1"/>
      <sheetName val="GD_D1"/>
      <sheetName val="GD_E1"/>
      <sheetName val="GD_F1"/>
      <sheetName val="GD_G1"/>
      <sheetName val="GD_N1"/>
      <sheetName val="GD_A1"/>
      <sheetName val="CRUDE_RE-bar1"/>
      <sheetName val="REKAP_(2)1"/>
      <sheetName val="SUMBER_DAYA1"/>
      <sheetName val="Rekap_Biaya1"/>
      <sheetName val="Rekap_RAP1"/>
      <sheetName val="ES_STG1"/>
      <sheetName val="Man_Power___Comp1"/>
      <sheetName val="Lead_Schedule1"/>
      <sheetName val="INPUT_21"/>
      <sheetName val="A_LIS1"/>
      <sheetName val="A_REKAP1"/>
      <sheetName val="eval__Juli1"/>
      <sheetName val="rincian_per_proyek1"/>
      <sheetName val="BD_Div-2_sd_7_61"/>
      <sheetName val="Analisa_Tekhnis1"/>
      <sheetName val="Analisa_RAP1"/>
      <sheetName val="Penyebaran_M1"/>
      <sheetName val="Input_monthly_capex1"/>
      <sheetName val="Rekap_Prelim1"/>
      <sheetName val="DES_151"/>
      <sheetName val="Hrg_Sat1"/>
      <sheetName val="Master_Sch_1_0-sro21"/>
      <sheetName val="Sat Bah _ Up"/>
      <sheetName val="BoQ C4"/>
      <sheetName val="SAPON"/>
      <sheetName val="Tab"/>
      <sheetName val="DATA-ALAT"/>
      <sheetName val="ALAT1"/>
      <sheetName val="ALAT2 (TDK DIPAKAI)"/>
      <sheetName val="Group"/>
      <sheetName val="J"/>
      <sheetName val="Hit Vol_Sk"/>
      <sheetName val="pivot2"/>
      <sheetName val="Hrg Dsr"/>
      <sheetName val="3A7.1.Jln Insitu"/>
      <sheetName val="HSA &amp; PAB"/>
      <sheetName val="Harga Upah "/>
      <sheetName val="Div.7.2"/>
      <sheetName val="BQ(ars)"/>
      <sheetName val="PBK01"/>
      <sheetName val="CASH-lapangan"/>
      <sheetName val="Hutang-div"/>
      <sheetName val="Rincian hutang-Lap"/>
      <sheetName val="DIVI3"/>
      <sheetName val="Kajian Kendala"/>
      <sheetName val="KAS"/>
      <sheetName val="coba"/>
      <sheetName val="WT-LIST"/>
      <sheetName val="bukan PNS"/>
      <sheetName val="Analisa SNI STANDART "/>
      <sheetName val="Dasboard"/>
      <sheetName val="H_Upah"/>
      <sheetName val="Markup"/>
      <sheetName val="Formulir 7.6"/>
      <sheetName val="RAP (2)"/>
      <sheetName val="BUL"/>
      <sheetName val="S_perny &amp; CV_lama"/>
      <sheetName val="div7"/>
      <sheetName val="rab me (by owner) "/>
      <sheetName val="BQ (by owner)"/>
      <sheetName val="rab me (fisik)"/>
      <sheetName val="CalSheet"/>
      <sheetName val="m schedule"/>
      <sheetName val="Hitung"/>
      <sheetName val="Gal-Tim(A)"/>
      <sheetName val="Beton(B)"/>
      <sheetName val="Analis Upah"/>
      <sheetName val="RAB JALUR Lend.tinggi"/>
      <sheetName val="Luas-Tot"/>
      <sheetName val="EQ"/>
      <sheetName val="2.E"/>
      <sheetName val="2.F"/>
      <sheetName val="Gaji Pokok"/>
      <sheetName val="T. Proyek-Jabatan"/>
      <sheetName val="T. Lokasi"/>
      <sheetName val="T. Rumah"/>
      <sheetName val="T. Transport"/>
      <sheetName val="MAP-Prog"/>
      <sheetName val="BoQ Total_lama"/>
      <sheetName val="ANSTRUK"/>
      <sheetName val="Typ ITS"/>
      <sheetName val="ekuitanak"/>
      <sheetName val="PHI"/>
      <sheetName val="Har Sat"/>
      <sheetName val="Harga "/>
      <sheetName val="3-DIV7.B"/>
      <sheetName val="anaMob"/>
      <sheetName val="DKH SN1-A"/>
      <sheetName val="S curve PRCPT"/>
      <sheetName val="CUACA"/>
      <sheetName val="Man_Power_Const"/>
      <sheetName val="Worksheet"/>
      <sheetName val="HARGA SAT"/>
      <sheetName val="Gia"/>
      <sheetName val="compaction"/>
      <sheetName val="Anals"/>
      <sheetName val=" Analisa Harga"/>
      <sheetName val="HS Bhn&amp;Upah"/>
      <sheetName val="Bang B"/>
      <sheetName val="L-Mechanical"/>
      <sheetName val="PopCache"/>
      <sheetName val="Solar"/>
      <sheetName val="OLI HEQ"/>
      <sheetName val="BQ-Structur"/>
      <sheetName val="Rekap RAP real (2)"/>
      <sheetName val="HRG DSR APP"/>
      <sheetName val="Hrgdsrupah"/>
      <sheetName val="Master_1_04"/>
      <sheetName val="Master_1_0_(2)4"/>
      <sheetName val="Master_Sch_1_0-sro2_Adari_disk4"/>
      <sheetName val="HB_3"/>
      <sheetName val="Bill_of_Qty_MEP3"/>
      <sheetName val="Up_&amp;_bhn3"/>
      <sheetName val="REF_ONLY3"/>
      <sheetName val="01A-_RAB2"/>
      <sheetName val="Anl_+2"/>
      <sheetName val="NP_(4)2"/>
      <sheetName val="01A__RAB3"/>
      <sheetName val="Analis_Kusen_1_ESKALASI2"/>
      <sheetName val="ANALISA_12"/>
      <sheetName val="rab_-_persiapan_&amp;_lantai-12"/>
      <sheetName val="RKP_PLUMBING2"/>
      <sheetName val="GD_B2"/>
      <sheetName val="GD_C2"/>
      <sheetName val="GD_D2"/>
      <sheetName val="GD_E2"/>
      <sheetName val="GD_F2"/>
      <sheetName val="GD_G2"/>
      <sheetName val="GD_N2"/>
      <sheetName val="GD_A2"/>
      <sheetName val="Rekap_Biaya2"/>
      <sheetName val="MARK_UP2"/>
      <sheetName val="ES_STG2"/>
      <sheetName val="Man_Power___Comp2"/>
      <sheetName val="BIAYA_072"/>
      <sheetName val="DET_082"/>
      <sheetName val="DRUP_(ASLI)2"/>
      <sheetName val="SELISIH_HARGA2"/>
      <sheetName val="NS_GD_UGD2"/>
      <sheetName val="STD_GD_UGD2"/>
      <sheetName val="CRUDE_RE-bar2"/>
      <sheetName val="REKAP_(2)2"/>
      <sheetName val="DIVISI_31"/>
      <sheetName val="Master_Sch_1_0-sro22"/>
      <sheetName val="2_MASTER_APP"/>
      <sheetName val="Rekap_RAP2"/>
      <sheetName val="A_LIS2"/>
      <sheetName val="A_REKAP2"/>
      <sheetName val="AnalisaSIPIL_RIIL"/>
      <sheetName val="SUMBER_DAYA2"/>
      <sheetName val="INPUT_22"/>
      <sheetName val="eval__Juli2"/>
      <sheetName val="Lead_Schedule2"/>
      <sheetName val="Analisa_Tekhnis2"/>
      <sheetName val="Input_monthly_capex2"/>
      <sheetName val="Rekap_Prelim2"/>
      <sheetName val="Analisa_RAP2"/>
      <sheetName val="Penyebaran_M2"/>
      <sheetName val="DES_152"/>
      <sheetName val="pro_ra_op"/>
      <sheetName val="Hrg_Sat2"/>
      <sheetName val="rincian_per_proyek2"/>
      <sheetName val="BD_Div-2_sd_7_62"/>
      <sheetName val="bill_qty"/>
      <sheetName val="F1c_DATA_ADM6"/>
      <sheetName val="Master_Edit"/>
      <sheetName val="Appendix_2(SatDas)"/>
      <sheetName val="Hit_Vol_Sk"/>
      <sheetName val="bahan_dan_upah"/>
      <sheetName val="Bab_6_-3(5)"/>
      <sheetName val="2_3(2)_Gor"/>
      <sheetName val="8_4_2_Rambu"/>
      <sheetName val="Data_Teknik"/>
      <sheetName val="RAP_(2)"/>
      <sheetName val="HARGA_SATUAN_DASAR"/>
      <sheetName val="2_E"/>
      <sheetName val="2_F"/>
      <sheetName val="Gaji_Pokok"/>
      <sheetName val="T__Proyek-Jabatan"/>
      <sheetName val="T__Lokasi"/>
      <sheetName val="T__Rumah"/>
      <sheetName val="T__Transport"/>
      <sheetName val="Anl_2s_d4e"/>
      <sheetName val="Analis_Upah"/>
      <sheetName val="RAB_JALUR_Lend_tinggi"/>
      <sheetName val="Kuantitas_&amp;_Harga"/>
      <sheetName val="HSA_&amp;_PAB"/>
      <sheetName val="Harga_Upah_"/>
      <sheetName val="TONG_HOP_VL-NC"/>
      <sheetName val="BoQ_Total_lama"/>
      <sheetName val="m_schedule"/>
      <sheetName val="Master_1_05"/>
      <sheetName val="Master_1_0_(2)5"/>
      <sheetName val="Master_Sch_1_0-sro2_Adari_disk5"/>
      <sheetName val="HB_4"/>
      <sheetName val="Cash_Flow_bulanan4"/>
      <sheetName val="Bill_of_Qty_MEP4"/>
      <sheetName val="Up_&amp;_bhn4"/>
      <sheetName val="HRG_BHN4"/>
      <sheetName val="REF_ONLY4"/>
      <sheetName val="Perm__Test3"/>
      <sheetName val="DRUP_(ASLI)3"/>
      <sheetName val="SELISIH_HARGA3"/>
      <sheetName val="Anl_+3"/>
      <sheetName val="rab_-_persiapan_&amp;_lantai-13"/>
      <sheetName val="01A__RAB4"/>
      <sheetName val="GD_B3"/>
      <sheetName val="GD_C3"/>
      <sheetName val="GD_D3"/>
      <sheetName val="GD_E3"/>
      <sheetName val="GD_F3"/>
      <sheetName val="GD_G3"/>
      <sheetName val="GD_N3"/>
      <sheetName val="GD_A3"/>
      <sheetName val="DAFTAR_HARGA4"/>
      <sheetName val="NS_GD_UGD3"/>
      <sheetName val="STD_GD_UGD3"/>
      <sheetName val="01A-_RAB3"/>
      <sheetName val="Analis_Kusen_1_ESKALASI3"/>
      <sheetName val="NP_(4)3"/>
      <sheetName val="analisa_harga_satuan3"/>
      <sheetName val="BIAYA_073"/>
      <sheetName val="DET_083"/>
      <sheetName val="ANALISA_13"/>
      <sheetName val="RKP_PLUMBING3"/>
      <sheetName val="CRUDE_RE-bar3"/>
      <sheetName val="SUMBER_DAYA3"/>
      <sheetName val="Hrg_Sat3"/>
      <sheetName val="MARK_UP3"/>
      <sheetName val="H_SAT3"/>
      <sheetName val="REKAP_(2)3"/>
      <sheetName val="Bill_Of_Quantity3"/>
      <sheetName val="Rekap_Biaya3"/>
      <sheetName val="Rekap_RAP3"/>
      <sheetName val="ES_STG3"/>
      <sheetName val="Man_Power___Comp3"/>
      <sheetName val="Lead_Schedule3"/>
      <sheetName val="INPUT_23"/>
      <sheetName val="A_LIS3"/>
      <sheetName val="A_REKAP3"/>
      <sheetName val="eval__Juli3"/>
      <sheetName val="rincian_per_proyek3"/>
      <sheetName val="Analisa_Tekhnis3"/>
      <sheetName val="BD_Div-2_sd_7_63"/>
      <sheetName val="Analisa_RAP3"/>
      <sheetName val="Penyebaran_M3"/>
      <sheetName val="Input_monthly_capex3"/>
      <sheetName val="Rekap_Prelim3"/>
      <sheetName val="DES_153"/>
      <sheetName val="Analis_harga1"/>
      <sheetName val="Master_Sch_1_0-sro23"/>
      <sheetName val="bill_qty1"/>
      <sheetName val="F1c_DATA_ADM61"/>
      <sheetName val="Master_Edit1"/>
      <sheetName val="Galian_11"/>
      <sheetName val="Appendix_2(SatDas)1"/>
      <sheetName val="DIVISI_32"/>
      <sheetName val="2_MASTER_APP1"/>
      <sheetName val="RAB_AR&amp;STR1"/>
      <sheetName val="Ana__PU1"/>
      <sheetName val="610_041"/>
      <sheetName val="610_051"/>
      <sheetName val="610_061"/>
      <sheetName val="610_071"/>
      <sheetName val="610_081"/>
      <sheetName val="AnalisaSIPIL_RIIL1"/>
      <sheetName val="bahan_dan_upah1"/>
      <sheetName val="Bab_6_-3(5)1"/>
      <sheetName val="2_3(2)_Gor1"/>
      <sheetName val="8_4_2_Rambu1"/>
      <sheetName val="Sec_I_ML1"/>
      <sheetName val="pro_ra_op1"/>
      <sheetName val="MASTER_11"/>
      <sheetName val="BoQ_C4"/>
      <sheetName val="ALAT2_(TDK_DIPAKAI)"/>
      <sheetName val="Hit_Vol_Sk1"/>
      <sheetName val="Anl_2s_d4e1"/>
      <sheetName val="Sat_Bah___Up"/>
      <sheetName val="Kuantitas_&amp;_Harga1"/>
      <sheetName val="HSA_&amp;_PAB1"/>
      <sheetName val="Harga_Upah_1"/>
      <sheetName val="Hrg_Dsr"/>
      <sheetName val="3A7_1_Jln_Insitu"/>
      <sheetName val="Div_7_2"/>
      <sheetName val="Rincian_hutang-Lap"/>
      <sheetName val="Kajian_Kendala"/>
      <sheetName val="bukan_PNS"/>
      <sheetName val="Analisa_Upah___Bahan_Plum"/>
      <sheetName val="Analisa_SNI_STANDART_"/>
      <sheetName val="Formulir_7_6"/>
      <sheetName val="Data_Teknik1"/>
      <sheetName val="RAP_(2)1"/>
      <sheetName val="S_perny_&amp;_CV_lama"/>
      <sheetName val="rab_me_(by_owner)_"/>
      <sheetName val="BQ_(by_owner)"/>
      <sheetName val="rab_me_(fisik)"/>
      <sheetName val="m_schedule1"/>
      <sheetName val="HARGA_SATUAN_DASAR1"/>
      <sheetName val="Analis_Upah1"/>
      <sheetName val="RAB_JALUR_Lend_tinggi1"/>
      <sheetName val="2_E1"/>
      <sheetName val="2_F1"/>
      <sheetName val="Gaji_Pokok1"/>
      <sheetName val="T__Proyek-Jabatan1"/>
      <sheetName val="T__Lokasi1"/>
      <sheetName val="T__Rumah1"/>
      <sheetName val="T__Transport1"/>
      <sheetName val="TONG_HOP_VL-NC1"/>
      <sheetName val="DON_GIA1"/>
      <sheetName val="CHITIET_VL-NC1"/>
      <sheetName val="BoQ_Total_lama1"/>
      <sheetName val="Typ_ITS"/>
      <sheetName val="Har_Sat"/>
      <sheetName val="Harga_"/>
      <sheetName val="3-DIV7_B"/>
      <sheetName val="DKH_SN1-A"/>
      <sheetName val="S_curve_PRCPT"/>
      <sheetName val="HARGA_SAT"/>
      <sheetName val="_Analisa_Harga"/>
      <sheetName val="HS_Bhn&amp;Upah"/>
      <sheetName val="Bang_B"/>
      <sheetName val="OLI_HEQ"/>
      <sheetName val="Rekap_RAP_real_(2)"/>
      <sheetName val="HRG_DSR_APP"/>
      <sheetName val="anal_hs"/>
      <sheetName val="info"/>
      <sheetName val="Trf-SAP-GL"/>
      <sheetName val="URAIAN "/>
      <sheetName val="LS-Rutin"/>
      <sheetName val="HSP"/>
      <sheetName val="Rutin"/>
      <sheetName val="Parameter"/>
      <sheetName val="Ass"/>
      <sheetName val="HRG-DASAR"/>
      <sheetName val="GRADE SKALA"/>
      <sheetName val="Anls"/>
      <sheetName val="Antek1"/>
      <sheetName val="H.Upah"/>
      <sheetName val="AHS Marka"/>
      <sheetName val="AHS Aspal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data 2014"/>
      <sheetName val="Daf.Dasar Upah&amp;Bahan"/>
      <sheetName val="TA"/>
      <sheetName val="U&amp;B"/>
      <sheetName val="841"/>
      <sheetName val="811"/>
      <sheetName val="8.1.1 Struktur Kantor Taman"/>
      <sheetName val="SNI FIX"/>
      <sheetName val="RAB2"/>
      <sheetName val="RKAP1"/>
      <sheetName val="RKAP2"/>
      <sheetName val="Preliminaries"/>
      <sheetName val="Elektronik"/>
      <sheetName val="VO"/>
      <sheetName val="Hargamaterial"/>
      <sheetName val="OFFICE 2 LT"/>
      <sheetName val="UshDeb00"/>
      <sheetName val="Rekap 2002 mod"/>
      <sheetName val="BARU-3"/>
      <sheetName val="BARU-4 "/>
      <sheetName val="LAMA-3"/>
      <sheetName val="LAMA-4"/>
      <sheetName val="BQ1"/>
      <sheetName val="CAT-14"/>
      <sheetName val="Waktu"/>
      <sheetName val="BOOQ"/>
      <sheetName val="DIV 5 ok"/>
      <sheetName val="CERUCUK OKE"/>
      <sheetName val="Additional"/>
      <sheetName val="On Time"/>
      <sheetName val="Curup"/>
      <sheetName val="Prabu"/>
      <sheetName val="PESANTREN"/>
      <sheetName val="G"/>
      <sheetName val="hs_ars"/>
      <sheetName val="DIV.3"/>
      <sheetName val="DIV.8"/>
      <sheetName val="DIV.IV"/>
      <sheetName val="DIV.VI"/>
      <sheetName val="DIV.VIII"/>
      <sheetName val="GE-1-2"/>
      <sheetName val="LP_2 - KUNINGAN - DUKUH ATAS"/>
      <sheetName val="Boq-civil(B)"/>
      <sheetName val="SCH-2(P)"/>
      <sheetName val="Hutang Lap"/>
      <sheetName val="Hutang-Wil"/>
      <sheetName val="div71"/>
      <sheetName val="Harga S Dasar"/>
      <sheetName val="000000"/>
      <sheetName val="Mtd_Pelak"/>
      <sheetName val="SDMPROG"/>
      <sheetName val="Summary pilecap"/>
      <sheetName val="PL98"/>
      <sheetName val="EurotoolsXRates"/>
      <sheetName val="Gen"/>
      <sheetName val="단가"/>
      <sheetName val="차액보증"/>
      <sheetName val="BQ29"/>
      <sheetName val="BID"/>
      <sheetName val="DATE"/>
      <sheetName val="총괄표"/>
      <sheetName val="내역서"/>
      <sheetName val="DATA2009"/>
      <sheetName val="SIMPRO(AGST)"/>
      <sheetName val="P&amp;L01-02GR"/>
      <sheetName val="일위대가목차"/>
      <sheetName val="FIRE FIGHTING"/>
      <sheetName val="산출내역서"/>
      <sheetName val="내역(중앙)"/>
      <sheetName val="내역(창신)"/>
      <sheetName val="mg"/>
      <sheetName val="21"/>
      <sheetName val="영업소실적"/>
      <sheetName val="pro_ra_op2"/>
      <sheetName val="Sec_I_ML2"/>
      <sheetName val="2_MASTER_APP2"/>
      <sheetName val="Analisa  _2_"/>
      <sheetName val="BASEMENT"/>
      <sheetName val="MB"/>
      <sheetName val="List of Eqp"/>
      <sheetName val="UPA"/>
      <sheetName val="DWTables"/>
      <sheetName val="I_KAMAR"/>
      <sheetName val="Mon Upah+Alat+Material"/>
      <sheetName val="kebut bhn"/>
      <sheetName val="Lamp 5"/>
      <sheetName val="UPAH USULAN"/>
      <sheetName val="ANALISA USULAN"/>
      <sheetName val="DAF-ALAT-03"/>
      <sheetName val="Rumah Kls. 1"/>
      <sheetName val="Bar &amp; Coffeshop"/>
      <sheetName val="Club House Ka"/>
      <sheetName val="Club House Ki"/>
      <sheetName val="Club House Klm Spa"/>
      <sheetName val="Club House B. Tank"/>
      <sheetName val="Club House Tgh"/>
      <sheetName val="FWT"/>
      <sheetName val="Gardu"/>
      <sheetName val="Gerbang"/>
      <sheetName val="Griya VVIP"/>
      <sheetName val="GSG"/>
      <sheetName val="GWT"/>
      <sheetName val="Helipad"/>
      <sheetName val="Pool Indor"/>
      <sheetName val="Interior"/>
      <sheetName val="Kantor"/>
      <sheetName val="Keamanan"/>
      <sheetName val="Club House Klm Anak"/>
      <sheetName val="Club House Klm Dewasa"/>
      <sheetName val="Rumah Kls. 2"/>
      <sheetName val="Rumah Kls 3"/>
      <sheetName val="Konstruksi Lahan &amp; Infrastrk"/>
      <sheetName val="Landscape"/>
      <sheetName val="Meshall"/>
      <sheetName val="Musholla"/>
      <sheetName val="Pool Outdoor"/>
      <sheetName val="Club House Pek. Luar"/>
      <sheetName val="Club House Pendopo"/>
      <sheetName val="Club House R. Pompa"/>
      <sheetName val="Pos Jaga"/>
      <sheetName val="Rechall"/>
      <sheetName val="TK &amp; TPQ"/>
      <sheetName val="Club House Utilitas"/>
      <sheetName val="Quarry-rangas"/>
      <sheetName val="TIE-INS"/>
      <sheetName val="Pemindahan Penduduk "/>
      <sheetName val="ANLIS "/>
      <sheetName val="SAT PL"/>
      <sheetName val="SAT EL"/>
      <sheetName val="TR"/>
      <sheetName val="PV"/>
      <sheetName val="ARL"/>
      <sheetName val="CB"/>
      <sheetName val="KBL"/>
      <sheetName val="List Of Basic Price"/>
      <sheetName val="IN.DATA"/>
      <sheetName val="Bahan _ Upah"/>
      <sheetName val="SPEK-TEK"/>
      <sheetName val="ANALISA SNI'07(Bangli)"/>
      <sheetName val="MixBed"/>
      <sheetName val="CondPol"/>
      <sheetName val="upah,bhn,alt"/>
      <sheetName val="rab KRAN UMUM"/>
      <sheetName val="rab PMA"/>
      <sheetName val="D9"/>
      <sheetName val="DAF-KUANT&amp;HARGA"/>
      <sheetName val="8x4,5"/>
      <sheetName val="20x4,5"/>
      <sheetName val="E.251"/>
      <sheetName val="4x4,5"/>
      <sheetName val="6x4,5"/>
      <sheetName val="K.012"/>
      <sheetName val="K.311"/>
      <sheetName val="Sat_Bahu"/>
      <sheetName val="CF Alat"/>
      <sheetName val="analis standar(20m)"/>
      <sheetName val="ANAL BETON"/>
      <sheetName val="Eq. Mobilization"/>
      <sheetName val="MEP"/>
      <sheetName val="page 1"/>
      <sheetName val="DIVISI I 50"/>
      <sheetName val="lh"/>
      <sheetName val="mat&amp;upah"/>
      <sheetName val="ANALISA JAN 08"/>
      <sheetName val="DIV10"/>
      <sheetName val="MTa"/>
      <sheetName val="Anal Alat Type II A"/>
      <sheetName val="BELI _SEPTEMBER"/>
      <sheetName val="Satuan Upah &amp; Bahan"/>
      <sheetName val="tidak dipakai 1"/>
      <sheetName val="BQ Detail"/>
      <sheetName val="daf_3_OK_"/>
      <sheetName val="daf_7_OK_"/>
      <sheetName val="Cover (x)"/>
      <sheetName val="Cor Apt"/>
      <sheetName val="H.BAHAN"/>
      <sheetName val="B.LAIN2"/>
      <sheetName val="IN"/>
      <sheetName val="Meth "/>
      <sheetName val="HARSAT-lhn"/>
      <sheetName val="brd2"/>
      <sheetName val="bialangsung"/>
      <sheetName val="Harsat.Alat"/>
      <sheetName val="BOQ EXTERN"/>
      <sheetName val="BOQ INTERN"/>
      <sheetName val="BHN.DSR"/>
      <sheetName val="curve s"/>
      <sheetName val="Daftar Harga Bahan"/>
      <sheetName val="REKAP RAB"/>
      <sheetName val="REK. GABUNG"/>
      <sheetName val="HARGA RAP"/>
      <sheetName val="T&amp;B_BULK_TOTAL"/>
      <sheetName val="hps-Tbg.sgu"/>
      <sheetName val="rekapan"/>
      <sheetName val="rab_usulan cco"/>
      <sheetName val="usulan cco2 ok"/>
      <sheetName val="RAB_3LT"/>
      <sheetName val="uph bhn"/>
      <sheetName val="ANL-E"/>
      <sheetName val="E"/>
      <sheetName val="D"/>
      <sheetName val="F"/>
      <sheetName val="H"/>
      <sheetName val="Analisa.Hourly"/>
      <sheetName val="analt"/>
      <sheetName val="bjr"/>
      <sheetName val="TABEL-DETASIR"/>
      <sheetName val="bahanbakar"/>
      <sheetName val="U,B"/>
      <sheetName val="Analisa Struktur Beton"/>
      <sheetName val="Sat Bah &amp; Up"/>
      <sheetName val="LMP BA"/>
      <sheetName val="DET 1"/>
      <sheetName val="DET 2"/>
      <sheetName val="Analisa DW"/>
      <sheetName val="cargo"/>
      <sheetName val="hrgsat"/>
      <sheetName val="lap-bulan"/>
      <sheetName val="Lap-Minggu"/>
      <sheetName val="anl sni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4-Basic"/>
      <sheetName val="Analisa K"/>
      <sheetName val="5-Analisa Peralatan"/>
      <sheetName val="HSE"/>
      <sheetName val="panglejar 1"/>
      <sheetName val="Brick+Finish"/>
      <sheetName val="Part list (GY_01)"/>
      <sheetName val="Table 3-GCP"/>
      <sheetName val="EngDesign-ER"/>
      <sheetName val="EngDesign-GCP"/>
      <sheetName val="EngDesign-SAP"/>
      <sheetName val="EngDesign-SP-AF"/>
      <sheetName val="EngDesign-SP-DA"/>
      <sheetName val="EngDesign-SP-FS"/>
      <sheetName val="EngDesign-SP-VGH"/>
      <sheetName val="Man Power &amp; Comp"/>
      <sheetName val="ANL.2.1"/>
      <sheetName val="ANA-HRG"/>
      <sheetName val="Pas. Batu Gng"/>
      <sheetName val="upah-baru"/>
      <sheetName val="UB"/>
      <sheetName val="Pintu-Jend."/>
      <sheetName val="DAFTAR ALAT"/>
      <sheetName val="DAY"/>
      <sheetName val="bahan(M)"/>
      <sheetName val="MPEL"/>
      <sheetName val="LP3,h_dsr"/>
      <sheetName val="an_tek1"/>
      <sheetName val="Prod 02"/>
      <sheetName val="Prod 01-1"/>
      <sheetName val="Prod 01-2"/>
      <sheetName val="civil-work"/>
      <sheetName val="Found 150 kv w pile"/>
      <sheetName val="Found 500 w pile"/>
      <sheetName val="basic-price"/>
      <sheetName val="Stock Material"/>
      <sheetName val="KPB-Alat"/>
      <sheetName val="KPB-Bahan"/>
      <sheetName val="KPB_Bank"/>
      <sheetName val="KPB-BUA"/>
      <sheetName val="KPB-PP"/>
      <sheetName val="KPB-Sub"/>
      <sheetName val="KPB-Upah"/>
      <sheetName val="KRB_Bahan"/>
      <sheetName val="KRB_Subkont"/>
      <sheetName val="Prod 03-1"/>
      <sheetName val="WIP"/>
      <sheetName val="ana-alat"/>
      <sheetName val="Sat Das"/>
      <sheetName val="KPI-Jakon"/>
      <sheetName val="code"/>
      <sheetName val="Prog_Imbalan"/>
      <sheetName val="REG_TOTAL"/>
      <sheetName val="XLS_Avg_Rev"/>
      <sheetName val="Bill_6"/>
      <sheetName val="Bill_7"/>
      <sheetName val="SH_breakdown"/>
      <sheetName val="RAB_-1"/>
      <sheetName val="Analisa_Baku_STR_ARS"/>
      <sheetName val="Analisa_ME_"/>
      <sheetName val="hit_BKMM1"/>
      <sheetName val="LDA_LTW"/>
      <sheetName val="DIV_INC"/>
      <sheetName val="DCF_3"/>
      <sheetName val="EQ__IRR"/>
      <sheetName val="Debt_Return_Analy"/>
      <sheetName val="Urugan_Pasir"/>
      <sheetName val="H_Satuan6"/>
      <sheetName val="Jam_Alat5"/>
      <sheetName val="Vol_Lining5"/>
      <sheetName val="Vol_K_2255"/>
      <sheetName val="Analisa_&amp;_Upah4"/>
      <sheetName val="Analisa_Harga4"/>
      <sheetName val="struktur_tdk_dipakai4"/>
      <sheetName val="D_BOARD_LAMA4"/>
      <sheetName val="RAB_Arsitek4"/>
      <sheetName val="FORM_X_COST4"/>
      <sheetName val="Daf_11"/>
      <sheetName val="Bill_5_Summary4"/>
      <sheetName val="BQ_ME4"/>
      <sheetName val="Bill_2_Summary4"/>
      <sheetName val="Agregat_Halus_&amp;_Kasar4"/>
      <sheetName val="Upah_&amp;_Bahan4"/>
      <sheetName val="data_Masjid_Ksrn4"/>
      <sheetName val="RAB_Interior4"/>
      <sheetName val="Pipa_2003"/>
      <sheetName val="HARSAT_BAHAN4"/>
      <sheetName val="Bill_4_Summary4"/>
      <sheetName val="Bill_3_Summary4"/>
      <sheetName val="Unit_Rate4"/>
      <sheetName val="F_3-84"/>
      <sheetName val="Daf_Harga4"/>
      <sheetName val="An__Harga4"/>
      <sheetName val="Harsat_Upah4"/>
      <sheetName val="Harsat_Pekerjaan4"/>
      <sheetName val="HARGA_MATERIAL4"/>
      <sheetName val="D_1_74"/>
      <sheetName val="D_2_34"/>
      <sheetName val="B_T4"/>
      <sheetName val="Analisa_23"/>
      <sheetName val="D_1_54"/>
      <sheetName val="D_2_24"/>
      <sheetName val="Analisa_Upah_&amp;_Bahan_Plum4"/>
      <sheetName val="Als_Struk4"/>
      <sheetName val="Cover_Daf-24"/>
      <sheetName val="HARGA_ALAT4"/>
      <sheetName val="Bill_2_4_8"/>
      <sheetName val="Daftar_Upah4"/>
      <sheetName val="ANALISA_GRS_TENGAH4"/>
      <sheetName val="harga_bahan4"/>
      <sheetName val="harga_upah4"/>
      <sheetName val="Perhit_Alat3"/>
      <sheetName val="rab-str_Adm4"/>
      <sheetName val="R_A_B3"/>
      <sheetName val="Sat_Bahan4"/>
      <sheetName val="Sat_Alat4"/>
      <sheetName val="Sat_Upah4"/>
      <sheetName val="Economic_Assumptions3"/>
      <sheetName val="Urai__Resap_pengikat3"/>
      <sheetName val="PRD_01-74"/>
      <sheetName val="PRD_01-84"/>
      <sheetName val="PRD_01-114"/>
      <sheetName val="PRD_01-104"/>
      <sheetName val="_Harsat_Baru4"/>
      <sheetName val="Rab_Struktur4"/>
      <sheetName val="perhitungan_indeks4"/>
      <sheetName val="Bangunan_Utama4"/>
      <sheetName val="Analisa___Upah4"/>
      <sheetName val="GD_144"/>
      <sheetName val="Bill_2_4_9"/>
      <sheetName val="ANALISA_PEK_UMUM3"/>
      <sheetName val="Fill_this_out_first___3"/>
      <sheetName val="Harga_Satuan3"/>
      <sheetName val="3_Mob3"/>
      <sheetName val="DCF_SD_JUNI_043"/>
      <sheetName val="Perhitungan_Besi3"/>
      <sheetName val="Data_Ktr_Bupati_Tapsel3"/>
      <sheetName val="Anl_Sipil3"/>
      <sheetName val="Analisa_SNI4"/>
      <sheetName val="BQ_3"/>
      <sheetName val="Hit_Vol_Str_Jambi3"/>
      <sheetName val="Analisa_Quarry3"/>
      <sheetName val="Daft_Kuantitas3"/>
      <sheetName val="ANALISA_ALAT_BERAT3"/>
      <sheetName val="Analisa_HSP3"/>
      <sheetName val="Analisa_Gabungan3"/>
      <sheetName val="Alat_&amp;_Bahan3"/>
      <sheetName val="TE_TS_FA_LAN_MATV3"/>
      <sheetName val="Upah_dan_Bahan3"/>
      <sheetName val="BILL_14"/>
      <sheetName val="610_07A3"/>
      <sheetName val="HARDAS_PERKIM_23"/>
      <sheetName val="Bill_of_Qty3"/>
      <sheetName val="Bill_rekap3"/>
      <sheetName val="DIV_13"/>
      <sheetName val="Sis_Hidrol3"/>
      <sheetName val="Brk_Dwn_Sipil3"/>
      <sheetName val="Pipa_10_mm3"/>
      <sheetName val="Pipa_8_mm3"/>
      <sheetName val="Pipa_Fiber3"/>
      <sheetName val="Pipa_PE3"/>
      <sheetName val="Rekap_Tot3"/>
      <sheetName val="REKAP_ANALISA_SESUAI_PU3"/>
      <sheetName val="ANALISA_STRUKTUR_3"/>
      <sheetName val="REKAP_ANALISA_TO_PRINT3"/>
      <sheetName val="TP_ALAT3"/>
      <sheetName val="RPP01_63"/>
      <sheetName val="UPAH_BAHAN_ARST3"/>
      <sheetName val="met_bab33"/>
      <sheetName val="anal_bab83"/>
      <sheetName val="Rekap_Direct_Cost3"/>
      <sheetName val="Analisa_0213"/>
      <sheetName val="progres_sub_unv3"/>
      <sheetName val="Calcu_023"/>
      <sheetName val="COST_TOGO3"/>
      <sheetName val="D_BOARD3"/>
      <sheetName val="ANS_STR3"/>
      <sheetName val="HARGA_BAHAN_UPAH3"/>
      <sheetName val="REKAP_A_BESAR3"/>
      <sheetName val="II_1_STR_GED_A3"/>
      <sheetName val="Ans_Kom_Precast3"/>
      <sheetName val="Analisa_STR3"/>
      <sheetName val="Rekap_Anal3"/>
      <sheetName val="Harga_Satuan_(T_P_)3"/>
      <sheetName val="Analisa_HSP_(T_P_)3"/>
      <sheetName val="_R_A_B3"/>
      <sheetName val="Hrg_Bhn_(2)3"/>
      <sheetName val="Bor_Pile3"/>
      <sheetName val="ANALISA_SM3"/>
      <sheetName val="Based_KV,_palembang_&amp;_KJI3"/>
      <sheetName val="daf_harga_(reil)3"/>
      <sheetName val="_Biaya_alat_jam_(reil)3"/>
      <sheetName val="_Biaya_alat_jam3"/>
      <sheetName val="Sat__Pek_1"/>
      <sheetName val="2__MVAC_R11"/>
      <sheetName val="B_as3"/>
      <sheetName val="penawaran_baja3"/>
      <sheetName val="Pos_4-13"/>
      <sheetName val="Str_BT1"/>
      <sheetName val="STR_PODIUM1"/>
      <sheetName val="STR_PODIUM_(2)1"/>
      <sheetName val="REKAP_STR1"/>
      <sheetName val="REKAP_ME_CSPL1"/>
      <sheetName val="H_Sat_Jembatan3"/>
      <sheetName val="IDLE_ALAT1"/>
      <sheetName val="Grading_Tahap_11"/>
      <sheetName val="R__Upah1"/>
      <sheetName val="R__Bahan1"/>
      <sheetName val="R__Alat1"/>
      <sheetName val="R__Subkont1"/>
      <sheetName val="Det_Str_BT1"/>
      <sheetName val="BERAT_TUL_1"/>
      <sheetName val="14_jalan&amp;saluran1"/>
      <sheetName val="BAHAN_(2)1"/>
      <sheetName val="Bantuan_Entry1"/>
      <sheetName val="A_1_Persiapan_non_std1"/>
      <sheetName val="Owning_cost_Alat1"/>
      <sheetName val="o_rekap#41"/>
      <sheetName val="dongia_(2)1"/>
      <sheetName val="THPDMoi__(2)1"/>
      <sheetName val="CHITIET_VL-NC-TT_-1p1"/>
      <sheetName val="TH_XL1"/>
      <sheetName val="CHITIET_VL-NC-TT-3p1"/>
      <sheetName val="t-h_HA_THE1"/>
      <sheetName val="TONGKE3p_1"/>
      <sheetName val="Rekap__ME1"/>
      <sheetName val="dongia__2_1"/>
      <sheetName val="THPDMoi___2_1"/>
      <sheetName val="TONG_HOP_VL_NC1"/>
      <sheetName val="TH_VL__NC__DDHT_Thanhphuoc1"/>
      <sheetName val="t_h_HA_THE1"/>
      <sheetName val="CHITIET_VL_NC_TT__1p1"/>
      <sheetName val="TONG_HOP_VL_NC_TT1"/>
      <sheetName val="CHITIET_VL_NC1"/>
      <sheetName val="CHITIET_VL_NC_TT_3p1"/>
      <sheetName val="KPVC_BD_1"/>
      <sheetName val="Prog_Imbalan1"/>
      <sheetName val="Balok_L_21"/>
      <sheetName val="Spec_ME1"/>
      <sheetName val="anal_SNI1"/>
      <sheetName val="1_Cover1"/>
      <sheetName val="Anals_11"/>
      <sheetName val="rap_rinci1"/>
      <sheetName val="Analisa_Mob__31"/>
      <sheetName val="Analisa_Mob_11"/>
      <sheetName val="Analisa_Alat1"/>
      <sheetName val="RAB_(A)_(2)1"/>
      <sheetName val="DATA_BASE1"/>
      <sheetName val="REG_TOTAL1"/>
      <sheetName val="XLS_Avg_Rev1"/>
      <sheetName val="Bill_21"/>
      <sheetName val="Bill_31"/>
      <sheetName val="Bill_41"/>
      <sheetName val="Bill_51"/>
      <sheetName val="Bill_61"/>
      <sheetName val="Bill_71"/>
      <sheetName val="Peralatan_(2)1"/>
      <sheetName val="Daftar_Sewa1"/>
      <sheetName val="Analisa_(ok_punya)1"/>
      <sheetName val="Rekap_Vol1"/>
      <sheetName val="BT_KALI1"/>
      <sheetName val="REK_ADD1"/>
      <sheetName val="M_Pekerjaan1"/>
      <sheetName val="QSS_Building1"/>
      <sheetName val="Unit_Cost1"/>
      <sheetName val="pas_wm1"/>
      <sheetName val="Daft_Sewa_Alat1"/>
      <sheetName val="Upah_Bhn1"/>
      <sheetName val="SCHEDULE_1"/>
      <sheetName val="SH_breakdown1"/>
      <sheetName val="RAB_-11"/>
      <sheetName val="B_Penunjang1"/>
      <sheetName val="S_roomToyota1"/>
      <sheetName val="H__Dasar1"/>
      <sheetName val="BAR_SCREEN1"/>
      <sheetName val="Analisa_Baku_STR_ARS1"/>
      <sheetName val="Analisa_ME_1"/>
      <sheetName val="hit_BKMM2"/>
      <sheetName val="LDA_LTW1"/>
      <sheetName val="DIV_INC1"/>
      <sheetName val="DCF_31"/>
      <sheetName val="EQ__IRR1"/>
      <sheetName val="Debt_Return_Analy1"/>
      <sheetName val="Rekap_M&amp;E_ADD1_R1"/>
      <sheetName val="harga_ANALISA1"/>
      <sheetName val="ANALISA_GEDUNG1"/>
      <sheetName val="ANALISA_ME1"/>
      <sheetName val="H_SAT-PRK1"/>
      <sheetName val="Analisa_(2)1"/>
      <sheetName val="Rekap_Bill1"/>
      <sheetName val="Balance_sheet1"/>
      <sheetName val="AHS_-_Riel1"/>
      <sheetName val="Urugan_Pasir1"/>
      <sheetName val="Sat_Pekerjaan1"/>
      <sheetName val="POINT_SCHEDULE1"/>
      <sheetName val="_1"/>
      <sheetName val="4-Basic_Price1"/>
      <sheetName val="Customize Your Purchase Order"/>
      <sheetName val="BABY"/>
      <sheetName val="conc-mix"/>
      <sheetName val="TABEL LABOR"/>
      <sheetName val="S-2 PLERET"/>
      <sheetName val="product"/>
      <sheetName val="FORM_BQ_TL_PRATU_4cct"/>
      <sheetName val="An_Basic"/>
      <sheetName val="Stay Cable PDMR2"/>
      <sheetName val="Ven Fan"/>
      <sheetName val="Ana Duct"/>
      <sheetName val="BQ anal"/>
      <sheetName val="Lamp3AnAlat"/>
      <sheetName val="Indeks"/>
      <sheetName val="Lamp2HS"/>
      <sheetName val="HITUNGAN SCRAP"/>
      <sheetName val="Income_Statement-May_2004"/>
      <sheetName val="Std-Prod_KS"/>
      <sheetName val="Huruf_(9)"/>
      <sheetName val="rab-str-TAHAP_1-PC1"/>
      <sheetName val="BGT_07"/>
      <sheetName val="Isolasi_Luar_Dalam"/>
      <sheetName val="Daftar_Upah,Bhn,&amp;_alat"/>
      <sheetName val="T-3_2_UP_Material"/>
      <sheetName val="S_BAHAN"/>
      <sheetName val="DATA_PROYEK"/>
      <sheetName val="Strand_PDMR1"/>
      <sheetName val="Post_tension_PDMR1"/>
      <sheetName val="Rokan_1"/>
      <sheetName val="Jml_HRG-ALT-04"/>
      <sheetName val="CCO_ALT-04"/>
      <sheetName val="Rekap_"/>
      <sheetName val="UNIT_PRICE"/>
      <sheetName val="H_DASAR"/>
      <sheetName val="SEWA_ALT"/>
      <sheetName val="V___REKAP_TOTAL_-_MEP"/>
      <sheetName val="REKAP_-_SITEPLAN"/>
      <sheetName val="REKAP_UTILITAS"/>
      <sheetName val="REKAP_GEDUNG"/>
      <sheetName val="REKAP_-_POS_JAGA"/>
      <sheetName val="RELOKASI_-_EXISTING"/>
      <sheetName val="V___1_MEKANIKAL_-_SITEPLAN"/>
      <sheetName val="V___2_ELEKTRIKAL_-_SITEPLAN"/>
      <sheetName val="_V___1_MEKANIKAL_-_UTILITAS"/>
      <sheetName val="_V___2_ELEKTRIKAL_-_UTILITAS_"/>
      <sheetName val="V_1__MEKANIKAL_-_GDG"/>
      <sheetName val="V_2_1__ELEKTRIKAL_GDG_"/>
      <sheetName val="Analisa_Harga_Inst__Penerangan"/>
      <sheetName val="RUMUS_BTL"/>
      <sheetName val="an__struktur"/>
      <sheetName val="BOQ_Mainroad_IIA"/>
      <sheetName val="Report_detil_kondisi"/>
      <sheetName val="detil_kondisi"/>
      <sheetName val="ANALISA_BARU_40_M"/>
      <sheetName val="ANALISA_OKE"/>
      <sheetName val="Alat_Berat"/>
      <sheetName val="Rekap_BQ"/>
      <sheetName val="JARINGAN_DATA"/>
      <sheetName val="MASTER_CLOCK"/>
      <sheetName val="IP_PABX"/>
      <sheetName val="TATA_SUARA"/>
      <sheetName val="10_1_(1)"/>
      <sheetName val="10_1_(2)"/>
      <sheetName val="10_1_(3)"/>
      <sheetName val="10_1_(4)"/>
      <sheetName val="10_1_(5)"/>
      <sheetName val="ANAL_2_1"/>
      <sheetName val="LAMP_2_2"/>
      <sheetName val="Hrg Bhn &amp; Upah"/>
      <sheetName val="H_Satuan7"/>
      <sheetName val="Jam_Alat6"/>
      <sheetName val="Vol_Lining6"/>
      <sheetName val="Vol_K_2256"/>
      <sheetName val="Analisa_&amp;_Upah5"/>
      <sheetName val="Analisa_Harga5"/>
      <sheetName val="struktur_tdk_dipakai5"/>
      <sheetName val="D_BOARD_LAMA5"/>
      <sheetName val="RAB_Arsitek5"/>
      <sheetName val="FORM_X_COST5"/>
      <sheetName val="Bill_5_Summary5"/>
      <sheetName val="BQ_ME5"/>
      <sheetName val="Bill_2_Summary5"/>
      <sheetName val="Agregat_Halus_&amp;_Kasar5"/>
      <sheetName val="Upah_&amp;_Bahan5"/>
      <sheetName val="data_Masjid_Ksrn5"/>
      <sheetName val="RAB_Interior5"/>
      <sheetName val="Pipa_2004"/>
      <sheetName val="HARSAT_BAHAN5"/>
      <sheetName val="Bill_4_Summary5"/>
      <sheetName val="Bill_3_Summary5"/>
      <sheetName val="Unit_Rate5"/>
      <sheetName val="F_3-85"/>
      <sheetName val="Daf_Harga5"/>
      <sheetName val="An__Harga5"/>
      <sheetName val="Harsat_Upah5"/>
      <sheetName val="Harsat_Pekerjaan5"/>
      <sheetName val="HARGA_MATERIAL5"/>
      <sheetName val="D_1_75"/>
      <sheetName val="D_2_35"/>
      <sheetName val="B_T5"/>
      <sheetName val="Analisa_24"/>
      <sheetName val="D_1_55"/>
      <sheetName val="D_2_25"/>
      <sheetName val="Analisa_Upah_&amp;_Bahan_Plum5"/>
      <sheetName val="Als_Struk5"/>
      <sheetName val="Cash_Flow_bulanan5"/>
      <sheetName val="Cover_Daf-25"/>
      <sheetName val="HARGA_ALAT5"/>
      <sheetName val="Bill_2_4_10"/>
      <sheetName val="Daftar_Harga5"/>
      <sheetName val="Daftar_Upah5"/>
      <sheetName val="ANALISA_GRS_TENGAH5"/>
      <sheetName val="harga_bahan5"/>
      <sheetName val="harga_upah5"/>
      <sheetName val="Perhit_Alat4"/>
      <sheetName val="rab-str_Adm5"/>
      <sheetName val="R_A_B4"/>
      <sheetName val="Sat_Bahan5"/>
      <sheetName val="Sat_Alat5"/>
      <sheetName val="Sat_Upah5"/>
      <sheetName val="Economic_Assumptions4"/>
      <sheetName val="Urai__Resap_pengikat4"/>
      <sheetName val="PRD_01-75"/>
      <sheetName val="PRD_01-85"/>
      <sheetName val="PRD_01-115"/>
      <sheetName val="PRD_01-105"/>
      <sheetName val="_Harsat_Baru5"/>
      <sheetName val="Rab_Struktur5"/>
      <sheetName val="perhitungan_indeks5"/>
      <sheetName val="Bangunan_Utama5"/>
      <sheetName val="Analisa___Upah5"/>
      <sheetName val="GD_145"/>
      <sheetName val="Bill_2_4_11"/>
      <sheetName val="ANALISA_PEK_UMUM4"/>
      <sheetName val="Fill_this_out_first___4"/>
      <sheetName val="Harga_Satuan4"/>
      <sheetName val="3_Mob4"/>
      <sheetName val="DCF_SD_JUNI_044"/>
      <sheetName val="Perhitungan_Besi4"/>
      <sheetName val="Data_Ktr_Bupati_Tapsel4"/>
      <sheetName val="Anl_Sipil4"/>
      <sheetName val="Analisa_SNI5"/>
      <sheetName val="BQ_4"/>
      <sheetName val="Analisa_Harga_Satuan4"/>
      <sheetName val="Hit_Vol_Str_Jambi4"/>
      <sheetName val="Analisa_Quarry4"/>
      <sheetName val="Daft_Kuantitas4"/>
      <sheetName val="ANALISA_ALAT_BERAT4"/>
      <sheetName val="Analisa_HSP4"/>
      <sheetName val="Analisa_Gabungan4"/>
      <sheetName val="Accept__Letter2"/>
      <sheetName val="Alat_&amp;_Bahan4"/>
      <sheetName val="TE_TS_FA_LAN_MATV4"/>
      <sheetName val="Upah_dan_Bahan4"/>
      <sheetName val="BILL_15"/>
      <sheetName val="610_07A4"/>
      <sheetName val="HARDAS_PERKIM_24"/>
      <sheetName val="Bill_of_Qty4"/>
      <sheetName val="Bill_rekap4"/>
      <sheetName val="DIV_14"/>
      <sheetName val="Sis_Hidrol4"/>
      <sheetName val="Brk_Dwn_Sipil4"/>
      <sheetName val="Pipa_10_mm4"/>
      <sheetName val="Pipa_8_mm4"/>
      <sheetName val="Pipa_Fiber4"/>
      <sheetName val="Pipa_PE4"/>
      <sheetName val="Rekap_Tot4"/>
      <sheetName val="REKAP_ANALISA_SESUAI_PU4"/>
      <sheetName val="ANALISA_STRUKTUR_4"/>
      <sheetName val="REKAP_ANALISA_TO_PRINT4"/>
      <sheetName val="TP_ALAT4"/>
      <sheetName val="RPP01_64"/>
      <sheetName val="UPAH_BAHAN_ARST4"/>
      <sheetName val="met_bab34"/>
      <sheetName val="anal_bab84"/>
      <sheetName val="Rekap_Direct_Cost4"/>
      <sheetName val="Analisa_0214"/>
      <sheetName val="progres_sub_unv4"/>
      <sheetName val="Calcu_024"/>
      <sheetName val="COST_TOGO4"/>
      <sheetName val="D_BOARD4"/>
      <sheetName val="ANS_STR4"/>
      <sheetName val="HARGA_BAHAN_UPAH4"/>
      <sheetName val="REKAP_A_BESAR4"/>
      <sheetName val="II_1_STR_GED_A4"/>
      <sheetName val="Ans_Kom_Precast4"/>
      <sheetName val="Analisa_STR4"/>
      <sheetName val="Rekap_Anal4"/>
      <sheetName val="Harga_Satuan_(T_P_)4"/>
      <sheetName val="Analisa_HSP_(T_P_)4"/>
      <sheetName val="BILL_OF_QUANTITY4"/>
      <sheetName val="_R_A_B4"/>
      <sheetName val="Hrg_Bhn_(2)4"/>
      <sheetName val="H_SAT4"/>
      <sheetName val="Bor_Pile4"/>
      <sheetName val="ANALISA_SM4"/>
      <sheetName val="Based_KV,_palembang_&amp;_KJI4"/>
      <sheetName val="RAB_AR&amp;STR2"/>
      <sheetName val="daf_harga_(reil)4"/>
      <sheetName val="_Biaya_alat_jam_(reil)4"/>
      <sheetName val="_Biaya_alat_jam4"/>
      <sheetName val="Sat__Pek_2"/>
      <sheetName val="2__MVAC_R12"/>
      <sheetName val="Mat_Elk3"/>
      <sheetName val="Mat_Mek3"/>
      <sheetName val="AHS_Isolasi3"/>
      <sheetName val="B_as4"/>
      <sheetName val="penawaran_baja4"/>
      <sheetName val="Pos_4-14"/>
      <sheetName val="Str_BT2"/>
      <sheetName val="STR_PODIUM2"/>
      <sheetName val="STR_PODIUM_(2)2"/>
      <sheetName val="REKAP_STR2"/>
      <sheetName val="REKAP_ME_CSPL2"/>
      <sheetName val="RAB_ME3"/>
      <sheetName val="sheet_23"/>
      <sheetName val="H_Sat_Jembatan4"/>
      <sheetName val="IDLE_ALAT2"/>
      <sheetName val="Grading_Tahap_12"/>
      <sheetName val="An_Struktur3"/>
      <sheetName val="Unit_Rate_(2)3"/>
      <sheetName val="R__Upah2"/>
      <sheetName val="R__Bahan2"/>
      <sheetName val="R__Alat2"/>
      <sheetName val="R__Subkont2"/>
      <sheetName val="Analis_harga2"/>
      <sheetName val="Det_Str_BT2"/>
      <sheetName val="BERAT_TUL_2"/>
      <sheetName val="14_jalan&amp;saluran2"/>
      <sheetName val="BAHAN_(2)2"/>
      <sheetName val="Bantuan_Entry2"/>
      <sheetName val="A_1_Persiapan_non_std2"/>
      <sheetName val="Ana__PU2"/>
      <sheetName val="Owning_cost_Alat2"/>
      <sheetName val="o_rekap#42"/>
      <sheetName val="dongia_(2)2"/>
      <sheetName val="DON_GIA2"/>
      <sheetName val="THPDMoi__(2)2"/>
      <sheetName val="CHITIET_VL-NC2"/>
      <sheetName val="CHITIET_VL-NC-TT_-1p2"/>
      <sheetName val="TH_XL2"/>
      <sheetName val="CHITIET_VL-NC-TT-3p2"/>
      <sheetName val="t-h_HA_THE2"/>
      <sheetName val="TONGKE3p_2"/>
      <sheetName val="Rekap__ME2"/>
      <sheetName val="dongia__2_2"/>
      <sheetName val="THPDMoi___2_2"/>
      <sheetName val="TONG_HOP_VL_NC2"/>
      <sheetName val="TH_VL__NC__DDHT_Thanhphuoc2"/>
      <sheetName val="t_h_HA_THE2"/>
      <sheetName val="CHITIET_VL_NC_TT__1p2"/>
      <sheetName val="TONG_HOP_VL_NC_TT2"/>
      <sheetName val="CHITIET_VL_NC2"/>
      <sheetName val="CHITIET_VL_NC_TT_3p2"/>
      <sheetName val="KPVC_BD_2"/>
      <sheetName val="Prog_Imbalan2"/>
      <sheetName val="Balok_L_22"/>
      <sheetName val="Spec_ME2"/>
      <sheetName val="anal_SNI2"/>
      <sheetName val="1_Cover2"/>
      <sheetName val="Anals_12"/>
      <sheetName val="rap_rinci2"/>
      <sheetName val="Analisa_Mob__32"/>
      <sheetName val="Analisa_Mob_12"/>
      <sheetName val="Analisa_Alat2"/>
      <sheetName val="RAB_(A)_(2)2"/>
      <sheetName val="DATA_BASE2"/>
      <sheetName val="REG_TOTAL2"/>
      <sheetName val="XLS_Avg_Rev2"/>
      <sheetName val="Bill_22"/>
      <sheetName val="Bill_32"/>
      <sheetName val="Bill_42"/>
      <sheetName val="Bill_52"/>
      <sheetName val="Bill_62"/>
      <sheetName val="Bill_72"/>
      <sheetName val="MASTER_12"/>
      <sheetName val="Galian_12"/>
      <sheetName val="Peralatan_(2)2"/>
      <sheetName val="Daftar_Sewa2"/>
      <sheetName val="Analisa_(ok_punya)2"/>
      <sheetName val="Rekap_Vol2"/>
      <sheetName val="BT_KALI2"/>
      <sheetName val="REK_ADD2"/>
      <sheetName val="M_Pekerjaan2"/>
      <sheetName val="QSS_Building2"/>
      <sheetName val="Unit_Cost2"/>
      <sheetName val="pas_wm2"/>
      <sheetName val="Daft_Sewa_Alat2"/>
      <sheetName val="Upah_Bhn2"/>
      <sheetName val="SCHEDULE_2"/>
      <sheetName val="SH_breakdown2"/>
      <sheetName val="RAB_-12"/>
      <sheetName val="B_Penunjang2"/>
      <sheetName val="S_roomToyota2"/>
      <sheetName val="H__Dasar2"/>
      <sheetName val="BAR_SCREEN2"/>
      <sheetName val="Analisa_Baku_STR_ARS2"/>
      <sheetName val="Analisa_ME_2"/>
      <sheetName val="hit_BKMM3"/>
      <sheetName val="LDA_LTW2"/>
      <sheetName val="DIV_INC2"/>
      <sheetName val="DCF_32"/>
      <sheetName val="EQ__IRR2"/>
      <sheetName val="Debt_Return_Analy2"/>
      <sheetName val="Rekap_M&amp;E_ADD1_R2"/>
      <sheetName val="harga_ANALISA2"/>
      <sheetName val="ANALISA_GEDUNG2"/>
      <sheetName val="ANALISA_ME2"/>
      <sheetName val="H_SAT-PRK2"/>
      <sheetName val="Analisa_(2)2"/>
      <sheetName val="610_042"/>
      <sheetName val="610_052"/>
      <sheetName val="610_062"/>
      <sheetName val="610_072"/>
      <sheetName val="610_082"/>
      <sheetName val="Rekap_Bill2"/>
      <sheetName val="Balance_sheet2"/>
      <sheetName val="AHS_-_Riel2"/>
      <sheetName val="Urugan_Pasir2"/>
      <sheetName val="Sat_Pekerjaan2"/>
      <sheetName val="POINT_SCHEDULE2"/>
      <sheetName val="_2"/>
      <sheetName val="4-Basic_Price2"/>
      <sheetName val="Option_List"/>
      <sheetName val="Breakdown_ACS_(Actual)"/>
      <sheetName val="Breakdown_ACS_(Contract)"/>
      <sheetName val="Data_Alat"/>
      <sheetName val="D3_4_4"/>
      <sheetName val="PIPE&amp;ACCESORRIES_(3)"/>
      <sheetName val="DAF_HRG"/>
      <sheetName val="Particular_Sch"/>
      <sheetName val="Man_Power"/>
      <sheetName val="DOORS_&amp;WINDOWS"/>
      <sheetName val="BQ-1A_prelim"/>
      <sheetName val="_Columns"/>
      <sheetName val="Final_Summary"/>
      <sheetName val="BREAKDOWN_2"/>
      <sheetName val="CISI_INJ_FITTING"/>
      <sheetName val="Realisasi_Mingguan"/>
      <sheetName val="Realisasi_Harian"/>
      <sheetName val="Rencana_Harian"/>
      <sheetName val="Rencana_Mingguan"/>
      <sheetName val="Dump_Truck"/>
      <sheetName val="Tuki_1"/>
      <sheetName val="Tuki_2"/>
      <sheetName val="Tuki_3"/>
      <sheetName val="Tuki_4"/>
      <sheetName val="Tuki_5"/>
      <sheetName val="Tuki_6"/>
      <sheetName val="Tuki_7"/>
      <sheetName val="Tuki_8"/>
      <sheetName val="Besi_Tuka"/>
      <sheetName val="HSU_2016"/>
      <sheetName val="Pay_Items"/>
      <sheetName val="C_&amp;_G_RHS"/>
      <sheetName val="13mm_E_P_"/>
      <sheetName val="20mm(E_P)"/>
      <sheetName val="20mm(StaircaseP_P)"/>
      <sheetName val="13mm_P_P"/>
      <sheetName val="analisa_STRUKTUR"/>
      <sheetName val="Sat_Das"/>
      <sheetName val="Divisi_10_(2)"/>
      <sheetName val="LPH_1"/>
      <sheetName val="MEApart_1"/>
      <sheetName val="MEApart_2"/>
      <sheetName val="_PE-F-42_MR_9_Manpower"/>
      <sheetName val="Pek__Tanah"/>
      <sheetName val="Pek__Pondasi"/>
      <sheetName val="Pek__Dinding"/>
      <sheetName val="Pek__Plesteran"/>
      <sheetName val="Pek__Kayu"/>
      <sheetName val="Pek__Beton"/>
      <sheetName val="Pek__Penutup_Atap"/>
      <sheetName val="Pek__Langit-langit"/>
      <sheetName val="Pek__Sanitasi"/>
      <sheetName val="Pek__Besi_&amp;_Alumunium"/>
      <sheetName val="Pek__Kunci_&amp;_Kaca"/>
      <sheetName val="Pek__Penutup_Lantai_&amp;_dinding"/>
      <sheetName val="Pek__Pengecatan"/>
      <sheetName val="Master Schedule"/>
      <sheetName val="EI (3-)"/>
      <sheetName val="dft-harga"/>
      <sheetName val="BTL-Persiapan"/>
      <sheetName val="BTL-Bau"/>
      <sheetName val="BTL-alat"/>
      <sheetName val="BTL-Rupa"/>
      <sheetName val="DAFTAR 7"/>
      <sheetName val="DAFTAR_8"/>
      <sheetName val="HARGA SATUAN UPAH PEKERJA"/>
      <sheetName val="Daftar Harga Material"/>
      <sheetName val="EVALUASI 64"/>
      <sheetName val="MARGIN"/>
      <sheetName val="RestGal_C"/>
      <sheetName val="Stressing bed"/>
      <sheetName val="TUNJUK_JASA"/>
      <sheetName val="2__PEMBUKAAN"/>
      <sheetName val="4_0_RESUM_KEWAJ_HARGA"/>
      <sheetName val="meth_hsl_nego"/>
      <sheetName val="A_Card"/>
      <sheetName val="D_Kamar"/>
      <sheetName val="Customize_Your_Purchase_Order"/>
      <sheetName val="CAB_2"/>
      <sheetName val="Rekap_Gab"/>
      <sheetName val="S-Curve_(2017)"/>
      <sheetName val="Data_Keu"/>
      <sheetName val="Sch_Tender"/>
      <sheetName val="BQ_OE"/>
      <sheetName val="2_1_1_1_MOBILISASI"/>
      <sheetName val="2_1_1_PEK__PERSIAPAN"/>
      <sheetName val="2_2_1_TANAH"/>
      <sheetName val="4_1_1_BETON"/>
      <sheetName val="4_2_1_BESI_&amp;_ALUMINIUM"/>
      <sheetName val="4_4_1_DINDING_PASANGAN"/>
      <sheetName val="4_4_2_PLESTERAN"/>
      <sheetName val="4_4_3_PENUTUP_LANTAI_&amp;_DINDING"/>
      <sheetName val="4_5_1_PLAFOND"/>
      <sheetName val="4_5_2_ATAP"/>
      <sheetName val="4_7_1_CAT"/>
      <sheetName val="5_1_1_SANITASI_GEDUNG"/>
      <sheetName val="GP_M_Tump"/>
      <sheetName val="E_work"/>
      <sheetName val="R_wall"/>
      <sheetName val="H_Satuan8"/>
      <sheetName val="Jam_Alat7"/>
      <sheetName val="Vol_Lining7"/>
      <sheetName val="Vol_K_2257"/>
      <sheetName val="Analisa_&amp;_Upah6"/>
      <sheetName val="Analisa_Harga6"/>
      <sheetName val="struktur_tdk_dipakai6"/>
      <sheetName val="D_BOARD_LAMA6"/>
      <sheetName val="Hrg_Bhn5"/>
      <sheetName val="RAB_Arsitek6"/>
      <sheetName val="FORM_X_COST6"/>
      <sheetName val="Bill_5_Summary6"/>
      <sheetName val="BQ_ME6"/>
      <sheetName val="Bill_2_Summary6"/>
      <sheetName val="Agregat_Halus_&amp;_Kasar6"/>
      <sheetName val="Upah_&amp;_Bahan6"/>
      <sheetName val="data_Masjid_Ksrn6"/>
      <sheetName val="RAB_Interior6"/>
      <sheetName val="Pipa_2005"/>
      <sheetName val="HARSAT_BAHAN6"/>
      <sheetName val="Bill_4_Summary6"/>
      <sheetName val="Bill_3_Summary6"/>
      <sheetName val="Unit_Rate6"/>
      <sheetName val="F_3-86"/>
      <sheetName val="Daf_Harga6"/>
      <sheetName val="An__Harga6"/>
      <sheetName val="Harsat_Upah6"/>
      <sheetName val="Harsat_Pekerjaan6"/>
      <sheetName val="HARGA_MATERIAL6"/>
      <sheetName val="D_1_76"/>
      <sheetName val="D_2_36"/>
      <sheetName val="B_T6"/>
      <sheetName val="Analisa_25"/>
      <sheetName val="D_1_56"/>
      <sheetName val="D_2_26"/>
      <sheetName val="Analisa_Upah_&amp;_Bahan_Plum6"/>
      <sheetName val="Als_Struk6"/>
      <sheetName val="Cash_Flow_bulanan6"/>
      <sheetName val="Cover_Daf-26"/>
      <sheetName val="HARGA_ALAT6"/>
      <sheetName val="Bill_2_4_12"/>
      <sheetName val="Daftar_Harga6"/>
      <sheetName val="Daftar_Upah6"/>
      <sheetName val="ANALISA_GRS_TENGAH6"/>
      <sheetName val="harga_bahan6"/>
      <sheetName val="harga_upah6"/>
      <sheetName val="Perhit_Alat5"/>
      <sheetName val="rab-str_Adm6"/>
      <sheetName val="R_A_B5"/>
      <sheetName val="Sat_Bahan6"/>
      <sheetName val="Sat_Alat6"/>
      <sheetName val="Sat_Upah6"/>
      <sheetName val="Economic_Assumptions5"/>
      <sheetName val="Urai__Resap_pengikat5"/>
      <sheetName val="PRD_01-76"/>
      <sheetName val="PRD_01-86"/>
      <sheetName val="PRD_01-116"/>
      <sheetName val="PRD_01-106"/>
      <sheetName val="_Harsat_Baru6"/>
      <sheetName val="Rab_Struktur6"/>
      <sheetName val="perhitungan_indeks6"/>
      <sheetName val="Bangunan_Utama6"/>
      <sheetName val="Analisa___Upah6"/>
      <sheetName val="GD_146"/>
      <sheetName val="Bill_2_4_13"/>
      <sheetName val="ANALISA_PEK_UMUM5"/>
      <sheetName val="Fill_this_out_first___5"/>
      <sheetName val="Harga_Satuan5"/>
      <sheetName val="3_Mob5"/>
      <sheetName val="DCF_SD_JUNI_045"/>
      <sheetName val="Perhitungan_Besi5"/>
      <sheetName val="HB_5"/>
      <sheetName val="Data_Ktr_Bupati_Tapsel5"/>
      <sheetName val="Anl_Sipil5"/>
      <sheetName val="Analisa_SNI6"/>
      <sheetName val="BQ_5"/>
      <sheetName val="Alat_&amp;_Bahan5"/>
      <sheetName val="Analisa_HSP5"/>
      <sheetName val="Upah_dan_Bahan5"/>
      <sheetName val="Analisa_Gabungan5"/>
      <sheetName val="BILL_16"/>
      <sheetName val="Analisa_Harga_Satuan5"/>
      <sheetName val="Hit_Vol_Str_Jambi5"/>
      <sheetName val="610_07A5"/>
      <sheetName val="Bill_of_Qty5"/>
      <sheetName val="Bill_rekap5"/>
      <sheetName val="Daft_Kuantitas5"/>
      <sheetName val="ANALISA_ALAT_BERAT5"/>
      <sheetName val="HARDAS_PERKIM_25"/>
      <sheetName val="RPP01_65"/>
      <sheetName val="UPAH_BAHAN_ARST5"/>
      <sheetName val="met_bab35"/>
      <sheetName val="anal_bab85"/>
      <sheetName val="Analisa_Quarry5"/>
      <sheetName val="Accept__Letter3"/>
      <sheetName val="TE_TS_FA_LAN_MATV5"/>
      <sheetName val="DIV_15"/>
      <sheetName val="Sis_Hidrol5"/>
      <sheetName val="Brk_Dwn_Sipil5"/>
      <sheetName val="Pipa_10_mm5"/>
      <sheetName val="Pipa_8_mm5"/>
      <sheetName val="Pipa_Fiber5"/>
      <sheetName val="Pipa_PE5"/>
      <sheetName val="Rekap_Tot5"/>
      <sheetName val="REKAP_ANALISA_SESUAI_PU5"/>
      <sheetName val="ANALISA_STRUKTUR_5"/>
      <sheetName val="REKAP_ANALISA_TO_PRINT5"/>
      <sheetName val="TP_ALAT5"/>
      <sheetName val="Rekap_Direct_Cost5"/>
      <sheetName val="Analisa_0215"/>
      <sheetName val="progres_sub_unv5"/>
      <sheetName val="BINA_GRAFINDO3"/>
      <sheetName val="BINA_MITRA_3"/>
      <sheetName val="DAOUD_MATULA3"/>
      <sheetName val="MAHRUM_NISA3"/>
      <sheetName val="RUDI_SAIFIN3"/>
      <sheetName val="Calcu_025"/>
      <sheetName val="COST_TOGO5"/>
      <sheetName val="D_BOARD5"/>
      <sheetName val="ANS_STR5"/>
      <sheetName val="HARGA_BAHAN_UPAH5"/>
      <sheetName val="REKAP_A_BESAR5"/>
      <sheetName val="II_1_STR_GED_A5"/>
      <sheetName val="Ans_Kom_Precast5"/>
      <sheetName val="Analisa_STR5"/>
      <sheetName val="An_H_Sat_Pek_Ut3"/>
      <sheetName val="daf_harga_(reil)5"/>
      <sheetName val="_Biaya_alat_jam_(reil)5"/>
      <sheetName val="_Biaya_alat_jam5"/>
      <sheetName val="Rekap_Anal5"/>
      <sheetName val="Harga_Satuan_(T_P_)5"/>
      <sheetName val="Analisa_HSP_(T_P_)5"/>
      <sheetName val="BILL_OF_QUANTITY5"/>
      <sheetName val="_R_A_B5"/>
      <sheetName val="Hrg_Bhn_(2)5"/>
      <sheetName val="H_SAT5"/>
      <sheetName val="Bor_Pile5"/>
      <sheetName val="ANALISA_SM5"/>
      <sheetName val="Based_KV,_palembang_&amp;_KJI5"/>
      <sheetName val="RAB_AR&amp;STR3"/>
      <sheetName val="Sat__Pek_3"/>
      <sheetName val="2__MVAC_R13"/>
      <sheetName val="Mat_Elk4"/>
      <sheetName val="Mat_Mek4"/>
      <sheetName val="AHS_Isolasi4"/>
      <sheetName val="B_as5"/>
      <sheetName val="penawaran_baja5"/>
      <sheetName val="Pos_4-15"/>
      <sheetName val="Str_BT3"/>
      <sheetName val="STR_PODIUM3"/>
      <sheetName val="STR_PODIUM_(2)3"/>
      <sheetName val="REKAP_STR3"/>
      <sheetName val="REKAP_ME_CSPL3"/>
      <sheetName val="RAB_ME4"/>
      <sheetName val="sheet_24"/>
      <sheetName val="H_Sat_Jembatan5"/>
      <sheetName val="IDLE_ALAT3"/>
      <sheetName val="Ana_PasBatu_7_43"/>
      <sheetName val="Grading_Tahap_13"/>
      <sheetName val="DEPRE_053"/>
      <sheetName val="River_Protect3"/>
      <sheetName val="An_Struktur4"/>
      <sheetName val="Unit_Rate_(2)4"/>
      <sheetName val="Bantuan_Entry3"/>
      <sheetName val="Sec_I_ML3"/>
      <sheetName val="A_1_Persiapan_non_std3"/>
      <sheetName val="ANALISA_SNI'07(ubh_bgsting)3"/>
      <sheetName val="Ana__PU3"/>
      <sheetName val="Owning_cost_Alat3"/>
      <sheetName val="o_rekap#43"/>
      <sheetName val="dongia_(2)3"/>
      <sheetName val="DON_GIA3"/>
      <sheetName val="THPDMoi__(2)3"/>
      <sheetName val="CHITIET_VL-NC3"/>
      <sheetName val="CHITIET_VL-NC-TT_-1p3"/>
      <sheetName val="TH_XL3"/>
      <sheetName val="CHITIET_VL-NC-TT-3p3"/>
      <sheetName val="t-h_HA_THE3"/>
      <sheetName val="TONGKE3p_3"/>
      <sheetName val="Rekap__ME3"/>
      <sheetName val="Input_Data3"/>
      <sheetName val="R__Upah3"/>
      <sheetName val="R__Bahan3"/>
      <sheetName val="R__Alat3"/>
      <sheetName val="R__Subkont3"/>
      <sheetName val="7_ASAT3"/>
      <sheetName val="7_DATA3"/>
      <sheetName val="5_RBKI3"/>
      <sheetName val="6_RBKA3"/>
      <sheetName val="Analis_harga3"/>
      <sheetName val="dongia__2_3"/>
      <sheetName val="THPDMoi___2_3"/>
      <sheetName val="TONG_HOP_VL_NC3"/>
      <sheetName val="TH_VL__NC__DDHT_Thanhphuoc3"/>
      <sheetName val="t_h_HA_THE3"/>
      <sheetName val="CHITIET_VL_NC_TT__1p3"/>
      <sheetName val="TONG_HOP_VL_NC_TT3"/>
      <sheetName val="CHITIET_VL_NC3"/>
      <sheetName val="CHITIET_VL_NC_TT_3p3"/>
      <sheetName val="KPVC_BD_3"/>
      <sheetName val="tabel_berat3"/>
      <sheetName val="Prog_Imbalan3"/>
      <sheetName val="Det_Str_BT3"/>
      <sheetName val="BERAT_TUL_3"/>
      <sheetName val="14_jalan&amp;saluran3"/>
      <sheetName val="BAHAN_(2)3"/>
      <sheetName val="Balok_L_23"/>
      <sheetName val="Spec_ME3"/>
      <sheetName val="anal_SNI3"/>
      <sheetName val="1_Cover3"/>
      <sheetName val="Anals_13"/>
      <sheetName val="rap_rinci3"/>
      <sheetName val="Analisa_Mob__33"/>
      <sheetName val="Analisa_Mob_13"/>
      <sheetName val="Analisa_Alat3"/>
      <sheetName val="RAB_(A)_(2)3"/>
      <sheetName val="DATA_BASE3"/>
      <sheetName val="XLS_Avg_Rev3"/>
      <sheetName val="Rekap_Vol3"/>
      <sheetName val="QSS_Building3"/>
      <sheetName val="Unit_Cost3"/>
      <sheetName val="Daft_Sewa_Alat3"/>
      <sheetName val="Upah_Bhn3"/>
      <sheetName val="REG_TOTAL3"/>
      <sheetName val="Bill_23"/>
      <sheetName val="Bill_33"/>
      <sheetName val="Bill_43"/>
      <sheetName val="Bill_53"/>
      <sheetName val="Bill_63"/>
      <sheetName val="Bill_73"/>
      <sheetName val="MASTER_13"/>
      <sheetName val="Galian_13"/>
      <sheetName val="Peralatan_(2)3"/>
      <sheetName val="Daftar_Sewa3"/>
      <sheetName val="Analisa_(ok_punya)3"/>
      <sheetName val="BT_KALI3"/>
      <sheetName val="REK_ADD3"/>
      <sheetName val="M_Pekerjaan3"/>
      <sheetName val="pas_wm3"/>
      <sheetName val="SCHEDULE_3"/>
      <sheetName val="SH_breakdown3"/>
      <sheetName val="RAB_-13"/>
      <sheetName val="B_Penunjang3"/>
      <sheetName val="S_roomToyota3"/>
      <sheetName val="H__Dasar3"/>
      <sheetName val="BAR_SCREEN3"/>
      <sheetName val="Analisa_Baku_STR_ARS3"/>
      <sheetName val="Analisa_ME_3"/>
      <sheetName val="hit_BKMM4"/>
      <sheetName val="LDA_LTW3"/>
      <sheetName val="DIV_INC3"/>
      <sheetName val="DCF_33"/>
      <sheetName val="EQ__IRR3"/>
      <sheetName val="Debt_Return_Analy3"/>
      <sheetName val="Rekap_M&amp;E_ADD1_R3"/>
      <sheetName val="harga_ANALISA3"/>
      <sheetName val="ANALISA_GEDUNG3"/>
      <sheetName val="ANALISA_ME3"/>
      <sheetName val="H_SAT-PRK3"/>
      <sheetName val="Analisa_(2)3"/>
      <sheetName val="610_043"/>
      <sheetName val="610_053"/>
      <sheetName val="610_063"/>
      <sheetName val="610_073"/>
      <sheetName val="610_083"/>
      <sheetName val="Breakdown_ACS_(Actual)1"/>
      <sheetName val="Breakdown_ACS_(Contract)1"/>
      <sheetName val="Rekap_11"/>
      <sheetName val="POINT_SCHEDULE3"/>
      <sheetName val="rek_det_1-31"/>
      <sheetName val="Currency_Rate1"/>
      <sheetName val="Basic_Price1"/>
      <sheetName val="H_Satuan_Dasar1"/>
      <sheetName val="Rekap_Bill3"/>
      <sheetName val="___1"/>
      <sheetName val="_3"/>
      <sheetName val="DIV_21"/>
      <sheetName val="Balance_sheet3"/>
      <sheetName val="hRG_Stn_Bhn,Uph,_perl1"/>
      <sheetName val="Data_Alat1"/>
      <sheetName val="HRG_BAHAN_&amp;_UPAH_okk1"/>
      <sheetName val="Analis_Kusen_okk1"/>
      <sheetName val="AHS_-_Riel3"/>
      <sheetName val="Cover_Daf_21"/>
      <sheetName val="D3_4_41"/>
      <sheetName val="PIPE&amp;ACCESORRIES_(3)1"/>
      <sheetName val="Urugan_Pasir3"/>
      <sheetName val="Sat_Pekerjaan3"/>
      <sheetName val="4-Basic_Price3"/>
      <sheetName val="Std-Prod_KS1"/>
      <sheetName val="Met__Minor1"/>
      <sheetName val="TUNJUK_JASA1"/>
      <sheetName val="2__PEMBUKAAN1"/>
      <sheetName val="4_0_RESUM_KEWAJ_HARGA1"/>
      <sheetName val="_Columns1"/>
      <sheetName val="meth_hsl_nego1"/>
      <sheetName val="IPAL_1_1"/>
      <sheetName val="PIPA_11"/>
      <sheetName val="rab-str-TAHAP_1-PC2"/>
      <sheetName val="ANALISA_BAHAN1"/>
      <sheetName val="Agg_Halus_&amp;_Kasar1"/>
      <sheetName val="LAL_-_PASAR_PAGI_1"/>
      <sheetName val="NP_(2)1"/>
      <sheetName val="Man_Power1"/>
      <sheetName val="Income_Statement-May_20041"/>
      <sheetName val="1__BQ1"/>
      <sheetName val="A_Card1"/>
      <sheetName val="D_Kamar1"/>
      <sheetName val="BOQ_Mainroad_IIA1"/>
      <sheetName val="RUMUS_BTL1"/>
      <sheetName val="Particular_Sch1"/>
      <sheetName val="CISI_INJ_FITTING1"/>
      <sheetName val="V___REKAP_TOTAL_-_MEP1"/>
      <sheetName val="REKAP_-_SITEPLAN1"/>
      <sheetName val="REKAP_UTILITAS1"/>
      <sheetName val="REKAP_GEDUNG1"/>
      <sheetName val="REKAP_-_POS_JAGA1"/>
      <sheetName val="RELOKASI_-_EXISTING1"/>
      <sheetName val="V___1_MEKANIKAL_-_SITEPLAN1"/>
      <sheetName val="V___2_ELEKTRIKAL_-_SITEPLAN1"/>
      <sheetName val="_V___1_MEKANIKAL_-_UTILITAS1"/>
      <sheetName val="_V___2_ELEKTRIKAL_-_UTILITAS_1"/>
      <sheetName val="V_1__MEKANIKAL_-_GDG1"/>
      <sheetName val="V_2_1__ELEKTRIKAL_GDG_1"/>
      <sheetName val="Analisa_Harga_Inst__Penerangan1"/>
      <sheetName val="Realisasi_Mingguan1"/>
      <sheetName val="Realisasi_Harian1"/>
      <sheetName val="Rencana_Harian1"/>
      <sheetName val="Rencana_Mingguan1"/>
      <sheetName val="Dump_Truck1"/>
      <sheetName val="Tuki_11"/>
      <sheetName val="Tuki_21"/>
      <sheetName val="Tuki_31"/>
      <sheetName val="Tuki_41"/>
      <sheetName val="Tuki_51"/>
      <sheetName val="Tuki_61"/>
      <sheetName val="Tuki_71"/>
      <sheetName val="Tuki_81"/>
      <sheetName val="Besi_Tuka1"/>
      <sheetName val="FORM_BQ_TL_PRATU_4cct1"/>
      <sheetName val="HSU_20161"/>
      <sheetName val="Option_List1"/>
      <sheetName val="Harga_S_Dasar_UNTUK_IDISI1"/>
      <sheetName val="Pay_Items1"/>
      <sheetName val="C_&amp;_G_RHS1"/>
      <sheetName val="13mm_E_P_1"/>
      <sheetName val="20mm(E_P)1"/>
      <sheetName val="20mm(StaircaseP_P)1"/>
      <sheetName val="13mm_P_P1"/>
      <sheetName val="ANALISA_OKE1"/>
      <sheetName val="Alat_Berat1"/>
      <sheetName val="DAF_HRG1"/>
      <sheetName val="an__struktur1"/>
      <sheetName val="DOORS_&amp;WINDOWS1"/>
      <sheetName val="BQ-1A_prelim1"/>
      <sheetName val="Final_Summary1"/>
      <sheetName val="BREAKDOWN_21"/>
      <sheetName val="Report_detil_kondisi1"/>
      <sheetName val="detil_kondisi1"/>
      <sheetName val="H_DASAR1"/>
      <sheetName val="analisa_STRUKTUR1"/>
      <sheetName val="Sat_Das1"/>
      <sheetName val="OP__ALAT1"/>
      <sheetName val="OP__PERJAM1"/>
      <sheetName val="B__PERSONIL1"/>
      <sheetName val="KAN__LOKAL1"/>
      <sheetName val="Rekap_AHSP1"/>
      <sheetName val="G_Grouting1"/>
      <sheetName val="H__INSTRUMEN_BAGONG1"/>
      <sheetName val="F__Jalan_&amp;_Jembatan1"/>
      <sheetName val="A__Persiapan1"/>
      <sheetName val="Divisi_10_(2)1"/>
      <sheetName val="LPH_11"/>
      <sheetName val="MEApart_11"/>
      <sheetName val="MEApart_21"/>
      <sheetName val="_PE-F-42_MR_9_Manpower1"/>
      <sheetName val="Pek__Tanah1"/>
      <sheetName val="Pek__Pondasi1"/>
      <sheetName val="Pek__Dinding1"/>
      <sheetName val="Pek__Plesteran1"/>
      <sheetName val="Pek__Kayu1"/>
      <sheetName val="Pek__Beton1"/>
      <sheetName val="Pek__Penutup_Atap1"/>
      <sheetName val="Pek__Langit-langit1"/>
      <sheetName val="Pek__Sanitasi1"/>
      <sheetName val="Pek__Besi_&amp;_Alumunium1"/>
      <sheetName val="Pek__Kunci_&amp;_Kaca1"/>
      <sheetName val="Pek__Penutup_Lantai_&amp;_dinding1"/>
      <sheetName val="Pek__Pengecatan1"/>
      <sheetName val="UNIT_PRICE1"/>
      <sheetName val="Customize_Your_Purchase_Order1"/>
      <sheetName val="SEWA_ALT1"/>
      <sheetName val="D-3_(M)1"/>
      <sheetName val="D-7_(M)1"/>
      <sheetName val="CAB_21"/>
      <sheetName val="Rekap_analis1"/>
      <sheetName val="Rekap_Gab1"/>
      <sheetName val="S-Curve_(2017)1"/>
      <sheetName val="Data_Keu1"/>
      <sheetName val="Sch_Tender1"/>
      <sheetName val="BQ_OE1"/>
      <sheetName val="2_1_1_1_MOBILISASI1"/>
      <sheetName val="2_1_1_PEK__PERSIAPAN1"/>
      <sheetName val="2_2_1_TANAH1"/>
      <sheetName val="4_1_1_BETON1"/>
      <sheetName val="4_2_1_BESI_&amp;_ALUMINIUM1"/>
      <sheetName val="4_4_1_DINDING_PASANGAN1"/>
      <sheetName val="4_4_2_PLESTERAN1"/>
      <sheetName val="4_4_3_PENUTUP_LANTAI_&amp;_DINDING1"/>
      <sheetName val="4_5_1_PLAFOND1"/>
      <sheetName val="4_5_2_ATAP1"/>
      <sheetName val="4_7_1_CAT1"/>
      <sheetName val="5_1_1_SANITASI_GEDUNG1"/>
      <sheetName val="10_1_(1)1"/>
      <sheetName val="10_1_(2)1"/>
      <sheetName val="10_1_(3)1"/>
      <sheetName val="10_1_(4)1"/>
      <sheetName val="10_1_(5)1"/>
      <sheetName val="GP_M_Tump1"/>
      <sheetName val="E_work1"/>
      <sheetName val="R_wall1"/>
      <sheetName val="BGT_071"/>
      <sheetName val="Isolasi_Luar_Dalam1"/>
      <sheetName val="Jln_akses"/>
      <sheetName val="tubuh_jln_Cbg-Tjs"/>
      <sheetName val="Rab_Sintel"/>
      <sheetName val="DED_Bjr-Cjl"/>
      <sheetName val="Lahan_+Tertib"/>
      <sheetName val="R_A_B_"/>
      <sheetName val="BAHAN_&amp;_ALAT"/>
      <sheetName val="XL4Poppy"/>
      <sheetName val="May"/>
      <sheetName val="JULI"/>
      <sheetName val="PL1"/>
      <sheetName val="PL2"/>
      <sheetName val="PL3"/>
      <sheetName val="PL4"/>
      <sheetName val="AHS Tipe A rev KMS"/>
      <sheetName val="AHS Tipe 1 Dormitor rev KMS"/>
      <sheetName val="Data PJ"/>
      <sheetName val="L2 Arit"/>
      <sheetName val="TPI"/>
      <sheetName val="Hargasatuan"/>
      <sheetName val="breakdown bq paket 9"/>
      <sheetName val="Prog. Mggu 1"/>
      <sheetName val="ADD II S Curve 123-126"/>
      <sheetName val="Basic Data"/>
      <sheetName val="perkerasan"/>
      <sheetName val="WF "/>
      <sheetName val="DIV 7"/>
      <sheetName val="DIV 3"/>
      <sheetName val="Biaya UK Prod"/>
      <sheetName val="AKP"/>
      <sheetName val="ANTEKNIK"/>
      <sheetName val="BY_Bank-12"/>
      <sheetName val="PP-8"/>
      <sheetName val="BY_TL-9"/>
      <sheetName val="BY_Upah-3"/>
      <sheetName val="TNG_TL-10"/>
      <sheetName val="RBP-1"/>
      <sheetName val="RBP-KP"/>
      <sheetName val="Analisa RAB"/>
      <sheetName val="Alat B"/>
      <sheetName val="Bahan B"/>
      <sheetName val="Upah B"/>
      <sheetName val="Lain-Lain"/>
      <sheetName val="Telusur"/>
      <sheetName val="BQ RAB"/>
      <sheetName val="THR"/>
      <sheetName val="ANALISA SNI'07rootsREV"/>
      <sheetName val="Analisa BOW 07"/>
      <sheetName val="HRGST"/>
      <sheetName val="Bill 2.1 Basement 41 "/>
      <sheetName val="DAF-4"/>
      <sheetName val="DAF-5"/>
      <sheetName val="iTEM hARSAT"/>
      <sheetName val="bahan 2004"/>
      <sheetName val="Harsat-Isal"/>
      <sheetName val="analisa stroke"/>
      <sheetName val="MT_an"/>
      <sheetName val="Alatt"/>
      <sheetName val="3a"/>
      <sheetName val="6b"/>
      <sheetName val="lab bahasa"/>
      <sheetName val="EARTH WORKS"/>
      <sheetName val="An Biaya Kons.Pek.Kayu &amp; Atap"/>
      <sheetName val="Harga-upah"/>
      <sheetName val="D+W"/>
      <sheetName val="UnitRate22"/>
      <sheetName val="Analisa Harga Satuan baru"/>
      <sheetName val="Analisa Galian Tanah Struktur"/>
      <sheetName val="BHN.Ars"/>
      <sheetName val="STD A OK"/>
      <sheetName val="NON STD A OK"/>
      <sheetName val="STND B"/>
      <sheetName val="NON STD ME"/>
      <sheetName val="POND"/>
      <sheetName val="NON STD B "/>
      <sheetName val="STD C"/>
      <sheetName val=" "/>
      <sheetName val="REKAP PL FF"/>
      <sheetName val="Time Schedule"/>
      <sheetName val="SUM ALL"/>
      <sheetName val="6100Ã"/>
      <sheetName val="6100_x0010_"/>
      <sheetName val="SCEDHULLE"/>
      <sheetName val="갑지"/>
      <sheetName val="UNTUNG RUGI"/>
      <sheetName val="DHSBU"/>
      <sheetName val="Lamp-4 Sat-Das"/>
      <sheetName val="SDI LASIANA"/>
      <sheetName val="2"/>
      <sheetName val="AnaAlat"/>
      <sheetName val="UPAH~K"/>
      <sheetName val="Jarak"/>
      <sheetName val="Time"/>
      <sheetName val="Bahan-Upah"/>
      <sheetName val="CCO.1"/>
      <sheetName val="analis EI"/>
      <sheetName val="RAB_KONTRAK"/>
      <sheetName val="TKDN"/>
      <sheetName val="RAPlenk"/>
      <sheetName val="Anl Print"/>
      <sheetName val="an.mek"/>
      <sheetName val="an.lstrk"/>
      <sheetName val="URO-URO"/>
      <sheetName val="GESER BALOK"/>
      <sheetName val="RINCIAN HAR06"/>
      <sheetName val="TYPICAL"/>
      <sheetName val="BEDAH"/>
      <sheetName val="Rekap Addendum"/>
      <sheetName val="Perkuatan F belanga"/>
      <sheetName val="BesiA1Cigentur"/>
      <sheetName val="Harga satuan sintel"/>
      <sheetName val="HARGA_DASAR3"/>
      <sheetName val="Harga_Bahan_Fabrikasi1"/>
      <sheetName val="Bahan_"/>
      <sheetName val="RAW_MATERIALS_"/>
      <sheetName val="7_공정표"/>
      <sheetName val="PRD_01-7_alat"/>
      <sheetName val="Lamp_2A_Ana_Sat_Mata_Pemb_Ut"/>
      <sheetName val="h90-160_(penebalan)"/>
      <sheetName val="Budget"/>
      <sheetName val="basic wages"/>
      <sheetName val="DAF-PEMB"/>
      <sheetName val="form"/>
      <sheetName val="ans"/>
      <sheetName val="BOQ_PAKET-1"/>
      <sheetName val="REKAP_PAKEI-1"/>
      <sheetName val="ANALISA BIAYA"/>
      <sheetName val="DAFTAR ISI"/>
      <sheetName val="skejul"/>
      <sheetName val="DASAR BAHAN"/>
      <sheetName val="HG SATUAN"/>
      <sheetName val="DAFTAR BAHAN"/>
      <sheetName val="Daf.Harga"/>
      <sheetName val="RAB JALUR TEMILING "/>
      <sheetName val="DATA ISIAN"/>
      <sheetName val="L20Keu"/>
      <sheetName val="TRANS"/>
      <sheetName val="Aggr"/>
      <sheetName val="Peralatan (Utama)"/>
      <sheetName val="Uraian"/>
      <sheetName val="Koefisien"/>
      <sheetName val="Dat"/>
      <sheetName val="ShPek"/>
      <sheetName val="anharga"/>
      <sheetName val="B.V.14"/>
      <sheetName val="Fill this out first___"/>
      <sheetName val="rab lt 2 bo"/>
      <sheetName val="B&amp;U"/>
      <sheetName val="ME UMY"/>
      <sheetName val="Rekap DBAK"/>
      <sheetName val="SATPEK PIPA"/>
      <sheetName val="PROCURE"/>
      <sheetName val="Type 54"/>
      <sheetName val="Gd-Alsus"/>
      <sheetName val="Mako SatBrimobda"/>
      <sheetName val="Type 130"/>
      <sheetName val="BQMP"/>
      <sheetName val="Eng_Hrs (HO)"/>
      <sheetName val="chiet tinh"/>
      <sheetName val="BAHAN 2012 (2)"/>
      <sheetName val="TS"/>
      <sheetName val="upahtenaga &amp; bahan"/>
      <sheetName val="HP"/>
      <sheetName val="B.U.A"/>
      <sheetName val="Cable Control"/>
      <sheetName val="Daftar Material dan alat"/>
      <sheetName val="PROD"/>
      <sheetName val="kepmenaker150"/>
      <sheetName val="TRF 150"/>
      <sheetName val="Pekerjaan_"/>
      <sheetName val="FINAL_SUM"/>
      <sheetName val="ANALISA_EL_DAN_ELC"/>
      <sheetName val="BQ_ARS"/>
      <sheetName val="Analisa_Tend"/>
      <sheetName val="BQ_&amp;_Harga"/>
      <sheetName val="97_사업추정(WEKI)"/>
      <sheetName val="Isolasi_Luar"/>
      <sheetName val="Vendor_Quot_(Exchanger)"/>
      <sheetName val="Buku_Besar_1"/>
      <sheetName val="RAB_OK!"/>
      <sheetName val="S_UPAH"/>
      <sheetName val="HIT-BALOK_"/>
      <sheetName val="Bahan+Upah_ALL"/>
      <sheetName val="REKAP_ME"/>
      <sheetName val="AHSATBAJA"/>
      <sheetName val="RKP TOTAL SEMUA"/>
      <sheetName val="合成単価作成・-BLDG"/>
      <sheetName val="BOQ All Dicipline"/>
      <sheetName val="BOQ (detail )"/>
      <sheetName val="SUM BOQ"/>
      <sheetName val="Ironmongery"/>
      <sheetName val="Cat A Change Control"/>
      <sheetName val="Daf__Upah_&amp;_Bah"/>
      <sheetName val="HM_MEK_"/>
      <sheetName val="DAF_ALAT"/>
      <sheetName val="L3_An_H_Sat_Mob"/>
      <sheetName val="ANALISA_JAN_08"/>
      <sheetName val="AN_ALAT"/>
      <sheetName val="HARGA_RATA"/>
      <sheetName val="Analisa_Precast_A3"/>
      <sheetName val="Analisa_HS"/>
      <sheetName val="AN__HS_PEK_BETON"/>
      <sheetName val="WP_Tanah_2013"/>
      <sheetName val="Model_Setup"/>
      <sheetName val="Inst_Cap_"/>
      <sheetName val="Daftar_No_MAPPI"/>
      <sheetName val="TH_VL,_NC,_DDHT_Thanhphuoc"/>
      <sheetName val="TONG_HOP_VL-NC_TT"/>
      <sheetName val="KPVC-BD_"/>
      <sheetName val="RAB_1"/>
      <sheetName val="RAB_2"/>
      <sheetName val="RAB_3"/>
      <sheetName val="Hrg_Pipa"/>
      <sheetName val="uraian_peralatan"/>
      <sheetName val="Sat_Bah_&amp;_Up"/>
      <sheetName val="Lt__1_(A)"/>
      <sheetName val="RAB_VIDEO_WALL_KOE"/>
      <sheetName val="RAB_PC"/>
      <sheetName val="ANALISA_KOE"/>
      <sheetName val="DATA_MENTAH"/>
      <sheetName val="REKAP_KOE_MDC"/>
      <sheetName val="AUTO_(2)"/>
      <sheetName val="REKAP_KOE"/>
      <sheetName val="RAB_DESIGN_KOE"/>
      <sheetName val="RAB_persiapan"/>
      <sheetName val="RAB_BUILD_KOE"/>
      <sheetName val="KURVA_S"/>
      <sheetName val="harga_akomodasi"/>
      <sheetName val="AUTO_(3)"/>
      <sheetName val="Simulasi_Margin_mdc"/>
      <sheetName val="REKAP_MDC"/>
      <sheetName val="RAB_BUILD_MDC"/>
      <sheetName val="RAB_VIDEO_WALL_MDC"/>
      <sheetName val="RAB_PC_MDC"/>
      <sheetName val="RAB_DESIGN_MDC"/>
      <sheetName val="Detail_Konstruksi"/>
      <sheetName val="Prakiraan_RAP_Konst"/>
      <sheetName val="AHS_Konstr_MDC"/>
      <sheetName val="DHS_Konstr_MDC"/>
      <sheetName val="ANALISA_MDC"/>
      <sheetName val="KURVA_S_MDC"/>
      <sheetName val="BARCHART_MDC_"/>
      <sheetName val="AHS_MDC_(KANTOR)"/>
      <sheetName val="DHS_MDC_(KANTOR)"/>
      <sheetName val="CF_Alat"/>
      <sheetName val="analis_standar(20m)"/>
      <sheetName val="ANAL_BETON"/>
      <sheetName val="Eq__Mobilization"/>
      <sheetName val="page_1"/>
      <sheetName val="DIVISI_I_50"/>
      <sheetName val="TIKET_ATB"/>
      <sheetName val="iTEM_hARSAT"/>
      <sheetName val="hrg-sat_pek"/>
      <sheetName val="B_V_2"/>
      <sheetName val="B_V_1"/>
      <sheetName val="Bea_Op_Alat"/>
      <sheetName val="Hit_bi_transport"/>
      <sheetName val="Form_1"/>
      <sheetName val="Analisa_DW"/>
      <sheetName val="Rekap_Addendum"/>
      <sheetName val="Biaya alat"/>
      <sheetName val="Ktitas &amp; Harga"/>
      <sheetName val="Project_P"/>
      <sheetName val="S_CURVE"/>
      <sheetName val="SBhn"/>
      <sheetName val="Backup K125 Mercu"/>
      <sheetName val="Besi P5"/>
      <sheetName val="RAB1"/>
      <sheetName val="anl-b4"/>
      <sheetName val="Anal-SNI"/>
      <sheetName val="DAF.TUL"/>
      <sheetName val="HSD ALAT"/>
      <sheetName val="HSD BAHAN"/>
      <sheetName val="SPK"/>
      <sheetName val="BA"/>
      <sheetName val="ANL E"/>
      <sheetName val="ANL K"/>
      <sheetName val="Analisa Peralatan"/>
      <sheetName val="1.Rekap RAB"/>
      <sheetName val="di2"/>
      <sheetName val="G_SUMMARY"/>
      <sheetName val="Pt"/>
      <sheetName val="STR(CANCEL)"/>
      <sheetName val="Contoh Analisa"/>
      <sheetName val="Kom Lumpsum"/>
      <sheetName val="P.Proyek"/>
      <sheetName val="IPA Unit Price"/>
      <sheetName val="Kom Unit Price"/>
      <sheetName val="IPA Lumpsum"/>
      <sheetName val="AnlPintu"/>
      <sheetName val="Gudang"/>
      <sheetName val="内訳"/>
      <sheetName val="Sch2"/>
      <sheetName val="grpsr2"/>
      <sheetName val="PANEL"/>
      <sheetName val="Galian"/>
      <sheetName val="RPP-6"/>
      <sheetName val="TEKNIS"/>
      <sheetName val="DAFTAR HARGA SATUAN MATERIAL"/>
      <sheetName val="BESI BETON"/>
      <sheetName val="BPS"/>
      <sheetName val="Cashflow_ref"/>
      <sheetName val="STOK MAT"/>
      <sheetName val="UnitRateA.1.II"/>
      <sheetName val="DEF"/>
      <sheetName val="610.04a"/>
      <sheetName val="610.03a 15-7"/>
      <sheetName val="HS-2"/>
      <sheetName val="MAP 18.12.17"/>
      <sheetName val="Account Code"/>
      <sheetName val="HD BAHAN"/>
      <sheetName val="HD ALAT"/>
      <sheetName val="HD UPAH"/>
      <sheetName val="IKHT"/>
      <sheetName val="Jurnal"/>
      <sheetName val="Ahs.2"/>
      <sheetName val="Ahs.1"/>
      <sheetName val="7a. Compar.Asphalt (Machine)"/>
      <sheetName val="ANALISA_OK"/>
      <sheetName val="Anas"/>
      <sheetName val="ANALISA SNI'08"/>
      <sheetName val="IkhtisarBiop(12_0)"/>
      <sheetName val="LabaRugi_Fungsi"/>
      <sheetName val="LabaRugi_Fungsi2004(21B)"/>
      <sheetName val="LabaRugi_Lainnya_2005(20)"/>
      <sheetName val="LabaRugi_Unsur2004(21A)"/>
      <sheetName val="ANALISA_SNI'07(Bangli)"/>
      <sheetName val="CAPITOL MEKANIKAL"/>
      <sheetName val="AHAS PANEL"/>
      <sheetName val="GRAND REKAP"/>
      <sheetName val="BOX PANEL"/>
      <sheetName val="Analisa IC"/>
      <sheetName val="Analisa J"/>
      <sheetName val="Rekap Biaya Alat"/>
      <sheetName val="Ops Alat"/>
      <sheetName val="Sewa Alat"/>
      <sheetName val="Hrg Sat matrl + alat "/>
      <sheetName val="Hrg Sat Upah"/>
      <sheetName val="VA_code"/>
      <sheetName val="Assumptions"/>
      <sheetName val="IEC101"/>
      <sheetName val="TRNS-C1"/>
      <sheetName val="se006t"/>
      <sheetName val="C"/>
      <sheetName val="M"/>
      <sheetName val="Kamus"/>
      <sheetName val="DatabaseBarang"/>
      <sheetName val="AHSSNI"/>
      <sheetName val="Basic rate"/>
      <sheetName val="rekap ahs"/>
      <sheetName val="rekap-bialat"/>
      <sheetName val="SD (1)"/>
      <sheetName val="material "/>
      <sheetName val="bom-rev-10"/>
      <sheetName val="Finishing Warehouse"/>
      <sheetName val="KP1590_E"/>
      <sheetName val="토목주소"/>
      <sheetName val="프랜트면허"/>
      <sheetName val="Anls Hrg Sat"/>
      <sheetName val="K-9 Ok"/>
      <sheetName val="U &amp; B"/>
      <sheetName val="INPUT HARGA"/>
      <sheetName val="MEUBELAIR"/>
      <sheetName val="HARGA NEW"/>
      <sheetName val="Alat (1)"/>
      <sheetName val="AQ"/>
      <sheetName val="D-2"/>
      <sheetName val="D-4"/>
      <sheetName val="D-5"/>
      <sheetName val="D-6"/>
      <sheetName val="D7-2"/>
      <sheetName val="D-7"/>
      <sheetName val="D-8"/>
      <sheetName val="Divisi 7"/>
      <sheetName val="Har-sat finish"/>
      <sheetName val="huruf"/>
      <sheetName val="IGD ARCH"/>
      <sheetName val="CAR STR"/>
      <sheetName val="Landscape IGD"/>
      <sheetName val="Tandon AIr"/>
      <sheetName val="REKAP1"/>
      <sheetName val="RAB REVISI"/>
      <sheetName val="HYDRANT"/>
      <sheetName val="quot."/>
      <sheetName val="ERECTION"/>
      <sheetName val="analisa print"/>
      <sheetName val="Koordinat"/>
      <sheetName val="upah+bahan"/>
      <sheetName val="Hardasar-PSJJ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5-ALAT"/>
      <sheetName val="SatDas"/>
      <sheetName val="HARDAS-ALAT"/>
      <sheetName val="HB"/>
      <sheetName val="ANAL-str2"/>
      <sheetName val="RAB-LANSEKAP"/>
      <sheetName val="HSBU ANA"/>
      <sheetName val="2.2.217 DAN 2.2.16 PRINT"/>
      <sheetName val="MASTER JARAK DRAIN"/>
      <sheetName val="CROS 2.1.1"/>
      <sheetName val="2.1.1"/>
      <sheetName val="2.2.1"/>
      <sheetName val="2.2.10"/>
      <sheetName val="2.2.11"/>
      <sheetName val="2.2.12"/>
      <sheetName val="2.2.13"/>
      <sheetName val="2.2.14"/>
      <sheetName val="2.2.15 PRINT"/>
      <sheetName val="2.2.18 PRINT"/>
      <sheetName val="2.2.19 PRINT"/>
      <sheetName val="2.2.2"/>
      <sheetName val="2.2.3"/>
      <sheetName val="2.2.4"/>
      <sheetName val="2.2.5"/>
      <sheetName val="2.2.6 dan 2.2.7 PRINT"/>
      <sheetName val="2.2.8"/>
      <sheetName val="2.2.9"/>
      <sheetName val="3.1"/>
      <sheetName val="3.3"/>
      <sheetName val="3.4_new"/>
      <sheetName val="3.7"/>
      <sheetName val="3.8"/>
      <sheetName val="4.2.2_PRINT"/>
      <sheetName val="4.3.2_PRINT"/>
      <sheetName val="4.3.3_PRINT"/>
      <sheetName val="4.3.5_PRINT"/>
      <sheetName val="4.2.1"/>
      <sheetName val="4.4.1"/>
      <sheetName val="4.5.1"/>
      <sheetName val="4.3.1_PRINT"/>
      <sheetName val="4.4.2"/>
      <sheetName val="4.5.2"/>
      <sheetName val="4.4.4"/>
      <sheetName val="4.5.3"/>
      <sheetName val="4.2.4"/>
      <sheetName val="4.4.3"/>
      <sheetName val="4.3.4_PRINT"/>
      <sheetName val="4.2.3"/>
      <sheetName val="2.2.20 PRINT"/>
      <sheetName val="4.2.5"/>
      <sheetName val="DATA PINTU"/>
      <sheetName val="CROS 4.1"/>
      <sheetName val="4.1"/>
      <sheetName val="CROS 2.1.2"/>
      <sheetName val="2.1.2"/>
      <sheetName val="CR 2.1.3 NO USE"/>
      <sheetName val="2.1.3 NO USE"/>
      <sheetName val="CROS 2.1.3"/>
      <sheetName val="2.1.3"/>
      <sheetName val="2.1.3.1 + 2.1.3.2"/>
      <sheetName val="CROS 2.1.3.1"/>
      <sheetName val="CROS 2.1.3.2"/>
      <sheetName val="4.3.1"/>
      <sheetName val="2.2.18"/>
      <sheetName val="4.3.5"/>
      <sheetName val="2.2.15"/>
      <sheetName val="4.3.4"/>
      <sheetName val="2.2.19"/>
      <sheetName val="MASTER JARAK RW"/>
      <sheetName val="NP-10"/>
      <sheetName val="HSLAIN-LAIN"/>
      <sheetName val="Realkont"/>
      <sheetName val="SAT UPAH RAPI"/>
      <sheetName val="Don't delete"/>
      <sheetName val="RBP-3.1PP"/>
      <sheetName val="RBP-3.1.2"/>
      <sheetName val="BQ Banding "/>
      <sheetName val="Penulangan"/>
      <sheetName val="dt person"/>
      <sheetName val="2.1"/>
      <sheetName val="6.3(6)tkt"/>
      <sheetName val="UPAH_PERALATAN_BAHAN"/>
      <sheetName val="REKAP ANL. SATUAN PEK."/>
      <sheetName val="HSTANAH"/>
      <sheetName val="HSBETON"/>
      <sheetName val="Daftar Kuantitas &amp; Harga"/>
      <sheetName val="K-4"/>
      <sheetName val="MASTER Alat"/>
      <sheetName val="HSP 2010"/>
      <sheetName val="Ls"/>
      <sheetName val="Anlat"/>
      <sheetName val=" HARGA UPAH, BAHAN,ALAT"/>
      <sheetName val="K210"/>
      <sheetName val="K.225"/>
      <sheetName val="k617"/>
      <sheetName val="k618"/>
      <sheetName val="k710"/>
      <sheetName val="k715"/>
      <sheetName val="k225a"/>
      <sheetName val="SATUAN_JADI"/>
      <sheetName val="anal rab"/>
      <sheetName val="sph"/>
      <sheetName val="Analisa Teknik"/>
      <sheetName val="BQNK"/>
      <sheetName val="BA_ADD"/>
      <sheetName val="Connections"/>
      <sheetName val="Vender"/>
      <sheetName val="HARGA SAT KAMAL"/>
      <sheetName val="UpBahAlat"/>
      <sheetName val="BSA"/>
      <sheetName val="Anls."/>
      <sheetName val="Satuan Upah Bahan"/>
      <sheetName val="TIE BEAM"/>
      <sheetName val="Compare"/>
      <sheetName val="Overhead"/>
      <sheetName val="Quarry"/>
      <sheetName val="metode"/>
      <sheetName val="Anl(7a)"/>
      <sheetName val="Anl-II"/>
      <sheetName val="HSD (8)"/>
      <sheetName val="E.221"/>
      <sheetName val="HSBU-2004"/>
      <sheetName val="AN PEKJ"/>
      <sheetName val="Galian batu"/>
      <sheetName val="REKTOR"/>
      <sheetName val="DEKAN"/>
      <sheetName val="RinciBab1_Seksi1"/>
      <sheetName val="ANALE2"/>
      <sheetName val="Har.Sat."/>
      <sheetName val="Cash Flow"/>
      <sheetName val="BIAYA BAHAN"/>
      <sheetName val="ANALISA METODE"/>
      <sheetName val="UPAH BAHAN ALAT"/>
      <sheetName val="DAFTAR ANALISA"/>
      <sheetName val="ANL 2002 "/>
      <sheetName val="galiansal"/>
      <sheetName val=" anal hrg sat"/>
      <sheetName val="An Biaya.Kons (SNI)"/>
      <sheetName val="Daf-Hrg-Bhn&amp;uph"/>
      <sheetName val="An Biaya.Kons"/>
      <sheetName val="ASPAL (14)"/>
      <sheetName val="RLB"/>
      <sheetName val="BAH"/>
      <sheetName val="Real Siap badan"/>
      <sheetName val="5.Onsite"/>
      <sheetName val="UPAH kios"/>
      <sheetName val="Meth"/>
      <sheetName val="AN-E"/>
      <sheetName val="HRG SATUAN"/>
      <sheetName val="prd01-5"/>
      <sheetName val="prd01-3"/>
      <sheetName val="Material&amp;Alat"/>
      <sheetName val="HS-1"/>
      <sheetName val="5__Pek__CF_Silo"/>
      <sheetName val="2__Pek__Preheater"/>
      <sheetName val="BETON_BERTULANG_"/>
      <sheetName val="Anal_alat"/>
      <sheetName val="AC_-_BC"/>
      <sheetName val="AC_-_WC"/>
      <sheetName val="Peny_Bdn_Jln"/>
      <sheetName val="Base_B_Bahu"/>
      <sheetName val="Gali_Biasa"/>
      <sheetName val="Rutin_Jembatan"/>
      <sheetName val="Rutin_Saluran"/>
      <sheetName val="Analisa_-Baku"/>
      <sheetName val="Anal__Pancang"/>
      <sheetName val="00___Earthwork_EF_RL"/>
      <sheetName val="boq_TOGAFU"/>
      <sheetName val="Material_Properties"/>
      <sheetName val="Conn__Lib"/>
      <sheetName val="Metod_TWR"/>
      <sheetName val="2_0_Procurement"/>
      <sheetName val="sheet"/>
      <sheetName val="SUB &amp; mandor"/>
      <sheetName val="MAPP PPTR"/>
      <sheetName val="DASH"/>
      <sheetName val="RPP01-6"/>
      <sheetName val="REKAP.1"/>
      <sheetName val="alt1"/>
      <sheetName val="DATA 2"/>
      <sheetName val="Utilitas Plant"/>
      <sheetName val="URUTAN PLANT"/>
      <sheetName val="Master_1_06"/>
      <sheetName val="Perm__Test4"/>
      <sheetName val="SUMBER_DAYA4"/>
      <sheetName val="01A-_RAB4"/>
      <sheetName val="Met__Minor2"/>
      <sheetName val="NP_(2)2"/>
      <sheetName val="Agg_Halus_&amp;_Kasar2"/>
      <sheetName val="Up_&amp;_bhn5"/>
      <sheetName val="Huruf_(9)1"/>
      <sheetName val="LAL_-_PASAR_PAGI_2"/>
      <sheetName val="Daftar_Upah,Bhn,&amp;_alat1"/>
      <sheetName val="rek_det_1-32"/>
      <sheetName val="T-3_2_UP_Material1"/>
      <sheetName val="S_BAHAN1"/>
      <sheetName val="DATA_PROYEK1"/>
      <sheetName val="Strand_PDMR11"/>
      <sheetName val="Post_tension_PDMR11"/>
      <sheetName val="Rokan_11"/>
      <sheetName val="Jml_HRG-ALT-041"/>
      <sheetName val="CCO_ALT-041"/>
      <sheetName val="Rekap_2"/>
      <sheetName val="Currency_Rate2"/>
      <sheetName val="DIV_22"/>
      <sheetName val="___2"/>
      <sheetName val="hRG_Stn_Bhn,Uph,_perl2"/>
      <sheetName val="H_Satuan_Dasar2"/>
      <sheetName val="Rekap_12"/>
      <sheetName val="ANALISA_BAHAN2"/>
      <sheetName val="1__BQ2"/>
      <sheetName val="Rekap_Prelim4"/>
      <sheetName val="Basic_Price2"/>
      <sheetName val="Cover_Daf_22"/>
      <sheetName val="Bill_of_Qty_MEP5"/>
      <sheetName val="ANALISA_BARU_40_M1"/>
      <sheetName val="rab_-_persiapan_&amp;_lantai-14"/>
      <sheetName val="HRG_BAHAN_&amp;_UPAH_okk2"/>
      <sheetName val="Analis_Kusen_okk2"/>
      <sheetName val="Rekap_BQ1"/>
      <sheetName val="JARINGAN_DATA1"/>
      <sheetName val="MASTER_CLOCK1"/>
      <sheetName val="IP_PABX1"/>
      <sheetName val="TATA_SUARA1"/>
      <sheetName val="ANAL_2_11"/>
      <sheetName val="LAMP_2_21"/>
      <sheetName val="Rekap_analis2"/>
      <sheetName val="OP__ALAT2"/>
      <sheetName val="OP__PERJAM2"/>
      <sheetName val="B__PERSONIL2"/>
      <sheetName val="KAN__LOKAL2"/>
      <sheetName val="7_공정표1"/>
      <sheetName val="PRD_01-7_alat1"/>
      <sheetName val="Lamp_2A_Ana_Sat_Mata_Pemb_Ut1"/>
      <sheetName val="Rekap_AHSP2"/>
      <sheetName val="G_Grouting2"/>
      <sheetName val="H__INSTRUMEN_BAGONG2"/>
      <sheetName val="F__Jalan_&amp;_Jembatan2"/>
      <sheetName val="A__Persiapan2"/>
      <sheetName val="Analisa_RAP4"/>
      <sheetName val="Data_Teknik2"/>
      <sheetName val="Rekap_RAP4"/>
      <sheetName val="Penyebaran_M4"/>
      <sheetName val="RAW_MATERIALS_1"/>
      <sheetName val="h90-160_(penebalan)1"/>
      <sheetName val="IN_DATA"/>
      <sheetName val="Harga_Bahan_Fabrikasi2"/>
      <sheetName val="Daftar_Harga_Dasar"/>
      <sheetName val="cal_borepile"/>
      <sheetName val="rab_KRAN_UMUM"/>
      <sheetName val="rab_PMA"/>
      <sheetName val="Anl_+4"/>
      <sheetName val="Upah,Bahan,_Alat"/>
      <sheetName val="Cost_Control_Utk_Perub_RAP"/>
      <sheetName val="Sel_Dev"/>
      <sheetName val="RAP_Change"/>
      <sheetName val="RAP_Sisa"/>
      <sheetName val="Analis_har"/>
      <sheetName val="UPAH_B_KAS__2_"/>
      <sheetName val="HS_Dasar_"/>
      <sheetName val="HPP_X_Q'TY"/>
      <sheetName val="TOTAL_UPAH"/>
      <sheetName val="PROD_15-1"/>
      <sheetName val="1_B"/>
      <sheetName val="SPT_TAHUNAN"/>
      <sheetName val="Rinc_Setoran_Astek"/>
      <sheetName val="S-2_PLERET"/>
      <sheetName val="Bahan_1"/>
      <sheetName val="TONG_HOP_VL-NC2"/>
      <sheetName val="Rekap_Biaya4"/>
      <sheetName val="kebut_bhn"/>
      <sheetName val="Lamp_5"/>
      <sheetName val="UPAH_USULAN"/>
      <sheetName val="ANALISA_USULAN"/>
      <sheetName val="BQ_anal"/>
      <sheetName val="Rehab_NAD"/>
      <sheetName val="HSD_Upah"/>
      <sheetName val="Master_1_0_(2)6"/>
      <sheetName val="Master_Sch_1_0-sro2_Adari_disk6"/>
      <sheetName val="REF_ONLY5"/>
      <sheetName val="ANALISA_14"/>
      <sheetName val="BIAYA_074"/>
      <sheetName val="DET_084"/>
      <sheetName val="Analis_Kusen_1_ESKALASI4"/>
      <sheetName val="NP_(4)4"/>
      <sheetName val="DRUP_(ASLI)4"/>
      <sheetName val="RKP_PLUMBING4"/>
      <sheetName val="01A__RAB5"/>
      <sheetName val="NS_GD_UGD4"/>
      <sheetName val="STD_GD_UGD4"/>
      <sheetName val="SELISIH_HARGA4"/>
      <sheetName val="GD_B4"/>
      <sheetName val="GD_C4"/>
      <sheetName val="GD_D4"/>
      <sheetName val="GD_E4"/>
      <sheetName val="GD_F4"/>
      <sheetName val="GD_G4"/>
      <sheetName val="GD_N4"/>
      <sheetName val="GD_A4"/>
      <sheetName val="CRUDE_RE-bar4"/>
      <sheetName val="Man_Power___Comp4"/>
      <sheetName val="MARK_UP4"/>
      <sheetName val="REKAP_(2)4"/>
      <sheetName val="ES_STG4"/>
      <sheetName val="Lead_Schedule4"/>
      <sheetName val="INPUT_24"/>
      <sheetName val="A_LIS4"/>
      <sheetName val="A_REKAP4"/>
      <sheetName val="eval__Juli4"/>
      <sheetName val="rincian_per_proyek4"/>
      <sheetName val="Analisa_Tekhnis4"/>
      <sheetName val="BD_Div-2_sd_7_64"/>
      <sheetName val="Input_monthly_capex4"/>
      <sheetName val="DES_154"/>
      <sheetName val="Master_Sch_1_0-sro24"/>
      <sheetName val="bill_qty2"/>
      <sheetName val="F1c_DATA_ADM62"/>
      <sheetName val="Master_Edit2"/>
      <sheetName val="Appendix_2(SatDas)2"/>
      <sheetName val="DIVISI_33"/>
      <sheetName val="2_MASTER_APP3"/>
      <sheetName val="AnalisaSIPIL_RIIL2"/>
      <sheetName val="bahan_dan_upah2"/>
      <sheetName val="Bab_6_-3(5)2"/>
      <sheetName val="2_3(2)_Gor2"/>
      <sheetName val="8_4_2_Rambu2"/>
      <sheetName val="pro_ra_op3"/>
      <sheetName val="Anl_2s_d4e2"/>
      <sheetName val="Sat_Bah___Up1"/>
      <sheetName val="BoQ_C41"/>
      <sheetName val="ALAT2_(TDK_DIPAKAI)1"/>
      <sheetName val="Hit_Vol_Sk2"/>
      <sheetName val="Kuantitas_&amp;_Harga2"/>
      <sheetName val="Hrg_Dsr1"/>
      <sheetName val="3A7_1_Jln_Insitu1"/>
      <sheetName val="HSA_&amp;_PAB2"/>
      <sheetName val="Harga_Upah_2"/>
      <sheetName val="Div_7_21"/>
      <sheetName val="Rincian_hutang-Lap1"/>
      <sheetName val="Kajian_Kendala1"/>
      <sheetName val="bukan_PNS1"/>
      <sheetName val="Analisa_Upah___Bahan_Plum1"/>
      <sheetName val="Analisa_SNI_STANDART_1"/>
      <sheetName val="Formulir_7_61"/>
      <sheetName val="RAP_(2)2"/>
      <sheetName val="S_perny_&amp;_CV_lama1"/>
      <sheetName val="rab_me_(by_owner)_1"/>
      <sheetName val="BQ_(by_owner)1"/>
      <sheetName val="rab_me_(fisik)1"/>
      <sheetName val="m_schedule2"/>
      <sheetName val="Analis_Upah2"/>
      <sheetName val="RAB_JALUR_Lend_tinggi2"/>
      <sheetName val="2_E2"/>
      <sheetName val="2_F2"/>
      <sheetName val="Gaji_Pokok2"/>
      <sheetName val="T__Proyek-Jabatan2"/>
      <sheetName val="T__Lokasi2"/>
      <sheetName val="T__Rumah2"/>
      <sheetName val="T__Transport2"/>
      <sheetName val="BoQ_Total_lama2"/>
      <sheetName val="Typ_ITS1"/>
      <sheetName val="Har_Sat1"/>
      <sheetName val="Harga_1"/>
      <sheetName val="3-DIV7_B1"/>
      <sheetName val="DKH_SN1-A1"/>
      <sheetName val="S_curve_PRCPT1"/>
      <sheetName val="HARGA_SAT1"/>
      <sheetName val="_Analisa_Harga1"/>
      <sheetName val="HS_Bhn&amp;Upah1"/>
      <sheetName val="Bang_B1"/>
      <sheetName val="OLI_HEQ1"/>
      <sheetName val="Rekap_RAP_real_(2)1"/>
      <sheetName val="HRG_DSR_APP1"/>
      <sheetName val="URAIAN_"/>
      <sheetName val="GRADE_SKALA"/>
      <sheetName val="H_Upah1"/>
      <sheetName val="AHS_Marka"/>
      <sheetName val="AHS_Aspal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data_2014"/>
      <sheetName val="Daf_Dasar_Upah&amp;Bahan"/>
      <sheetName val="8_1_1_Struktur_Kantor_Taman"/>
      <sheetName val="SNI_FIX"/>
      <sheetName val="Hrg_Sat4"/>
      <sheetName val="OFFICE_2_LT"/>
      <sheetName val="Rekap_2002_mod"/>
      <sheetName val="BARU-4_"/>
      <sheetName val="ANAL_KOEF"/>
      <sheetName val="DIV_5_ok"/>
      <sheetName val="CERUCUK_OKE"/>
      <sheetName val="On_Time"/>
      <sheetName val="DIV_3"/>
      <sheetName val="DIV_8"/>
      <sheetName val="DIV_IV"/>
      <sheetName val="DIV_VI"/>
      <sheetName val="DIV_VIII"/>
      <sheetName val="LP_2_-_KUNINGAN_-_DUKUH_ATAS"/>
      <sheetName val="Hutang_Lap"/>
      <sheetName val="Harga_S_Dasar"/>
      <sheetName val="Summary_pilecap"/>
      <sheetName val="FIRE_FIGHTING"/>
      <sheetName val="Analisa___2_"/>
      <sheetName val="List_of_Eqp"/>
      <sheetName val="tb__besi"/>
      <sheetName val="HB_ARSITEKTUR"/>
      <sheetName val="HB_STRUKTUR"/>
      <sheetName val="Daftar_Material_dan_alat"/>
      <sheetName val="TRF_150"/>
      <sheetName val="Stay_Cable_PDMR2"/>
      <sheetName val="DAFTAR_HARGA_SATUAN_MATERIAL"/>
      <sheetName val="H_Material,_Upah_&amp;_Alat"/>
      <sheetName val="Analisa_H_Sat_Pek_"/>
      <sheetName val="HITUNGAN_SCRAP"/>
      <sheetName val="Prod_02"/>
      <sheetName val="Prod_01-1"/>
      <sheetName val="Prod_01-2"/>
      <sheetName val="Found_150_kv_w_pile"/>
      <sheetName val="Found_500_w_pile"/>
      <sheetName val="Stock_Material"/>
      <sheetName val="Prod_03-1"/>
      <sheetName val="_hrg_bhn"/>
      <sheetName val="LAP___(4)"/>
      <sheetName val="LAP___(11)"/>
      <sheetName val="upah_bahan_alat"/>
      <sheetName val="analisa_K"/>
      <sheetName val="Meth_"/>
      <sheetName val="Harsat_Alat"/>
      <sheetName val="BOQ_EXTERN"/>
      <sheetName val="BOQ_INTERN"/>
      <sheetName val="BHN_DSR"/>
      <sheetName val="curve_s"/>
      <sheetName val="Anal_Alat_Type_II_A"/>
      <sheetName val="Bill_2_1_Basement_41_"/>
      <sheetName val="D___W_sizes"/>
      <sheetName val="H_BAHAN"/>
      <sheetName val="B_LAIN2"/>
      <sheetName val="Lamp-4_Sat-Das"/>
      <sheetName val="STOK_MAT"/>
      <sheetName val="UnitRateA_1_II"/>
      <sheetName val="610_04a"/>
      <sheetName val="610_03a_15-7"/>
      <sheetName val="HD_BAHAN"/>
      <sheetName val="HD_ALAT"/>
      <sheetName val="HD_UPAH"/>
      <sheetName val="Stressing_bed"/>
      <sheetName val="Cover_(x)"/>
      <sheetName val="Cor_Apt"/>
      <sheetName val="Ven_Fan"/>
      <sheetName val="Ana_Duct"/>
      <sheetName val="ANAL_BOW"/>
      <sheetName val="LMP_BA"/>
      <sheetName val="DET_1"/>
      <sheetName val="DET_2"/>
      <sheetName val="HB_6"/>
      <sheetName val="Sec_I_ML4"/>
      <sheetName val="Master_1_07"/>
      <sheetName val="Perm__Test5"/>
      <sheetName val="SUMBER_DAYA5"/>
      <sheetName val="01A-_RAB5"/>
      <sheetName val="Met__Minor3"/>
      <sheetName val="IPAL_1_2"/>
      <sheetName val="PIPA_12"/>
      <sheetName val="NP_(2)3"/>
      <sheetName val="Agg_Halus_&amp;_Kasar3"/>
      <sheetName val="Income_Statement-May_20042"/>
      <sheetName val="Up_&amp;_bhn6"/>
      <sheetName val="Std-Prod_KS2"/>
      <sheetName val="Huruf_(9)2"/>
      <sheetName val="LAL_-_PASAR_PAGI_3"/>
      <sheetName val="rab-str-TAHAP_1-PC3"/>
      <sheetName val="BGT_072"/>
      <sheetName val="Isolasi_Luar_Dalam2"/>
      <sheetName val="Daftar_Upah,Bhn,&amp;_alat2"/>
      <sheetName val="rek_det_1-33"/>
      <sheetName val="T-3_2_UP_Material2"/>
      <sheetName val="S_BAHAN2"/>
      <sheetName val="DATA_PROYEK2"/>
      <sheetName val="Strand_PDMR12"/>
      <sheetName val="Post_tension_PDMR12"/>
      <sheetName val="Rokan_12"/>
      <sheetName val="Jml_HRG-ALT-042"/>
      <sheetName val="CCO_ALT-042"/>
      <sheetName val="Rekap_3"/>
      <sheetName val="Currency_Rate3"/>
      <sheetName val="UNIT_PRICE2"/>
      <sheetName val="DIV_23"/>
      <sheetName val="___3"/>
      <sheetName val="hRG_Stn_Bhn,Uph,_perl3"/>
      <sheetName val="H_Satuan_Dasar3"/>
      <sheetName val="Rekap_13"/>
      <sheetName val="H_DASAR2"/>
      <sheetName val="FORM_BQ_TL_PRATU_4cct2"/>
      <sheetName val="ANALISA_BAHAN3"/>
      <sheetName val="1__BQ3"/>
      <sheetName val="SEWA_ALT2"/>
      <sheetName val="Rekap_Prelim5"/>
      <sheetName val="V___REKAP_TOTAL_-_MEP2"/>
      <sheetName val="REKAP_-_SITEPLAN2"/>
      <sheetName val="REKAP_UTILITAS2"/>
      <sheetName val="REKAP_GEDUNG2"/>
      <sheetName val="REKAP_-_POS_JAGA2"/>
      <sheetName val="RELOKASI_-_EXISTING2"/>
      <sheetName val="V___1_MEKANIKAL_-_SITEPLAN2"/>
      <sheetName val="V___2_ELEKTRIKAL_-_SITEPLAN2"/>
      <sheetName val="_V___1_MEKANIKAL_-_UTILITAS2"/>
      <sheetName val="_V___2_ELEKTRIKAL_-_UTILITAS_2"/>
      <sheetName val="V_1__MEKANIKAL_-_GDG2"/>
      <sheetName val="V_2_1__ELEKTRIKAL_GDG_2"/>
      <sheetName val="Analisa_Harga_Inst__Penerangan2"/>
      <sheetName val="RUMUS_BTL2"/>
      <sheetName val="an__struktur2"/>
      <sheetName val="BOQ_Mainroad_IIA2"/>
      <sheetName val="Basic_Price3"/>
      <sheetName val="Cover_Daf_23"/>
      <sheetName val="Report_detil_kondisi2"/>
      <sheetName val="detil_kondisi2"/>
      <sheetName val="Bill_of_Qty_MEP6"/>
      <sheetName val="ANALISA_BARU_40_M2"/>
      <sheetName val="rab_-_persiapan_&amp;_lantai-15"/>
      <sheetName val="HRG_BAHAN_&amp;_UPAH_okk3"/>
      <sheetName val="Analis_Kusen_okk3"/>
      <sheetName val="ANALISA_OKE2"/>
      <sheetName val="Alat_Berat2"/>
      <sheetName val="Harga_S_Dasar_UNTUK_IDISI2"/>
      <sheetName val="Rekap_BQ2"/>
      <sheetName val="JARINGAN_DATA2"/>
      <sheetName val="MASTER_CLOCK2"/>
      <sheetName val="IP_PABX2"/>
      <sheetName val="TATA_SUARA2"/>
      <sheetName val="D-3_(M)2"/>
      <sheetName val="D-7_(M)2"/>
      <sheetName val="10_1_(1)2"/>
      <sheetName val="10_1_(2)2"/>
      <sheetName val="10_1_(3)2"/>
      <sheetName val="10_1_(4)2"/>
      <sheetName val="10_1_(5)2"/>
      <sheetName val="ANAL_2_12"/>
      <sheetName val="LAMP_2_22"/>
      <sheetName val="Rekap_analis3"/>
      <sheetName val="HSU_20162"/>
      <sheetName val="DAF_HRG2"/>
      <sheetName val="Man_Power2"/>
      <sheetName val="PIPE&amp;ACCESORRIES_(3)2"/>
      <sheetName val="OP__ALAT3"/>
      <sheetName val="OP__PERJAM3"/>
      <sheetName val="B__PERSONIL3"/>
      <sheetName val="KAN__LOKAL3"/>
      <sheetName val="Data_Alat2"/>
      <sheetName val="D3_4_42"/>
      <sheetName val="_Columns2"/>
      <sheetName val="7_공정표2"/>
      <sheetName val="PRD_01-7_alat2"/>
      <sheetName val="Lamp_2A_Ana_Sat_Mata_Pemb_Ut2"/>
      <sheetName val="Rekap_AHSP3"/>
      <sheetName val="G_Grouting3"/>
      <sheetName val="H__INSTRUMEN_BAGONG3"/>
      <sheetName val="F__Jalan_&amp;_Jembatan3"/>
      <sheetName val="A__Persiapan3"/>
      <sheetName val="analisa_STRUKTUR2"/>
      <sheetName val="Realisasi_Mingguan2"/>
      <sheetName val="Realisasi_Harian2"/>
      <sheetName val="Rencana_Harian2"/>
      <sheetName val="Rencana_Mingguan2"/>
      <sheetName val="Dump_Truck2"/>
      <sheetName val="Tuki_12"/>
      <sheetName val="Tuki_22"/>
      <sheetName val="Tuki_32"/>
      <sheetName val="Tuki_42"/>
      <sheetName val="Tuki_52"/>
      <sheetName val="Tuki_62"/>
      <sheetName val="Tuki_72"/>
      <sheetName val="Tuki_82"/>
      <sheetName val="Besi_Tuka2"/>
      <sheetName val="Rekap_Gab2"/>
      <sheetName val="S-Curve_(2017)2"/>
      <sheetName val="Analisa_RAP5"/>
      <sheetName val="Data_Keu2"/>
      <sheetName val="Data_Teknik3"/>
      <sheetName val="Sch_Tender2"/>
      <sheetName val="BQ_OE2"/>
      <sheetName val="Rekap_RAP5"/>
      <sheetName val="Penyebaran_M5"/>
      <sheetName val="Particular_Sch2"/>
      <sheetName val="CISI_INJ_FITTING2"/>
      <sheetName val="RAW_MATERIALS_2"/>
      <sheetName val="h90-160_(penebalan)2"/>
      <sheetName val="Jln_akses1"/>
      <sheetName val="tubuh_jln_Cbg-Tjs1"/>
      <sheetName val="Rab_Sintel1"/>
      <sheetName val="DED_Bjr-Cjl1"/>
      <sheetName val="Lahan_+Tertib1"/>
      <sheetName val="R_A_B_1"/>
      <sheetName val="IN_DATA1"/>
      <sheetName val="Breakdown_ACS_(Actual)2"/>
      <sheetName val="Breakdown_ACS_(Contract)2"/>
      <sheetName val="Harga_Bahan_Fabrikasi3"/>
      <sheetName val="Buku_Besar_11"/>
      <sheetName val="RAB_OK!1"/>
      <sheetName val="DOORS_&amp;WINDOWS2"/>
      <sheetName val="BQ-1A_prelim2"/>
      <sheetName val="S_UPAH1"/>
      <sheetName val="HIT-BALOK_1"/>
      <sheetName val="Bahan+Upah_ALL1"/>
      <sheetName val="Analisa_HS1"/>
      <sheetName val="5__Pek__CF_Silo1"/>
      <sheetName val="2__Pek__Preheater1"/>
      <sheetName val="HM_MEK_1"/>
      <sheetName val="DAF_ALAT1"/>
      <sheetName val="Divisi_10_(2)2"/>
      <sheetName val="LPH_12"/>
      <sheetName val="Daf__Upah_&amp;_Bah1"/>
      <sheetName val="BETON_BERTULANG_1"/>
      <sheetName val="Anal_alat1"/>
      <sheetName val="AC_-_BC1"/>
      <sheetName val="AC_-_WC1"/>
      <sheetName val="Peny_Bdn_Jln1"/>
      <sheetName val="Base_B_Bahu1"/>
      <sheetName val="Gali_Biasa1"/>
      <sheetName val="Rutin_Jembatan1"/>
      <sheetName val="Rutin_Saluran1"/>
      <sheetName val="Analisa_-Baku1"/>
      <sheetName val="Anal__Pancang1"/>
      <sheetName val="00___Earthwork_EF_RL1"/>
      <sheetName val="boq_TOGAFU1"/>
      <sheetName val="Material_Properties1"/>
      <sheetName val="Conn__Lib1"/>
      <sheetName val="Metod_TWR1"/>
      <sheetName val="2_0_Procurement1"/>
      <sheetName val="TIKET_ATB1"/>
      <sheetName val="ANALISA_EL_DAN_ELC1"/>
      <sheetName val="Model_Setup1"/>
      <sheetName val="Inst_Cap_1"/>
      <sheetName val="L3_An_H_Sat_Mob1"/>
      <sheetName val="BAHAN_&amp;_ALAT1"/>
      <sheetName val="hrg-sat_pek1"/>
      <sheetName val="B_V_21"/>
      <sheetName val="B_V_11"/>
      <sheetName val="Analisa_Precast_A31"/>
      <sheetName val="AN__HS_PEK_BETON1"/>
      <sheetName val="HARGA_RATA1"/>
      <sheetName val="Bea_Op_Alat1"/>
      <sheetName val="Hit_bi_transport1"/>
      <sheetName val="Form_11"/>
      <sheetName val="uraian_peralatan1"/>
      <sheetName val="Daftar_Harga_Dasar1"/>
      <sheetName val="cal_borepile1"/>
      <sheetName val="rab_KRAN_UMUM1"/>
      <sheetName val="rab_PMA1"/>
      <sheetName val="Anl_+5"/>
      <sheetName val="Upah,Bahan,_Alat1"/>
      <sheetName val="Cost_Control_Utk_Perub_RAP1"/>
      <sheetName val="Sel_Dev1"/>
      <sheetName val="RAP_Change1"/>
      <sheetName val="RAP_Sisa1"/>
      <sheetName val="Analis_har1"/>
      <sheetName val="UPAH_B_KAS__2_1"/>
      <sheetName val="HS_Dasar_1"/>
      <sheetName val="HPP_X_Q'TY1"/>
      <sheetName val="TOTAL_UPAH1"/>
      <sheetName val="PROD_15-11"/>
      <sheetName val="1_B1"/>
      <sheetName val="SPT_TAHUNAN1"/>
      <sheetName val="Rinc_Setoran_Astek1"/>
      <sheetName val="S-2_PLERET1"/>
      <sheetName val="Lt__1_(A)1"/>
      <sheetName val="Bahan_2"/>
      <sheetName val="Pekerjaan_1"/>
      <sheetName val="Hrg_Pipa1"/>
      <sheetName val="WP_Tanah_20131"/>
      <sheetName val="Daftar_No_MAPPI1"/>
      <sheetName val="TONG_HOP_VL-NC3"/>
      <sheetName val="TH_VL,_NC,_DDHT_Thanhphuoc1"/>
      <sheetName val="TONG_HOP_VL-NC_TT1"/>
      <sheetName val="KPVC-BD_1"/>
      <sheetName val="RAB_11"/>
      <sheetName val="RAB_21"/>
      <sheetName val="RAB_31"/>
      <sheetName val="Rekap_Biaya5"/>
      <sheetName val="kebut_bhn1"/>
      <sheetName val="Lamp_51"/>
      <sheetName val="UPAH_USULAN1"/>
      <sheetName val="ANALISA_USULAN1"/>
      <sheetName val="BQ_anal1"/>
      <sheetName val="Rehab_NAD1"/>
      <sheetName val="HSD_Upah1"/>
      <sheetName val="Master_1_0_(2)7"/>
      <sheetName val="Master_Sch_1_0-sro2_Adari_disk7"/>
      <sheetName val="REF_ONLY6"/>
      <sheetName val="ANALISA_15"/>
      <sheetName val="BIAYA_075"/>
      <sheetName val="DET_085"/>
      <sheetName val="Analis_Kusen_1_ESKALASI5"/>
      <sheetName val="NP_(4)5"/>
      <sheetName val="DRUP_(ASLI)5"/>
      <sheetName val="RKP_PLUMBING5"/>
      <sheetName val="01A__RAB6"/>
      <sheetName val="NS_GD_UGD5"/>
      <sheetName val="STD_GD_UGD5"/>
      <sheetName val="SELISIH_HARGA5"/>
      <sheetName val="GD_B5"/>
      <sheetName val="GD_C5"/>
      <sheetName val="GD_D5"/>
      <sheetName val="GD_E5"/>
      <sheetName val="GD_F5"/>
      <sheetName val="GD_G5"/>
      <sheetName val="GD_N5"/>
      <sheetName val="GD_A5"/>
      <sheetName val="CRUDE_RE-bar5"/>
      <sheetName val="Man_Power___Comp5"/>
      <sheetName val="MARK_UP5"/>
      <sheetName val="REKAP_(2)5"/>
      <sheetName val="ES_STG5"/>
      <sheetName val="Lead_Schedule5"/>
      <sheetName val="INPUT_25"/>
      <sheetName val="A_LIS5"/>
      <sheetName val="A_REKAP5"/>
      <sheetName val="eval__Juli5"/>
      <sheetName val="rincian_per_proyek5"/>
      <sheetName val="Analisa_Tekhnis5"/>
      <sheetName val="BD_Div-2_sd_7_65"/>
      <sheetName val="Input_monthly_capex5"/>
      <sheetName val="DES_155"/>
      <sheetName val="Master_Sch_1_0-sro25"/>
      <sheetName val="bill_qty3"/>
      <sheetName val="F1c_DATA_ADM63"/>
      <sheetName val="Master_Edit3"/>
      <sheetName val="Appendix_2(SatDas)3"/>
      <sheetName val="DIVISI_34"/>
      <sheetName val="2_MASTER_APP4"/>
      <sheetName val="AnalisaSIPIL_RIIL3"/>
      <sheetName val="bahan_dan_upah3"/>
      <sheetName val="Bab_6_-3(5)3"/>
      <sheetName val="2_3(2)_Gor3"/>
      <sheetName val="8_4_2_Rambu3"/>
      <sheetName val="pro_ra_op4"/>
      <sheetName val="Anl_2s_d4e3"/>
      <sheetName val="Sat_Bah___Up2"/>
      <sheetName val="BoQ_C42"/>
      <sheetName val="ALAT2_(TDK_DIPAKAI)2"/>
      <sheetName val="Hit_Vol_Sk3"/>
      <sheetName val="Kuantitas_&amp;_Harga3"/>
      <sheetName val="Hrg_Dsr2"/>
      <sheetName val="3A7_1_Jln_Insitu2"/>
      <sheetName val="HSA_&amp;_PAB3"/>
      <sheetName val="Harga_Upah_3"/>
      <sheetName val="Div_7_22"/>
      <sheetName val="Rincian_hutang-Lap2"/>
      <sheetName val="Kajian_Kendala2"/>
      <sheetName val="bukan_PNS2"/>
      <sheetName val="Analisa_Upah___Bahan_Plum2"/>
      <sheetName val="Analisa_SNI_STANDART_2"/>
      <sheetName val="Formulir_7_62"/>
      <sheetName val="RAP_(2)3"/>
      <sheetName val="S_perny_&amp;_CV_lama2"/>
      <sheetName val="rab_me_(by_owner)_2"/>
      <sheetName val="BQ_(by_owner)2"/>
      <sheetName val="rab_me_(fisik)2"/>
      <sheetName val="m_schedule3"/>
      <sheetName val="Analis_Upah3"/>
      <sheetName val="RAB_JALUR_Lend_tinggi3"/>
      <sheetName val="2_E3"/>
      <sheetName val="2_F3"/>
      <sheetName val="Gaji_Pokok3"/>
      <sheetName val="T__Proyek-Jabatan3"/>
      <sheetName val="T__Lokasi3"/>
      <sheetName val="T__Rumah3"/>
      <sheetName val="T__Transport3"/>
      <sheetName val="BoQ_Total_lama3"/>
      <sheetName val="Typ_ITS2"/>
      <sheetName val="Har_Sat2"/>
      <sheetName val="Harga_2"/>
      <sheetName val="3-DIV7_B2"/>
      <sheetName val="DKH_SN1-A2"/>
      <sheetName val="S_curve_PRCPT2"/>
      <sheetName val="HARGA_SAT2"/>
      <sheetName val="_Analisa_Harga2"/>
      <sheetName val="HS_Bhn&amp;Upah2"/>
      <sheetName val="Bang_B2"/>
      <sheetName val="OLI_HEQ2"/>
      <sheetName val="Rekap_RAP_real_(2)2"/>
      <sheetName val="HRG_DSR_APP2"/>
      <sheetName val="URAIAN_1"/>
      <sheetName val="GRADE_SKALA1"/>
      <sheetName val="H_Upah2"/>
      <sheetName val="Isolasi_Luar1"/>
      <sheetName val="AHS_Marka1"/>
      <sheetName val="AHS_Aspal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data_20141"/>
      <sheetName val="Daf_Dasar_Upah&amp;Bahan1"/>
      <sheetName val="8_1_1_Struktur_Kantor_Taman1"/>
      <sheetName val="SNI_FIX1"/>
      <sheetName val="Hrg_Sat5"/>
      <sheetName val="OFFICE_2_LT1"/>
      <sheetName val="Rekap_2002_mod1"/>
      <sheetName val="BARU-4_1"/>
      <sheetName val="ANAL_KOEF1"/>
      <sheetName val="DIV_5_ok1"/>
      <sheetName val="CERUCUK_OKE1"/>
      <sheetName val="On_Time1"/>
      <sheetName val="DIV_31"/>
      <sheetName val="DIV_81"/>
      <sheetName val="DIV_IV1"/>
      <sheetName val="DIV_VI1"/>
      <sheetName val="DIV_VIII1"/>
      <sheetName val="LP_2_-_KUNINGAN_-_DUKUH_ATAS1"/>
      <sheetName val="Hutang_Lap1"/>
      <sheetName val="Harga_S_Dasar1"/>
      <sheetName val="Summary_pilecap1"/>
      <sheetName val="FIRE_FIGHTING1"/>
      <sheetName val="Analisa___2_1"/>
      <sheetName val="List_of_Eqp1"/>
      <sheetName val="tb__besi1"/>
      <sheetName val="H_Material,_Upah_&amp;_Alat1"/>
      <sheetName val="Analisa_H_Sat_Pek_1"/>
      <sheetName val="HB_ARSITEKTUR1"/>
      <sheetName val="HB_STRUKTUR1"/>
      <sheetName val="Stay_Cable_PDMR21"/>
      <sheetName val="Daftar_Material_dan_alat1"/>
      <sheetName val="BQ_ARS1"/>
      <sheetName val="Analisa_Tend1"/>
      <sheetName val="BQ_&amp;_Harga1"/>
      <sheetName val="97_사업추정(WEKI)1"/>
      <sheetName val="HITUNGAN_SCRAP1"/>
      <sheetName val="Prod_021"/>
      <sheetName val="Prod_01-11"/>
      <sheetName val="Prod_01-21"/>
      <sheetName val="Found_150_kv_w_pile1"/>
      <sheetName val="Found_500_w_pile1"/>
      <sheetName val="Stock_Material1"/>
      <sheetName val="Prod_03-11"/>
      <sheetName val="_hrg_bhn1"/>
      <sheetName val="TRF_1501"/>
      <sheetName val="DAFTAR_HARGA_SATUAN_MATERIAL1"/>
      <sheetName val="REKAP_ME1"/>
      <sheetName val="LAP___(4)1"/>
      <sheetName val="LAP___(11)1"/>
      <sheetName val="upah_bahan_alat1"/>
      <sheetName val="analisa_K1"/>
      <sheetName val="Meth_1"/>
      <sheetName val="Harsat_Alat1"/>
      <sheetName val="BOQ_EXTERN1"/>
      <sheetName val="BOQ_INTERN1"/>
      <sheetName val="BHN_DSR1"/>
      <sheetName val="curve_s1"/>
      <sheetName val="Vendor_Quot_(Exchanger)1"/>
      <sheetName val="FINAL_SUM1"/>
      <sheetName val="Anal_Alat_Type_II_A1"/>
      <sheetName val="RAB_VIDEO_WALL_KOE1"/>
      <sheetName val="RAB_PC1"/>
      <sheetName val="ANALISA_KOE1"/>
      <sheetName val="DATA_MENTAH1"/>
      <sheetName val="REKAP_KOE_MDC1"/>
      <sheetName val="AUTO_(2)1"/>
      <sheetName val="REKAP_KOE1"/>
      <sheetName val="RAB_DESIGN_KOE1"/>
      <sheetName val="RAB_persiapan1"/>
      <sheetName val="RAB_BUILD_KOE1"/>
      <sheetName val="KURVA_S1"/>
      <sheetName val="harga_akomodasi1"/>
      <sheetName val="AUTO_(3)1"/>
      <sheetName val="Simulasi_Margin_mdc1"/>
      <sheetName val="REKAP_MDC1"/>
      <sheetName val="RAB_BUILD_MDC1"/>
      <sheetName val="RAB_VIDEO_WALL_MDC1"/>
      <sheetName val="RAB_PC_MDC1"/>
      <sheetName val="RAB_DESIGN_MDC1"/>
      <sheetName val="Detail_Konstruksi1"/>
      <sheetName val="Prakiraan_RAP_Konst1"/>
      <sheetName val="AHS_Konstr_MDC1"/>
      <sheetName val="DHS_Konstr_MDC1"/>
      <sheetName val="ANALISA_MDC1"/>
      <sheetName val="KURVA_S_MDC1"/>
      <sheetName val="BARCHART_MDC_1"/>
      <sheetName val="AHS_MDC_(KANTOR)1"/>
      <sheetName val="DHS_MDC_(KANTOR)1"/>
      <sheetName val="Bill_2_1_Basement_41_1"/>
      <sheetName val="iTEM_hARSAT1"/>
      <sheetName val="D___W_sizes1"/>
      <sheetName val="H_BAHAN1"/>
      <sheetName val="B_LAIN21"/>
      <sheetName val="ANALISA_JAN_081"/>
      <sheetName val="AN_ALAT1"/>
      <sheetName val="CF_Alat1"/>
      <sheetName val="analis_standar(20m)1"/>
      <sheetName val="ANAL_BETON1"/>
      <sheetName val="Eq__Mobilization1"/>
      <sheetName val="page_11"/>
      <sheetName val="DIVISI_I_501"/>
      <sheetName val="STOK_MAT1"/>
      <sheetName val="UnitRateA_1_II1"/>
      <sheetName val="610_04a1"/>
      <sheetName val="610_03a_15-71"/>
      <sheetName val="HD_BAHAN1"/>
      <sheetName val="HD_ALAT1"/>
      <sheetName val="HD_UPAH1"/>
      <sheetName val="Stressing_bed1"/>
      <sheetName val="Cover_(x)1"/>
      <sheetName val="Cor_Apt1"/>
      <sheetName val="Ven_Fan1"/>
      <sheetName val="Ana_Duct1"/>
      <sheetName val="ANAL_BOW1"/>
      <sheetName val="Lamp-4_Sat-Das1"/>
      <sheetName val="LMP_BA1"/>
      <sheetName val="DET_11"/>
      <sheetName val="DET_21"/>
      <sheetName val="List_Of_Basic_Price"/>
      <sheetName val="Analisa_Hourly"/>
      <sheetName val="Contoh_Analisa"/>
      <sheetName val="Kom_Lumpsum"/>
      <sheetName val="P_Proyek"/>
      <sheetName val="IPA_Unit_Price"/>
      <sheetName val="Kom_Unit_Price"/>
      <sheetName val="IPA_Lumpsum"/>
      <sheetName val="Rumah_Kls__1"/>
      <sheetName val="Bar_&amp;_Coffeshop"/>
      <sheetName val="Club_House_Ka"/>
      <sheetName val="Club_House_Ki"/>
      <sheetName val="Club_House_Klm_Spa"/>
      <sheetName val="Club_House_B__Tank"/>
      <sheetName val="Club_House_Tgh"/>
      <sheetName val="Griya_VVIP"/>
      <sheetName val="Pool_Indor"/>
      <sheetName val="Club_House_Klm_Anak"/>
      <sheetName val="Club_House_Klm_Dewasa"/>
      <sheetName val="Rumah_Kls__2"/>
      <sheetName val="Rumah_Kls_3"/>
      <sheetName val="Konstruksi_Lahan_&amp;_Infrastrk"/>
      <sheetName val="Pool_Outdoor"/>
      <sheetName val="Club_House_Pek__Luar"/>
      <sheetName val="Club_House_Pendopo"/>
      <sheetName val="Club_House_R__Pompa"/>
      <sheetName val="Pos_Jaga"/>
      <sheetName val="TK_&amp;_TPQ"/>
      <sheetName val="Club_House_Utilitas"/>
      <sheetName val="EVALUASI_64"/>
      <sheetName val="BESI_BETON"/>
      <sheetName val="MAP_18_12_17"/>
      <sheetName val="Account_Code"/>
      <sheetName val="SUB_&amp;_mandor"/>
      <sheetName val="MAPP_PPTR"/>
      <sheetName val="DATA_2"/>
      <sheetName val="Utilitas_Plant"/>
      <sheetName val="URUTAN_PLANT"/>
      <sheetName val="BELI__SEPTEMBER"/>
      <sheetName val="Satuan_Upah_&amp;_Bahan"/>
      <sheetName val="tidak_dipakai_1"/>
      <sheetName val="BQ_Detail"/>
      <sheetName val="ANALISA_BIAYA"/>
      <sheetName val="DAFTAR_ISI"/>
      <sheetName val="anl_sni"/>
      <sheetName val="C_10"/>
      <sheetName val="C_12"/>
      <sheetName val="C_14"/>
      <sheetName val="C_16"/>
      <sheetName val="C_19"/>
      <sheetName val="C_21"/>
      <sheetName val="C_23"/>
      <sheetName val="C_25"/>
      <sheetName val="C_7"/>
      <sheetName val="C_9"/>
      <sheetName val="DKH SOKER"/>
      <sheetName val="SAD"/>
      <sheetName val="RPP01 3"/>
      <sheetName val="DATA 2009"/>
      <sheetName val="TARGET RAKER "/>
      <sheetName val="target raker 1"/>
      <sheetName val="Sales Parameter"/>
      <sheetName val="Monthly"/>
      <sheetName val="REKAP-1"/>
      <sheetName val="shotcrete"/>
      <sheetName val="UG Excav"/>
      <sheetName val="BOQ CONTRACT WK"/>
      <sheetName val="MC-1"/>
      <sheetName val="HS-Ban"/>
      <sheetName val="KOR"/>
      <sheetName val="div7-1"/>
      <sheetName val="Summary IP"/>
      <sheetName val="JM"/>
      <sheetName val="HS Alat"/>
      <sheetName val="Div 2 - Drainase"/>
      <sheetName val="Div 5 - Berbutir"/>
      <sheetName val="Div 6 - Aspal"/>
      <sheetName val="Div 8 - Peng Kondisi"/>
      <sheetName val="Div 9 - Harian"/>
      <sheetName val="HS Upah"/>
      <sheetName val="HS Bahan"/>
      <sheetName val="HS Sub-Kon"/>
      <sheetName val="Div 7 - Struktur"/>
      <sheetName val="Biaya-Lat"/>
      <sheetName val="EVALUASI"/>
      <sheetName val="MI(data base)"/>
      <sheetName val="RANKING PELAPORAN"/>
      <sheetName val="DATA-MASUKAN"/>
      <sheetName val="DATA 2010"/>
      <sheetName val="Target Raker TW III"/>
      <sheetName val="KUB-01(10)"/>
      <sheetName val="met biasa"/>
      <sheetName val="met mpu"/>
      <sheetName val="kuant"/>
      <sheetName val="Catatan"/>
      <sheetName val="10a"/>
      <sheetName val="biaya proyek  DERMAGA"/>
      <sheetName val="biaya proyek  JALAN"/>
      <sheetName val="biaya proyek LAINNYA"/>
      <sheetName val="II.2 Biaya UK Konst"/>
      <sheetName val="Surat"/>
      <sheetName val="UpahBahan"/>
      <sheetName val="Data Umum Penawaran"/>
      <sheetName val="Hrg-Das"/>
      <sheetName val="RANGE BAHAN"/>
      <sheetName val="AnHS"/>
      <sheetName val="HSUB"/>
      <sheetName val="5ALAT"/>
      <sheetName val="3-4HSD"/>
      <sheetName val="Hrg Bahan"/>
      <sheetName val="@"/>
      <sheetName val="Sat-R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/>
      <sheetData sheetId="300" refreshError="1"/>
      <sheetData sheetId="301" refreshError="1"/>
      <sheetData sheetId="302"/>
      <sheetData sheetId="303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/>
      <sheetData sheetId="547"/>
      <sheetData sheetId="548"/>
      <sheetData sheetId="549"/>
      <sheetData sheetId="550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/>
      <sheetData sheetId="1023"/>
      <sheetData sheetId="1024" refreshError="1"/>
      <sheetData sheetId="1025"/>
      <sheetData sheetId="1026"/>
      <sheetData sheetId="1027" refreshError="1"/>
      <sheetData sheetId="1028" refreshError="1"/>
      <sheetData sheetId="1029" refreshError="1"/>
      <sheetData sheetId="1030"/>
      <sheetData sheetId="1031" refreshError="1"/>
      <sheetData sheetId="1032" refreshError="1"/>
      <sheetData sheetId="1033"/>
      <sheetData sheetId="1034"/>
      <sheetData sheetId="1035"/>
      <sheetData sheetId="1036"/>
      <sheetData sheetId="1037"/>
      <sheetData sheetId="1038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 refreshError="1"/>
      <sheetData sheetId="1483" refreshError="1"/>
      <sheetData sheetId="1484"/>
      <sheetData sheetId="1485"/>
      <sheetData sheetId="1486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/>
      <sheetData sheetId="1648"/>
      <sheetData sheetId="1649"/>
      <sheetData sheetId="1650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/>
      <sheetData sheetId="1869"/>
      <sheetData sheetId="1870"/>
      <sheetData sheetId="187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 refreshError="1"/>
      <sheetData sheetId="1934" refreshError="1"/>
      <sheetData sheetId="1935" refreshError="1"/>
      <sheetData sheetId="1936"/>
      <sheetData sheetId="1937"/>
      <sheetData sheetId="1938"/>
      <sheetData sheetId="1939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/>
      <sheetData sheetId="4555"/>
      <sheetData sheetId="4556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/>
      <sheetData sheetId="4588"/>
      <sheetData sheetId="4589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/>
      <sheetData sheetId="4601"/>
      <sheetData sheetId="4602"/>
      <sheetData sheetId="4603"/>
      <sheetData sheetId="4604"/>
      <sheetData sheetId="4605"/>
      <sheetData sheetId="4606"/>
      <sheetData sheetId="4607"/>
      <sheetData sheetId="4608"/>
      <sheetData sheetId="4609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/>
      <sheetData sheetId="4627"/>
      <sheetData sheetId="4628"/>
      <sheetData sheetId="4629"/>
      <sheetData sheetId="4630"/>
      <sheetData sheetId="4631"/>
      <sheetData sheetId="4632"/>
      <sheetData sheetId="4633"/>
      <sheetData sheetId="4634"/>
      <sheetData sheetId="4635"/>
      <sheetData sheetId="4636"/>
      <sheetData sheetId="4637"/>
      <sheetData sheetId="4638"/>
      <sheetData sheetId="4639"/>
      <sheetData sheetId="4640"/>
      <sheetData sheetId="4641"/>
      <sheetData sheetId="4642"/>
      <sheetData sheetId="4643"/>
      <sheetData sheetId="4644"/>
      <sheetData sheetId="4645"/>
      <sheetData sheetId="4646"/>
      <sheetData sheetId="4647"/>
      <sheetData sheetId="4648"/>
      <sheetData sheetId="4649"/>
      <sheetData sheetId="4650"/>
      <sheetData sheetId="4651"/>
      <sheetData sheetId="4652"/>
      <sheetData sheetId="4653"/>
      <sheetData sheetId="4654"/>
      <sheetData sheetId="4655"/>
      <sheetData sheetId="4656"/>
      <sheetData sheetId="4657"/>
      <sheetData sheetId="4658"/>
      <sheetData sheetId="4659"/>
      <sheetData sheetId="4660"/>
      <sheetData sheetId="4661"/>
      <sheetData sheetId="4662"/>
      <sheetData sheetId="4663"/>
      <sheetData sheetId="4664"/>
      <sheetData sheetId="4665"/>
      <sheetData sheetId="4666"/>
      <sheetData sheetId="4667"/>
      <sheetData sheetId="4668"/>
      <sheetData sheetId="4669"/>
      <sheetData sheetId="4670"/>
      <sheetData sheetId="4671"/>
      <sheetData sheetId="4672"/>
      <sheetData sheetId="4673"/>
      <sheetData sheetId="4674"/>
      <sheetData sheetId="4675"/>
      <sheetData sheetId="4676"/>
      <sheetData sheetId="4677"/>
      <sheetData sheetId="4678"/>
      <sheetData sheetId="4679"/>
      <sheetData sheetId="4680"/>
      <sheetData sheetId="4681"/>
      <sheetData sheetId="4682"/>
      <sheetData sheetId="4683"/>
      <sheetData sheetId="4684"/>
      <sheetData sheetId="4685"/>
      <sheetData sheetId="4686"/>
      <sheetData sheetId="4687"/>
      <sheetData sheetId="4688"/>
      <sheetData sheetId="4689"/>
      <sheetData sheetId="4690"/>
      <sheetData sheetId="4691"/>
      <sheetData sheetId="4692"/>
      <sheetData sheetId="4693"/>
      <sheetData sheetId="4694"/>
      <sheetData sheetId="4695"/>
      <sheetData sheetId="4696"/>
      <sheetData sheetId="4697"/>
      <sheetData sheetId="4698"/>
      <sheetData sheetId="4699"/>
      <sheetData sheetId="4700"/>
      <sheetData sheetId="4701"/>
      <sheetData sheetId="4702"/>
      <sheetData sheetId="4703"/>
      <sheetData sheetId="4704"/>
      <sheetData sheetId="4705"/>
      <sheetData sheetId="4706"/>
      <sheetData sheetId="4707"/>
      <sheetData sheetId="4708"/>
      <sheetData sheetId="4709"/>
      <sheetData sheetId="4710"/>
      <sheetData sheetId="4711"/>
      <sheetData sheetId="4712"/>
      <sheetData sheetId="4713"/>
      <sheetData sheetId="4714"/>
      <sheetData sheetId="4715"/>
      <sheetData sheetId="4716"/>
      <sheetData sheetId="4717"/>
      <sheetData sheetId="4718"/>
      <sheetData sheetId="4719"/>
      <sheetData sheetId="4720"/>
      <sheetData sheetId="4721"/>
      <sheetData sheetId="4722"/>
      <sheetData sheetId="4723"/>
      <sheetData sheetId="4724"/>
      <sheetData sheetId="4725"/>
      <sheetData sheetId="4726"/>
      <sheetData sheetId="4727"/>
      <sheetData sheetId="4728"/>
      <sheetData sheetId="4729"/>
      <sheetData sheetId="4730"/>
      <sheetData sheetId="4731"/>
      <sheetData sheetId="4732"/>
      <sheetData sheetId="4733"/>
      <sheetData sheetId="4734"/>
      <sheetData sheetId="4735"/>
      <sheetData sheetId="4736"/>
      <sheetData sheetId="4737"/>
      <sheetData sheetId="4738"/>
      <sheetData sheetId="4739"/>
      <sheetData sheetId="4740"/>
      <sheetData sheetId="4741"/>
      <sheetData sheetId="4742"/>
      <sheetData sheetId="4743"/>
      <sheetData sheetId="4744"/>
      <sheetData sheetId="4745"/>
      <sheetData sheetId="4746"/>
      <sheetData sheetId="4747"/>
      <sheetData sheetId="4748"/>
      <sheetData sheetId="4749"/>
      <sheetData sheetId="4750"/>
      <sheetData sheetId="4751"/>
      <sheetData sheetId="4752"/>
      <sheetData sheetId="4753"/>
      <sheetData sheetId="4754"/>
      <sheetData sheetId="4755"/>
      <sheetData sheetId="4756"/>
      <sheetData sheetId="4757"/>
      <sheetData sheetId="4758"/>
      <sheetData sheetId="4759"/>
      <sheetData sheetId="4760"/>
      <sheetData sheetId="4761"/>
      <sheetData sheetId="4762"/>
      <sheetData sheetId="4763"/>
      <sheetData sheetId="4764"/>
      <sheetData sheetId="4765"/>
      <sheetData sheetId="4766"/>
      <sheetData sheetId="4767"/>
      <sheetData sheetId="4768"/>
      <sheetData sheetId="4769"/>
      <sheetData sheetId="4770"/>
      <sheetData sheetId="4771"/>
      <sheetData sheetId="4772"/>
      <sheetData sheetId="4773"/>
      <sheetData sheetId="4774"/>
      <sheetData sheetId="4775"/>
      <sheetData sheetId="4776"/>
      <sheetData sheetId="4777"/>
      <sheetData sheetId="4778"/>
      <sheetData sheetId="4779"/>
      <sheetData sheetId="4780"/>
      <sheetData sheetId="4781"/>
      <sheetData sheetId="4782"/>
      <sheetData sheetId="4783"/>
      <sheetData sheetId="4784"/>
      <sheetData sheetId="4785"/>
      <sheetData sheetId="4786"/>
      <sheetData sheetId="4787"/>
      <sheetData sheetId="4788"/>
      <sheetData sheetId="4789"/>
      <sheetData sheetId="4790"/>
      <sheetData sheetId="4791"/>
      <sheetData sheetId="4792"/>
      <sheetData sheetId="4793"/>
      <sheetData sheetId="4794"/>
      <sheetData sheetId="4795"/>
      <sheetData sheetId="4796"/>
      <sheetData sheetId="4797"/>
      <sheetData sheetId="4798"/>
      <sheetData sheetId="4799"/>
      <sheetData sheetId="4800"/>
      <sheetData sheetId="4801"/>
      <sheetData sheetId="4802"/>
      <sheetData sheetId="4803"/>
      <sheetData sheetId="4804"/>
      <sheetData sheetId="4805"/>
      <sheetData sheetId="4806"/>
      <sheetData sheetId="4807"/>
      <sheetData sheetId="4808"/>
      <sheetData sheetId="4809"/>
      <sheetData sheetId="4810"/>
      <sheetData sheetId="4811"/>
      <sheetData sheetId="4812"/>
      <sheetData sheetId="4813"/>
      <sheetData sheetId="4814"/>
      <sheetData sheetId="4815"/>
      <sheetData sheetId="4816"/>
      <sheetData sheetId="4817"/>
      <sheetData sheetId="4818"/>
      <sheetData sheetId="4819"/>
      <sheetData sheetId="4820"/>
      <sheetData sheetId="4821"/>
      <sheetData sheetId="4822"/>
      <sheetData sheetId="4823"/>
      <sheetData sheetId="4824"/>
      <sheetData sheetId="4825"/>
      <sheetData sheetId="4826"/>
      <sheetData sheetId="4827"/>
      <sheetData sheetId="4828"/>
      <sheetData sheetId="4829"/>
      <sheetData sheetId="4830"/>
      <sheetData sheetId="4831"/>
      <sheetData sheetId="4832"/>
      <sheetData sheetId="4833"/>
      <sheetData sheetId="4834"/>
      <sheetData sheetId="4835"/>
      <sheetData sheetId="4836"/>
      <sheetData sheetId="4837"/>
      <sheetData sheetId="4838"/>
      <sheetData sheetId="4839"/>
      <sheetData sheetId="4840"/>
      <sheetData sheetId="4841"/>
      <sheetData sheetId="4842"/>
      <sheetData sheetId="4843"/>
      <sheetData sheetId="4844"/>
      <sheetData sheetId="4845"/>
      <sheetData sheetId="4846"/>
      <sheetData sheetId="4847"/>
      <sheetData sheetId="4848"/>
      <sheetData sheetId="4849"/>
      <sheetData sheetId="4850"/>
      <sheetData sheetId="4851"/>
      <sheetData sheetId="4852"/>
      <sheetData sheetId="4853"/>
      <sheetData sheetId="4854"/>
      <sheetData sheetId="4855"/>
      <sheetData sheetId="4856"/>
      <sheetData sheetId="4857"/>
      <sheetData sheetId="4858"/>
      <sheetData sheetId="4859"/>
      <sheetData sheetId="4860"/>
      <sheetData sheetId="4861"/>
      <sheetData sheetId="4862"/>
      <sheetData sheetId="4863"/>
      <sheetData sheetId="4864"/>
      <sheetData sheetId="4865"/>
      <sheetData sheetId="4866"/>
      <sheetData sheetId="4867"/>
      <sheetData sheetId="4868"/>
      <sheetData sheetId="4869"/>
      <sheetData sheetId="4870"/>
      <sheetData sheetId="4871"/>
      <sheetData sheetId="4872"/>
      <sheetData sheetId="4873"/>
      <sheetData sheetId="4874"/>
      <sheetData sheetId="4875"/>
      <sheetData sheetId="4876"/>
      <sheetData sheetId="4877"/>
      <sheetData sheetId="4878"/>
      <sheetData sheetId="4879"/>
      <sheetData sheetId="4880"/>
      <sheetData sheetId="4881"/>
      <sheetData sheetId="4882"/>
      <sheetData sheetId="4883"/>
      <sheetData sheetId="4884"/>
      <sheetData sheetId="4885"/>
      <sheetData sheetId="4886"/>
      <sheetData sheetId="4887"/>
      <sheetData sheetId="4888"/>
      <sheetData sheetId="4889"/>
      <sheetData sheetId="4890"/>
      <sheetData sheetId="4891"/>
      <sheetData sheetId="4892"/>
      <sheetData sheetId="4893"/>
      <sheetData sheetId="4894"/>
      <sheetData sheetId="4895"/>
      <sheetData sheetId="4896"/>
      <sheetData sheetId="4897"/>
      <sheetData sheetId="4898"/>
      <sheetData sheetId="4899"/>
      <sheetData sheetId="4900"/>
      <sheetData sheetId="4901"/>
      <sheetData sheetId="4902"/>
      <sheetData sheetId="4903"/>
      <sheetData sheetId="4904"/>
      <sheetData sheetId="4905"/>
      <sheetData sheetId="4906"/>
      <sheetData sheetId="4907"/>
      <sheetData sheetId="4908"/>
      <sheetData sheetId="4909"/>
      <sheetData sheetId="4910"/>
      <sheetData sheetId="4911"/>
      <sheetData sheetId="4912"/>
      <sheetData sheetId="4913"/>
      <sheetData sheetId="4914"/>
      <sheetData sheetId="4915"/>
      <sheetData sheetId="4916"/>
      <sheetData sheetId="4917"/>
      <sheetData sheetId="4918"/>
      <sheetData sheetId="4919"/>
      <sheetData sheetId="4920"/>
      <sheetData sheetId="4921"/>
      <sheetData sheetId="4922"/>
      <sheetData sheetId="4923"/>
      <sheetData sheetId="4924"/>
      <sheetData sheetId="4925"/>
      <sheetData sheetId="4926"/>
      <sheetData sheetId="4927"/>
      <sheetData sheetId="4928"/>
      <sheetData sheetId="4929"/>
      <sheetData sheetId="4930"/>
      <sheetData sheetId="4931"/>
      <sheetData sheetId="4932"/>
      <sheetData sheetId="4933"/>
      <sheetData sheetId="4934"/>
      <sheetData sheetId="4935"/>
      <sheetData sheetId="4936"/>
      <sheetData sheetId="4937"/>
      <sheetData sheetId="4938"/>
      <sheetData sheetId="4939"/>
      <sheetData sheetId="4940"/>
      <sheetData sheetId="4941"/>
      <sheetData sheetId="4942"/>
      <sheetData sheetId="4943"/>
      <sheetData sheetId="4944"/>
      <sheetData sheetId="4945"/>
      <sheetData sheetId="4946"/>
      <sheetData sheetId="4947"/>
      <sheetData sheetId="4948"/>
      <sheetData sheetId="4949"/>
      <sheetData sheetId="4950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/>
      <sheetData sheetId="4968"/>
      <sheetData sheetId="4969"/>
      <sheetData sheetId="4970"/>
      <sheetData sheetId="4971"/>
      <sheetData sheetId="4972"/>
      <sheetData sheetId="4973"/>
      <sheetData sheetId="4974"/>
      <sheetData sheetId="4975"/>
      <sheetData sheetId="4976"/>
      <sheetData sheetId="4977"/>
      <sheetData sheetId="4978"/>
      <sheetData sheetId="4979"/>
      <sheetData sheetId="4980"/>
      <sheetData sheetId="4981"/>
      <sheetData sheetId="4982"/>
      <sheetData sheetId="4983"/>
      <sheetData sheetId="4984"/>
      <sheetData sheetId="4985"/>
      <sheetData sheetId="4986"/>
      <sheetData sheetId="4987"/>
      <sheetData sheetId="4988"/>
      <sheetData sheetId="4989"/>
      <sheetData sheetId="4990"/>
      <sheetData sheetId="4991"/>
      <sheetData sheetId="4992"/>
      <sheetData sheetId="4993"/>
      <sheetData sheetId="4994"/>
      <sheetData sheetId="4995"/>
      <sheetData sheetId="4996"/>
      <sheetData sheetId="4997"/>
      <sheetData sheetId="4998"/>
      <sheetData sheetId="4999"/>
      <sheetData sheetId="5000"/>
      <sheetData sheetId="5001"/>
      <sheetData sheetId="5002"/>
      <sheetData sheetId="5003"/>
      <sheetData sheetId="5004"/>
      <sheetData sheetId="5005"/>
      <sheetData sheetId="5006"/>
      <sheetData sheetId="5007"/>
      <sheetData sheetId="5008"/>
      <sheetData sheetId="5009"/>
      <sheetData sheetId="5010"/>
      <sheetData sheetId="5011"/>
      <sheetData sheetId="5012"/>
      <sheetData sheetId="5013"/>
      <sheetData sheetId="5014"/>
      <sheetData sheetId="5015"/>
      <sheetData sheetId="5016"/>
      <sheetData sheetId="5017"/>
      <sheetData sheetId="5018"/>
      <sheetData sheetId="5019"/>
      <sheetData sheetId="5020"/>
      <sheetData sheetId="5021"/>
      <sheetData sheetId="5022"/>
      <sheetData sheetId="5023"/>
      <sheetData sheetId="5024"/>
      <sheetData sheetId="5025"/>
      <sheetData sheetId="5026"/>
      <sheetData sheetId="5027"/>
      <sheetData sheetId="5028"/>
      <sheetData sheetId="5029"/>
      <sheetData sheetId="5030"/>
      <sheetData sheetId="5031"/>
      <sheetData sheetId="5032"/>
      <sheetData sheetId="5033"/>
      <sheetData sheetId="5034"/>
      <sheetData sheetId="5035"/>
      <sheetData sheetId="5036"/>
      <sheetData sheetId="5037"/>
      <sheetData sheetId="5038"/>
      <sheetData sheetId="5039"/>
      <sheetData sheetId="5040"/>
      <sheetData sheetId="5041"/>
      <sheetData sheetId="5042"/>
      <sheetData sheetId="5043"/>
      <sheetData sheetId="5044"/>
      <sheetData sheetId="5045"/>
      <sheetData sheetId="5046"/>
      <sheetData sheetId="5047"/>
      <sheetData sheetId="5048"/>
      <sheetData sheetId="5049"/>
      <sheetData sheetId="5050"/>
      <sheetData sheetId="5051"/>
      <sheetData sheetId="5052"/>
      <sheetData sheetId="5053"/>
      <sheetData sheetId="5054"/>
      <sheetData sheetId="5055"/>
      <sheetData sheetId="5056"/>
      <sheetData sheetId="5057"/>
      <sheetData sheetId="5058"/>
      <sheetData sheetId="5059"/>
      <sheetData sheetId="5060"/>
      <sheetData sheetId="5061"/>
      <sheetData sheetId="5062"/>
      <sheetData sheetId="5063"/>
      <sheetData sheetId="5064"/>
      <sheetData sheetId="5065"/>
      <sheetData sheetId="5066"/>
      <sheetData sheetId="5067"/>
      <sheetData sheetId="5068"/>
      <sheetData sheetId="5069"/>
      <sheetData sheetId="5070"/>
      <sheetData sheetId="5071"/>
      <sheetData sheetId="5072"/>
      <sheetData sheetId="5073"/>
      <sheetData sheetId="5074"/>
      <sheetData sheetId="5075"/>
      <sheetData sheetId="5076"/>
      <sheetData sheetId="5077"/>
      <sheetData sheetId="5078"/>
      <sheetData sheetId="5079"/>
      <sheetData sheetId="5080"/>
      <sheetData sheetId="5081"/>
      <sheetData sheetId="5082"/>
      <sheetData sheetId="5083"/>
      <sheetData sheetId="5084"/>
      <sheetData sheetId="5085"/>
      <sheetData sheetId="5086"/>
      <sheetData sheetId="5087"/>
      <sheetData sheetId="5088"/>
      <sheetData sheetId="5089"/>
      <sheetData sheetId="5090"/>
      <sheetData sheetId="5091"/>
      <sheetData sheetId="5092"/>
      <sheetData sheetId="5093"/>
      <sheetData sheetId="5094"/>
      <sheetData sheetId="5095"/>
      <sheetData sheetId="5096"/>
      <sheetData sheetId="5097"/>
      <sheetData sheetId="5098"/>
      <sheetData sheetId="5099"/>
      <sheetData sheetId="5100"/>
      <sheetData sheetId="5101"/>
      <sheetData sheetId="5102"/>
      <sheetData sheetId="5103"/>
      <sheetData sheetId="5104"/>
      <sheetData sheetId="5105"/>
      <sheetData sheetId="5106"/>
      <sheetData sheetId="5107"/>
      <sheetData sheetId="5108"/>
      <sheetData sheetId="5109"/>
      <sheetData sheetId="5110"/>
      <sheetData sheetId="5111"/>
      <sheetData sheetId="5112"/>
      <sheetData sheetId="5113"/>
      <sheetData sheetId="5114"/>
      <sheetData sheetId="5115"/>
      <sheetData sheetId="5116"/>
      <sheetData sheetId="5117"/>
      <sheetData sheetId="5118"/>
      <sheetData sheetId="5119"/>
      <sheetData sheetId="5120"/>
      <sheetData sheetId="5121"/>
      <sheetData sheetId="5122"/>
      <sheetData sheetId="5123"/>
      <sheetData sheetId="5124"/>
      <sheetData sheetId="5125"/>
      <sheetData sheetId="5126"/>
      <sheetData sheetId="5127"/>
      <sheetData sheetId="5128"/>
      <sheetData sheetId="5129"/>
      <sheetData sheetId="5130"/>
      <sheetData sheetId="5131"/>
      <sheetData sheetId="5132"/>
      <sheetData sheetId="5133"/>
      <sheetData sheetId="5134"/>
      <sheetData sheetId="5135"/>
      <sheetData sheetId="5136"/>
      <sheetData sheetId="5137"/>
      <sheetData sheetId="5138"/>
      <sheetData sheetId="5139"/>
      <sheetData sheetId="5140"/>
      <sheetData sheetId="5141"/>
      <sheetData sheetId="5142"/>
      <sheetData sheetId="5143"/>
      <sheetData sheetId="5144"/>
      <sheetData sheetId="5145"/>
      <sheetData sheetId="5146"/>
      <sheetData sheetId="5147"/>
      <sheetData sheetId="5148"/>
      <sheetData sheetId="5149"/>
      <sheetData sheetId="5150"/>
      <sheetData sheetId="5151"/>
      <sheetData sheetId="5152"/>
      <sheetData sheetId="5153"/>
      <sheetData sheetId="5154"/>
      <sheetData sheetId="5155"/>
      <sheetData sheetId="5156"/>
      <sheetData sheetId="5157"/>
      <sheetData sheetId="5158"/>
      <sheetData sheetId="5159"/>
      <sheetData sheetId="5160"/>
      <sheetData sheetId="5161"/>
      <sheetData sheetId="5162"/>
      <sheetData sheetId="5163"/>
      <sheetData sheetId="5164"/>
      <sheetData sheetId="5165"/>
      <sheetData sheetId="5166"/>
      <sheetData sheetId="5167"/>
      <sheetData sheetId="5168"/>
      <sheetData sheetId="5169"/>
      <sheetData sheetId="5170"/>
      <sheetData sheetId="5171"/>
      <sheetData sheetId="5172"/>
      <sheetData sheetId="5173"/>
      <sheetData sheetId="5174"/>
      <sheetData sheetId="5175"/>
      <sheetData sheetId="5176"/>
      <sheetData sheetId="5177"/>
      <sheetData sheetId="5178"/>
      <sheetData sheetId="5179"/>
      <sheetData sheetId="5180"/>
      <sheetData sheetId="5181"/>
      <sheetData sheetId="5182"/>
      <sheetData sheetId="5183"/>
      <sheetData sheetId="5184"/>
      <sheetData sheetId="5185"/>
      <sheetData sheetId="5186"/>
      <sheetData sheetId="5187"/>
      <sheetData sheetId="5188"/>
      <sheetData sheetId="5189"/>
      <sheetData sheetId="5190"/>
      <sheetData sheetId="5191"/>
      <sheetData sheetId="5192"/>
      <sheetData sheetId="5193"/>
      <sheetData sheetId="5194"/>
      <sheetData sheetId="5195"/>
      <sheetData sheetId="5196"/>
      <sheetData sheetId="5197"/>
      <sheetData sheetId="5198"/>
      <sheetData sheetId="5199"/>
      <sheetData sheetId="5200"/>
      <sheetData sheetId="5201"/>
      <sheetData sheetId="5202"/>
      <sheetData sheetId="5203"/>
      <sheetData sheetId="5204"/>
      <sheetData sheetId="5205"/>
      <sheetData sheetId="5206"/>
      <sheetData sheetId="5207"/>
      <sheetData sheetId="5208"/>
      <sheetData sheetId="5209"/>
      <sheetData sheetId="5210"/>
      <sheetData sheetId="5211"/>
      <sheetData sheetId="5212"/>
      <sheetData sheetId="5213"/>
      <sheetData sheetId="5214"/>
      <sheetData sheetId="5215"/>
      <sheetData sheetId="5216"/>
      <sheetData sheetId="5217"/>
      <sheetData sheetId="5218"/>
      <sheetData sheetId="5219"/>
      <sheetData sheetId="5220" refreshError="1"/>
      <sheetData sheetId="5221" refreshError="1"/>
      <sheetData sheetId="5222" refreshError="1"/>
      <sheetData sheetId="5223" refreshError="1"/>
      <sheetData sheetId="5224" refreshError="1"/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 refreshError="1"/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 refreshError="1"/>
      <sheetData sheetId="5258" refreshError="1"/>
      <sheetData sheetId="5259" refreshError="1"/>
      <sheetData sheetId="5260" refreshError="1"/>
      <sheetData sheetId="5261" refreshError="1"/>
      <sheetData sheetId="5262" refreshError="1"/>
      <sheetData sheetId="5263" refreshError="1"/>
      <sheetData sheetId="5264" refreshError="1"/>
      <sheetData sheetId="5265" refreshError="1"/>
      <sheetData sheetId="5266" refreshError="1"/>
      <sheetData sheetId="5267" refreshError="1"/>
      <sheetData sheetId="5268" refreshError="1"/>
      <sheetData sheetId="5269" refreshError="1"/>
      <sheetData sheetId="5270" refreshError="1"/>
      <sheetData sheetId="5271" refreshError="1"/>
      <sheetData sheetId="5272" refreshError="1"/>
      <sheetData sheetId="5273" refreshError="1"/>
      <sheetData sheetId="5274" refreshError="1"/>
      <sheetData sheetId="5275" refreshError="1"/>
      <sheetData sheetId="5276" refreshError="1"/>
      <sheetData sheetId="5277" refreshError="1"/>
      <sheetData sheetId="5278" refreshError="1"/>
      <sheetData sheetId="5279" refreshError="1"/>
      <sheetData sheetId="5280" refreshError="1"/>
      <sheetData sheetId="5281" refreshError="1"/>
      <sheetData sheetId="5282" refreshError="1"/>
      <sheetData sheetId="5283" refreshError="1"/>
      <sheetData sheetId="5284" refreshError="1"/>
      <sheetData sheetId="5285" refreshError="1"/>
      <sheetData sheetId="5286" refreshError="1"/>
      <sheetData sheetId="5287" refreshError="1"/>
      <sheetData sheetId="5288" refreshError="1"/>
      <sheetData sheetId="5289"/>
      <sheetData sheetId="5290"/>
      <sheetData sheetId="5291" refreshError="1"/>
      <sheetData sheetId="5292" refreshError="1"/>
      <sheetData sheetId="5293" refreshError="1"/>
      <sheetData sheetId="5294" refreshError="1"/>
      <sheetData sheetId="5295" refreshError="1"/>
      <sheetData sheetId="5296" refreshError="1"/>
      <sheetData sheetId="5297" refreshError="1"/>
      <sheetData sheetId="5298" refreshError="1"/>
      <sheetData sheetId="5299" refreshError="1"/>
      <sheetData sheetId="5300" refreshError="1"/>
      <sheetData sheetId="5301" refreshError="1"/>
      <sheetData sheetId="5302" refreshError="1"/>
      <sheetData sheetId="5303" refreshError="1"/>
      <sheetData sheetId="5304" refreshError="1"/>
      <sheetData sheetId="5305" refreshError="1"/>
      <sheetData sheetId="5306" refreshError="1"/>
      <sheetData sheetId="5307" refreshError="1"/>
      <sheetData sheetId="5308" refreshError="1"/>
      <sheetData sheetId="5309" refreshError="1"/>
      <sheetData sheetId="5310" refreshError="1"/>
      <sheetData sheetId="5311" refreshError="1"/>
      <sheetData sheetId="5312" refreshError="1"/>
      <sheetData sheetId="5313"/>
      <sheetData sheetId="5314"/>
      <sheetData sheetId="5315"/>
      <sheetData sheetId="5316"/>
      <sheetData sheetId="5317"/>
      <sheetData sheetId="5318"/>
      <sheetData sheetId="5319"/>
      <sheetData sheetId="5320"/>
      <sheetData sheetId="5321"/>
      <sheetData sheetId="5322"/>
      <sheetData sheetId="5323"/>
      <sheetData sheetId="5324"/>
      <sheetData sheetId="5325" refreshError="1"/>
      <sheetData sheetId="5326" refreshError="1"/>
      <sheetData sheetId="5327" refreshError="1"/>
      <sheetData sheetId="5328" refreshError="1"/>
      <sheetData sheetId="5329" refreshError="1"/>
      <sheetData sheetId="5330" refreshError="1"/>
      <sheetData sheetId="5331" refreshError="1"/>
      <sheetData sheetId="5332" refreshError="1"/>
      <sheetData sheetId="5333" refreshError="1"/>
      <sheetData sheetId="5334" refreshError="1"/>
      <sheetData sheetId="5335" refreshError="1"/>
      <sheetData sheetId="5336" refreshError="1"/>
      <sheetData sheetId="5337" refreshError="1"/>
      <sheetData sheetId="5338" refreshError="1"/>
      <sheetData sheetId="5339" refreshError="1"/>
      <sheetData sheetId="5340" refreshError="1"/>
      <sheetData sheetId="5341" refreshError="1"/>
      <sheetData sheetId="5342" refreshError="1"/>
      <sheetData sheetId="5343" refreshError="1"/>
      <sheetData sheetId="5344" refreshError="1"/>
      <sheetData sheetId="5345" refreshError="1"/>
      <sheetData sheetId="5346" refreshError="1"/>
      <sheetData sheetId="5347" refreshError="1"/>
      <sheetData sheetId="5348" refreshError="1"/>
      <sheetData sheetId="5349" refreshError="1"/>
      <sheetData sheetId="5350" refreshError="1"/>
      <sheetData sheetId="5351" refreshError="1"/>
      <sheetData sheetId="5352" refreshError="1"/>
      <sheetData sheetId="5353" refreshError="1"/>
      <sheetData sheetId="5354" refreshError="1"/>
      <sheetData sheetId="5355" refreshError="1"/>
      <sheetData sheetId="5356" refreshError="1"/>
      <sheetData sheetId="5357" refreshError="1"/>
      <sheetData sheetId="5358" refreshError="1"/>
      <sheetData sheetId="5359" refreshError="1"/>
      <sheetData sheetId="5360" refreshError="1"/>
      <sheetData sheetId="5361" refreshError="1"/>
      <sheetData sheetId="5362" refreshError="1"/>
      <sheetData sheetId="5363" refreshError="1"/>
      <sheetData sheetId="5364" refreshError="1"/>
      <sheetData sheetId="5365" refreshError="1"/>
      <sheetData sheetId="5366" refreshError="1"/>
      <sheetData sheetId="5367" refreshError="1"/>
      <sheetData sheetId="5368" refreshError="1"/>
      <sheetData sheetId="5369" refreshError="1"/>
      <sheetData sheetId="5370" refreshError="1"/>
      <sheetData sheetId="5371" refreshError="1"/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 refreshError="1"/>
      <sheetData sheetId="5384" refreshError="1"/>
      <sheetData sheetId="5385" refreshError="1"/>
      <sheetData sheetId="5386" refreshError="1"/>
      <sheetData sheetId="5387" refreshError="1"/>
      <sheetData sheetId="5388" refreshError="1"/>
      <sheetData sheetId="5389" refreshError="1"/>
      <sheetData sheetId="5390" refreshError="1"/>
      <sheetData sheetId="5391" refreshError="1"/>
      <sheetData sheetId="5392" refreshError="1"/>
      <sheetData sheetId="5393" refreshError="1"/>
      <sheetData sheetId="5394" refreshError="1"/>
      <sheetData sheetId="5395" refreshError="1"/>
      <sheetData sheetId="5396" refreshError="1"/>
      <sheetData sheetId="5397" refreshError="1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 refreshError="1"/>
      <sheetData sheetId="5408" refreshError="1"/>
      <sheetData sheetId="5409" refreshError="1"/>
      <sheetData sheetId="5410" refreshError="1"/>
      <sheetData sheetId="5411" refreshError="1"/>
      <sheetData sheetId="5412" refreshError="1"/>
      <sheetData sheetId="5413" refreshError="1"/>
      <sheetData sheetId="5414" refreshError="1"/>
      <sheetData sheetId="5415" refreshError="1"/>
      <sheetData sheetId="5416" refreshError="1"/>
      <sheetData sheetId="5417" refreshError="1"/>
      <sheetData sheetId="5418" refreshError="1"/>
      <sheetData sheetId="5419" refreshError="1"/>
      <sheetData sheetId="5420" refreshError="1"/>
      <sheetData sheetId="5421" refreshError="1"/>
      <sheetData sheetId="5422" refreshError="1"/>
      <sheetData sheetId="5423" refreshError="1"/>
      <sheetData sheetId="5424" refreshError="1"/>
      <sheetData sheetId="5425" refreshError="1"/>
      <sheetData sheetId="5426" refreshError="1"/>
      <sheetData sheetId="5427" refreshError="1"/>
      <sheetData sheetId="5428" refreshError="1"/>
      <sheetData sheetId="5429" refreshError="1"/>
      <sheetData sheetId="5430" refreshError="1"/>
      <sheetData sheetId="5431" refreshError="1"/>
      <sheetData sheetId="5432" refreshError="1"/>
      <sheetData sheetId="5433" refreshError="1"/>
      <sheetData sheetId="5434" refreshError="1"/>
      <sheetData sheetId="5435" refreshError="1"/>
      <sheetData sheetId="5436" refreshError="1"/>
      <sheetData sheetId="5437" refreshError="1"/>
      <sheetData sheetId="5438" refreshError="1"/>
      <sheetData sheetId="5439" refreshError="1"/>
      <sheetData sheetId="5440" refreshError="1"/>
      <sheetData sheetId="5441" refreshError="1"/>
      <sheetData sheetId="5442" refreshError="1"/>
      <sheetData sheetId="5443" refreshError="1"/>
      <sheetData sheetId="5444" refreshError="1"/>
      <sheetData sheetId="5445" refreshError="1"/>
      <sheetData sheetId="5446" refreshError="1"/>
      <sheetData sheetId="5447" refreshError="1"/>
      <sheetData sheetId="5448" refreshError="1"/>
      <sheetData sheetId="5449" refreshError="1"/>
      <sheetData sheetId="5450" refreshError="1"/>
      <sheetData sheetId="5451" refreshError="1"/>
      <sheetData sheetId="5452" refreshError="1"/>
      <sheetData sheetId="5453" refreshError="1"/>
      <sheetData sheetId="5454" refreshError="1"/>
      <sheetData sheetId="5455" refreshError="1"/>
      <sheetData sheetId="5456" refreshError="1"/>
      <sheetData sheetId="5457" refreshError="1"/>
      <sheetData sheetId="5458" refreshError="1"/>
      <sheetData sheetId="5459" refreshError="1"/>
      <sheetData sheetId="5460" refreshError="1"/>
      <sheetData sheetId="5461" refreshError="1"/>
      <sheetData sheetId="5462" refreshError="1"/>
      <sheetData sheetId="5463" refreshError="1"/>
      <sheetData sheetId="5464" refreshError="1"/>
      <sheetData sheetId="5465" refreshError="1"/>
      <sheetData sheetId="5466" refreshError="1"/>
      <sheetData sheetId="5467" refreshError="1"/>
      <sheetData sheetId="5468" refreshError="1"/>
      <sheetData sheetId="5469" refreshError="1"/>
      <sheetData sheetId="5470" refreshError="1"/>
      <sheetData sheetId="5471" refreshError="1"/>
      <sheetData sheetId="5472" refreshError="1"/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 refreshError="1"/>
      <sheetData sheetId="5479" refreshError="1"/>
      <sheetData sheetId="5480" refreshError="1"/>
      <sheetData sheetId="5481" refreshError="1"/>
      <sheetData sheetId="5482" refreshError="1"/>
      <sheetData sheetId="5483" refreshError="1"/>
      <sheetData sheetId="5484" refreshError="1"/>
      <sheetData sheetId="5485" refreshError="1"/>
      <sheetData sheetId="5486" refreshError="1"/>
      <sheetData sheetId="5487" refreshError="1"/>
      <sheetData sheetId="5488" refreshError="1"/>
      <sheetData sheetId="5489" refreshError="1"/>
      <sheetData sheetId="5490" refreshError="1"/>
      <sheetData sheetId="5491" refreshError="1"/>
      <sheetData sheetId="5492" refreshError="1"/>
      <sheetData sheetId="5493" refreshError="1"/>
      <sheetData sheetId="5494" refreshError="1"/>
      <sheetData sheetId="5495" refreshError="1"/>
      <sheetData sheetId="5496" refreshError="1"/>
      <sheetData sheetId="5497" refreshError="1"/>
      <sheetData sheetId="5498" refreshError="1"/>
      <sheetData sheetId="5499" refreshError="1"/>
      <sheetData sheetId="5500" refreshError="1"/>
      <sheetData sheetId="5501" refreshError="1"/>
      <sheetData sheetId="5502" refreshError="1"/>
      <sheetData sheetId="5503" refreshError="1"/>
      <sheetData sheetId="5504" refreshError="1"/>
      <sheetData sheetId="5505" refreshError="1"/>
      <sheetData sheetId="5506" refreshError="1"/>
      <sheetData sheetId="5507" refreshError="1"/>
      <sheetData sheetId="5508" refreshError="1"/>
      <sheetData sheetId="5509" refreshError="1"/>
      <sheetData sheetId="5510" refreshError="1"/>
      <sheetData sheetId="5511" refreshError="1"/>
      <sheetData sheetId="5512" refreshError="1"/>
      <sheetData sheetId="5513" refreshError="1"/>
      <sheetData sheetId="5514" refreshError="1"/>
      <sheetData sheetId="5515" refreshError="1"/>
      <sheetData sheetId="5516" refreshError="1"/>
      <sheetData sheetId="5517" refreshError="1"/>
      <sheetData sheetId="5518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LOK"/>
      <sheetName val="KOLOM"/>
      <sheetName val="PELAT"/>
      <sheetName val="P. TELAPAK"/>
      <sheetName val="POER"/>
      <sheetName val="BOREPILE"/>
      <sheetName val="TANGGA"/>
      <sheetName val="SLOOF"/>
      <sheetName val="LISPLANK"/>
      <sheetName val="DINDING"/>
      <sheetName val="BAHAN &amp; UPAH"/>
      <sheetName val="ANALISA"/>
      <sheetName val="REKAP"/>
      <sheetName val="Sheet14"/>
      <sheetName val="Sheet15"/>
      <sheetName val="Sheet16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ume"/>
      <sheetName val="2x2"/>
      <sheetName val="TUL DOUBLE"/>
      <sheetName val="B Tlg SINGLE"/>
      <sheetName val="B Tlg (2)"/>
      <sheetName val="V.2,5x3,5"/>
      <sheetName val="schedule"/>
      <sheetName val="CH"/>
      <sheetName val="IND"/>
      <sheetName val="DATA KONTRAK."/>
      <sheetName val="Rekap "/>
      <sheetName val="Rekap  (2)"/>
      <sheetName val="Pareto"/>
      <sheetName val="BOQ"/>
      <sheetName val="BOQ (2)"/>
      <sheetName val="ANA LS "/>
      <sheetName val="ANA"/>
      <sheetName val="AGG.A"/>
      <sheetName val="AGG.B"/>
      <sheetName val="HRS"/>
      <sheetName val="Gal. Biasa"/>
      <sheetName val="Pas.Bt.Mortar"/>
      <sheetName val="MPU"/>
      <sheetName val="SUBkon"/>
      <sheetName val="HSD.Upah"/>
      <sheetName val="HSD.Bahan"/>
      <sheetName val="HSD.Alat"/>
      <sheetName val="MOS"/>
      <sheetName val="TSCH"/>
      <sheetName val="TSCH (2)"/>
      <sheetName val="TSCH (3)"/>
      <sheetName val="kONF."/>
      <sheetName val="LS-Rutin"/>
      <sheetName val="BOQ (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"/>
      <sheetName val="surat"/>
      <sheetName val="rekap"/>
      <sheetName val="BOQ"/>
      <sheetName val="BOQ (2)"/>
      <sheetName val="harsat"/>
      <sheetName val="jadwal"/>
      <sheetName val="MOBIL"/>
      <sheetName val="MOBIL (2)"/>
      <sheetName val="ANALISA"/>
      <sheetName val="MOS"/>
      <sheetName val="utama"/>
      <sheetName val="ipl"/>
      <sheetName val="alat"/>
      <sheetName val="STF"/>
      <sheetName val="SUB"/>
      <sheetName val="metod"/>
      <sheetName val="LAMP10"/>
      <sheetName val="dukungan"/>
      <sheetName val="PEGAWAI"/>
      <sheetName val="jadwal alt"/>
      <sheetName val="jadwal BHN"/>
      <sheetName val="KONF"/>
      <sheetName val="BALT"/>
      <sheetName val="IND (2)"/>
      <sheetName val="ANA(2a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REKAP UTAMA"/>
      <sheetName val="PERSIAPAN"/>
      <sheetName val="STRUKTUR"/>
      <sheetName val="Pek finising"/>
      <sheetName val="anpartisi (2005)"/>
      <sheetName val="anpartisi PP-1"/>
      <sheetName val="ankosen"/>
      <sheetName val="HG Bahan"/>
      <sheetName val="An Beton"/>
      <sheetName val="AN HG DKI"/>
      <sheetName val="HALAMAN"/>
      <sheetName val="ana kolom praktis"/>
      <sheetName val="ELEKTRIKAL 05"/>
      <sheetName val="MEKANIKAL05"/>
      <sheetName val="FINISHING"/>
      <sheetName val="ME Lain-Lain"/>
      <sheetName val="ANALISA ME"/>
      <sheetName val="anpartisi (REV)"/>
      <sheetName val="ars_fin"/>
      <sheetName val="HNS2"/>
      <sheetName val="HNS"/>
      <sheetName val="harga dasar"/>
      <sheetName val="ahs struktur"/>
      <sheetName val="Breakd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vered_Sheet1"/>
      <sheetName val="Recovered_Sheet2"/>
      <sheetName val="Recovered_Sheet3"/>
      <sheetName val="INFOR"/>
      <sheetName val="RAB"/>
      <sheetName val="REKAP"/>
      <sheetName val="EVAL"/>
      <sheetName val="ANALIS"/>
      <sheetName val="HARGA SATUAN"/>
      <sheetName val="METODE ALAT"/>
      <sheetName val="ONSITE"/>
      <sheetName val="METHODE"/>
      <sheetName val="JADWAL"/>
      <sheetName val="ALAT"/>
      <sheetName val="STAF"/>
      <sheetName val="ANL BAH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"/>
      <sheetName val="10000"/>
      <sheetName val="AAAAA"/>
      <sheetName val="Harga"/>
      <sheetName val="Analisa SNI"/>
      <sheetName val="Analisa Alat"/>
      <sheetName val="Analisa K"/>
      <sheetName val="RAB"/>
      <sheetName val="vol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asi"/>
      <sheetName val="Rekap"/>
      <sheetName val="RAB"/>
      <sheetName val="BQ 2024"/>
      <sheetName val="VOLUME"/>
      <sheetName val="AHSP 2016 Pakai"/>
      <sheetName val="AHSP 2023"/>
      <sheetName val="Basic Price 2023"/>
      <sheetName val="Analisa Alat Berat Exa PC200"/>
      <sheetName val="Analisa Galian Tanah EXA PC 200"/>
      <sheetName val="Mobilisasi"/>
      <sheetName val="Basic Price"/>
      <sheetName val="Dimensi Saluran"/>
      <sheetName val="Panjang "/>
      <sheetName val="Perhit. Dimensi Sal."/>
      <sheetName val="5-ALAT(2)"/>
      <sheetName val="schedule"/>
      <sheetName val="Sheet1"/>
      <sheetName val="#REF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"/>
      <sheetName val="surat"/>
      <sheetName val="rekap"/>
      <sheetName val="BOQ"/>
      <sheetName val="harsat"/>
      <sheetName val="sorter"/>
      <sheetName val="analisa-mob"/>
      <sheetName val="ANALISA"/>
      <sheetName val="METODE-PEN"/>
      <sheetName val="metod-pel"/>
      <sheetName val="jadwal"/>
      <sheetName val="STF"/>
      <sheetName val="alat"/>
      <sheetName val="KONF"/>
      <sheetName val="MOS"/>
      <sheetName val="utama"/>
      <sheetName val="ipl"/>
      <sheetName val="SUB"/>
      <sheetName val="LAMP10 (2)"/>
      <sheetName val="PEGAWAI"/>
      <sheetName val="jadwal alt"/>
      <sheetName val="jadwal BHN"/>
      <sheetName val="BALT"/>
      <sheetName val="IND (2)"/>
      <sheetName val="ANA(2a)"/>
      <sheetName val="BOQ (2)"/>
      <sheetName val="metod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"/>
      <sheetName val="Harga MAt"/>
      <sheetName val="Foundation"/>
      <sheetName val="SITE-E"/>
      <sheetName val="Fill this out first___"/>
      <sheetName val="SAP"/>
      <sheetName val="BAG-III"/>
      <sheetName val="ALEK"/>
      <sheetName val="H.Satuan"/>
      <sheetName val="DAF-2"/>
      <sheetName val="Bangunan Utama"/>
      <sheetName val="DAFTAR HARGA"/>
      <sheetName val="TONG HOP VL-NC"/>
      <sheetName val="#REF"/>
      <sheetName val="chitiet"/>
      <sheetName val="DONGIA"/>
      <sheetName val="DON GIA"/>
      <sheetName val="DG"/>
      <sheetName val="TONGKE3p "/>
      <sheetName val="VCV-BE-TONG"/>
      <sheetName val="CHITIET VL-NC"/>
      <sheetName val="Mtd_Pelak"/>
      <sheetName val="FINISHING"/>
      <sheetName val="PLUMBING"/>
      <sheetName val="STRUKTUR"/>
      <sheetName val="TE TS FA LAN MATV"/>
      <sheetName val="HB"/>
      <sheetName val="Analisa ME"/>
      <sheetName val="REF.ONLY"/>
      <sheetName val="Harga_MAt"/>
      <sheetName val="Fill_this_out_first___"/>
      <sheetName val="Fill this out first..."/>
      <sheetName val="BAHAN"/>
      <sheetName val="Elektrikal"/>
      <sheetName val="Anls"/>
      <sheetName val="ES-aLL"/>
      <sheetName val="HRG BHN"/>
      <sheetName val="anal"/>
      <sheetName val="Material"/>
      <sheetName val="lap-bulan"/>
      <sheetName val="Lap-Minggu"/>
      <sheetName val="Bhn"/>
      <sheetName val="Currency Rate"/>
      <sheetName val="A_2"/>
      <sheetName val="Analisa -Baku"/>
      <sheetName val="Rekap Direct Cost"/>
      <sheetName val="BQNSC"/>
      <sheetName val="Analisa Baku ME"/>
      <sheetName val="CONSUMABLE"/>
      <sheetName val="harsat_str"/>
      <sheetName val="Koef"/>
      <sheetName val="ANALISA PEK.UMUM"/>
      <sheetName val="Harsat"/>
      <sheetName val="Harga Satuan"/>
      <sheetName val="BAG_III"/>
      <sheetName val="TNHCHINH"/>
      <sheetName val="TDTKP"/>
      <sheetName val="BOQ"/>
      <sheetName val="div7"/>
      <sheetName val="LABTOTAL"/>
      <sheetName val="Rekapitulasi"/>
      <sheetName val="Soil factor"/>
      <sheetName val="Pricing-2"/>
      <sheetName val="DAF_2"/>
      <sheetName val="Code 02"/>
      <sheetName val="Code 03"/>
      <sheetName val="Code 04"/>
      <sheetName val="Code 05"/>
      <sheetName val="Code 06"/>
      <sheetName val="Code 07"/>
      <sheetName val="Code 09"/>
      <sheetName val="UP PL"/>
      <sheetName val="Analisa Bupati"/>
      <sheetName val="BQ"/>
      <sheetName val="Scd_RAB"/>
      <sheetName val="Penwrn"/>
      <sheetName val="Schedule"/>
      <sheetName val="hbaup"/>
      <sheetName val="Rekap"/>
      <sheetName val="ch"/>
      <sheetName val="rab"/>
      <sheetName val="CERT"/>
      <sheetName val="Smry Wk (P I)"/>
      <sheetName val="valve"/>
      <sheetName val="ppr12"/>
      <sheetName val="Summary_BQ"/>
      <sheetName val="Upah_Bahan"/>
      <sheetName val="CashFlow"/>
      <sheetName val="Sheet1"/>
      <sheetName val="Hrg.Sat"/>
      <sheetName val="TH VL, NC, DDHT Thanhphuoc"/>
      <sheetName val="Tiepdia"/>
      <sheetName val="COA-17"/>
      <sheetName val="harga"/>
      <sheetName val="Cover"/>
      <sheetName val="Kontrak awal"/>
      <sheetName val="Check List LBP"/>
      <sheetName val="3.g. Ikht.Biaya"/>
      <sheetName val="ARSITEKTUR"/>
      <sheetName val="DAFTAR HARGA SATUAN MATERIAL"/>
      <sheetName val="dft-harga"/>
      <sheetName val="Tabels"/>
      <sheetName val="div"/>
      <sheetName val="I-KAMAR"/>
      <sheetName val="BasicPrice"/>
      <sheetName val=" R A B"/>
      <sheetName val="UPAH-BAHAN."/>
      <sheetName val="ES_aLL"/>
      <sheetName val="Rekap dpb 11"/>
      <sheetName val="LB 01"/>
      <sheetName val="an. struktur"/>
      <sheetName val="Dashboard"/>
      <sheetName val="TOWN"/>
      <sheetName val="CATU DAYA LISTRIK PLB"/>
      <sheetName val="PERALATAN UTAMA PK"/>
      <sheetName val="CATU DAYA LISTRIK PK"/>
      <sheetName val="PERALATAN &amp; KATUP2 PK"/>
      <sheetName val="PERALATAN UTAMA PLB"/>
      <sheetName val="PERALATAN &amp; KATUP2 PLB"/>
      <sheetName val="PEMIPAAN PK"/>
      <sheetName val="PEMIPAAN PLB"/>
      <sheetName val="Bunga"/>
      <sheetName val="Coord"/>
      <sheetName val="Isolasi Luar Dalam"/>
      <sheetName val="Isolasi Luar"/>
      <sheetName val="price"/>
      <sheetName val="Bill rekap"/>
      <sheetName val="OFFICE 2 LT"/>
      <sheetName val="Bill sipil"/>
      <sheetName val="Material&amp;Alat"/>
      <sheetName val="DB"/>
      <sheetName val="BQ-ME"/>
      <sheetName val="BQ ME"/>
      <sheetName val="Unit Rate"/>
      <sheetName val="부하(성남)"/>
      <sheetName val="material "/>
      <sheetName val="SECURITY"/>
      <sheetName val="Telephone"/>
      <sheetName val="S System"/>
      <sheetName val="Upah"/>
      <sheetName val="csdim"/>
      <sheetName val="cdsload"/>
      <sheetName val="chsload"/>
      <sheetName val="CLAMP"/>
      <sheetName val="cvsload"/>
      <sheetName val="pipe"/>
      <sheetName val="FORM X COST"/>
      <sheetName val="Cessie"/>
      <sheetName val="Eval TW I 2014"/>
      <sheetName val="Prognosa 2014"/>
      <sheetName val="3"/>
      <sheetName val="info"/>
      <sheetName val="Pendahuluan"/>
      <sheetName val="BQ-Str"/>
      <sheetName val="PO-2"/>
      <sheetName val="9"/>
      <sheetName val="REF_ONLY"/>
      <sheetName val="UBA RAB"/>
      <sheetName val="Cash in"/>
      <sheetName val="작성기준"/>
      <sheetName val="Lab, Mat &amp; Plant Splits"/>
      <sheetName val="District Loading"/>
      <sheetName val="I_Jan"/>
      <sheetName val="ESCON"/>
      <sheetName val="MTO REV.0"/>
      <sheetName val="BAG_2"/>
      <sheetName val="tarip"/>
      <sheetName val="tunj."/>
      <sheetName val="A"/>
      <sheetName val="trf-d-w"/>
      <sheetName val="trf d-i"/>
      <sheetName val="tarif"/>
      <sheetName val="trf"/>
      <sheetName val="surfacing &amp; point..."/>
      <sheetName val="stone mas ARE"/>
      <sheetName val="REKAP ARSITEKTUR"/>
      <sheetName val="C"/>
      <sheetName val="gabungan (2)"/>
      <sheetName val="DHS"/>
      <sheetName val="an-aspal"/>
      <sheetName val="rumus"/>
      <sheetName val="TOWER-B"/>
      <sheetName val="ref"/>
      <sheetName val="villa"/>
      <sheetName val="Mat.Elk"/>
      <sheetName val="P.LS"/>
      <sheetName val="AHS"/>
      <sheetName val="Single line AC"/>
      <sheetName val="Lampu"/>
      <sheetName val="P.AC"/>
      <sheetName val="elekt"/>
      <sheetName val="rekap panel"/>
      <sheetName val="Harga ME "/>
      <sheetName val="A+Supl."/>
      <sheetName val="7"/>
      <sheetName val="COSTCODE"/>
      <sheetName val="????"/>
      <sheetName val="??(??)"/>
      <sheetName val="Formula"/>
      <sheetName val="H_Satuan"/>
      <sheetName val="Bangunan_Utama"/>
      <sheetName val="Hrg-elemen"/>
      <sheetName val="Peralatan"/>
      <sheetName val="daf-3(OK)"/>
      <sheetName val="daf-7(OK)"/>
      <sheetName val="ANALISA - PGRKAN"/>
      <sheetName val="REKAP AHS Lansekap"/>
      <sheetName val="daftar timbngn percoba marshal"/>
      <sheetName val="isian"/>
      <sheetName val="Harga S Dasar UNTUK IDISI"/>
      <sheetName val="clg fin"/>
      <sheetName val="flr fin"/>
      <sheetName val="Col"/>
      <sheetName val="Rif_Col"/>
      <sheetName val="timber frame"/>
      <sheetName val="Wall Qty"/>
      <sheetName val="roof fin"/>
      <sheetName val="Flr, Rf Bm"/>
      <sheetName val="Rif_PCap"/>
      <sheetName val="Flr Slb, stair"/>
      <sheetName val="Gd Bm"/>
      <sheetName val="PC, G.Slab"/>
      <sheetName val="wall fin"/>
      <sheetName val="ARS ADM"/>
      <sheetName val="Alat"/>
      <sheetName val="RAP"/>
      <sheetName val="Sub"/>
      <sheetName val="Labour"/>
      <sheetName val="INDEX"/>
      <sheetName val="LOK_A"/>
      <sheetName val="CODE"/>
      <sheetName val="C-18"/>
      <sheetName val="Factor"/>
      <sheetName val="custom check"/>
      <sheetName val="UNIT 01,02,03,04"/>
      <sheetName val="Data"/>
      <sheetName val="EE-PROP"/>
      <sheetName val="FORM"/>
      <sheetName val="610 6"/>
      <sheetName val="rpp 1-5"/>
      <sheetName val="rpp 1-6"/>
      <sheetName val="LISTRIK"/>
      <sheetName val="RINCIAN HK DIVISI"/>
      <sheetName val="lookup"/>
      <sheetName val="is"/>
      <sheetName val="workingcap"/>
      <sheetName val="trans_sum"/>
      <sheetName val="inputs"/>
      <sheetName val="MUA"/>
      <sheetName val="Asumsi"/>
      <sheetName val="HARGA MATERIAL"/>
      <sheetName val="Daf 1"/>
      <sheetName val="I_KAMAR"/>
      <sheetName val="KOEFISIEN TEKNIS"/>
      <sheetName val="(ANALISA-lain)"/>
      <sheetName val="Daf_Anl"/>
      <sheetName val="corefwrate"/>
      <sheetName val="ANALISA 2010"/>
      <sheetName val="ﾃｨｰﾁﾝｸﾞ"/>
      <sheetName val="DAF-5"/>
      <sheetName val="Rab-Plumbing"/>
      <sheetName val="Rekap-PL"/>
      <sheetName val="____"/>
      <sheetName val="__(__)"/>
      <sheetName val="UPAH "/>
      <sheetName val="nc-m"/>
      <sheetName val="Harga_MAt2"/>
      <sheetName val="TONG_HOP_VL-NC1"/>
      <sheetName val="DON_GIA1"/>
      <sheetName val="TONGKE3p_1"/>
      <sheetName val="CHITIET_VL-NC1"/>
      <sheetName val="H_Satuan1"/>
      <sheetName val="Fill_this_out_first___3"/>
      <sheetName val="Bangunan_Utama1"/>
      <sheetName val="TE_TS_FA_LAN_MATV1"/>
      <sheetName val="Analisa_ME1"/>
      <sheetName val="REF_ONLY2"/>
      <sheetName val="DAFTAR_HARGA1"/>
      <sheetName val="Fill_this_out_first___4"/>
      <sheetName val="HRG_BHN1"/>
      <sheetName val="Analisa_-Baku1"/>
      <sheetName val="Rekap_Direct_Cost1"/>
      <sheetName val="Analisa_Baku_ME1"/>
      <sheetName val="ANALISA_PEK_UMUM1"/>
      <sheetName val="Harga_Satuan1"/>
      <sheetName val="Currency_Rate1"/>
      <sheetName val="Code_021"/>
      <sheetName val="Code_031"/>
      <sheetName val="Code_041"/>
      <sheetName val="Code_051"/>
      <sheetName val="Code_061"/>
      <sheetName val="Code_071"/>
      <sheetName val="Code_091"/>
      <sheetName val="Hrg_Sat1"/>
      <sheetName val="TH_VL,_NC,_DDHT_Thanhphuoc1"/>
      <sheetName val="Eval_TW_I_20141"/>
      <sheetName val="Prognosa_20141"/>
      <sheetName val="UP_PL1"/>
      <sheetName val="Analisa_Bupati1"/>
      <sheetName val="Soil_factor1"/>
      <sheetName val="Smry_Wk_(P_I)1"/>
      <sheetName val="an__struktur1"/>
      <sheetName val="surfacing_&amp;_point___1"/>
      <sheetName val="stone_mas_ARE1"/>
      <sheetName val="REKAP_ARSITEKTUR1"/>
      <sheetName val="ANALISA_-_PGRKAN1"/>
      <sheetName val="REKAP_AHS_Lansekap1"/>
      <sheetName val="OFFICE_2_LT1"/>
      <sheetName val="S_System1"/>
      <sheetName val="DAFTAR_HARGA_SATUAN_MATERIAL1"/>
      <sheetName val="Kontrak_awal1"/>
      <sheetName val="Check_List_LBP1"/>
      <sheetName val="3_g__Ikht_Biaya1"/>
      <sheetName val="Bill_rekap1"/>
      <sheetName val="Bill_sipil1"/>
      <sheetName val="UPAH-BAHAN_1"/>
      <sheetName val="Unit_Rate1"/>
      <sheetName val="daftar_timbngn_percoba_marshal1"/>
      <sheetName val="gabungan_(2)1"/>
      <sheetName val="clg_fin1"/>
      <sheetName val="flr_fin1"/>
      <sheetName val="timber_frame1"/>
      <sheetName val="Wall_Qty1"/>
      <sheetName val="roof_fin1"/>
      <sheetName val="Flr,_Rf_Bm1"/>
      <sheetName val="Flr_Slb,_stair1"/>
      <sheetName val="Gd_Bm1"/>
      <sheetName val="PC,_G_Slab1"/>
      <sheetName val="wall_fin1"/>
      <sheetName val="BQ_ME1"/>
      <sheetName val="Isolasi_Luar_Dalam1"/>
      <sheetName val="Isolasi_Luar1"/>
      <sheetName val="FORM_X_COST1"/>
      <sheetName val="UNIT_01,02,03,041"/>
      <sheetName val="Lab,_Mat_&amp;_Plant_Splits1"/>
      <sheetName val="District_Loading1"/>
      <sheetName val="CATU_DAYA_LISTRIK_PLB1"/>
      <sheetName val="PERALATAN_UTAMA_PK1"/>
      <sheetName val="CATU_DAYA_LISTRIK_PK1"/>
      <sheetName val="PERALATAN_&amp;_KATUP2_PK1"/>
      <sheetName val="PERALATAN_UTAMA_PLB1"/>
      <sheetName val="PERALATAN_&amp;_KATUP2_PLB1"/>
      <sheetName val="PEMIPAAN_PK1"/>
      <sheetName val="PEMIPAAN_PLB1"/>
      <sheetName val="Cash_in1"/>
      <sheetName val="_R_A_B1"/>
      <sheetName val="Rekap_dpb_111"/>
      <sheetName val="LB_011"/>
      <sheetName val="material_1"/>
      <sheetName val="Mat_Elk1"/>
      <sheetName val="P_LS1"/>
      <sheetName val="Single_line_AC1"/>
      <sheetName val="P_AC1"/>
      <sheetName val="rekap_panel1"/>
      <sheetName val="MTO_REV_01"/>
      <sheetName val="RINCIAN_HK_DIVISI1"/>
      <sheetName val="Harga_MAt1"/>
      <sheetName val="TONG_HOP_VL-NC"/>
      <sheetName val="DON_GIA"/>
      <sheetName val="TONGKE3p_"/>
      <sheetName val="CHITIET_VL-NC"/>
      <sheetName val="Fill_this_out_first___1"/>
      <sheetName val="TE_TS_FA_LAN_MATV"/>
      <sheetName val="Analisa_ME"/>
      <sheetName val="REF_ONLY1"/>
      <sheetName val="DAFTAR_HARGA"/>
      <sheetName val="Fill_this_out_first___2"/>
      <sheetName val="HRG_BHN"/>
      <sheetName val="Analisa_-Baku"/>
      <sheetName val="Rekap_Direct_Cost"/>
      <sheetName val="Analisa_Baku_ME"/>
      <sheetName val="ANALISA_PEK_UMUM"/>
      <sheetName val="Harga_Satuan"/>
      <sheetName val="Currency_Rate"/>
      <sheetName val="Code_02"/>
      <sheetName val="Code_03"/>
      <sheetName val="Code_04"/>
      <sheetName val="Code_05"/>
      <sheetName val="Code_06"/>
      <sheetName val="Code_07"/>
      <sheetName val="Code_09"/>
      <sheetName val="Hrg_Sat"/>
      <sheetName val="TH_VL,_NC,_DDHT_Thanhphuoc"/>
      <sheetName val="Eval_TW_I_2014"/>
      <sheetName val="Prognosa_2014"/>
      <sheetName val="UP_PL"/>
      <sheetName val="Analisa_Bupati"/>
      <sheetName val="Soil_factor"/>
      <sheetName val="Smry_Wk_(P_I)"/>
      <sheetName val="an__struktur"/>
      <sheetName val="surfacing_&amp;_point___"/>
      <sheetName val="stone_mas_ARE"/>
      <sheetName val="REKAP_ARSITEKTUR"/>
      <sheetName val="ANALISA_-_PGRKAN"/>
      <sheetName val="REKAP_AHS_Lansekap"/>
      <sheetName val="OFFICE_2_LT"/>
      <sheetName val="S_System"/>
      <sheetName val="DAFTAR_HARGA_SATUAN_MATERIAL"/>
      <sheetName val="Kontrak_awal"/>
      <sheetName val="Check_List_LBP"/>
      <sheetName val="3_g__Ikht_Biaya"/>
      <sheetName val="Bill_rekap"/>
      <sheetName val="Bill_sipil"/>
      <sheetName val="UPAH-BAHAN_"/>
      <sheetName val="Unit_Rate"/>
      <sheetName val="daftar_timbngn_percoba_marshal"/>
      <sheetName val="gabungan_(2)"/>
      <sheetName val="clg_fin"/>
      <sheetName val="flr_fin"/>
      <sheetName val="timber_frame"/>
      <sheetName val="Wall_Qty"/>
      <sheetName val="roof_fin"/>
      <sheetName val="Flr,_Rf_Bm"/>
      <sheetName val="Flr_Slb,_stair"/>
      <sheetName val="Gd_Bm"/>
      <sheetName val="PC,_G_Slab"/>
      <sheetName val="wall_fin"/>
      <sheetName val="BQ_ME"/>
      <sheetName val="Isolasi_Luar_Dalam"/>
      <sheetName val="FORM_X_COST"/>
      <sheetName val="UNIT_01,02,03,04"/>
      <sheetName val="Lab,_Mat_&amp;_Plant_Splits"/>
      <sheetName val="District_Loading"/>
      <sheetName val="CATU_DAYA_LISTRIK_PLB"/>
      <sheetName val="PERALATAN_UTAMA_PK"/>
      <sheetName val="CATU_DAYA_LISTRIK_PK"/>
      <sheetName val="PERALATAN_&amp;_KATUP2_PK"/>
      <sheetName val="PERALATAN_UTAMA_PLB"/>
      <sheetName val="PERALATAN_&amp;_KATUP2_PLB"/>
      <sheetName val="PEMIPAAN_PK"/>
      <sheetName val="PEMIPAAN_PLB"/>
      <sheetName val="Isolasi_Luar"/>
      <sheetName val="Cash_in"/>
      <sheetName val="_R_A_B"/>
      <sheetName val="Rekap_dpb_11"/>
      <sheetName val="LB_01"/>
      <sheetName val="material_"/>
      <sheetName val="Mat_Elk"/>
      <sheetName val="P_LS"/>
      <sheetName val="Single_line_AC"/>
      <sheetName val="P_AC"/>
      <sheetName val="rekap_panel"/>
      <sheetName val="MTO_REV_0"/>
      <sheetName val="RINCIAN_HK_DIVISI"/>
      <sheetName val="custom_check"/>
      <sheetName val="A+Supl_"/>
      <sheetName val="custom_check1"/>
      <sheetName val="A+Supl_1"/>
      <sheetName val="Harga_MAt3"/>
      <sheetName val="TONG_HOP_VL-NC2"/>
      <sheetName val="DON_GIA2"/>
      <sheetName val="TONGKE3p_2"/>
      <sheetName val="CHITIET_VL-NC2"/>
      <sheetName val="H_Satuan2"/>
      <sheetName val="Fill_this_out_first___5"/>
      <sheetName val="Bangunan_Utama2"/>
      <sheetName val="TE_TS_FA_LAN_MATV2"/>
      <sheetName val="Analisa_ME2"/>
      <sheetName val="REF_ONLY3"/>
      <sheetName val="DAFTAR_HARGA2"/>
      <sheetName val="Fill_this_out_first___6"/>
      <sheetName val="HRG_BHN2"/>
      <sheetName val="Analisa_-Baku2"/>
      <sheetName val="Rekap_Direct_Cost2"/>
      <sheetName val="Analisa_Baku_ME2"/>
      <sheetName val="ANALISA_PEK_UMUM2"/>
      <sheetName val="Harga_Satuan2"/>
      <sheetName val="Currency_Rate2"/>
      <sheetName val="Code_022"/>
      <sheetName val="Code_032"/>
      <sheetName val="Code_042"/>
      <sheetName val="Code_052"/>
      <sheetName val="Code_062"/>
      <sheetName val="Code_072"/>
      <sheetName val="Code_092"/>
      <sheetName val="Hrg_Sat2"/>
      <sheetName val="TH_VL,_NC,_DDHT_Thanhphuoc2"/>
      <sheetName val="Eval_TW_I_20142"/>
      <sheetName val="Prognosa_20142"/>
      <sheetName val="UP_PL2"/>
      <sheetName val="Analisa_Bupati2"/>
      <sheetName val="Soil_factor2"/>
      <sheetName val="Smry_Wk_(P_I)2"/>
      <sheetName val="an__struktur2"/>
      <sheetName val="surfacing_&amp;_point___2"/>
      <sheetName val="stone_mas_ARE2"/>
      <sheetName val="REKAP_ARSITEKTUR2"/>
      <sheetName val="ANALISA_-_PGRKAN2"/>
      <sheetName val="REKAP_AHS_Lansekap2"/>
      <sheetName val="OFFICE_2_LT2"/>
      <sheetName val="S_System2"/>
      <sheetName val="DAFTAR_HARGA_SATUAN_MATERIAL2"/>
      <sheetName val="Kontrak_awal2"/>
      <sheetName val="Check_List_LBP2"/>
      <sheetName val="3_g__Ikht_Biaya2"/>
      <sheetName val="Bill_rekap2"/>
      <sheetName val="Bill_sipil2"/>
      <sheetName val="UPAH-BAHAN_2"/>
      <sheetName val="Unit_Rate2"/>
      <sheetName val="daftar_timbngn_percoba_marshal2"/>
      <sheetName val="gabungan_(2)2"/>
      <sheetName val="clg_fin2"/>
      <sheetName val="flr_fin2"/>
      <sheetName val="timber_frame2"/>
      <sheetName val="Wall_Qty2"/>
      <sheetName val="roof_fin2"/>
      <sheetName val="Flr,_Rf_Bm2"/>
      <sheetName val="Flr_Slb,_stair2"/>
      <sheetName val="Gd_Bm2"/>
      <sheetName val="PC,_G_Slab2"/>
      <sheetName val="wall_fin2"/>
      <sheetName val="BQ_ME2"/>
      <sheetName val="Isolasi_Luar_Dalam2"/>
      <sheetName val="Isolasi_Luar2"/>
      <sheetName val="FORM_X_COST2"/>
      <sheetName val="UNIT_01,02,03,042"/>
      <sheetName val="Lab,_Mat_&amp;_Plant_Splits2"/>
      <sheetName val="District_Loading2"/>
      <sheetName val="CATU_DAYA_LISTRIK_PLB2"/>
      <sheetName val="PERALATAN_UTAMA_PK2"/>
      <sheetName val="CATU_DAYA_LISTRIK_PK2"/>
      <sheetName val="PERALATAN_&amp;_KATUP2_PK2"/>
      <sheetName val="PERALATAN_UTAMA_PLB2"/>
      <sheetName val="PERALATAN_&amp;_KATUP2_PLB2"/>
      <sheetName val="PEMIPAAN_PK2"/>
      <sheetName val="PEMIPAAN_PLB2"/>
      <sheetName val="Cash_in2"/>
      <sheetName val="_R_A_B2"/>
      <sheetName val="Rekap_dpb_112"/>
      <sheetName val="LB_012"/>
      <sheetName val="material_2"/>
      <sheetName val="Mat_Elk2"/>
      <sheetName val="P_LS2"/>
      <sheetName val="Single_line_AC2"/>
      <sheetName val="P_AC2"/>
      <sheetName val="rekap_panel2"/>
      <sheetName val="MTO_REV_02"/>
      <sheetName val="RINCIAN_HK_DIVISI2"/>
      <sheetName val="custom_check2"/>
      <sheetName val="A+Supl_2"/>
      <sheetName val="Harga_MAt4"/>
      <sheetName val="TONG_HOP_VL-NC3"/>
      <sheetName val="DON_GIA3"/>
      <sheetName val="TONGKE3p_3"/>
      <sheetName val="CHITIET_VL-NC3"/>
      <sheetName val="H_Satuan3"/>
      <sheetName val="Fill_this_out_first___7"/>
      <sheetName val="Bangunan_Utama3"/>
      <sheetName val="TE_TS_FA_LAN_MATV3"/>
      <sheetName val="Analisa_ME3"/>
      <sheetName val="REF_ONLY4"/>
      <sheetName val="DAFTAR_HARGA3"/>
      <sheetName val="Fill_this_out_first___8"/>
      <sheetName val="HRG_BHN3"/>
      <sheetName val="Analisa_-Baku3"/>
      <sheetName val="Rekap_Direct_Cost3"/>
      <sheetName val="Analisa_Baku_ME3"/>
      <sheetName val="ANALISA_PEK_UMUM3"/>
      <sheetName val="Harga_Satuan3"/>
      <sheetName val="Currency_Rate3"/>
      <sheetName val="Code_023"/>
      <sheetName val="Code_033"/>
      <sheetName val="Code_043"/>
      <sheetName val="Code_053"/>
      <sheetName val="Code_063"/>
      <sheetName val="Code_073"/>
      <sheetName val="Code_093"/>
      <sheetName val="Hrg_Sat3"/>
      <sheetName val="TH_VL,_NC,_DDHT_Thanhphuoc3"/>
      <sheetName val="Eval_TW_I_20143"/>
      <sheetName val="Prognosa_20143"/>
      <sheetName val="UP_PL3"/>
      <sheetName val="Analisa_Bupati3"/>
      <sheetName val="Soil_factor3"/>
      <sheetName val="Smry_Wk_(P_I)3"/>
      <sheetName val="an__struktur3"/>
      <sheetName val="surfacing_&amp;_point___3"/>
      <sheetName val="stone_mas_ARE3"/>
      <sheetName val="REKAP_ARSITEKTUR3"/>
      <sheetName val="ANALISA_-_PGRKAN3"/>
      <sheetName val="REKAP_AHS_Lansekap3"/>
      <sheetName val="OFFICE_2_LT3"/>
      <sheetName val="ut1"/>
      <sheetName val="HARGA SAT"/>
      <sheetName val="res200"/>
      <sheetName val="TDP"/>
      <sheetName val="U&amp;B"/>
      <sheetName val="persiapan"/>
      <sheetName val="DU&amp;B"/>
      <sheetName val="Analisa Upah &amp; Bahan Plum"/>
      <sheetName val="Progress"/>
      <sheetName val="Kuantitas-Jbt"/>
      <sheetName val="struktur tdk dipakai"/>
      <sheetName val="5-ALAT(1)"/>
      <sheetName val="Div2"/>
      <sheetName val="bilangan"/>
      <sheetName val="MAPP"/>
      <sheetName val="beton"/>
      <sheetName val="BAU"/>
      <sheetName val="Prelim"/>
      <sheetName val="Analisa ME "/>
      <sheetName val="Direct Cost"/>
      <sheetName val="BONBIRU"/>
      <sheetName val="B.T"/>
      <sheetName val="PROGBLN"/>
      <sheetName val="depan"/>
      <sheetName val="TENGAH"/>
      <sheetName val="S_System3"/>
      <sheetName val="DAFTAR_HARGA_SATUAN_MATERIAL3"/>
      <sheetName val="Kontrak_awal3"/>
      <sheetName val="Check_List_LBP3"/>
      <sheetName val="3_g__Ikht_Biaya3"/>
      <sheetName val="Bill_rekap3"/>
      <sheetName val="Bill_sipil3"/>
      <sheetName val="UPAH-BAHAN_3"/>
      <sheetName val="Unit_Rate3"/>
      <sheetName val="daftar_timbngn_percoba_marshal3"/>
      <sheetName val="gabungan_(2)3"/>
      <sheetName val="clg_fin3"/>
      <sheetName val="flr_fin3"/>
      <sheetName val="timber_frame3"/>
      <sheetName val="Wall_Qty3"/>
      <sheetName val="roof_fin3"/>
      <sheetName val="Flr,_Rf_Bm3"/>
      <sheetName val="Flr_Slb,_stair3"/>
      <sheetName val="Gd_Bm3"/>
      <sheetName val="PC,_G_Slab3"/>
      <sheetName val="wall_fin3"/>
      <sheetName val="BQ_ME3"/>
      <sheetName val="Isolasi_Luar_Dalam3"/>
      <sheetName val="REKAP FS"/>
      <sheetName val="REKAP TOTAL"/>
      <sheetName val="REKAP FD"/>
      <sheetName val="FORM_X_COST3"/>
      <sheetName val="UNIT_01,02,03,043"/>
      <sheetName val="Lab,_Mat_&amp;_Plant_Splits3"/>
      <sheetName val="District_Loading3"/>
      <sheetName val="CATU_DAYA_LISTRIK_PLB3"/>
      <sheetName val="PERALATAN_UTAMA_PK3"/>
      <sheetName val="CATU_DAYA_LISTRIK_PK3"/>
      <sheetName val="PERALATAN_&amp;_KATUP2_PK3"/>
      <sheetName val="PERALATAN_UTAMA_PLB3"/>
      <sheetName val="PERALATAN_&amp;_KATUP2_PLB3"/>
      <sheetName val="PEMIPAAN_PK3"/>
      <sheetName val="PEMIPAAN_PLB3"/>
      <sheetName val="Isolasi_Luar3"/>
      <sheetName val="Cash_in3"/>
      <sheetName val="_R_A_B3"/>
      <sheetName val="Rekap_dpb_113"/>
      <sheetName val="LB_013"/>
      <sheetName val="material_3"/>
      <sheetName val="Mat_Elk3"/>
      <sheetName val="P_LS3"/>
      <sheetName val="Single_line_AC3"/>
      <sheetName val="P_AC3"/>
      <sheetName val="rekap_panel3"/>
      <sheetName val="MTO_REV_03"/>
      <sheetName val="RINCIAN_HK_DIVISI3"/>
      <sheetName val="custom_check3"/>
      <sheetName val="A+Supl_3"/>
      <sheetName val="tunj_"/>
      <sheetName val="trf_d-i"/>
      <sheetName val="610_6"/>
      <sheetName val="rpp_1-5"/>
      <sheetName val="rpp_1-6"/>
      <sheetName val="Analisa Upah _ Bahan Plum"/>
      <sheetName val="CF"/>
      <sheetName val="Materials"/>
      <sheetName val="Rekap "/>
      <sheetName val="Du_lieu"/>
      <sheetName val="DaftarHarga"/>
      <sheetName val="Analisa Hrg Sat "/>
      <sheetName val="di2"/>
      <sheetName val="koef-beton"/>
      <sheetName val="GASATAGG.XLS"/>
      <sheetName val="HSUMUM.XLS"/>
      <sheetName val="HSDRAIN.XLS"/>
      <sheetName val="HSTANAH"/>
      <sheetName val="HSBASE"/>
      <sheetName val="HSASPAL"/>
      <sheetName val="HSBETON"/>
      <sheetName val="HSSTRUK"/>
      <sheetName val="HSMISC.XLS"/>
      <sheetName val="nama PT."/>
      <sheetName val="Hsatbahan"/>
      <sheetName val="D &amp; W sizes"/>
      <sheetName val="Markup"/>
      <sheetName val="PEKERJAAN PERSIAPAN"/>
      <sheetName val="Ans Kom Precast"/>
      <sheetName val="PJ"/>
      <sheetName val="UPAH &amp; BHN"/>
      <sheetName val="3Div10a"/>
      <sheetName val="3Div10c"/>
      <sheetName val="3Div2"/>
      <sheetName val="3Div3"/>
      <sheetName val="3Div5"/>
      <sheetName val="3Div6"/>
      <sheetName val="3Div7"/>
      <sheetName val="3Div7a"/>
      <sheetName val="3Div8"/>
      <sheetName val="ANALISA ALAT"/>
      <sheetName val="SUMMARY"/>
      <sheetName val="Harsat Elektrikal "/>
      <sheetName val="TRAFO"/>
      <sheetName val="Harga_S_Dasar_UNTUK_IDISI"/>
      <sheetName val="Harga_S_Dasar_UNTUK_IDISI1"/>
      <sheetName val="Harga_S_Dasar_UNTUK_IDISI2"/>
      <sheetName val="Harga_S_Dasar_UNTUK_IDISI3"/>
      <sheetName val="Harga_MAt5"/>
      <sheetName val="TONG_HOP_VL-NC4"/>
      <sheetName val="DON_GIA4"/>
      <sheetName val="TONGKE3p_4"/>
      <sheetName val="CHITIET_VL-NC4"/>
      <sheetName val="Fill_this_out_first___9"/>
      <sheetName val="H_Satuan4"/>
      <sheetName val="Harga_Satuan4"/>
      <sheetName val="Fill_this_out_first___10"/>
      <sheetName val="HRG_BHN4"/>
      <sheetName val="Bangunan_Utama4"/>
      <sheetName val="Analisa_ME4"/>
      <sheetName val="Analisa_-Baku4"/>
      <sheetName val="Rekap_Direct_Cost4"/>
      <sheetName val="TE_TS_FA_LAN_MATV4"/>
      <sheetName val="ANALISA_PEK_UMUM4"/>
      <sheetName val="DAFTAR_HARGA4"/>
      <sheetName val="Currency_Rate4"/>
      <sheetName val="Analisa_Baku_ME4"/>
      <sheetName val="DAFTAR_HARGA_SATUAN_MATERIAL4"/>
      <sheetName val="Kontrak_awal4"/>
      <sheetName val="Check_List_LBP4"/>
      <sheetName val="3_g__Ikht_Biaya4"/>
      <sheetName val="UP_PL4"/>
      <sheetName val="Analisa_Bupati4"/>
      <sheetName val="Code_024"/>
      <sheetName val="Code_034"/>
      <sheetName val="Code_044"/>
      <sheetName val="Code_054"/>
      <sheetName val="Code_064"/>
      <sheetName val="Code_074"/>
      <sheetName val="Code_094"/>
      <sheetName val="Bill_rekap4"/>
      <sheetName val="gabungan_(2)4"/>
      <sheetName val="Unit_Rate4"/>
      <sheetName val="Bill_sipil4"/>
      <sheetName val="Hrg_Sat4"/>
      <sheetName val="TH_VL,_NC,_DDHT_Thanhphuoc4"/>
      <sheetName val="Soil_factor4"/>
      <sheetName val="Smry_Wk_(P_I)4"/>
      <sheetName val="Harga_S_Dasar_UNTUK_IDISI4"/>
      <sheetName val="UPAH-BAHAN_4"/>
      <sheetName val="Harga_MAt6"/>
      <sheetName val="TONG_HOP_VL-NC5"/>
      <sheetName val="DON_GIA5"/>
      <sheetName val="TONGKE3p_5"/>
      <sheetName val="CHITIET_VL-NC5"/>
      <sheetName val="Fill_this_out_first___11"/>
      <sheetName val="H_Satuan5"/>
      <sheetName val="Harga_Satuan5"/>
      <sheetName val="Fill_this_out_first___12"/>
      <sheetName val="HRG_BHN5"/>
      <sheetName val="Bangunan_Utama5"/>
      <sheetName val="Analisa_ME5"/>
      <sheetName val="REF_ONLY5"/>
      <sheetName val="Analisa_-Baku5"/>
      <sheetName val="Rekap_Direct_Cost5"/>
      <sheetName val="TE_TS_FA_LAN_MATV5"/>
      <sheetName val="ANALISA_PEK_UMUM5"/>
      <sheetName val="DAFTAR_HARGA5"/>
      <sheetName val="Currency_Rate5"/>
      <sheetName val="Analisa_Baku_ME5"/>
      <sheetName val="DAFTAR_HARGA_SATUAN_MATERIAL5"/>
      <sheetName val="Kontrak_awal5"/>
      <sheetName val="Check_List_LBP5"/>
      <sheetName val="3_g__Ikht_Biaya5"/>
      <sheetName val="UP_PL5"/>
      <sheetName val="Analisa_Bupati5"/>
      <sheetName val="Code_025"/>
      <sheetName val="Code_035"/>
      <sheetName val="Code_045"/>
      <sheetName val="Code_055"/>
      <sheetName val="Code_065"/>
      <sheetName val="Code_075"/>
      <sheetName val="Code_095"/>
      <sheetName val="Bill_rekap5"/>
      <sheetName val="gabungan_(2)5"/>
      <sheetName val="Unit_Rate5"/>
      <sheetName val="Bill_sipil5"/>
      <sheetName val="Hrg_Sat5"/>
      <sheetName val="TH_VL,_NC,_DDHT_Thanhphuoc5"/>
      <sheetName val="Soil_factor5"/>
      <sheetName val="Smry_Wk_(P_I)5"/>
      <sheetName val="Harga_S_Dasar_UNTUK_IDISI5"/>
      <sheetName val="UPAH-BAHAN_5"/>
      <sheetName val="4-Basic Price"/>
      <sheetName val="D7(1)"/>
      <sheetName val="RAB-ARS"/>
      <sheetName val="HSBU"/>
      <sheetName val="ARAB"/>
      <sheetName val="DAF.ALAT"/>
      <sheetName val="D7"/>
      <sheetName val="Urut kabupaten"/>
      <sheetName val="5-Peralatan"/>
      <sheetName val="bahan 2004"/>
      <sheetName val="Satuan Upah &amp; Bahan"/>
      <sheetName val="reg"/>
      <sheetName val="TIMBUNAN"/>
      <sheetName val="tack coat 1 Kg"/>
      <sheetName val="PENGEC. MARKING"/>
      <sheetName val="GL_Account"/>
      <sheetName val="ANALISA STRIPING"/>
      <sheetName val="Infor Umum"/>
      <sheetName val="div4"/>
      <sheetName val="div71"/>
      <sheetName val="div31"/>
      <sheetName val="div3"/>
      <sheetName val="Estimate"/>
      <sheetName val="harga.bahan"/>
      <sheetName val="upah bahan "/>
      <sheetName val="bank"/>
      <sheetName val="Sheet3"/>
      <sheetName val="DASAR"/>
      <sheetName val="besi"/>
      <sheetName val="Terbilang"/>
      <sheetName val="basic"/>
      <sheetName val="HDM"/>
      <sheetName val="HDA"/>
      <sheetName val="MTD"/>
      <sheetName val="HDU"/>
      <sheetName val="DRUP (ASLI)"/>
      <sheetName val="perkerasan rigid"/>
      <sheetName val="an.dmpu"/>
      <sheetName val="Rencana vs Realisasi"/>
      <sheetName val="Kurs"/>
      <sheetName val="Upah &amp; Bahan"/>
      <sheetName val="BoQ(APBN)"/>
      <sheetName val="Divisi1"/>
      <sheetName val="metode.pu"/>
      <sheetName val="CTSB"/>
      <sheetName val="BQ-1A"/>
      <sheetName val="4"/>
      <sheetName val="Scedule"/>
      <sheetName val="anal_hs"/>
      <sheetName val="Calcu 02"/>
      <sheetName val="Anl"/>
      <sheetName val="AN-KOEF"/>
      <sheetName val="Hrg"/>
      <sheetName val="PT."/>
      <sheetName val="Input"/>
      <sheetName val="Huruf"/>
      <sheetName val="UBAH"/>
      <sheetName val="ac"/>
      <sheetName val="Grand Rekap"/>
      <sheetName val="IT"/>
      <sheetName val="Pemadam"/>
      <sheetName val="Koefisien"/>
      <sheetName val="Daftar Upah"/>
      <sheetName val="Kuantitas &amp; Harga"/>
      <sheetName val="Mobilisasi"/>
      <sheetName val="Sloof"/>
      <sheetName val="XL4Test5"/>
      <sheetName val="upah.bahan.alat"/>
      <sheetName val="analisa.K"/>
      <sheetName val="daftarkuantitas"/>
      <sheetName val="Harga Dasar"/>
      <sheetName val="3-DIV2"/>
      <sheetName val="ANTISIPASI"/>
      <sheetName val="CASDIV"/>
      <sheetName val="CASLAP"/>
      <sheetName val="HUTDIV"/>
      <sheetName val="HUTLAP"/>
      <sheetName val="PBK-01"/>
      <sheetName val="BARCHART"/>
      <sheetName val="Sheet15"/>
      <sheetName val="PO2"/>
      <sheetName val="Cash DP Lapangan"/>
      <sheetName val="Cash Wilayah"/>
      <sheetName val="Hutang Lap"/>
      <sheetName val="Hutang-Wil"/>
      <sheetName val="BIAYA BAHAN"/>
      <sheetName val="BIAYA ALAT"/>
      <sheetName val="Analisa Harga Satuan"/>
      <sheetName val="O&amp;O-Alat"/>
      <sheetName val="prime coal"/>
      <sheetName val="Customize Your Invoice"/>
      <sheetName val="Invoice"/>
      <sheetName val="an.el"/>
      <sheetName val="An.AC &amp; Pl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 refreshError="1"/>
      <sheetData sheetId="359" refreshError="1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 refreshError="1"/>
      <sheetData sheetId="583" refreshError="1"/>
      <sheetData sheetId="584" refreshError="1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/>
      <sheetData sheetId="881"/>
      <sheetData sheetId="882" refreshError="1"/>
      <sheetData sheetId="883" refreshError="1"/>
      <sheetData sheetId="884" refreshError="1"/>
      <sheetData sheetId="885" refreshError="1"/>
      <sheetData sheetId="88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****00"/>
      <sheetName val="****01"/>
      <sheetName val="Summary"/>
      <sheetName val="Breakdown Cost"/>
      <sheetName val="Labor"/>
      <sheetName val="Equipment"/>
      <sheetName val="Consumable"/>
      <sheetName val="Mob-Demob"/>
      <sheetName val="Tools&amp;Consum"/>
      <sheetName val="Work Rate Analysis"/>
      <sheetName val="Mat. Unit Analysis"/>
      <sheetName val="Basic Price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 Biaya"/>
      <sheetName val="Kuantitas &amp; Harga"/>
      <sheetName val="Vol"/>
      <sheetName val="Sketsa Takaras 1"/>
      <sheetName val="CROSS"/>
      <sheetName val="Pas. Batu"/>
      <sheetName val="Pekerjaan Utama"/>
      <sheetName val="%"/>
      <sheetName val="Compatibility Rep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"/>
      <sheetName val="RMH"/>
      <sheetName val="REK "/>
      <sheetName val="BHN"/>
      <sheetName val="UP"/>
      <sheetName val="ANS"/>
      <sheetName val="RINCIAN BIAYA (2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l kost "/>
      <sheetName val="COV"/>
      <sheetName val="Srt Penawaran"/>
      <sheetName val="RAB (2)"/>
      <sheetName val="SATUAN JADI"/>
      <sheetName val="ANALISA"/>
      <sheetName val="HARGA BAHAN"/>
      <sheetName val="Kurva S"/>
      <sheetName val="JADWAL BAHAN"/>
      <sheetName val="JADWAL TENAGA"/>
      <sheetName val="mstr"/>
      <sheetName val="Per.Pasca "/>
      <sheetName val="minat"/>
      <sheetName val="inst.pemrintah"/>
      <sheetName val="s.p.dok"/>
      <sheetName val="ganti rugi"/>
      <sheetName val="kode etik"/>
      <sheetName val="dh"/>
      <sheetName val="pengadilan"/>
      <sheetName val="Pakta "/>
      <sheetName val="FOR.2"/>
      <sheetName val="DATA PERUS."/>
      <sheetName val="NERACA"/>
      <sheetName val="PERSONALIA"/>
      <sheetName val="ALAT"/>
      <sheetName val="PENGALAMAN"/>
      <sheetName val="modal"/>
      <sheetName val="skn"/>
      <sheetName val="ALAT UTAMA"/>
      <sheetName val="PERSNIL INTI"/>
      <sheetName val="SAMPUL"/>
      <sheetName val="Kaf Kualif"/>
      <sheetName val="Kaf Penawaran"/>
      <sheetName val="KAFER"/>
      <sheetName val="CEK 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TAMBAHAN"/>
      <sheetName val="DISAIN RDS"/>
      <sheetName val="KOEFESIEN"/>
      <sheetName val="Rekap Biaya"/>
      <sheetName val="Kuantitas &amp; Harga"/>
      <sheetName val="Pekerjaan Utama"/>
      <sheetName val="%"/>
      <sheetName val="Informasi"/>
      <sheetName val="Peta Quarry"/>
      <sheetName val="Mobilisasi"/>
      <sheetName val="Perhitungan Mobilisasi Alat"/>
      <sheetName val="Lalu Lintas"/>
      <sheetName val="Jembatan Sementara"/>
      <sheetName val="Additional"/>
      <sheetName val="3-DIV2"/>
      <sheetName val="3-DIV3"/>
      <sheetName val="3-DIV3 (2)"/>
      <sheetName val="3-DIV3 (3)"/>
      <sheetName val="3-DIV3 (4)"/>
      <sheetName val="3-DIV4"/>
      <sheetName val="3-DIV5"/>
      <sheetName val="3-DIV5-LPAS"/>
      <sheetName val="Lean Concr"/>
      <sheetName val="Sand-Bedding"/>
      <sheetName val="3-DIV6"/>
      <sheetName val="3-DIV6 Lasbutag"/>
      <sheetName val="3-DIV7"/>
      <sheetName val="3-DIV7.1"/>
      <sheetName val="3-DIV8"/>
      <sheetName val="3-DIV9"/>
      <sheetName val="3-DIV10 LS-Rutin"/>
      <sheetName val="3-DIV10 Kuantitas"/>
      <sheetName val="3-DIV10 Analisa HSP"/>
      <sheetName val="SPESIFIKASI"/>
      <sheetName val="4-Basic Price"/>
      <sheetName val="4-formulir harga bahan"/>
      <sheetName val="4-Analisa Quarry"/>
      <sheetName val="5-Peralatan"/>
      <sheetName val="5-Peralatan (2)"/>
      <sheetName val="6-Agregat Halus &amp; Kasar"/>
      <sheetName val="6-Agregat Kelas A"/>
      <sheetName val="6-Agregat Kelas B"/>
      <sheetName val="6-Agregat Kelas C"/>
      <sheetName val="3DIV7"/>
      <sheetName val="REF.ONLY"/>
      <sheetName val="5_Peralatan"/>
      <sheetName val="5-ALAT(1)"/>
      <sheetName val="lamp4ae"/>
      <sheetName val="Har Sat"/>
      <sheetName val="Kuantitas &amp; Harga "/>
      <sheetName val="HRG_NO_PRINT"/>
      <sheetName val="ALAT"/>
      <sheetName val="K012"/>
      <sheetName val="K017"/>
      <sheetName val="Data Konsultan"/>
      <sheetName val="BOQ"/>
      <sheetName val="HARGA ALAT"/>
      <sheetName val="k-9"/>
      <sheetName val="7.3.1 PD"/>
      <sheetName val="Data PJ"/>
      <sheetName val="analisa BM"/>
      <sheetName val="harga satuan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Peralatan"/>
      <sheetName val="H.Satuan"/>
      <sheetName val="Harga BAHAN"/>
      <sheetName val="Harga uPAH"/>
      <sheetName val="hrg_sat"/>
      <sheetName val="HRG BHN"/>
      <sheetName val="penting"/>
      <sheetName val="alat-inflasi"/>
      <sheetName val="Analisa Quarry"/>
      <sheetName val="surat"/>
      <sheetName val="Rekap"/>
      <sheetName val="BOQ1"/>
      <sheetName val="BOQ2"/>
      <sheetName val="D2"/>
      <sheetName val="D3"/>
      <sheetName val="D4"/>
      <sheetName val="D5"/>
      <sheetName val="D6"/>
      <sheetName val="D7(1)"/>
      <sheetName val="D7(2)"/>
      <sheetName val="D8(1)"/>
      <sheetName val="D8(2)"/>
      <sheetName val="SCHE1"/>
      <sheetName val="SCHE2"/>
      <sheetName val="SC-ALT"/>
      <sheetName val="SC-BHN"/>
      <sheetName val="subkon"/>
      <sheetName val="TKDN"/>
      <sheetName val="metode"/>
      <sheetName val="sonil "/>
      <sheetName val="alt"/>
      <sheetName val="Basic Price"/>
      <sheetName val="alat1"/>
      <sheetName val="alat2"/>
      <sheetName val="formulir harga bahan"/>
      <sheetName val="angkut lokal"/>
      <sheetName val="berat bahan"/>
      <sheetName val="Agg Halus &amp; Kasar"/>
      <sheetName val="Agg A"/>
      <sheetName val="Agg B"/>
      <sheetName val="Agg C"/>
      <sheetName val="D6 ASBT"/>
      <sheetName val="D7(3)"/>
      <sheetName val="D9"/>
      <sheetName val="D10 LS-Rutin"/>
      <sheetName val="D10 Kuantitas"/>
      <sheetName val="D10 Analisa HSP"/>
      <sheetName val="rmk1"/>
      <sheetName val="rmk2"/>
      <sheetName val="rmk3"/>
      <sheetName val="rmk5"/>
      <sheetName val="Hrg"/>
      <sheetName val="U&amp;B"/>
      <sheetName val="Material"/>
      <sheetName val="ANALISA"/>
      <sheetName val="BHN-UPH-ALT"/>
      <sheetName val="E.088"/>
      <sheetName val="SIMBOL"/>
      <sheetName val="HSBU"/>
      <sheetName val="841"/>
      <sheetName val="311"/>
      <sheetName val="715"/>
      <sheetName val="811"/>
      <sheetName val="DAFTAR HARGA BAHAN "/>
      <sheetName val="anal.K"/>
      <sheetName val="Hrg. Sat Alat"/>
      <sheetName val="Hrg. Sat"/>
      <sheetName val="ANALISA ALAT"/>
      <sheetName val="Profil"/>
      <sheetName val="Rkp"/>
      <sheetName val="HDM"/>
      <sheetName val="MTD"/>
      <sheetName val="HDA"/>
      <sheetName val="HDU"/>
      <sheetName val="ES STG"/>
      <sheetName val="D &amp; W sizes"/>
      <sheetName val="Fill this out first___"/>
      <sheetName val="Markup"/>
      <sheetName val="PEKERJAAN PERSIAPAN"/>
      <sheetName val="Ans Kom Precast"/>
      <sheetName val="PJ"/>
      <sheetName val="UPAH &amp; BHN"/>
      <sheetName val="dt-tenaga"/>
      <sheetName val="anal_alat"/>
      <sheetName val="hsd"/>
      <sheetName val="BQ"/>
      <sheetName val="HARSATALAT"/>
      <sheetName val=" HARGA UPAH, BAHAN,ALAT"/>
      <sheetName val="Du_lieu"/>
      <sheetName val="1.Neo_pbersih-lap"/>
      <sheetName val="bahan"/>
      <sheetName val="upa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3">
          <cell r="AW13">
            <v>47472.058636363639</v>
          </cell>
        </row>
        <row r="16">
          <cell r="AW16">
            <v>70230.073977639215</v>
          </cell>
        </row>
        <row r="24">
          <cell r="AW24">
            <v>293927.19306224468</v>
          </cell>
        </row>
      </sheetData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DLE ALAT"/>
      <sheetName val="ATB pers (2)"/>
      <sheetName val="FOTO PR"/>
      <sheetName val="Sheet3"/>
      <sheetName val="G.umum"/>
      <sheetName val="SCHE vareto"/>
      <sheetName val="ATB pers"/>
      <sheetName val="BQ diva"/>
      <sheetName val="Item7"/>
      <sheetName val="MAT BARU AC"/>
      <sheetName val="H.Satuan"/>
      <sheetName val="CashFlow"/>
      <sheetName val="AC +"/>
      <sheetName val="an.ATB G"/>
      <sheetName val="an.AC"/>
      <sheetName val="an.ATB L"/>
      <sheetName val="ATB +"/>
      <sheetName val="Mat"/>
      <sheetName val="Alat DC"/>
      <sheetName val="Camp"/>
      <sheetName val="Kap.Tenaga"/>
      <sheetName val="H_Satuan"/>
      <sheetName val=""/>
      <sheetName val="ISIAN"/>
      <sheetName val="IDLE_ALAT"/>
      <sheetName val="ATB_pers_(2)"/>
      <sheetName val="FOTO_PR"/>
      <sheetName val="G_umum"/>
      <sheetName val="SCHE_vareto"/>
      <sheetName val="ATB_pers"/>
      <sheetName val="BQ_diva"/>
      <sheetName val="MAT_BARU_AC"/>
      <sheetName val="H_Satuan1"/>
      <sheetName val="AC_+"/>
      <sheetName val="an_ATB_G"/>
      <sheetName val="an_AC"/>
      <sheetName val="an_ATB_L"/>
      <sheetName val="ATB_+"/>
      <sheetName val="Alat_DC"/>
      <sheetName val="Kap_Tenaga"/>
      <sheetName val="HRG BHN"/>
      <sheetName val="Agregat Halus &amp; Kasar"/>
      <sheetName val="FA"/>
      <sheetName val="Analisa HS"/>
      <sheetName val="LO"/>
      <sheetName val="Kr tengahDiva"/>
      <sheetName val="Subkon"/>
      <sheetName val="B - Norelec"/>
      <sheetName val="Break_down"/>
      <sheetName val="Equipment"/>
      <sheetName val="RAB_HREZ"/>
      <sheetName val="ANAL_HREZ"/>
      <sheetName val="01A- RAB"/>
      <sheetName val="Isolasi Luar Dalam"/>
      <sheetName val="Isolasi Luar"/>
      <sheetName val="REKAP_ARSITEKTUR."/>
      <sheetName val="RAB.ADMINISTRASI PUSAT (1)"/>
      <sheetName val="G_SUMMARY"/>
      <sheetName val="M&amp;E R"/>
      <sheetName val="RAB PERSIAPAN "/>
      <sheetName val="Markup"/>
      <sheetName val="bahan"/>
      <sheetName val="Material"/>
      <sheetName val="Upah"/>
      <sheetName val="GASATAGG.XLS"/>
      <sheetName val="Informasi"/>
      <sheetName val="STD Lanjutan"/>
      <sheetName val="NS Lanjutan"/>
      <sheetName val="BTL-Persiapan"/>
      <sheetName val="BTL-Bau"/>
      <sheetName val="BTL-alat"/>
      <sheetName val="BTL-Rupa"/>
      <sheetName val="escon"/>
      <sheetName val="pricing"/>
      <sheetName val="EQ_an"/>
      <sheetName val="GFA-20-N"/>
      <sheetName val="L-Mechanical"/>
      <sheetName val="Man Power"/>
      <sheetName val="DAPRO"/>
      <sheetName val="BL"/>
      <sheetName val="L3 An H Sat Mob"/>
      <sheetName val="KET"/>
      <sheetName val="Equip"/>
      <sheetName val="TELEPON"/>
      <sheetName val="PROTEKSI PETIR"/>
      <sheetName val="KABEL FEEDER"/>
      <sheetName val="PENRNGN &amp; KTK-KNTK"/>
      <sheetName val="REKAP-MEK"/>
      <sheetName val="FIRE FIGHTING"/>
      <sheetName val="Master 1.0"/>
      <sheetName val="SITE-E"/>
      <sheetName val="BASEMENT"/>
      <sheetName val="Anls"/>
      <sheetName val="BAG-2"/>
      <sheetName val="Bill No 2.1 Cold Water System"/>
      <sheetName val="Civil Works"/>
      <sheetName val="analysis"/>
      <sheetName val="Fin-Bengkel"/>
      <sheetName val="Fin-Showroom"/>
      <sheetName val="Hal_Pagar"/>
      <sheetName val="Str-Bengkel"/>
      <sheetName val="Str-Showroom"/>
      <sheetName val="L_Mechanical"/>
      <sheetName val="rab me (by owner) "/>
      <sheetName val="BQ (by owner)"/>
      <sheetName val="NS GD.UTAMA"/>
      <sheetName val="BANGUNAN PENUNJANG"/>
      <sheetName val="har-sat"/>
      <sheetName val="BoQ C4"/>
      <sheetName val="Fill this out first___"/>
      <sheetName val="5-Peralatan"/>
      <sheetName val="hardas"/>
      <sheetName val="harga"/>
      <sheetName val="ANALISA"/>
      <sheetName val="BHN"/>
      <sheetName val="rekap mekanikal"/>
      <sheetName val="LISTRIK"/>
      <sheetName val="F ALARM"/>
      <sheetName val="alat,bahan,sub"/>
      <sheetName val="EXTERNAL WORK"/>
      <sheetName val="AC-C"/>
      <sheetName val="A"/>
      <sheetName val="Fill this out first..."/>
      <sheetName val="BOQ KSN"/>
      <sheetName val="ANAL.BOW"/>
      <sheetName val="upahbahan"/>
      <sheetName val="rab me (fisik)"/>
      <sheetName val="LOADDAT"/>
      <sheetName val="Cover"/>
      <sheetName val="Persiapan"/>
      <sheetName val="WT-LIST"/>
      <sheetName val="1.B"/>
      <sheetName val="BAG_2"/>
      <sheetName val="ANAL. ME"/>
      <sheetName val="BW analisa cika 2005"/>
      <sheetName val="REKAP"/>
      <sheetName val="Analisa _ Upah"/>
      <sheetName val="Data"/>
      <sheetName val="villa"/>
      <sheetName val="Sat Upah"/>
      <sheetName val="HS Alat"/>
      <sheetName val="HS Upah"/>
      <sheetName val="HS Sub-Kon"/>
      <sheetName val="Anal"/>
      <sheetName val="Analisa ME (2)"/>
      <sheetName val="HB "/>
      <sheetName val="Analisa &amp; Upah"/>
      <sheetName val="Pipe"/>
      <sheetName val="M_12 _2_"/>
      <sheetName val="anal_alat"/>
      <sheetName val="hsd"/>
      <sheetName val="Unit Rate"/>
      <sheetName val="BQ Stdr R-1"/>
      <sheetName val="Transfer Pump"/>
      <sheetName val="Boq"/>
      <sheetName val="bill qty"/>
      <sheetName val="meth hsl nego"/>
      <sheetName val="CBL"/>
      <sheetName val="BQWH3"/>
      <sheetName val="AC_C"/>
      <sheetName val="Daftar berat"/>
      <sheetName val="Telephone"/>
      <sheetName val="Rek_ELEKT"/>
      <sheetName val="Fire Alarm"/>
      <sheetName val="AC"/>
      <sheetName val="Duct"/>
      <sheetName val="MON_OH"/>
      <sheetName val="AHSP"/>
      <sheetName val="Scedule(S-Curve)"/>
      <sheetName val="ANAL_BOW"/>
      <sheetName val="I-KAMAR"/>
      <sheetName val="D &amp; W sizes"/>
      <sheetName val="coeff"/>
      <sheetName val="Cable 150kV Ref."/>
      <sheetName val="basic"/>
      <sheetName val="ALAT"/>
      <sheetName val="eq_data"/>
      <sheetName val="MAIN EQUIP AC"/>
      <sheetName val="AHS-E"/>
      <sheetName val="BQ-ME"/>
      <sheetName val="Rekap Prelim"/>
      <sheetName val="An HarSatPek"/>
      <sheetName val="Harga Satuan"/>
      <sheetName val="bahan+upah"/>
      <sheetName val="U_rate"/>
      <sheetName val="Art"/>
      <sheetName val="CPAoC"/>
      <sheetName val="sheet 2"/>
      <sheetName val="RAB ME"/>
      <sheetName val="RKP PLUMBING"/>
      <sheetName val="ANALISA 1"/>
      <sheetName val="4-Basic Price"/>
      <sheetName val="DPENSIUN"/>
      <sheetName val="HSD_Alat"/>
      <sheetName val="Perm. Test"/>
      <sheetName val="GH Quantity"/>
      <sheetName val="analis"/>
      <sheetName val="BASIC-PRICE"/>
      <sheetName val="NS GD.UGD"/>
      <sheetName val="STD GD.UGD"/>
      <sheetName val="DAF-2"/>
      <sheetName val="D _ W sizes"/>
      <sheetName val="Bill of Qty MEP"/>
      <sheetName val="Valve"/>
      <sheetName val="Sanitair+Drain"/>
      <sheetName val="Flange"/>
      <sheetName val="Pipa (2)"/>
      <sheetName val="Lamp BAP"/>
      <sheetName val="Div2"/>
      <sheetName val="MAP-1"/>
      <sheetName val="HARSAT"/>
      <sheetName val="Pos 4-1"/>
      <sheetName val="RAW MATERIALS "/>
      <sheetName val="COST-PERSON-J.O."/>
      <sheetName val="RENTAL1"/>
      <sheetName val="MAPDC"/>
      <sheetName val="Data Ktr Bupati Tapsel"/>
      <sheetName val="BAU"/>
      <sheetName val="REK"/>
      <sheetName val="JADWAL"/>
      <sheetName val="FAK"/>
      <sheetName val="ana_str"/>
      <sheetName val="Fin_Bengkel"/>
      <sheetName val="Fin_Showroom"/>
      <sheetName val="Str_Bengkel"/>
      <sheetName val="Str_Showroom"/>
      <sheetName val="2_Plumbing"/>
      <sheetName val="3_FF"/>
      <sheetName val="Material&amp;Upah"/>
      <sheetName val="Piping"/>
      <sheetName val="AHS str"/>
      <sheetName val="351BQMCN"/>
      <sheetName val="Eng_Hrs"/>
      <sheetName val="AHSbj"/>
      <sheetName val="kki"/>
      <sheetName val="fin pro centers"/>
      <sheetName val="SUMMARY"/>
      <sheetName val="LATIH1"/>
      <sheetName val="Data2"/>
      <sheetName val="Peralatan"/>
      <sheetName val="R.A.B."/>
      <sheetName val="EE-PROP"/>
      <sheetName val="DUTCH CONE"/>
      <sheetName val="공정양식"/>
      <sheetName val="slab"/>
      <sheetName val="Rekap Direct Cost"/>
      <sheetName val="Urai _ Guide Post"/>
      <sheetName val="Met_Pas Batu"/>
      <sheetName val="Urai_Galian Tanah"/>
      <sheetName val="Met_ Minor"/>
      <sheetName val="Dasboard"/>
      <sheetName val="H_Upah"/>
      <sheetName val="H-Upah"/>
      <sheetName val="Rate"/>
      <sheetName val="Mat.Mek"/>
      <sheetName val="RAB"/>
      <sheetName val="Lead Schedule"/>
      <sheetName val="IDLE_ALAT1"/>
      <sheetName val="ATB_pers_(2)1"/>
      <sheetName val="FOTO_PR1"/>
      <sheetName val="G_umum1"/>
      <sheetName val="SCHE_vareto1"/>
      <sheetName val="ATB_pers1"/>
      <sheetName val="BQ_diva1"/>
      <sheetName val="MAT_BARU_AC1"/>
      <sheetName val="H_Satuan2"/>
      <sheetName val="AC_+1"/>
      <sheetName val="an_ATB_G1"/>
      <sheetName val="an_AC1"/>
      <sheetName val="an_ATB_L1"/>
      <sheetName val="ATB_+1"/>
      <sheetName val="Alat_DC1"/>
      <sheetName val="Kap_Tenaga1"/>
      <sheetName val="HRG_BHN"/>
      <sheetName val="Agregat_Halus_&amp;_Kasar"/>
      <sheetName val="Analisa_HS"/>
      <sheetName val="Kr_tengahDiva"/>
      <sheetName val="B_-_Norelec"/>
      <sheetName val="Isolasi_Luar_Dalam"/>
      <sheetName val="Isolasi_Luar"/>
      <sheetName val="Man_Power"/>
      <sheetName val="L3_An_H_Sat_Mob"/>
      <sheetName val="Analisa ME"/>
      <sheetName val="Upah Bahan"/>
      <sheetName val="index"/>
      <sheetName val="Hsat1"/>
      <sheetName val="New MADC"/>
      <sheetName val="REKAP ARSITEKTUR"/>
      <sheetName val="anal_hs"/>
      <sheetName val="OVERHEAD"/>
      <sheetName val="rincian per proyek"/>
      <sheetName val="EQ"/>
      <sheetName val="MADC"/>
      <sheetName val="bilangan"/>
      <sheetName val="BOI-me"/>
      <sheetName val="MUA"/>
      <sheetName val="BQ struktur"/>
      <sheetName val="AHS"/>
      <sheetName val="ANALIS.1"/>
      <sheetName val="NP"/>
      <sheetName val="Daf 1"/>
      <sheetName val="hs"/>
      <sheetName val="BQ Arsit"/>
      <sheetName val="Sat Bah &amp; Up"/>
      <sheetName val="J"/>
      <sheetName val="Sheet1"/>
      <sheetName val="Rkp"/>
      <sheetName val="FINISHING"/>
      <sheetName val="EMS"/>
      <sheetName val="Daf_ No_ _ 4_2"/>
      <sheetName val="Terbilang"/>
      <sheetName val="Daftar Upah,Bhn,&amp; alat"/>
      <sheetName val="HARGA ALAT"/>
      <sheetName val="UMUM"/>
      <sheetName val="ETAB 1"/>
      <sheetName val="Anal Koef"/>
      <sheetName val="Rekap Biaya"/>
      <sheetName val="Panel"/>
      <sheetName val="Inst_penerangan_"/>
      <sheetName val="Plumbing"/>
      <sheetName val="Petir"/>
      <sheetName val="MATV"/>
      <sheetName val="CCTV"/>
      <sheetName val="Alarm"/>
      <sheetName val="Hydran _ springkler"/>
      <sheetName val="MASTER"/>
      <sheetName val="DKH"/>
      <sheetName val="KAN. LOKAL"/>
      <sheetName val="SUMBER"/>
      <sheetName val="Rates"/>
      <sheetName val="Terbilang sertifikat"/>
      <sheetName val="Market"/>
      <sheetName val="Bill 5 Summary"/>
      <sheetName val="Pengujian"/>
      <sheetName val="Mobilisasi"/>
      <sheetName val="SUM"/>
      <sheetName val="Upah dan bahan"/>
      <sheetName val="analisa "/>
      <sheetName val="Project_P"/>
      <sheetName val="name"/>
      <sheetName val="2.NSB."/>
      <sheetName val="2.SB"/>
      <sheetName val="pinjen"/>
      <sheetName val="M.ITEM"/>
      <sheetName val="BHN.Ars"/>
      <sheetName val="7.NS.H"/>
      <sheetName val="BOOQ"/>
      <sheetName val="ENC.14"/>
      <sheetName val="analisa_gedung"/>
      <sheetName val="REKAP TOTAL"/>
      <sheetName val="MAP"/>
      <sheetName val="Estimate"/>
      <sheetName val="daftar_harga"/>
      <sheetName val="Analisa Pusaka Jaya"/>
      <sheetName val="Report detil kondisi"/>
      <sheetName val="SDM"/>
      <sheetName val="Bill Of Quantity"/>
      <sheetName val="BGN PENUNJANG"/>
      <sheetName val="5-ALAT(1)"/>
      <sheetName val="????"/>
      <sheetName val="DAFTAR HARGA"/>
      <sheetName val="AC LOAD"/>
      <sheetName val="QSS"/>
      <sheetName val="Rincian"/>
      <sheetName val="komponen"/>
      <sheetName val="AN Panel"/>
      <sheetName val="NS"/>
      <sheetName val="Bill_Qua"/>
      <sheetName val="Koefisien"/>
      <sheetName val="BasicPrice"/>
      <sheetName val="ANALISA HARGA SATUAN"/>
      <sheetName val="D.1.2_LT- 1 ~ Atap"/>
      <sheetName val="PB_B_"/>
      <sheetName val="Analisa 2"/>
      <sheetName val="AKUN"/>
      <sheetName val="database-emp"/>
      <sheetName val="KH Bahagia"/>
      <sheetName val="ANALISA-HST"/>
      <sheetName val="T-3.4 Cost of Equipment"/>
      <sheetName val="bq"/>
      <sheetName val="HARDAS-ALAT"/>
      <sheetName val="HARDAS-MAT"/>
      <sheetName val="dasar"/>
      <sheetName val="Mtd_Pelak"/>
      <sheetName val="An H.Sat Pek.Ut"/>
      <sheetName val="list"/>
      <sheetName val="Harga Sat Das"/>
      <sheetName val="T-3.2 UP Labour"/>
      <sheetName val="T-3.3 UP Material"/>
      <sheetName val="pivot2"/>
      <sheetName val="pivot1"/>
      <sheetName val="Up&amp;Bhn "/>
      <sheetName val="own"/>
      <sheetName val="H. Dasar"/>
      <sheetName val="Sat Alat"/>
      <sheetName val="may'03"/>
      <sheetName val="PENJ.NERACA"/>
      <sheetName val="CASH FLOW"/>
      <sheetName val="struktur tdk dipakai"/>
      <sheetName val="ELEMEN"/>
      <sheetName val="PRICE-COMP"/>
      <sheetName val="Input monthly capex"/>
      <sheetName val="An_Basic"/>
      <sheetName val="SOP"/>
      <sheetName val="소업1교"/>
      <sheetName val="Bq Ars"/>
      <sheetName val="M"/>
      <sheetName val="KONTRAK INDUK BULANAN"/>
      <sheetName val="PDMP"/>
      <sheetName val="PCE"/>
      <sheetName val="PRODUK"/>
      <sheetName val="TOOL-ME"/>
      <sheetName val="Bill 4 Summary"/>
      <sheetName val="UshDeb00"/>
      <sheetName val="KEBALAT"/>
      <sheetName val="FINAL"/>
      <sheetName val="CRUSER"/>
      <sheetName val="keb-BHN"/>
      <sheetName val="MEP"/>
      <sheetName val="D_S_UPAH"/>
      <sheetName val="List Plant"/>
      <sheetName val="SAP"/>
      <sheetName val="BasPri"/>
      <sheetName val="3.3b"/>
      <sheetName val="UPH,BHN,ALT"/>
      <sheetName val="AnalisaKantor"/>
      <sheetName val="BoQA"/>
      <sheetName val="REKAP ME"/>
      <sheetName val="RAB_STR"/>
      <sheetName val="Hrg_Bahan"/>
      <sheetName val="Data Sei Belutu"/>
      <sheetName val="610.6"/>
      <sheetName val="610.5"/>
      <sheetName val="Data Sinabung"/>
      <sheetName val="Kuantitas"/>
      <sheetName val="#REF"/>
      <sheetName val="ANAL TEKNIK"/>
      <sheetName val="Monitor"/>
      <sheetName val="bhn FINAL"/>
      <sheetName val="Sat~Bahu"/>
      <sheetName val="Mat.Elk"/>
      <sheetName val="AHS Isolasi"/>
      <sheetName val="Ref"/>
      <sheetName val="OHD"/>
      <sheetName val="bill_qty"/>
      <sheetName val="meth_hsl_nego"/>
      <sheetName val="GASATAGG_XLS"/>
      <sheetName val="EXTERNAL_WORK"/>
      <sheetName val="rab_me_(by_owner)_"/>
      <sheetName val="BQ_(by_owner)"/>
      <sheetName val="rab_me_(fisik)"/>
      <sheetName val="bidang"/>
      <sheetName val="____"/>
      <sheetName val="DIV1"/>
      <sheetName val="PC"/>
      <sheetName val="CH"/>
      <sheetName val="Dashboard"/>
      <sheetName val="alm"/>
      <sheetName val="SELISIH HARGA"/>
      <sheetName val="대비표"/>
      <sheetName val="AN_Panel"/>
      <sheetName val="HS_Alat"/>
      <sheetName val="HS_Upah"/>
      <sheetName val="HS_Sub-Kon"/>
      <sheetName val="ALEK"/>
      <sheetName val="6-AGREGAT"/>
      <sheetName val="Sumber Daya"/>
      <sheetName val="Hrg_elemen"/>
      <sheetName val="Basic alat"/>
      <sheetName val="Basic bahan"/>
      <sheetName val="Basic upah"/>
      <sheetName val="Konfirm"/>
      <sheetName val="HARGA MATERIAL"/>
      <sheetName val="BHN-ALAT"/>
      <sheetName val="TNG"/>
      <sheetName val="Daftar_berat"/>
      <sheetName val="Fill_this_out_first___"/>
      <sheetName val="rekap_mekanikal"/>
      <sheetName val="Analisa___Upah"/>
      <sheetName val="Analisa_&amp;_Upah"/>
      <sheetName val="ANAL_BOW1"/>
      <sheetName val="M_12__2_"/>
      <sheetName val="Bill_No_2_1_Cold_Water_System"/>
      <sheetName val="Civil_Works"/>
      <sheetName val="D___W_sizes"/>
      <sheetName val="FIRE_FIGHTING"/>
      <sheetName val="Analisa_ME_(2)"/>
      <sheetName val="Fire_Alarm"/>
      <sheetName val="F_ALARM"/>
      <sheetName val="Bill_of_Qty_MEP"/>
      <sheetName val="01A-_RAB"/>
      <sheetName val="Fill_this_out_first___1"/>
      <sheetName val="1_B"/>
      <sheetName val="NS_GD_UTAMA"/>
      <sheetName val="BoQ_C4"/>
      <sheetName val="STD_Lanjutan"/>
      <sheetName val="NS_Lanjutan"/>
      <sheetName val="Sat_Upah"/>
      <sheetName val="REKAP_ARSITEKTUR_"/>
      <sheetName val="BOQ_KSN"/>
      <sheetName val="RAB_ADMINISTRASI_PUSAT_(1)"/>
      <sheetName val="ANAL__ME"/>
      <sheetName val="BW_analisa_cika_2005"/>
      <sheetName val="M&amp;E_R"/>
      <sheetName val="RAB_PERSIAPAN_"/>
      <sheetName val="Rekap_Prelim"/>
      <sheetName val="Pos_4-1"/>
      <sheetName val="PROTEKSI_PETIR"/>
      <sheetName val="KABEL_FEEDER"/>
      <sheetName val="PENRNGN_&amp;_KTK-KNTK"/>
      <sheetName val="Master_1_0"/>
      <sheetName val="BANGUNAN_PENUNJANG"/>
      <sheetName val="Mat_Mek"/>
      <sheetName val="D_&amp;_W_sizes"/>
      <sheetName val="Cable_150kV_Ref_"/>
      <sheetName val="MAIN_EQUIP_AC"/>
      <sheetName val="ANALIS_1"/>
      <sheetName val="DUTCH_CONE"/>
      <sheetName val="Enc14"/>
      <sheetName val="DaftarHS"/>
      <sheetName val="MAP-Tot"/>
      <sheetName val="T. Cs Log P III"/>
      <sheetName val="U&amp;B"/>
      <sheetName val="struktur"/>
      <sheetName val="B _ Norelec"/>
      <sheetName val="Site Expenses"/>
      <sheetName val="Cover Daf-2"/>
      <sheetName val="[Kr tengahࡄiva.xls聝H_Satua聮"/>
      <sheetName val="IDL聅_AL聁T"/>
      <sheetName val="SCH聅_vareto"/>
      <sheetName val="[Kr te࡮gahࡄiva.xls聝MAT_BAR聕_AC"/>
      <sheetName val="[Kr tengahࡄiva࠮xls聝H_Satua聮1"/>
      <sheetName val="[Kࡲ tengahࡄiva.xls聝Kap聟Tenaga"/>
      <sheetName val="[Kࡲ te࡮gahࡄiva.xls聝Ana聬isa HS"/>
      <sheetName val="B -耠Nor聥lec"/>
      <sheetName val="Man耠Pow聥r"/>
      <sheetName val="[Kࡲ tengahࡄiva.xls聝5-P聥ralatan"/>
      <sheetName val="[Kࡲ te࡮gahࡄiva࠮xls聝Inf聯rmasi"/>
      <sheetName val="BTL耭ala聴"/>
      <sheetName val="BTL-Rup聡"/>
      <sheetName val="[Kr te࡮gahࡄiva.xls聝upahbahan"/>
      <sheetName val="[Kr tengahࡄiva࠮xls聝01A- RA聂"/>
      <sheetName val="BASEMEN联"/>
      <sheetName val="[Kr tengahࡄiva࠮xls聝NS GD.U联AMA"/>
      <sheetName val="[Kr tengahࡄiva.xls聝Str耭Bengkel"/>
      <sheetName val="[Kࡲ te࡮gahࡄiva࠮xls聝ANA职.BOW"/>
      <sheetName val="M_12 _2聟"/>
      <sheetName val="Mat聥ria聬"/>
      <sheetName val="[Kࡲ tengahࡄiva.xls聝G_SUMMARY"/>
      <sheetName val="GFA耭20-聎"/>
      <sheetName val="RAB聟HRE聚"/>
      <sheetName val="[Kr tengahDiva.xls聝ANAL_HREZ"/>
      <sheetName val="ANAL. M聅"/>
      <sheetName val="[Kr tengahDiva.xls聝analysis"/>
      <sheetName val="anal_al聡t"/>
      <sheetName val="IDLE_ALAT2"/>
      <sheetName val="ATB_pers_(2)2"/>
      <sheetName val="FOTO_PR2"/>
      <sheetName val="G_umum2"/>
      <sheetName val="SCHE_vareto2"/>
      <sheetName val="ATB_pers2"/>
      <sheetName val="BQ_diva2"/>
      <sheetName val="MAT_BARU_AC2"/>
      <sheetName val="H_Satuan3"/>
      <sheetName val="AC_+2"/>
      <sheetName val="an_ATB_G2"/>
      <sheetName val="an_AC2"/>
      <sheetName val="an_ATB_L2"/>
      <sheetName val="ATB_+2"/>
      <sheetName val="Alat_DC2"/>
      <sheetName val="Kap_Tenaga2"/>
      <sheetName val="Agregat_Halus_&amp;_Kasar1"/>
      <sheetName val="HRG_BHN1"/>
      <sheetName val="Analisa_HS1"/>
      <sheetName val="Kr_tengahDiva1"/>
      <sheetName val="L3_An_H_Sat_Mob1"/>
      <sheetName val="Isolasi_Luar_Dalam1"/>
      <sheetName val="Isolasi_Luar1"/>
      <sheetName val="GASATAGG_XLS1"/>
      <sheetName val="EXTERNAL_WORK1"/>
      <sheetName val="Man_Power1"/>
      <sheetName val="B_-_Norelec1"/>
      <sheetName val="rab_me_(by_owner)_1"/>
      <sheetName val="BQ_(by_owner)1"/>
      <sheetName val="rab_me_(fisik)1"/>
      <sheetName val="bill_qty1"/>
      <sheetName val="meth_hsl_nego1"/>
      <sheetName val="AHS_str"/>
      <sheetName val="HS_Alat1"/>
      <sheetName val="HS_Upah1"/>
      <sheetName val="HS_Sub-Kon1"/>
      <sheetName val="HB_"/>
      <sheetName val="An_HarSatPek"/>
      <sheetName val="Harga_Satuan"/>
      <sheetName val="Unit_Rate"/>
      <sheetName val="BQ_Stdr_R-1"/>
      <sheetName val="sheet_2"/>
      <sheetName val="RAB_ME"/>
      <sheetName val="RKP_PLUMBING"/>
      <sheetName val="ANALISA_1"/>
      <sheetName val="4-Basic_Price"/>
      <sheetName val="Perm__Test"/>
      <sheetName val="Pipa_(2)"/>
      <sheetName val="Daftar_Upah,Bhn,&amp;_alat"/>
      <sheetName val="Rekap_Direct_Cost"/>
      <sheetName val="Lamp_BAP"/>
      <sheetName val="BQ_Arsit"/>
      <sheetName val="Sat_Bah_&amp;_Up"/>
      <sheetName val="Data_Ktr_Bupati_Tapsel"/>
      <sheetName val="New_MADC"/>
      <sheetName val="HARGA_ALAT"/>
      <sheetName val="ETAB_1"/>
      <sheetName val="Daf_1"/>
      <sheetName val="KAN__LOKAL"/>
      <sheetName val="GH_Quantity"/>
      <sheetName val="Transfer_Pump"/>
      <sheetName val="RAW_MATERIALS_"/>
      <sheetName val="COST-PERSON-J_O_"/>
      <sheetName val="Analisa_ME"/>
      <sheetName val="Upah_Bahan"/>
      <sheetName val="Urai___Guide_Post"/>
      <sheetName val="Met_Pas_Batu"/>
      <sheetName val="Urai_Galian_Tanah"/>
      <sheetName val="Met__Minor"/>
      <sheetName val="Anal_Koef"/>
      <sheetName val="Rekap_Biaya"/>
      <sheetName val="Daf__No____4_2"/>
      <sheetName val="R_A_B_"/>
      <sheetName val="Up&amp;Bhn_"/>
      <sheetName val="NS_GD_UGD"/>
      <sheetName val="STD_GD_UGD"/>
      <sheetName val="AN_Panel1"/>
      <sheetName val="fin_pro_centers"/>
      <sheetName val="REKAP_ARSITEKTUR"/>
      <sheetName val="rincian_per_proyek"/>
      <sheetName val="Lead_Schedule"/>
      <sheetName val="BQ_struktur"/>
      <sheetName val="REKAP_TOTAL"/>
      <sheetName val="2_NSB_"/>
      <sheetName val="2_SB"/>
      <sheetName val="M_ITEM"/>
      <sheetName val="BHN_Ars"/>
      <sheetName val="7_NS_H"/>
      <sheetName val="Analisa_Pusaka_Jaya"/>
      <sheetName val="D_1_2_LT-_1_~_Atap"/>
      <sheetName val="Hydran___springkler"/>
      <sheetName val="Terbilang_sertifikat"/>
      <sheetName val="Report_detil_kondisi"/>
      <sheetName val="ANALISA_HARGA_SATUAN"/>
      <sheetName val="ENC_14"/>
      <sheetName val="H__Dasar"/>
      <sheetName val="Upah_dan_bahan"/>
      <sheetName val="analisa_"/>
      <sheetName val="Bill_5_Summary"/>
      <sheetName val="KH_Bahagia"/>
      <sheetName val="Bill_Of_Quantity"/>
      <sheetName val="BGN_PENUNJANG"/>
      <sheetName val="B___Norelec"/>
      <sheetName val="Site_Expenses"/>
      <sheetName val="AC_LOAD"/>
      <sheetName val="Cover_Daf-2"/>
      <sheetName val="Input_monthly_capex"/>
      <sheetName val="PENJ_NERACA"/>
      <sheetName val="CASH_FLOW"/>
      <sheetName val="[Kr_tengahࡄiva_xls聝H_Satua聮"/>
      <sheetName val="[Kr_te࡮gahࡄiva_xls聝MAT_BAR聕_AC"/>
      <sheetName val="[Kr_tengahࡄiva࠮xls聝H_Satua聮1"/>
      <sheetName val="[Kࡲ_tengahࡄiva_xls聝Kap聟Tenaga"/>
      <sheetName val="[Kࡲ_te࡮gahࡄiva_xls聝Ana聬isa_HS"/>
      <sheetName val="B_-耠Nor聥lec"/>
      <sheetName val="[Kࡲ_tengahࡄiva_xls聝5-P聥ralatan"/>
      <sheetName val="[Kࡲ_te࡮gahࡄiva࠮xls聝Inf聯rmasi"/>
      <sheetName val="[Kr_te࡮gahࡄiva_xls聝upahbahan"/>
      <sheetName val="[Kr_tengahࡄiva࠮xls聝01A-_RA聂"/>
      <sheetName val="[Kr_tengahࡄiva࠮xls聝NS_GD_U联AMA"/>
      <sheetName val="[Kr_tengahࡄiva_xls聝Str耭Bengkel"/>
      <sheetName val="[Kࡲ_te࡮gahࡄiva࠮xls聝ANA职_BOW"/>
      <sheetName val="M_12__2聟"/>
      <sheetName val="[Kࡲ_tengahࡄiva_xls聝G_SUMMARY"/>
      <sheetName val="[Kr_tengahDiva_xls聝ANAL_HREZ"/>
      <sheetName val="ANAL__M聅"/>
      <sheetName val="[Kr_tengahDiva_xls聝analysis"/>
      <sheetName val="T__Cs_Log_P_III"/>
      <sheetName val="REKAP_ME"/>
      <sheetName val="Data_Sei_Belutu"/>
      <sheetName val="610_6"/>
      <sheetName val="610_5"/>
      <sheetName val="Data_Sinabung"/>
      <sheetName val="ANAL_TEKNIK"/>
      <sheetName val="bhn_FINAL"/>
      <sheetName val="List_Plant"/>
      <sheetName val="Mat_Elk"/>
      <sheetName val="AHS_Isolasi"/>
      <sheetName val="SELISIH_HARGA"/>
      <sheetName val="Analisa_2"/>
      <sheetName val="Bq_Ars"/>
      <sheetName val="KONTRAK_INDUK_BULANAN"/>
      <sheetName val="Sat_Alat"/>
      <sheetName val="Bill_4_Summary"/>
      <sheetName val="Hargasatuan"/>
      <sheetName val="DivVII"/>
      <sheetName val="GAJI"/>
      <sheetName val="Progress"/>
      <sheetName val="analisa stroke"/>
      <sheetName val="2. MVAC R1"/>
      <sheetName val="Upah&amp;Bahan"/>
      <sheetName val="Uph&amp;bhn"/>
      <sheetName val="Sheet2"/>
      <sheetName val="QUARRY"/>
      <sheetName val="Appendix 2(SatDas)"/>
      <sheetName val="Kode"/>
      <sheetName val="Currency Rate"/>
      <sheetName val="GFA 22"/>
      <sheetName val="CC-20-N"/>
      <sheetName val="Profil"/>
      <sheetName val="List of Eqp"/>
      <sheetName val="UPA"/>
      <sheetName val="bilangkas"/>
      <sheetName val="Sec I ML"/>
      <sheetName val="Cash Flow bulanan"/>
      <sheetName val="[Kr tengah?iva.xls?H_Satua?"/>
      <sheetName val="IDL?_AL?T"/>
      <sheetName val="SCH?_vareto"/>
      <sheetName val="[Kr te?gah?iva.xls?MAT_BAR?_AC"/>
      <sheetName val="[Kr tengah?iva?xls?H_Satua?1"/>
      <sheetName val="[K? tengah?iva.xls?Kap?Tenaga"/>
      <sheetName val="[K? te?gah?iva.xls?Ana?isa HS"/>
      <sheetName val="B -?Nor?lec"/>
      <sheetName val="Man?Pow?r"/>
      <sheetName val="[K? tengah?iva.xls?5-P?ralatan"/>
      <sheetName val="[K? te?gah?iva?xls?Inf?rmasi"/>
      <sheetName val="BTL?ala?"/>
      <sheetName val="BTL-Rup?"/>
      <sheetName val="[Kr te?gah?iva.xls?upahbahan"/>
      <sheetName val="[Kr tengah?iva?xls?01A- RA?"/>
      <sheetName val="BASEMEN?"/>
      <sheetName val="[Kr tengah?iva?xls?NS GD.U?AMA"/>
      <sheetName val="[Kr tengah?iva.xls?Str?Bengkel"/>
      <sheetName val="[K? te?gah?iva?xls?ANA?.BOW"/>
      <sheetName val="M_12 _2?"/>
      <sheetName val="Mat?ria?"/>
      <sheetName val="[K? tengah?iva.xls?G_SUMMARY"/>
      <sheetName val="GFA?20-?"/>
      <sheetName val="RAB?HRE?"/>
      <sheetName val="[Kr tengahDiva.xls?ANAL_HREZ"/>
      <sheetName val="ANAL. M?"/>
      <sheetName val="[Kr tengahDiva.xls?analysis"/>
      <sheetName val="anal_al?t"/>
      <sheetName val="Rekapitulasi"/>
      <sheetName val="Speck ARSITEK"/>
      <sheetName val="Stden center"/>
      <sheetName val="kuantts"/>
      <sheetName val="Har-sat-dasr"/>
      <sheetName val="Data-Masukan"/>
      <sheetName val="SAT-DAS"/>
      <sheetName val="TE TS FA LAN MATV"/>
      <sheetName val="Input"/>
      <sheetName val="faktor"/>
      <sheetName val="_Kr tengahࡄiva.xls聝H_Satua聮"/>
      <sheetName val="_Kr te࡮gahࡄiva.xls聝MAT_BAR聕_AC"/>
      <sheetName val="_Kr tengahࡄiva࠮xls聝H_Satua聮1"/>
      <sheetName val="_Kࡲ tengahࡄiva.xls聝Kap聟Tenaga"/>
      <sheetName val="_Kࡲ te࡮gahࡄiva.xls聝Ana聬isa HS"/>
      <sheetName val="_Kࡲ tengahࡄiva.xls聝5-P聥ralatan"/>
      <sheetName val="_Kࡲ te࡮gahࡄiva࠮xls聝Inf聯rmasi"/>
      <sheetName val="_Kr te࡮gahࡄiva.xls聝upahbahan"/>
      <sheetName val="_Kr tengahࡄiva࠮xls聝01A- RA聂"/>
      <sheetName val="_Kr tengahࡄiva࠮xls聝NS GD.U联AMA"/>
      <sheetName val="_Kr tengahࡄiva.xls聝Str耭Bengkel"/>
      <sheetName val="_Kࡲ te࡮gahࡄiva࠮xls聝ANA职.BOW"/>
      <sheetName val="_Kࡲ tengahࡄiva.xls聝G_SUMMARY"/>
      <sheetName val="_Kr tengahDiva.xls聝ANAL_HREZ"/>
      <sheetName val="_Kr tengahDiva.xls聝analysis"/>
      <sheetName val="II.MAIN-LOB"/>
      <sheetName val="HDasar"/>
      <sheetName val="INDEKS"/>
      <sheetName val="JABATAN"/>
      <sheetName val="Pengalaman Per"/>
      <sheetName val="Analisa Harga"/>
      <sheetName val="Blk B1"/>
      <sheetName val="Trafo"/>
      <sheetName val="Elekt"/>
      <sheetName val="PConsCS"/>
      <sheetName val="dia-in"/>
      <sheetName val="SEX"/>
      <sheetName val="TOTAL Agustus"/>
      <sheetName val="ANALISA PEK.UMUM"/>
      <sheetName val="REF.ONLY"/>
      <sheetName val="Investment Valuation"/>
      <sheetName val="DAF-1"/>
      <sheetName val="Rate Analysis"/>
      <sheetName val="ME Apt2"/>
      <sheetName val="PileCap"/>
      <sheetName val="Unit Cost"/>
      <sheetName val="Du_lieu"/>
      <sheetName val="Bulanan"/>
      <sheetName val="daftar analisa"/>
      <sheetName val="PO-2"/>
      <sheetName val="Basic Price"/>
      <sheetName val="(ANALISA-lain)"/>
      <sheetName val="S-Curve-print"/>
      <sheetName val="Harsat_marina"/>
      <sheetName val="ana_struktur"/>
      <sheetName val="HB"/>
      <sheetName val="hrg-sat.pek"/>
      <sheetName val="Anl"/>
      <sheetName val="집계표(OPTION)"/>
      <sheetName val="Data Pendukung"/>
      <sheetName val="Analisa-Harga"/>
      <sheetName val="Summary Sheets"/>
      <sheetName val="Price list"/>
      <sheetName val="Quantity"/>
      <sheetName val="Page"/>
      <sheetName val="Rkp Total"/>
      <sheetName val="Harsat Bahan"/>
      <sheetName val="PAGE 1 "/>
      <sheetName val="dtxl"/>
      <sheetName val="Ｎｏ.13"/>
      <sheetName val="Cessie"/>
      <sheetName val="3.Mob"/>
      <sheetName val="hitungan"/>
      <sheetName val="schman"/>
      <sheetName val="schmat"/>
      <sheetName val="TPI"/>
      <sheetName val="data_Asli"/>
      <sheetName val="Q'ty per m"/>
      <sheetName val="telp"/>
      <sheetName val="_Kr tengahDiva.xls聝analysi蕈"/>
      <sheetName val="Main"/>
      <sheetName val="Ammonia"/>
      <sheetName val="DESBT"/>
      <sheetName val="_Kr tengah_iva.xls_H_Satua_"/>
      <sheetName val="IDL__AL_T"/>
      <sheetName val="SCH__vareto"/>
      <sheetName val="_Kr te_gah_iva.xls_MAT_BAR__AC"/>
      <sheetName val="_Kr tengah_iva_xls_H_Satua_1"/>
      <sheetName val="_K_ tengah_iva.xls_Kap_Tenaga"/>
      <sheetName val="_K_ te_gah_iva.xls_Ana_isa HS"/>
      <sheetName val="B -_Nor_lec"/>
      <sheetName val="Man_Pow_r"/>
      <sheetName val="_K_ tengah_iva.xls_5-P_ralatan"/>
      <sheetName val="Lt 1"/>
      <sheetName val="MP3"/>
      <sheetName val="General"/>
      <sheetName val="BQ Mekanikal"/>
      <sheetName val="AQC"/>
      <sheetName val="Detail-AQC"/>
      <sheetName val="IPA1"/>
      <sheetName val="TABEL-DETASIR"/>
      <sheetName val="gvl"/>
      <sheetName val="T-3_4_Cost_of_Equipment"/>
      <sheetName val="An_H_Sat_Pek_Ut"/>
      <sheetName val="Harga_Sat_Das"/>
      <sheetName val="T-3_2_UP_Labour"/>
      <sheetName val="T-3_3_UP_Material"/>
      <sheetName val="_K_ te_gah_iva_xls_Inf_rmasi"/>
      <sheetName val="BTL_ala_"/>
      <sheetName val="BTL-Rup_"/>
      <sheetName val="_Kr te_gah_iva.xls_upahbahan"/>
      <sheetName val="_Kr tengah_iva_xls_01A- RA_"/>
      <sheetName val="BASEMEN_"/>
      <sheetName val="_Kr tengah_iva_xls_NS GD.U_AMA"/>
      <sheetName val="_Kr tengah_iva.xls_Str_Bengkel"/>
      <sheetName val="_K_ te_gah_iva_xls_ANA_.BOW"/>
      <sheetName val="Mat_ria_"/>
      <sheetName val="_K_ tengah_iva.xls_G_SUMMARY"/>
      <sheetName val="GFA_20-_"/>
      <sheetName val="RAB_HRE_"/>
      <sheetName val="_Kr tengahDiva.xls_ANAL_HREZ"/>
      <sheetName val="ANAL. M_"/>
      <sheetName val="_Kr tengahDiva.xls_analysis"/>
      <sheetName val="anal_al_t"/>
      <sheetName val="RAP"/>
      <sheetName val="BIIL ASLI"/>
      <sheetName val="PROD"/>
      <sheetName val="Saluran"/>
      <sheetName val="mek_REKAP"/>
      <sheetName val="UPAH BAHAN ARST"/>
      <sheetName val="ELEC STIS"/>
      <sheetName val="C_2_8"/>
      <sheetName val="C_2_12"/>
      <sheetName val="C_2_5"/>
      <sheetName val="C_2_15"/>
      <sheetName val="BANG TONG HOP (2)"/>
      <sheetName val="SATDAS"/>
      <sheetName val="01A-_RAB1"/>
      <sheetName val="REKAP_ARSITEKTUR_1"/>
      <sheetName val="RAB_ADMINISTRASI_PUSAT_(1)1"/>
      <sheetName val="rekap_mekanikal1"/>
      <sheetName val="PROTEKSI_PETIR1"/>
      <sheetName val="KABEL_FEEDER1"/>
      <sheetName val="PENRNGN_&amp;_KTK-KNTK1"/>
      <sheetName val="Bill_No_2_1_Cold_Water_System1"/>
      <sheetName val="Civil_Works1"/>
      <sheetName val="NS_GD_UTAMA1"/>
      <sheetName val="BANGUNAN_PENUNJANG1"/>
      <sheetName val="M&amp;E_R1"/>
      <sheetName val="RAB_PERSIAPAN_1"/>
      <sheetName val="FIRE_FIGHTING1"/>
      <sheetName val="Master_1_01"/>
      <sheetName val="Fill_this_out_first___2"/>
      <sheetName val="Fill_this_out_first___3"/>
      <sheetName val="BOQ_KSN1"/>
      <sheetName val="BoQ_C41"/>
      <sheetName val="F_ALARM1"/>
      <sheetName val="STD_Lanjutan1"/>
      <sheetName val="NS_Lanjutan1"/>
      <sheetName val="ANAL_BOW2"/>
      <sheetName val="1_B1"/>
      <sheetName val="ANAL__ME1"/>
      <sheetName val="BW_analisa_cika_20051"/>
      <sheetName val="Analisa___Upah1"/>
      <sheetName val="Sat_Upah1"/>
      <sheetName val="Analisa_ME_(2)1"/>
      <sheetName val="Analisa_&amp;_Upah1"/>
      <sheetName val="M_12__2_1"/>
      <sheetName val="Daftar_berat1"/>
      <sheetName val="Fire_Alarm1"/>
      <sheetName val="D_&amp;_W_sizes1"/>
      <sheetName val="Cable_150kV_Ref_1"/>
      <sheetName val="MAIN_EQUIP_AC1"/>
      <sheetName val="Rekap_Prelim1"/>
      <sheetName val="DUTCH_CONE1"/>
      <sheetName val="Pos_4-11"/>
      <sheetName val="D___W_sizes1"/>
      <sheetName val="Bill_of_Qty_MEP1"/>
      <sheetName val="Mat_Mek1"/>
      <sheetName val="ANALIS_11"/>
      <sheetName val="GFA_22"/>
      <sheetName val="List_of_Eqp"/>
      <sheetName val="struktur_tdk_dipakai"/>
      <sheetName val="2__MVAC_R1"/>
      <sheetName val="3_3b"/>
      <sheetName val="Sec_I_ML"/>
      <sheetName val="Cash_Flow_bulanan"/>
      <sheetName val="[Kr_tengah?iva_xls?H_Satua?"/>
      <sheetName val="[Kr_te?gah?iva_xls?MAT_BAR?_AC"/>
      <sheetName val="[Kr_tengah?iva?xls?H_Satua?1"/>
      <sheetName val="[K?_tengah?iva_xls?Kap?Tenaga"/>
      <sheetName val="[K?_te?gah?iva_xls?Ana?isa_HS"/>
      <sheetName val="B_-?Nor?lec"/>
      <sheetName val="[K?_tengah?iva_xls?5-P?ralatan"/>
      <sheetName val="[K?_te?gah?iva?xls?Inf?rmasi"/>
      <sheetName val="[Kr_te?gah?iva_xls?upahbahan"/>
      <sheetName val="[Kr_tengah?iva?xls?01A-_RA?"/>
      <sheetName val="[Kr_tengah?iva?xls?NS_GD_U?AMA"/>
      <sheetName val="[Kr_tengah?iva_xls?Str?Bengkel"/>
      <sheetName val="[K?_te?gah?iva?xls?ANA?_BOW"/>
      <sheetName val="M_12__2?"/>
      <sheetName val="[K?_tengah?iva_xls?G_SUMMARY"/>
      <sheetName val="[Kr_tengahDiva_xls?ANAL_HREZ"/>
      <sheetName val="ANAL__M?"/>
      <sheetName val="[Kr_tengahDiva_xls?analysis"/>
      <sheetName val="Summary_Sheets"/>
      <sheetName val="REF_ONLY"/>
      <sheetName val="3_Mob"/>
      <sheetName val="Price_list"/>
      <sheetName val="TE_TS_FA_LAN_MATV"/>
      <sheetName val="_Kr_tengahࡄiva_xls聝H_Satua聮"/>
      <sheetName val="_Kr_te࡮gahࡄiva_xls聝MAT_BAR聕_AC"/>
      <sheetName val="_Kr_tengahࡄiva࠮xls聝H_Satua聮1"/>
      <sheetName val="_Kࡲ_tengahࡄiva_xls聝Kap聟Tenaga"/>
      <sheetName val="_Kࡲ_te࡮gahࡄiva_xls聝Ana聬isa_HS"/>
      <sheetName val="_Kࡲ_tengahࡄiva_xls聝5-P聥ralatan"/>
      <sheetName val="_Kࡲ_te࡮gahࡄiva࠮xls聝Inf聯rmasi"/>
      <sheetName val="_Kr_te࡮gahࡄiva_xls聝upahbahan"/>
      <sheetName val="_Kr_tengahࡄiva࠮xls聝01A-_RA聂"/>
      <sheetName val="_Kr_tengahࡄiva࠮xls聝NS_GD_U联AMA"/>
      <sheetName val="_Kr_tengahࡄiva_xls聝Str耭Bengkel"/>
      <sheetName val="_Kࡲ_te࡮gahࡄiva࠮xls聝ANA职_BOW"/>
      <sheetName val="_Kࡲ_tengahࡄiva_xls聝G_SUMMARY"/>
      <sheetName val="_Kr_tengahDiva_xls聝ANAL_HREZ"/>
      <sheetName val="_Kr_tengahDiva_xls聝analysis"/>
      <sheetName val="PAGE_1_"/>
      <sheetName val="ME_Apt2"/>
      <sheetName val="Rate_Analysis"/>
      <sheetName val="HARGA_MATERIAL"/>
      <sheetName val="Blk_B1"/>
      <sheetName val="IDLE_ALAT3"/>
      <sheetName val="ATB_pers_(2)3"/>
      <sheetName val="FOTO_PR3"/>
      <sheetName val="G_umum3"/>
      <sheetName val="SCHE_vareto3"/>
      <sheetName val="ATB_pers3"/>
      <sheetName val="BQ_diva3"/>
      <sheetName val="MAT_BARU_AC3"/>
      <sheetName val="H_Satuan4"/>
      <sheetName val="AC_+3"/>
      <sheetName val="an_ATB_G3"/>
      <sheetName val="an_AC3"/>
      <sheetName val="an_ATB_L3"/>
      <sheetName val="ATB_+3"/>
      <sheetName val="Alat_DC3"/>
      <sheetName val="Kap_Tenaga3"/>
      <sheetName val="HRG_BHN2"/>
      <sheetName val="Agregat_Halus_&amp;_Kasar2"/>
      <sheetName val="B_-_Norelec2"/>
      <sheetName val="01A-_RAB2"/>
      <sheetName val="Analisa_HS2"/>
      <sheetName val="Kr_tengahDiva2"/>
      <sheetName val="Isolasi_Luar_Dalam2"/>
      <sheetName val="Isolasi_Luar2"/>
      <sheetName val="REKAP_ARSITEKTUR_2"/>
      <sheetName val="RAB_ADMINISTRASI_PUSAT_(1)2"/>
      <sheetName val="Man_Power2"/>
      <sheetName val="L3_An_H_Sat_Mob2"/>
      <sheetName val="RKP_PLUMBING1"/>
      <sheetName val="HB_1"/>
      <sheetName val="rekap_mekanikal2"/>
      <sheetName val="PROTEKSI_PETIR2"/>
      <sheetName val="KABEL_FEEDER2"/>
      <sheetName val="PENRNGN_&amp;_KTK-KNTK2"/>
      <sheetName val="Bill_No_2_1_Cold_Water_System2"/>
      <sheetName val="Civil_Works2"/>
      <sheetName val="GASATAGG_XLS2"/>
      <sheetName val="rab_me_(by_owner)_2"/>
      <sheetName val="BQ_(by_owner)2"/>
      <sheetName val="NS_GD_UTAMA2"/>
      <sheetName val="BANGUNAN_PENUNJANG2"/>
      <sheetName val="M&amp;E_R2"/>
      <sheetName val="RAB_PERSIAPAN_2"/>
      <sheetName val="FIRE_FIGHTING2"/>
      <sheetName val="Master_1_02"/>
      <sheetName val="EXTERNAL_WORK2"/>
      <sheetName val="Fill_this_out_first___4"/>
      <sheetName val="Fill_this_out_first___5"/>
      <sheetName val="BOQ_KSN2"/>
      <sheetName val="BoQ_C42"/>
      <sheetName val="F_ALARM2"/>
      <sheetName val="STD_Lanjutan2"/>
      <sheetName val="NS_Lanjutan2"/>
      <sheetName val="ANAL_BOW3"/>
      <sheetName val="rab_me_(fisik)2"/>
      <sheetName val="1_B2"/>
      <sheetName val="ANAL__ME2"/>
      <sheetName val="BW_analisa_cika_20052"/>
      <sheetName val="Analisa___Upah2"/>
      <sheetName val="Sat_Upah2"/>
      <sheetName val="HS_Alat2"/>
      <sheetName val="HS_Upah2"/>
      <sheetName val="HS_Sub-Kon2"/>
      <sheetName val="Analisa_ME_(2)2"/>
      <sheetName val="sheet_21"/>
      <sheetName val="RAB_ME1"/>
      <sheetName val="Harga_Satuan1"/>
      <sheetName val="fin_pro_centers1"/>
      <sheetName val="bill_qty2"/>
      <sheetName val="meth_hsl_nego2"/>
      <sheetName val="ANALISA_11"/>
      <sheetName val="4-Basic_Price1"/>
      <sheetName val="R_A_B_1"/>
      <sheetName val="Analisa_&amp;_Upah2"/>
      <sheetName val="M_12__2_2"/>
      <sheetName val="Daftar_berat2"/>
      <sheetName val="Fire_Alarm2"/>
      <sheetName val="D_&amp;_W_sizes2"/>
      <sheetName val="Cable_150kV_Ref_2"/>
      <sheetName val="MAIN_EQUIP_AC2"/>
      <sheetName val="Rekap_Prelim2"/>
      <sheetName val="An_HarSatPek1"/>
      <sheetName val="Unit_Rate1"/>
      <sheetName val="BQ_Stdr_R-11"/>
      <sheetName val="Pipa_(2)1"/>
      <sheetName val="Lamp_BAP1"/>
      <sheetName val="DUTCH_CONE2"/>
      <sheetName val="Rekap_Direct_Cost1"/>
      <sheetName val="Urai___Guide_Post1"/>
      <sheetName val="Met_Pas_Batu1"/>
      <sheetName val="Urai_Galian_Tanah1"/>
      <sheetName val="Met__Minor1"/>
      <sheetName val="Pos_4-12"/>
      <sheetName val="Lead_Schedule1"/>
      <sheetName val="NS_GD_UGD1"/>
      <sheetName val="STD_GD_UGD1"/>
      <sheetName val="D___W_sizes2"/>
      <sheetName val="Bill_of_Qty_MEP2"/>
      <sheetName val="Mat_Mek2"/>
      <sheetName val="Transfer_Pump1"/>
      <sheetName val="RAW_MATERIALS_1"/>
      <sheetName val="COST-PERSON-J_O_1"/>
      <sheetName val="Data_Ktr_Bupati_Tapsel1"/>
      <sheetName val="BQ_struktur1"/>
      <sheetName val="Analisa_ME1"/>
      <sheetName val="Upah_Bahan1"/>
      <sheetName val="ANALIS_12"/>
      <sheetName val="REKAP_ARSITEKTUR1"/>
      <sheetName val="rincian_per_proyek1"/>
      <sheetName val="AHS_str1"/>
      <sheetName val="Daf__No____4_21"/>
      <sheetName val="BQ_Arsit1"/>
      <sheetName val="Sat_Bah_&amp;_Up1"/>
      <sheetName val="Perm__Test1"/>
      <sheetName val="New_MADC1"/>
      <sheetName val="HARGA_ALAT1"/>
      <sheetName val="ETAB_11"/>
      <sheetName val="Daf_11"/>
      <sheetName val="Anal_Koef1"/>
      <sheetName val="Rekap_Biaya1"/>
      <sheetName val="Hydran___springkler1"/>
      <sheetName val="GH_Quantity1"/>
      <sheetName val="Daftar_Upah,Bhn,&amp;_alat1"/>
      <sheetName val="KAN__LOKAL1"/>
      <sheetName val="Terbilang_sertifikat1"/>
      <sheetName val="Bill_5_Summary1"/>
      <sheetName val="Analisa_21"/>
      <sheetName val="Upah_dan_bahan1"/>
      <sheetName val="AC_LOAD1"/>
      <sheetName val="D_1_2_LT-_1_~_Atap1"/>
      <sheetName val="ENC_141"/>
      <sheetName val="2_NSB_1"/>
      <sheetName val="2_SB1"/>
      <sheetName val="M_ITEM1"/>
      <sheetName val="BHN_Ars1"/>
      <sheetName val="7_NS_H1"/>
      <sheetName val="Analisa_Pusaka_Jaya1"/>
      <sheetName val="Report_detil_kondisi1"/>
      <sheetName val="REKAP_TOTAL1"/>
      <sheetName val="Bill_Of_Quantity1"/>
      <sheetName val="BGN_PENUNJANG1"/>
      <sheetName val="KH_Bahagia1"/>
      <sheetName val="AN_Panel2"/>
      <sheetName val="KONTRAK_INDUK_BULANAN1"/>
      <sheetName val="Bq_Ars1"/>
      <sheetName val="Up&amp;Bhn_1"/>
      <sheetName val="H__Dasar1"/>
      <sheetName val="Sat_Alat1"/>
      <sheetName val="ANALISA_HARGA_SATUAN1"/>
      <sheetName val="Bill_4_Summary1"/>
      <sheetName val="GFA_221"/>
      <sheetName val="T-3_4_Cost_of_Equipment1"/>
      <sheetName val="An_H_Sat_Pek_Ut1"/>
      <sheetName val="Harga_Sat_Das1"/>
      <sheetName val="T-3_2_UP_Labour1"/>
      <sheetName val="T-3_3_UP_Material1"/>
      <sheetName val="Input_monthly_capex1"/>
      <sheetName val="PENJ_NERACA1"/>
      <sheetName val="CASH_FLOW1"/>
      <sheetName val="List_of_Eqp1"/>
      <sheetName val="REKAP_ME1"/>
      <sheetName val="SELISIH_HARGA1"/>
      <sheetName val="struktur_tdk_dipakai1"/>
      <sheetName val="B___Norelec1"/>
      <sheetName val="Site_Expenses1"/>
      <sheetName val="2__MVAC_R11"/>
      <sheetName val="Cover_Daf-21"/>
      <sheetName val="[Kr_tengahࡄiva_xls聝H_Satua聮1"/>
      <sheetName val="[Kr_te࡮gahࡄiva_xls聝MAT_BAR聕_AC1"/>
      <sheetName val="[Kr_tengahࡄiva࠮xls聝H_Satua聮11"/>
      <sheetName val="[Kࡲ_tengahࡄiva_xls聝Kap聟Tenaga1"/>
      <sheetName val="[Kࡲ_te࡮gahࡄiva_xls聝Ana聬isa_HS1"/>
      <sheetName val="B_-耠Nor聥lec1"/>
      <sheetName val="[Kࡲ_tengahࡄiva_xls聝5-P聥ralatan1"/>
      <sheetName val="[Kࡲ_te࡮gahࡄiva࠮xls聝Inf聯rmasi1"/>
      <sheetName val="[Kr_te࡮gahࡄiva_xls聝upahbahan1"/>
      <sheetName val="[Kr_tengahࡄiva࠮xls聝01A-_RA聂1"/>
      <sheetName val="[Kr_tengahࡄiva࠮xls聝NS_GD_U联AMA1"/>
      <sheetName val="[Kr_tengahࡄiva_xls聝Str耭Bengkel1"/>
      <sheetName val="[Kࡲ_te࡮gahࡄiva࠮xls聝ANA职_BOW1"/>
      <sheetName val="M_12__2聟1"/>
      <sheetName val="[Kࡲ_tengahࡄiva_xls聝G_SUMMARY1"/>
      <sheetName val="[Kr_tengahDiva_xls聝ANAL_HREZ1"/>
      <sheetName val="ANAL__M聅1"/>
      <sheetName val="[Kr_tengahDiva_xls聝analysis1"/>
      <sheetName val="3_3b1"/>
      <sheetName val="Sec_I_ML1"/>
      <sheetName val="Cash_Flow_bulanan1"/>
      <sheetName val="[Kr_tengah?iva_xls?H_Satua?1"/>
      <sheetName val="[Kr_te?gah?iva_xls?MAT_BAR?_AC1"/>
      <sheetName val="[Kr_tengah?iva?xls?H_Satua?11"/>
      <sheetName val="[K?_tengah?iva_xls?Kap?Tenaga1"/>
      <sheetName val="[K?_te?gah?iva_xls?Ana?isa_HS1"/>
      <sheetName val="B_-?Nor?lec1"/>
      <sheetName val="[K?_tengah?iva_xls?5-P?ralatan1"/>
      <sheetName val="[K?_te?gah?iva?xls?Inf?rmasi1"/>
      <sheetName val="[Kr_te?gah?iva_xls?upahbahan1"/>
      <sheetName val="[Kr_tengah?iva?xls?01A-_RA?1"/>
      <sheetName val="[Kr_tengah?iva?xls?NS_GD_U?AMA1"/>
      <sheetName val="[Kr_tengah?iva_xls?Str?Bengkel1"/>
      <sheetName val="[K?_te?gah?iva?xls?ANA?_BOW1"/>
      <sheetName val="M_12__2?1"/>
      <sheetName val="[K?_tengah?iva_xls?G_SUMMARY1"/>
      <sheetName val="[Kr_tengahDiva_xls?ANAL_HREZ1"/>
      <sheetName val="ANAL__M?1"/>
      <sheetName val="[Kr_tengahDiva_xls?analysis1"/>
      <sheetName val="Summary_Sheets1"/>
      <sheetName val="T__Cs_Log_P_III1"/>
      <sheetName val="REF_ONLY1"/>
      <sheetName val="Mat_Elk1"/>
      <sheetName val="AHS_Isolasi1"/>
      <sheetName val="Data_Sei_Belutu1"/>
      <sheetName val="610_61"/>
      <sheetName val="610_51"/>
      <sheetName val="Data_Sinabung1"/>
      <sheetName val="List_Plant1"/>
      <sheetName val="3_Mob1"/>
      <sheetName val="Price_list1"/>
      <sheetName val="ANAL_TEKNIK1"/>
      <sheetName val="bhn_FINAL1"/>
      <sheetName val="TE_TS_FA_LAN_MATV1"/>
      <sheetName val="_Kr_tengahࡄiva_xls聝H_Satua聮1"/>
      <sheetName val="_Kr_te࡮gahࡄiva_xls聝MAT_BAR聕_AC1"/>
      <sheetName val="_Kr_tengahࡄiva࠮xls聝H_Satua聮11"/>
      <sheetName val="_Kࡲ_tengahࡄiva_xls聝Kap聟Tenaga1"/>
      <sheetName val="_Kࡲ_te࡮gahࡄiva_xls聝Ana聬isa_HS1"/>
      <sheetName val="_Kࡲ_tengahࡄiva_xls聝5-P聥ralatan1"/>
      <sheetName val="_Kࡲ_te࡮gahࡄiva࠮xls聝Inf聯rmasi1"/>
      <sheetName val="_Kr_te࡮gahࡄiva_xls聝upahbahan1"/>
      <sheetName val="_Kr_tengahࡄiva࠮xls聝01A-_RA聂1"/>
      <sheetName val="_Kr_tengahࡄiva࠮xls聝NS_GD_U联AMA1"/>
      <sheetName val="_Kr_tengahࡄiva_xls聝Str耭Bengkel1"/>
      <sheetName val="_Kࡲ_te࡮gahࡄiva࠮xls聝ANA职_BOW1"/>
      <sheetName val="_Kࡲ_tengahࡄiva_xls聝G_SUMMARY1"/>
      <sheetName val="_Kr_tengahDiva_xls聝ANAL_HREZ1"/>
      <sheetName val="_Kr_tengahDiva_xls聝analysis1"/>
      <sheetName val="PAGE_1_1"/>
      <sheetName val="ME_Apt21"/>
      <sheetName val="Rate_Analysis1"/>
      <sheetName val="HARGA_MATERIAL1"/>
      <sheetName val="Blk_B11"/>
      <sheetName val="Analisa HSP"/>
      <sheetName val="Galian 1"/>
      <sheetName val="Analisa (ok)"/>
      <sheetName val="Kuantitas &amp; Harga"/>
      <sheetName val="On Time"/>
      <sheetName val="Curup"/>
      <sheetName val="Prabu"/>
      <sheetName val="PESANTREN"/>
      <sheetName val="G"/>
      <sheetName val="STR"/>
      <sheetName val="List Material"/>
      <sheetName val="Break Down"/>
      <sheetName val="ANAL-TRM"/>
      <sheetName val="hub"/>
      <sheetName val="Proposal"/>
      <sheetName val="7.공정표"/>
      <sheetName val="DAF.ALAT"/>
      <sheetName val="SAT UPH BHN"/>
      <sheetName val="22"/>
      <sheetName val="mat&amp;upah"/>
      <sheetName val="a-hardsc"/>
      <sheetName val="ARSITEKTUR"/>
      <sheetName val="Master Edit"/>
      <sheetName val="Vibro_Roller"/>
      <sheetName val="1.2"/>
      <sheetName val="33"/>
      <sheetName val="Hst_mat"/>
      <sheetName val="P&amp;L"/>
      <sheetName val="DafHrgSatuan"/>
      <sheetName val="AnBiaya OperasionalAlat"/>
      <sheetName val="ana pt"/>
      <sheetName val="MobAlt"/>
      <sheetName val="BQ-4storey"/>
      <sheetName val="MS"/>
      <sheetName val="ANAL-1"/>
      <sheetName val="DHS"/>
      <sheetName val="一発シート"/>
      <sheetName val="SubmitCal"/>
      <sheetName val="FORM"/>
      <sheetName val="Anls-Um"/>
      <sheetName val="Daftar Kuantitas &amp; Harga"/>
      <sheetName val="Huruf"/>
      <sheetName val="info"/>
      <sheetName val="Assumptions"/>
      <sheetName val="Control Settings"/>
      <sheetName val="Dates &amp; Escalators"/>
      <sheetName val="Check Totals"/>
      <sheetName val="DaftarHarga"/>
      <sheetName val="ANALISA railing"/>
      <sheetName val="An-str(krgnyr)"/>
      <sheetName val="alt1"/>
      <sheetName val="Har Sat"/>
      <sheetName val="REQDELTA"/>
      <sheetName val="FGL"/>
      <sheetName val="LAIN-LAIN"/>
      <sheetName val="PRELIM"/>
      <sheetName val="402"/>
      <sheetName val="beam"/>
      <sheetName val="rab me _by owner_ "/>
      <sheetName val="BQ _by owner_"/>
      <sheetName val="rab me _fisik_"/>
      <sheetName val="KJ 2002"/>
      <sheetName val="DHSD"/>
      <sheetName val="."/>
      <sheetName val="BIALANG"/>
      <sheetName val="HSAT"/>
      <sheetName val="AnProd"/>
      <sheetName val="Rencana _2_"/>
      <sheetName val="TA"/>
      <sheetName val="8LT 12"/>
      <sheetName val="LoTA"/>
      <sheetName val="BILL"/>
      <sheetName val="CAB 2"/>
      <sheetName val="HQ-TO"/>
      <sheetName val="대비"/>
      <sheetName val="Vendor Information"/>
      <sheetName val="Har_mat"/>
      <sheetName val="BAHAN (2)"/>
      <sheetName val="DAF-BAHAN"/>
      <sheetName val="DAF-UPAH"/>
      <sheetName val="Tata Udara"/>
      <sheetName val="Pag_hal"/>
      <sheetName val="3"/>
      <sheetName val="Analisa SNI"/>
      <sheetName val="ub"/>
      <sheetName val="A+Supl."/>
      <sheetName val="7"/>
      <sheetName val="JSiar"/>
      <sheetName val="Div.1"/>
      <sheetName val="Form 4,5,6"/>
      <sheetName val="DMPU&amp;DUP"/>
      <sheetName val="BoQ1"/>
      <sheetName val="table"/>
      <sheetName val="RAB-NEGO"/>
      <sheetName val="PL (MONTHLY)"/>
      <sheetName val="revisiSTR-pondasi"/>
      <sheetName val="ASSUM-COMB-Prop"/>
      <sheetName val="적용환율"/>
      <sheetName val="Rekap-link"/>
      <sheetName val="RAB-3"/>
      <sheetName val="BUL"/>
      <sheetName val="GAL.BIASA"/>
      <sheetName val="ANALISAGATE"/>
      <sheetName val="ANA bab 6"/>
      <sheetName val="HSD ALAT"/>
      <sheetName val="HSD BAHAN"/>
      <sheetName val="HSD UPAH "/>
      <sheetName val="7.PEK-STRUKTUR"/>
      <sheetName val="Assumption &amp; Dashboard."/>
      <sheetName val="Price of Equip"/>
      <sheetName val="Price of Mat"/>
      <sheetName val="RAB Ekstern"/>
      <sheetName val="岩性"/>
      <sheetName val="RPP01 6"/>
      <sheetName val="pricelist"/>
      <sheetName val="m schedule"/>
      <sheetName val="HM.MEK."/>
      <sheetName val="Factor"/>
      <sheetName val="41,9&amp;36,3"/>
      <sheetName val="5-Ur-ALAT"/>
      <sheetName val="4-Basic Price-Upah"/>
      <sheetName val="Daf.Biaya sewa alat"/>
      <sheetName val="rekap-ans"/>
      <sheetName val="Supl.X"/>
      <sheetName val="DU&amp;B"/>
      <sheetName val="HSLAIN-LAIN"/>
      <sheetName val="An. HS"/>
      <sheetName val="K210"/>
      <sheetName val="Rokan 1"/>
      <sheetName val="Labour"/>
      <sheetName val="LINK-MAST. BASIC PRICE"/>
      <sheetName val="FP"/>
      <sheetName val="PLB"/>
      <sheetName val="hs-str"/>
      <sheetName val="hs_str"/>
      <sheetName val="DAF_2"/>
      <sheetName val="HDS Sipil"/>
      <sheetName val="3-DIV2"/>
      <sheetName val="chemcal"/>
      <sheetName val="ANPRO"/>
      <sheetName val="L_O&amp;O"/>
      <sheetName val="notasi"/>
      <sheetName val="HASAT DASAR"/>
      <sheetName val="SAT UPAH RAPI"/>
      <sheetName val="Bhn_upah"/>
      <sheetName val="Data Tower"/>
      <sheetName val="Engine"/>
      <sheetName val="BOQ+BTL"/>
      <sheetName val="Cont"/>
      <sheetName val="(htp@.. "/>
      <sheetName val="billed"/>
      <sheetName val="COST TOGO"/>
      <sheetName val="report"/>
      <sheetName val="antisipasi"/>
      <sheetName val="H Satuan Dasar"/>
      <sheetName val="Analisa Upah &amp; Bahan Plum"/>
      <sheetName val="Lists"/>
      <sheetName val="Upah&amp;Bahan (2)"/>
      <sheetName val="Analisa-Harga (1F)"/>
      <sheetName val="M.Pekerjaan"/>
      <sheetName val="List Pla_x0000_È"/>
      <sheetName val="RUMUS"/>
      <sheetName val="Koef"/>
      <sheetName val="PRODALAT"/>
      <sheetName val="RAB (A) (2)"/>
      <sheetName val="CHIPPING"/>
      <sheetName val="UPAH&amp;BHN"/>
      <sheetName val="AI"/>
      <sheetName val="metode"/>
      <sheetName val="LR-OKT-06"/>
      <sheetName val="NK"/>
      <sheetName val="perbhn"/>
      <sheetName val="waktu"/>
      <sheetName val="128+800"/>
      <sheetName val="Bank"/>
      <sheetName val="RAB TTB_ADM8"/>
      <sheetName val="RAPA"/>
      <sheetName val="Luas-Tot"/>
      <sheetName val="Daftar Upah"/>
      <sheetName val="Sum IF"/>
      <sheetName val="JadwaPenugasanl"/>
      <sheetName val="Uraian Analisa"/>
      <sheetName val="Material-List,mekanikal"/>
      <sheetName val="ITB COST"/>
      <sheetName val="Daf Besi"/>
      <sheetName val="Summ"/>
      <sheetName val="Analisa Alat"/>
      <sheetName val="Price"/>
      <sheetName val="Anl-BM"/>
      <sheetName val="GeneralInfo"/>
      <sheetName val="hrg sat"/>
      <sheetName val="K3"/>
      <sheetName val="MATRL"/>
      <sheetName val="Ana Fin"/>
      <sheetName val="sanitair"/>
      <sheetName val="A-Pintu"/>
      <sheetName val="4.2 Public"/>
      <sheetName val="Tie Beam GN"/>
      <sheetName val="Tangga GN"/>
      <sheetName val="BQ-E20-02(Rp)"/>
      <sheetName val="KALKULASI"/>
      <sheetName val="Bunga"/>
      <sheetName val="Mark-up"/>
      <sheetName val="HRG BAHAN _ UPAH okk"/>
      <sheetName val="HRG BAHAN &amp; UPAH okk"/>
      <sheetName val="Analis Kusen okk"/>
      <sheetName val="BQ-IABK"/>
      <sheetName val="EL"/>
      <sheetName val="Villa A"/>
      <sheetName val="CASHFLOW FORECAST"/>
      <sheetName val="STOK MAT"/>
      <sheetName val="ALATSEWA"/>
      <sheetName val="terbilang1"/>
      <sheetName val="JAD-PEL"/>
      <sheetName val="BANTU"/>
      <sheetName val="TAGIHAN"/>
      <sheetName val="PANELKAST"/>
      <sheetName val="Uraian"/>
      <sheetName val="Harsat Bahan "/>
      <sheetName val="OFFICE 2 LT"/>
      <sheetName val="E450"/>
      <sheetName val="500kV BOQ"/>
      <sheetName val="unit 3"/>
      <sheetName val="trns-c1"/>
      <sheetName val="H.Alat"/>
      <sheetName val="H.Bahan"/>
      <sheetName val="RAB-ME"/>
      <sheetName val="RAB-Pipa"/>
      <sheetName val="RAB-Sipil"/>
      <sheetName val="Rekap RAB"/>
      <sheetName val="SCH2"/>
      <sheetName val="mg"/>
      <sheetName val="Basic P"/>
      <sheetName val="10"/>
      <sheetName val="5"/>
      <sheetName val="Rekap BQ-Pompong"/>
      <sheetName val="prog-mgu"/>
      <sheetName val="PERS PENY"/>
      <sheetName val="RAB DC"/>
      <sheetName val="anal rinci"/>
      <sheetName val="Rek.An"/>
      <sheetName val="Ranges"/>
      <sheetName val="cons workpapers"/>
      <sheetName val="SILICATE"/>
      <sheetName val="HARSAT-lain"/>
      <sheetName val="HARSAT-tanah"/>
      <sheetName val="HARSAT-lhn"/>
      <sheetName val="Des_05"/>
      <sheetName val="Agst"/>
      <sheetName val="eQUIPMENT COST"/>
      <sheetName val="TERMINAL"/>
      <sheetName val="H_ Dasar"/>
      <sheetName val="BUL. A"/>
      <sheetName val="Urugan Pasir"/>
      <sheetName val="Detail"/>
      <sheetName val="_Kr tengahDiva.xls聝analysi"/>
      <sheetName val="Goodwill Calculation"/>
      <sheetName val="sort2"/>
      <sheetName val="영업소실적"/>
      <sheetName val="Cover Daf_2"/>
      <sheetName val="SNI FIX"/>
      <sheetName val="01.FA"/>
      <sheetName val="UMUR ALAT"/>
      <sheetName val="FAKTOR MODAL CRF"/>
      <sheetName val="Rekap "/>
      <sheetName val="BAHAN~"/>
      <sheetName val="HRG"/>
      <sheetName val="Daftar Paket"/>
      <sheetName val="upah bahan "/>
      <sheetName val="Rinc. Harg.BHN"/>
      <sheetName val="_Kr_tengah_iva_xls_H_Satua_"/>
      <sheetName val="_Kr_te_gah_iva_xls_MAT_BAR__AC"/>
      <sheetName val="_Kr_tengah_iva_xls_H_Satua_1"/>
      <sheetName val="_K__tengah_iva_xls_Kap_Tenaga"/>
      <sheetName val="_K__te_gah_iva_xls_Ana_isa_HS"/>
      <sheetName val="B_-_Nor_lec"/>
      <sheetName val="_K__tengah_iva_xls_5-P_ralatan"/>
      <sheetName val="_K__te_gah_iva_xls_Inf_rmasi"/>
      <sheetName val="_Kr_te_gah_iva_xls_upahbahan"/>
      <sheetName val="_Kr_tengah_iva_xls_01A-_RA_"/>
      <sheetName val="_Kr_tengah_iva_xls_NS_GD_U_AMA"/>
      <sheetName val="_Kr_tengah_iva_xls_Str_Bengkel"/>
      <sheetName val="_K__te_gah_iva_xls_ANA__BOW"/>
      <sheetName val="_K__tengah_iva_xls_G_SUMMARY"/>
      <sheetName val="_Kr_tengahDiva_xls_ANAL_HREZ"/>
      <sheetName val="ANAL__M_"/>
      <sheetName val="_Kr_tengahDiva_xls_analysis"/>
      <sheetName val="_Kr_te_gah_iva_xls_MAT_BAR__AC1"/>
      <sheetName val="_Kr_tengah_iva_xls_H_Satua_11"/>
      <sheetName val="_K__tengah_iva_xls_Kap_Tenaga1"/>
      <sheetName val="_K__te_gah_iva_xls_Ana_isa_HS1"/>
      <sheetName val="B_-_Nor_lec1"/>
      <sheetName val="_K__tengah_iva_xls_5-P_ralatan1"/>
      <sheetName val="_K__te_gah_iva_xls_Inf_rmasi1"/>
      <sheetName val="_Kr_te_gah_iva_xls_upahbahan1"/>
      <sheetName val="_Kr_tengah_iva_xls_01A-_RA_1"/>
      <sheetName val="_Kr_tengah_iva_xls_NS_GD_U_AMA1"/>
      <sheetName val="_Kr_tengah_iva_xls_Str_Bengkel1"/>
      <sheetName val="_K__te_gah_iva_xls_ANA__BOW1"/>
      <sheetName val="_K__tengah_iva_xls_G_SUMMARY1"/>
      <sheetName val="_Kr_tengahDiva_xls_ANAL_HREZ1"/>
      <sheetName val="ANAL__M_1"/>
      <sheetName val="_Kr_tengahDiva_xls_analysis1"/>
      <sheetName val="List Pla"/>
      <sheetName val="U"/>
      <sheetName val="RAB 1"/>
      <sheetName val="RAB 2"/>
      <sheetName val="RAB 3"/>
      <sheetName val="PNT"/>
      <sheetName val="REKAP Tbh"/>
      <sheetName val="Urai _Resap pengikat"/>
      <sheetName val="DAF.HRG"/>
      <sheetName val="K"/>
      <sheetName val="Analisa Upah _ Bahan Plum"/>
      <sheetName val="DATA BASE"/>
      <sheetName val="ANL K"/>
      <sheetName val="Standby Alat"/>
      <sheetName val="LAP_ HARIAN"/>
      <sheetName val="ANALHASA"/>
      <sheetName val="data profit"/>
      <sheetName val="0504"/>
      <sheetName val="profit"/>
      <sheetName val="sumpro"/>
      <sheetName val="srt"/>
      <sheetName val="Marshal"/>
      <sheetName val="Anl.2s.d4e"/>
      <sheetName val="IDLE_ALAT4"/>
      <sheetName val="ATB_pers_(2)4"/>
      <sheetName val="FOTO_PR4"/>
      <sheetName val="G_umum4"/>
      <sheetName val="SCHE_vareto4"/>
      <sheetName val="ATB_pers4"/>
      <sheetName val="BQ_diva4"/>
      <sheetName val="MAT_BARU_AC4"/>
      <sheetName val="H_Satuan5"/>
      <sheetName val="AC_+4"/>
      <sheetName val="an_ATB_G4"/>
      <sheetName val="an_AC4"/>
      <sheetName val="an_ATB_L4"/>
      <sheetName val="ATB_+4"/>
      <sheetName val="Alat_DC4"/>
      <sheetName val="Kap_Tenaga4"/>
      <sheetName val="HRG_BHN3"/>
      <sheetName val="Agregat_Halus_&amp;_Kasar3"/>
      <sheetName val="Analisa_HS3"/>
      <sheetName val="Kr_tengahDiva3"/>
      <sheetName val="B_-_Norelec3"/>
      <sheetName val="01A-_RAB3"/>
      <sheetName val="Isolasi_Luar_Dalam3"/>
      <sheetName val="Isolasi_Luar3"/>
      <sheetName val="REKAP_ARSITEKTUR_3"/>
      <sheetName val="RAB_ADMINISTRASI_PUSAT_(1)3"/>
      <sheetName val="M&amp;E_R3"/>
      <sheetName val="RAB_PERSIAPAN_3"/>
      <sheetName val="Man_Power3"/>
      <sheetName val="L3_An_H_Sat_Mob3"/>
      <sheetName val="PROTEKSI_PETIR3"/>
      <sheetName val="KABEL_FEEDER3"/>
      <sheetName val="PENRNGN_&amp;_KTK-KNTK3"/>
      <sheetName val="FIRE_FIGHTING3"/>
      <sheetName val="Master_1_03"/>
      <sheetName val="Bill_No_2_1_Cold_Water_System3"/>
      <sheetName val="Civil_Works3"/>
      <sheetName val="GASATAGG_XLS3"/>
      <sheetName val="rab_me_(by_owner)_3"/>
      <sheetName val="BQ_(by_owner)3"/>
      <sheetName val="NS_GD_UTAMA3"/>
      <sheetName val="ANAL__ME3"/>
      <sheetName val="BW_analisa_cika_20053"/>
      <sheetName val="EXTERNAL_WORK3"/>
      <sheetName val="rekap_mekanikal3"/>
      <sheetName val="Analisa___Upah3"/>
      <sheetName val="Harga_Satuan2"/>
      <sheetName val="Fill_this_out_first___6"/>
      <sheetName val="ANAL_BOW4"/>
      <sheetName val="rab_me_(fisik)3"/>
      <sheetName val="Analisa_&amp;_Upah3"/>
      <sheetName val="M_12__2_3"/>
      <sheetName val="BoQ_C43"/>
      <sheetName val="BOQ_KSN3"/>
      <sheetName val="Fill_this_out_first___7"/>
      <sheetName val="F_ALARM3"/>
      <sheetName val="1_B3"/>
      <sheetName val="STD_Lanjutan3"/>
      <sheetName val="NS_Lanjutan3"/>
      <sheetName val="Sat_Upah3"/>
      <sheetName val="Daftar_berat3"/>
      <sheetName val="Fire_Alarm3"/>
      <sheetName val="BANGUNAN_PENUNJANG3"/>
      <sheetName val="HS_Alat3"/>
      <sheetName val="HS_Upah3"/>
      <sheetName val="HS_Sub-Kon3"/>
      <sheetName val="Analisa_ME_(2)3"/>
      <sheetName val="HB_2"/>
      <sheetName val="D_&amp;_W_sizes3"/>
      <sheetName val="Cable_150kV_Ref_3"/>
      <sheetName val="MAIN_EQUIP_AC3"/>
      <sheetName val="Rekap_Prelim3"/>
      <sheetName val="bill_qty3"/>
      <sheetName val="meth_hsl_nego3"/>
      <sheetName val="Unit_Rate2"/>
      <sheetName val="BQ_Stdr_R-12"/>
      <sheetName val="sheet_22"/>
      <sheetName val="RAB_ME2"/>
      <sheetName val="An_HarSatPek2"/>
      <sheetName val="RKP_PLUMBING2"/>
      <sheetName val="ANALISA_12"/>
      <sheetName val="4-Basic_Price2"/>
      <sheetName val="NS_GD_UGD2"/>
      <sheetName val="STD_GD_UGD2"/>
      <sheetName val="Transfer_Pump2"/>
      <sheetName val="D___W_sizes3"/>
      <sheetName val="Bill_of_Qty_MEP3"/>
      <sheetName val="Pipa_(2)2"/>
      <sheetName val="Lamp_BAP2"/>
      <sheetName val="Pos_4-13"/>
      <sheetName val="RAW_MATERIALS_2"/>
      <sheetName val="COST-PERSON-J_O_2"/>
      <sheetName val="fin_pro_centers2"/>
      <sheetName val="R_A_B_2"/>
      <sheetName val="DUTCH_CONE3"/>
      <sheetName val="Rekap_Direct_Cost2"/>
      <sheetName val="Urai___Guide_Post2"/>
      <sheetName val="Met_Pas_Batu2"/>
      <sheetName val="Urai_Galian_Tanah2"/>
      <sheetName val="Met__Minor2"/>
      <sheetName val="Mat_Mek3"/>
      <sheetName val="Data_Ktr_Bupati_Tapsel2"/>
      <sheetName val="AHS_str2"/>
      <sheetName val="Perm__Test2"/>
      <sheetName val="GH_Quantity2"/>
      <sheetName val="New_MADC2"/>
      <sheetName val="Anal_Koef2"/>
      <sheetName val="Rekap_Biaya2"/>
      <sheetName val="Hydran___springkler2"/>
      <sheetName val="BQ_Arsit2"/>
      <sheetName val="Sat_Bah_&amp;_Up2"/>
      <sheetName val="D_1_2_LT-_1_~_Atap2"/>
      <sheetName val="ANALIS_13"/>
      <sheetName val="Upah_Bahan2"/>
      <sheetName val="Daftar_Upah,Bhn,&amp;_alat2"/>
      <sheetName val="Lead_Schedule2"/>
      <sheetName val="REKAP_TOTAL2"/>
      <sheetName val="Daf_12"/>
      <sheetName val="2_NSB_2"/>
      <sheetName val="2_SB2"/>
      <sheetName val="M_ITEM2"/>
      <sheetName val="BHN_Ars2"/>
      <sheetName val="7_NS_H2"/>
      <sheetName val="Daf__No____4_22"/>
      <sheetName val="BQ_struktur2"/>
      <sheetName val="Analisa_ME2"/>
      <sheetName val="REKAP_ARSITEKTUR2"/>
      <sheetName val="rincian_per_proyek2"/>
      <sheetName val="HARGA_ALAT2"/>
      <sheetName val="ETAB_12"/>
      <sheetName val="KAN__LOKAL2"/>
      <sheetName val="Terbilang_sertifikat2"/>
      <sheetName val="Bill_5_Summary2"/>
      <sheetName val="Analisa_22"/>
      <sheetName val="Upah_dan_bahan2"/>
      <sheetName val="AC_LOAD2"/>
      <sheetName val="ENC_142"/>
      <sheetName val="KH_Bahagia2"/>
      <sheetName val="Analisa_Pusaka_Jaya2"/>
      <sheetName val="Report_detil_kondisi2"/>
      <sheetName val="Bill_Of_Quantity2"/>
      <sheetName val="BGN_PENUNJANG2"/>
      <sheetName val="AN_Panel3"/>
      <sheetName val="KONTRAK_INDUK_BULANAN2"/>
      <sheetName val="Bq_Ars2"/>
      <sheetName val="Up&amp;Bhn_2"/>
      <sheetName val="H__Dasar2"/>
      <sheetName val="Sat_Alat2"/>
      <sheetName val="ANALISA_HARGA_SATUAN2"/>
      <sheetName val="Bill_4_Summary2"/>
      <sheetName val="GFA_222"/>
      <sheetName val="T-3_4_Cost_of_Equipment2"/>
      <sheetName val="An_H_Sat_Pek_Ut2"/>
      <sheetName val="Harga_Sat_Das2"/>
      <sheetName val="T-3_2_UP_Labour2"/>
      <sheetName val="T-3_3_UP_Material2"/>
      <sheetName val="Input_monthly_capex2"/>
      <sheetName val="PENJ_NERACA2"/>
      <sheetName val="CASH_FLOW2"/>
      <sheetName val="REKAP_ME2"/>
      <sheetName val="SELISIH_HARGA2"/>
      <sheetName val="struktur_tdk_dipakai2"/>
      <sheetName val="List_of_Eqp2"/>
      <sheetName val="B___Norelec2"/>
      <sheetName val="Site_Expenses2"/>
      <sheetName val="2__MVAC_R12"/>
      <sheetName val="Cover_Daf-22"/>
      <sheetName val="[Kr_tengahࡄiva_xls聝H_Satua聮2"/>
      <sheetName val="[Kr_te࡮gahࡄiva_xls聝MAT_BAR聕_AC2"/>
      <sheetName val="[Kr_tengahࡄiva࠮xls聝H_Satua聮12"/>
      <sheetName val="[Kࡲ_tengahࡄiva_xls聝Kap聟Tenaga2"/>
      <sheetName val="[Kࡲ_te࡮gahࡄiva_xls聝Ana聬isa_HS2"/>
      <sheetName val="B_-耠Nor聥lec2"/>
      <sheetName val="[Kࡲ_tengahࡄiva_xls聝5-P聥ralatan2"/>
      <sheetName val="[Kࡲ_te࡮gahࡄiva࠮xls聝Inf聯rmasi2"/>
      <sheetName val="[Kr_te࡮gahࡄiva_xls聝upahbahan2"/>
      <sheetName val="[Kr_tengahࡄiva࠮xls聝01A-_RA聂2"/>
      <sheetName val="[Kr_tengahࡄiva࠮xls聝NS_GD_U联AMA2"/>
      <sheetName val="[Kr_tengahࡄiva_xls聝Str耭Bengkel2"/>
      <sheetName val="[Kࡲ_te࡮gahࡄiva࠮xls聝ANA职_BOW2"/>
      <sheetName val="M_12__2聟2"/>
      <sheetName val="[Kࡲ_tengahࡄiva_xls聝G_SUMMARY2"/>
      <sheetName val="[Kr_tengahDiva_xls聝ANAL_HREZ2"/>
      <sheetName val="ANAL__M聅2"/>
      <sheetName val="[Kr_tengahDiva_xls聝analysis2"/>
      <sheetName val="3_3b2"/>
      <sheetName val="Sec_I_ML2"/>
      <sheetName val="Cash_Flow_bulanan2"/>
      <sheetName val="[Kr_tengah?iva_xls?H_Satua?2"/>
      <sheetName val="[Kr_te?gah?iva_xls?MAT_BAR?_AC2"/>
      <sheetName val="[Kr_tengah?iva?xls?H_Satua?12"/>
      <sheetName val="[K?_tengah?iva_xls?Kap?Tenaga2"/>
      <sheetName val="[K?_te?gah?iva_xls?Ana?isa_HS2"/>
      <sheetName val="B_-?Nor?lec2"/>
      <sheetName val="[K?_tengah?iva_xls?5-P?ralatan2"/>
      <sheetName val="[K?_te?gah?iva?xls?Inf?rmasi2"/>
      <sheetName val="[Kr_te?gah?iva_xls?upahbahan2"/>
      <sheetName val="[Kr_tengah?iva?xls?01A-_RA?2"/>
      <sheetName val="[Kr_tengah?iva?xls?NS_GD_U?AMA2"/>
      <sheetName val="[Kr_tengah?iva_xls?Str?Bengkel2"/>
      <sheetName val="[K?_te?gah?iva?xls?ANA?_BOW2"/>
      <sheetName val="M_12__2?2"/>
      <sheetName val="[K?_tengah?iva_xls?G_SUMMARY2"/>
      <sheetName val="[Kr_tengahDiva_xls?ANAL_HREZ2"/>
      <sheetName val="ANAL__M?2"/>
      <sheetName val="[Kr_tengahDiva_xls?analysis2"/>
      <sheetName val="Mat_Elk2"/>
      <sheetName val="AHS_Isolasi2"/>
      <sheetName val="Data_Sei_Belutu2"/>
      <sheetName val="610_62"/>
      <sheetName val="610_52"/>
      <sheetName val="Data_Sinabung2"/>
      <sheetName val="List_Plant2"/>
      <sheetName val="T__Cs_Log_P_III2"/>
      <sheetName val="REF_ONLY2"/>
      <sheetName val="Summary_Sheets2"/>
      <sheetName val="Price_list2"/>
      <sheetName val="ANAL_TEKNIK2"/>
      <sheetName val="bhn_FINAL2"/>
      <sheetName val="_Kr_tengahࡄiva_xls聝H_Satua聮2"/>
      <sheetName val="_Kr_te࡮gahࡄiva_xls聝MAT_BAR聕_AC2"/>
      <sheetName val="_Kr_tengahࡄiva࠮xls聝H_Satua聮12"/>
      <sheetName val="_Kࡲ_tengahࡄiva_xls聝Kap聟Tenaga2"/>
      <sheetName val="_Kࡲ_te࡮gahࡄiva_xls聝Ana聬isa_HS2"/>
      <sheetName val="_Kࡲ_tengahࡄiva_xls聝5-P聥ralatan2"/>
      <sheetName val="_Kࡲ_te࡮gahࡄiva࠮xls聝Inf聯rmasi2"/>
      <sheetName val="_Kr_te࡮gahࡄiva_xls聝upahbahan2"/>
      <sheetName val="_Kr_tengahࡄiva࠮xls聝01A-_RA聂2"/>
      <sheetName val="_Kr_tengahࡄiva࠮xls聝NS_GD_U联AMA2"/>
      <sheetName val="_Kr_tengahࡄiva_xls聝Str耭Bengkel2"/>
      <sheetName val="_Kࡲ_te࡮gahࡄiva࠮xls聝ANA职_BOW2"/>
      <sheetName val="_Kࡲ_tengahࡄiva_xls聝G_SUMMARY2"/>
      <sheetName val="_Kr_tengahDiva_xls聝ANAL_HREZ2"/>
      <sheetName val="_Kr_tengahDiva_xls聝analysis2"/>
      <sheetName val="3_Mob2"/>
      <sheetName val="TE_TS_FA_LAN_MATV2"/>
      <sheetName val="PAGE_1_2"/>
      <sheetName val="ME_Apt22"/>
      <sheetName val="Rate_Analysis2"/>
      <sheetName val="HARGA_MATERIAL2"/>
      <sheetName val="Blk_B12"/>
      <sheetName val="Pengalaman_Per"/>
      <sheetName val="II_MAIN-LOB"/>
      <sheetName val="Investment_Valuation"/>
      <sheetName val="Unit_Cost"/>
      <sheetName val="analisa_stroke"/>
      <sheetName val="Rkp_Total"/>
      <sheetName val="Harsat_Bahan"/>
      <sheetName val="Appendix_2(SatDas)"/>
      <sheetName val="daftar_analisa"/>
      <sheetName val="Sumber_Daya"/>
      <sheetName val="Currency_Rate"/>
      <sheetName val="List_Material"/>
      <sheetName val="On_Time"/>
      <sheetName val="Analisa_Harga"/>
      <sheetName val="Ｎｏ_13"/>
      <sheetName val="Analisa_HSP"/>
      <sheetName val="Galian_1"/>
      <sheetName val="Basic_alat"/>
      <sheetName val="Basic_bahan"/>
      <sheetName val="Basic_upah"/>
      <sheetName val="Analisa_(ok)"/>
      <sheetName val="Kuantitas_&amp;_Harga"/>
      <sheetName val="Master_Edit"/>
      <sheetName val="1_2"/>
      <sheetName val="ELEC_STIS"/>
      <sheetName val="Div_1"/>
      <sheetName val="Form_4,5,6"/>
      <sheetName val="UPAH_BAHAN_ARST"/>
      <sheetName val="Data_Pendukung"/>
      <sheetName val="Basic_Price"/>
      <sheetName val="PL_(MONTHLY)"/>
      <sheetName val="7_공정표"/>
      <sheetName val="TOTAL_Agustus"/>
      <sheetName val="DAF_ALAT"/>
      <sheetName val="Vendor_Information"/>
      <sheetName val="M_Pekerjaan"/>
      <sheetName val="Analisa_Upah_&amp;_Bahan_Plum"/>
      <sheetName val="Upah&amp;Bahan_(2)"/>
      <sheetName val="Analisa-Harga_(1F)"/>
      <sheetName val="List_PlaÈ"/>
      <sheetName val="Daf_Besi"/>
      <sheetName val="ITB_COST"/>
      <sheetName val="Dftr Isi"/>
      <sheetName val="harsat sdy"/>
      <sheetName val="Metod TWR"/>
      <sheetName val="Hargamat"/>
      <sheetName val="SPK"/>
      <sheetName val="ANA"/>
      <sheetName val="Manpower"/>
      <sheetName val="Equipt,Tools&amp;Cons"/>
      <sheetName val="B-P"/>
      <sheetName val="GRADE SKALA"/>
      <sheetName val="MASTER DATA"/>
      <sheetName val="Muh Akhir"/>
      <sheetName val="chandra"/>
      <sheetName val="Gerson"/>
      <sheetName val="Eko"/>
      <sheetName val="manda"/>
      <sheetName val="Panimba"/>
      <sheetName val="Chandra Prabowo"/>
      <sheetName val="Hrg.Sat"/>
      <sheetName val="urain teknis"/>
      <sheetName val="skenario"/>
      <sheetName val="REKAP GROSS"/>
      <sheetName val="PB(B)"/>
      <sheetName val="pipa32"/>
      <sheetName val="AN.BIAYA MAKAN"/>
      <sheetName val="Concrete"/>
      <sheetName val="2200-3500"/>
      <sheetName val="6175-6450"/>
      <sheetName val="6475-6575"/>
      <sheetName val="LP-IDR"/>
      <sheetName val="MB"/>
      <sheetName val="HSTANAH"/>
      <sheetName val="HSBETON"/>
      <sheetName val="A_2"/>
      <sheetName val="PL"/>
      <sheetName val="u.aLAT"/>
      <sheetName val="HARI"/>
      <sheetName val="ANALI.PP"/>
      <sheetName val="HARST"/>
      <sheetName val="H. Satuan Upah &amp; Bahan"/>
      <sheetName val="Analisa Satuan Pekerjaan"/>
      <sheetName val="H. Satuan Pekerjaan"/>
      <sheetName val="satpek"/>
      <sheetName val="reinforce"/>
      <sheetName val="Schedule(overall)"/>
      <sheetName val="Hit Vol Str Jambi"/>
      <sheetName val="Klm-Mnl"/>
      <sheetName val="daftar"/>
      <sheetName val="Elektrikal"/>
      <sheetName val="Spr-Mnt"/>
      <sheetName val="Bahan Upah"/>
      <sheetName val="rab g. menara pengawas"/>
      <sheetName val="tabel pnganan mslh"/>
      <sheetName val="An-Sipil"/>
      <sheetName val="ANALISA BANGLI"/>
      <sheetName val="Schedule"/>
      <sheetName val="D.1.7"/>
      <sheetName val="D.1.5"/>
      <sheetName val="D.2.3"/>
      <sheetName val="D.2.2"/>
      <sheetName val="Cost_BD_Steel"/>
      <sheetName val="SCH_GG &amp; SAS"/>
      <sheetName val="Data Base List"/>
      <sheetName val="Anal Alat Type II A"/>
      <sheetName val="BOQ EM"/>
      <sheetName val="Field DCPT"/>
      <sheetName val="Mob"/>
      <sheetName val="URAIAN "/>
      <sheetName val="LS-Rutin"/>
      <sheetName val="TOTAL"/>
      <sheetName val="2. Elektrik"/>
      <sheetName val="AnalisaSIPIL RIIL RAP"/>
      <sheetName val="anaUTama"/>
      <sheetName val="ANALISA SBU"/>
      <sheetName val="ALS4"/>
      <sheetName val="ALS1"/>
      <sheetName val="ALS5"/>
      <sheetName val="ALS3"/>
      <sheetName val="Sdy Bhn Upah Alat"/>
      <sheetName val="Database"/>
      <sheetName val="Rencana Anggaran Biaya"/>
      <sheetName val="Mobilisasi (2)"/>
      <sheetName val="VLOOK"/>
      <sheetName val="Application"/>
      <sheetName val="FORM X COST"/>
      <sheetName val="HALAMAN 1-60"/>
      <sheetName val="Mobil"/>
      <sheetName val="Daftar No MAPPI"/>
      <sheetName val="As"/>
      <sheetName val="bct-PABRIK"/>
      <sheetName val="UTILITAS"/>
      <sheetName val="Export"/>
      <sheetName val="AGENDA"/>
      <sheetName val="Rekap -sarana luar"/>
      <sheetName val="Foundation"/>
      <sheetName val="An-Sipil(ADA KODE)"/>
      <sheetName val="DICA AKTIF"/>
      <sheetName val="UOA"/>
      <sheetName val="산근"/>
      <sheetName val="Harga Mat "/>
      <sheetName val="3-DIV4"/>
      <sheetName val="Data Umum Penawaran"/>
      <sheetName val="Pekerjaan"/>
      <sheetName val="Anas"/>
      <sheetName val="chitimc"/>
      <sheetName val="dongia (2)"/>
      <sheetName val="LKVL-CK-HT-GD1"/>
      <sheetName val="gtrinh"/>
      <sheetName val="THPDMoi  (2)"/>
      <sheetName val="lam-moi"/>
      <sheetName val="2"/>
      <sheetName val="6"/>
      <sheetName val="sched-induk-(Th.2008 5M)"/>
      <sheetName val="ANALISA GRS TENGAH"/>
      <sheetName val="HSU 2016"/>
      <sheetName val="DAF-HARSAT"/>
      <sheetName val="ANALISA EL DAN ELC"/>
      <sheetName val="Unit Price"/>
      <sheetName val="4"/>
      <sheetName val="1"/>
      <sheetName val="modal"/>
      <sheetName val="ANALIS-ALAT"/>
      <sheetName val="AN-HSD"/>
      <sheetName val="AN-Agregat"/>
      <sheetName val="ANALISA-MOB"/>
      <sheetName val="sai"/>
      <sheetName val="Luas"/>
      <sheetName val="HSP LT BS"/>
      <sheetName val="BAHAN MKNL"/>
      <sheetName val="견적기준"/>
      <sheetName val="RAB AR&amp;STR"/>
      <sheetName val="HargaDasar"/>
      <sheetName val="Tanaman"/>
      <sheetName val="Dash"/>
      <sheetName val="Harga S Dasar UNTUK IDISI"/>
      <sheetName val="inst.pemrintah"/>
      <sheetName val="DATUM"/>
      <sheetName val="BQ-Tenis"/>
      <sheetName val="BOQ_Aula"/>
      <sheetName val="james's"/>
      <sheetName val="공사내역"/>
      <sheetName val="hsat-SD"/>
      <sheetName val="an-satuan"/>
      <sheetName val="Rekap-SD"/>
      <sheetName val="HRG- UPAH"/>
      <sheetName val="lt. dasar"/>
      <sheetName val="FINAL SUM"/>
      <sheetName val="ALT"/>
      <sheetName val="Por"/>
      <sheetName val="DbCost"/>
      <sheetName val="brd2"/>
      <sheetName val="Harga Bahan"/>
      <sheetName val="Internal AFE Form 2 "/>
      <sheetName val="asumsi"/>
      <sheetName val="skets"/>
      <sheetName val="Rekap Anl"/>
      <sheetName val="Bhn+Uph"/>
      <sheetName val="GRAFIK "/>
      <sheetName val="sh健et 2"/>
      <sheetName val="B"/>
      <sheetName val="lkalibrasi BENENAIN"/>
      <sheetName val="Satuan"/>
      <sheetName val="L. Hr"/>
      <sheetName val="3-DIV3"/>
      <sheetName val="F"/>
      <sheetName val="I"/>
      <sheetName val="s.g.exx"/>
      <sheetName val="AHS all"/>
      <sheetName val="dt-bum"/>
      <sheetName val="DB"/>
      <sheetName val="LEMBAR3"/>
      <sheetName val="LEMBAR1"/>
      <sheetName val="LEMBAR2"/>
      <sheetName val="LEMBAR4"/>
      <sheetName val="LEMBAR5"/>
      <sheetName val="Amortization Table"/>
      <sheetName val="Currencies"/>
      <sheetName val="BULAN 1"/>
      <sheetName val="Analisa SNI STANDART "/>
      <sheetName val="BIIL_ASLI"/>
      <sheetName val="Q'ty_per_m"/>
      <sheetName val="ANALISA_PEK_UMUM"/>
      <sheetName val="Daftar_Kuantitas_&amp;_Harga"/>
      <sheetName val="Har_Sat"/>
      <sheetName val="500kV_BOQ"/>
      <sheetName val="Data_Tower"/>
      <sheetName val="Daftar_Upah"/>
      <sheetName val="Sum_IF"/>
      <sheetName val="Uraian_Analisa"/>
      <sheetName val="Speck_ARSITEK"/>
      <sheetName val="Stden_center"/>
      <sheetName val="BQ__by_owner_"/>
      <sheetName val="RPP01_6"/>
      <sheetName val="m_schedule"/>
      <sheetName val="HM_MEK_"/>
      <sheetName val="STOK_MAT"/>
      <sheetName val="_Kr_tengahDiva_xls聝analysi蕈"/>
      <sheetName val="ANALISA_railing"/>
      <sheetName val="Control_Settings"/>
      <sheetName val="Dates_&amp;_Escalators"/>
      <sheetName val="Check_Totals"/>
      <sheetName val="Rekap_BQ-Pompong"/>
      <sheetName val="PERS_PENY"/>
      <sheetName val="RAB_DC"/>
      <sheetName val="anal_rinci"/>
      <sheetName val="Rek_An"/>
      <sheetName val="hrg_sat"/>
      <sheetName val="BANG_TONG_HOP_(2)"/>
      <sheetName val="BQ_Mekanikal"/>
      <sheetName val="BUL__A"/>
      <sheetName val="rab_me__by_owner__"/>
      <sheetName val="rab_me__fisik_"/>
      <sheetName val="_"/>
      <sheetName val="Assumption_&amp;_Dashboard_"/>
      <sheetName val="SAT_UPH_BHN"/>
      <sheetName val="hrg-sat_pek"/>
      <sheetName val="Lt_1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ANALISA GRS kota"/>
      <sheetName val="PLANT"/>
      <sheetName val="ANA bab 2"/>
      <sheetName val="Jenjang_Eselon"/>
      <sheetName val="PL-2"/>
      <sheetName val="Tax"/>
      <sheetName val="Ex_Rate"/>
      <sheetName val="extern"/>
      <sheetName val="61004"/>
      <sheetName val="BGT 07"/>
      <sheetName val="Daf Harga Satuan"/>
      <sheetName val="Uraian Upah"/>
      <sheetName val="Rekap BBM"/>
      <sheetName val="ATB"/>
      <sheetName val="LNPB-2"/>
      <sheetName val="H-Dasar"/>
      <sheetName val="61008"/>
      <sheetName val="RINCI"/>
      <sheetName val="Daf.Dasar Upah&amp;Bahan"/>
      <sheetName val=" INCOME STATEMENT (2)"/>
      <sheetName val="Order"/>
      <sheetName val="Schedule OK Status"/>
      <sheetName val=" BoQ Green Field option 1"/>
      <sheetName val="Kata Pengantar"/>
      <sheetName val="Lab E (FKU)"/>
      <sheetName val="RBP-5"/>
      <sheetName val="DRUP (ASLI)"/>
      <sheetName val="Daya"/>
      <sheetName val="RESOURCES"/>
      <sheetName val="DINDING"/>
      <sheetName val="DC"/>
      <sheetName val="sch"/>
      <sheetName val="IDLE_ALAT5"/>
      <sheetName val="ATB_pers_(2)5"/>
      <sheetName val="FOTO_PR5"/>
      <sheetName val="G_umum5"/>
      <sheetName val="SCHE_vareto5"/>
      <sheetName val="ATB_pers5"/>
      <sheetName val="BQ_diva5"/>
      <sheetName val="MAT_BARU_AC5"/>
      <sheetName val="H_Satuan6"/>
      <sheetName val="AC_+5"/>
      <sheetName val="an_ATB_G5"/>
      <sheetName val="an_AC5"/>
      <sheetName val="an_ATB_L5"/>
      <sheetName val="ATB_+5"/>
      <sheetName val="Alat_DC5"/>
      <sheetName val="Kap_Tenaga5"/>
      <sheetName val="HRG_BHN4"/>
      <sheetName val="Agregat_Halus_&amp;_Kasar4"/>
      <sheetName val="Analisa_HS4"/>
      <sheetName val="bill_qty4"/>
      <sheetName val="meth_hsl_nego4"/>
      <sheetName val="Perm__Test3"/>
      <sheetName val="Kr_tengahDiva4"/>
      <sheetName val="Isolasi_Luar_Dalam4"/>
      <sheetName val="Isolasi_Luar4"/>
      <sheetName val="GASATAGG_XLS4"/>
      <sheetName val="ANAL_BOW5"/>
      <sheetName val="EXTERNAL_WORK4"/>
      <sheetName val="B_-_Norelec4"/>
      <sheetName val="L3_An_H_Sat_Mob4"/>
      <sheetName val="rab_me_(by_owner)_4"/>
      <sheetName val="BQ_(by_owner)4"/>
      <sheetName val="rab_me_(fisik)4"/>
      <sheetName val="Man_Power4"/>
      <sheetName val="01A-_RAB4"/>
      <sheetName val="rekap_mekanikal4"/>
      <sheetName val="Analisa___Upah4"/>
      <sheetName val="Analisa_&amp;_Upah4"/>
      <sheetName val="M_12__2_4"/>
      <sheetName val="ANAL__ME4"/>
      <sheetName val="BW_analisa_cika_20054"/>
      <sheetName val="M&amp;E_R4"/>
      <sheetName val="RAB_PERSIAPAN_4"/>
      <sheetName val="Fill_this_out_first___8"/>
      <sheetName val="D_&amp;_W_sizes4"/>
      <sheetName val="GH_Quantity3"/>
      <sheetName val="KAN__LOKAL3"/>
      <sheetName val="REKAP_ARSITEKTUR_4"/>
      <sheetName val="RAB_ADMINISTRASI_PUSAT_(1)4"/>
      <sheetName val="PROTEKSI_PETIR4"/>
      <sheetName val="KABEL_FEEDER4"/>
      <sheetName val="PENRNGN_&amp;_KTK-KNTK4"/>
      <sheetName val="NS_GD_UTAMA4"/>
      <sheetName val="Bill_No_2_1_Cold_Water_System4"/>
      <sheetName val="Civil_Works4"/>
      <sheetName val="1_B4"/>
      <sheetName val="FIRE_FIGHTING4"/>
      <sheetName val="Master_1_04"/>
      <sheetName val="BOQ_KSN4"/>
      <sheetName val="HS_Alat4"/>
      <sheetName val="HS_Upah4"/>
      <sheetName val="HS_Sub-Kon4"/>
      <sheetName val="Analisa_ME_(2)4"/>
      <sheetName val="Sat_Upah4"/>
      <sheetName val="Fill_this_out_first___9"/>
      <sheetName val="BoQ_C44"/>
      <sheetName val="HARGA_ALAT3"/>
      <sheetName val="ETAB_13"/>
      <sheetName val="BANGUNAN_PENUNJANG4"/>
      <sheetName val="F_ALARM4"/>
      <sheetName val="STD_Lanjutan4"/>
      <sheetName val="NS_Lanjutan4"/>
      <sheetName val="HB_3"/>
      <sheetName val="Unit_Rate3"/>
      <sheetName val="BQ_Stdr_R-13"/>
      <sheetName val="Transfer_Pump3"/>
      <sheetName val="Daftar_berat4"/>
      <sheetName val="Fire_Alarm4"/>
      <sheetName val="D___W_sizes4"/>
      <sheetName val="Bill_of_Qty_MEP4"/>
      <sheetName val="Cable_150kV_Ref_4"/>
      <sheetName val="Harga_Satuan3"/>
      <sheetName val="sheet_23"/>
      <sheetName val="RAB_ME3"/>
      <sheetName val="RAW_MATERIALS_3"/>
      <sheetName val="COST-PERSON-J_O_3"/>
      <sheetName val="Pipa_(2)3"/>
      <sheetName val="Lamp_BAP3"/>
      <sheetName val="Pos_4-14"/>
      <sheetName val="Rekap_Prelim4"/>
      <sheetName val="Mat_Mek4"/>
      <sheetName val="Analisa_ME3"/>
      <sheetName val="MAIN_EQUIP_AC4"/>
      <sheetName val="Upah_Bahan3"/>
      <sheetName val="DUTCH_CONE4"/>
      <sheetName val="Rekap_Direct_Cost3"/>
      <sheetName val="Urai___Guide_Post3"/>
      <sheetName val="Met_Pas_Batu3"/>
      <sheetName val="Urai_Galian_Tanah3"/>
      <sheetName val="Met__Minor3"/>
      <sheetName val="NS_GD_UGD3"/>
      <sheetName val="STD_GD_UGD3"/>
      <sheetName val="RKP_PLUMBING3"/>
      <sheetName val="ANALISA_13"/>
      <sheetName val="4-Basic_Price3"/>
      <sheetName val="Daf__No____4_23"/>
      <sheetName val="BQ_Arsit3"/>
      <sheetName val="An_HarSatPek3"/>
      <sheetName val="Sat_Bah_&amp;_Up3"/>
      <sheetName val="AHS_str3"/>
      <sheetName val="T-3_4_Cost_of_Equipment3"/>
      <sheetName val="fin_pro_centers3"/>
      <sheetName val="R_A_B_3"/>
      <sheetName val="Data_Ktr_Bupati_Tapsel3"/>
      <sheetName val="Lead_Schedule3"/>
      <sheetName val="New_MADC3"/>
      <sheetName val="REKAP_ARSITEKTUR3"/>
      <sheetName val="rincian_per_proyek3"/>
      <sheetName val="BQ_struktur3"/>
      <sheetName val="ANALIS_14"/>
      <sheetName val="An_H_Sat_Pek_Ut3"/>
      <sheetName val="Harga_Sat_Das3"/>
      <sheetName val="Analisa_23"/>
      <sheetName val="Upah_dan_bahan3"/>
      <sheetName val="T-3_2_UP_Labour3"/>
      <sheetName val="T-3_3_UP_Material3"/>
      <sheetName val="Bill_5_Summary3"/>
      <sheetName val="Daf_13"/>
      <sheetName val="ENC_143"/>
      <sheetName val="Daftar_Upah,Bhn,&amp;_alat3"/>
      <sheetName val="Anal_Koef3"/>
      <sheetName val="Rekap_Biaya3"/>
      <sheetName val="KH_Bahagia3"/>
      <sheetName val="Analisa_Pusaka_Jaya3"/>
      <sheetName val="Hydran___springkler3"/>
      <sheetName val="Report_detil_kondisi3"/>
      <sheetName val="ANALISA_HARGA_SATUAN3"/>
      <sheetName val="REKAP_TOTAL3"/>
      <sheetName val="2_NSB_3"/>
      <sheetName val="2_SB3"/>
      <sheetName val="M_ITEM3"/>
      <sheetName val="BHN_Ars3"/>
      <sheetName val="7_NS_H3"/>
      <sheetName val="D_1_2_LT-_1_~_Atap3"/>
      <sheetName val="Terbilang_sertifikat3"/>
      <sheetName val="Input_monthly_capex3"/>
      <sheetName val="TE_TS_FA_LAN_MATV3"/>
      <sheetName val="AC_LOAD3"/>
      <sheetName val="Bill_Of_Quantity3"/>
      <sheetName val="BGN_PENUNJANG3"/>
      <sheetName val="AN_Panel4"/>
      <sheetName val="Bq_Ars3"/>
      <sheetName val="KONTRAK_INDUK_BULANAN3"/>
      <sheetName val="Up&amp;Bhn_3"/>
      <sheetName val="H__Dasar3"/>
      <sheetName val="Sat_Alat3"/>
      <sheetName val="PENJ_NERACA3"/>
      <sheetName val="CASH_FLOW3"/>
      <sheetName val="struktur_tdk_dipakai3"/>
      <sheetName val="Appendix_2(SatDas)1"/>
      <sheetName val="List_of_Eqp3"/>
      <sheetName val="Bill_4_Summary3"/>
      <sheetName val="GFA_223"/>
      <sheetName val="REKAP_ME3"/>
      <sheetName val="SELISIH_HARGA3"/>
      <sheetName val="B___Norelec3"/>
      <sheetName val="Site_Expenses3"/>
      <sheetName val="2__MVAC_R13"/>
      <sheetName val="Cover_Daf-23"/>
      <sheetName val="3_3b3"/>
      <sheetName val="[Kr_tengahࡄiva_xls聝H_Satua聮3"/>
      <sheetName val="[Kr_te࡮gahࡄiva_xls聝MAT_BAR聕_AC3"/>
      <sheetName val="[Kr_tengahࡄiva࠮xls聝H_Satua聮13"/>
      <sheetName val="[Kࡲ_tengahࡄiva_xls聝Kap聟Tenaga3"/>
      <sheetName val="[Kࡲ_te࡮gahࡄiva_xls聝Ana聬isa_HS3"/>
      <sheetName val="B_-耠Nor聥lec3"/>
      <sheetName val="[Kࡲ_tengahࡄiva_xls聝5-P聥ralatan3"/>
      <sheetName val="[Kࡲ_te࡮gahࡄiva࠮xls聝Inf聯rmasi3"/>
      <sheetName val="[Kr_te࡮gahࡄiva_xls聝upahbahan3"/>
      <sheetName val="[Kr_tengahࡄiva࠮xls聝01A-_RA聂3"/>
      <sheetName val="[Kr_tengahࡄiva࠮xls聝NS_GD_U联AMA3"/>
      <sheetName val="[Kr_tengahࡄiva_xls聝Str耭Bengkel3"/>
      <sheetName val="[Kࡲ_te࡮gahࡄiva࠮xls聝ANA职_BOW3"/>
      <sheetName val="M_12__2聟3"/>
      <sheetName val="[Kࡲ_tengahࡄiva_xls聝G_SUMMARY3"/>
      <sheetName val="[Kr_tengahDiva_xls聝ANAL_HREZ3"/>
      <sheetName val="ANAL__M聅3"/>
      <sheetName val="[Kr_tengahDiva_xls聝analysis3"/>
      <sheetName val="[Kr_tengah?iva_xls?H_Satua?3"/>
      <sheetName val="[Kr_te?gah?iva_xls?MAT_BAR?_AC3"/>
      <sheetName val="[Kr_tengah?iva?xls?H_Satua?13"/>
      <sheetName val="[K?_tengah?iva_xls?Kap?Tenaga3"/>
      <sheetName val="[K?_te?gah?iva_xls?Ana?isa_HS3"/>
      <sheetName val="B_-?Nor?lec3"/>
      <sheetName val="[K?_tengah?iva_xls?5-P?ralatan3"/>
      <sheetName val="[K?_te?gah?iva?xls?Inf?rmasi3"/>
      <sheetName val="[Kr_te?gah?iva_xls?upahbahan3"/>
      <sheetName val="[Kr_tengah?iva?xls?01A-_RA?3"/>
      <sheetName val="[Kr_tengah?iva?xls?NS_GD_U?AMA3"/>
      <sheetName val="[Kr_tengah?iva_xls?Str?Bengkel3"/>
      <sheetName val="[K?_te?gah?iva?xls?ANA?_BOW3"/>
      <sheetName val="M_12__2?3"/>
      <sheetName val="[K?_tengah?iva_xls?G_SUMMARY3"/>
      <sheetName val="[Kr_tengahDiva_xls?ANAL_HREZ3"/>
      <sheetName val="ANAL__M?3"/>
      <sheetName val="[Kr_tengahDiva_xls?analysis3"/>
      <sheetName val="Sec_I_ML3"/>
      <sheetName val="Cash_Flow_bulanan3"/>
      <sheetName val="daftar_analisa1"/>
      <sheetName val="List_Plant3"/>
      <sheetName val="ANAL_TEKNIK3"/>
      <sheetName val="bhn_FINAL3"/>
      <sheetName val="Mat_Elk3"/>
      <sheetName val="AHS_Isolasi3"/>
      <sheetName val="Data_Sei_Belutu3"/>
      <sheetName val="610_63"/>
      <sheetName val="610_53"/>
      <sheetName val="Data_Sinabung3"/>
      <sheetName val="REF_ONLY3"/>
      <sheetName val="Investment_Valuation1"/>
      <sheetName val="Rate_Analysis3"/>
      <sheetName val="Summary_Sheets3"/>
      <sheetName val="T__Cs_Log_P_III3"/>
      <sheetName val="3_Mob3"/>
      <sheetName val="Analisa_HSP1"/>
      <sheetName val="Galian_11"/>
      <sheetName val="Analisa_(ok)1"/>
      <sheetName val="analisa_stroke1"/>
      <sheetName val="_Kr_tengahࡄiva_xls聝H_Satua聮3"/>
      <sheetName val="_Kr_te࡮gahࡄiva_xls聝MAT_BAR聕_AC3"/>
      <sheetName val="_Kr_tengahࡄiva࠮xls聝H_Satua聮13"/>
      <sheetName val="_Kࡲ_tengahࡄiva_xls聝Kap聟Tenaga3"/>
      <sheetName val="_Kࡲ_te࡮gahࡄiva_xls聝Ana聬isa_HS3"/>
      <sheetName val="_Kࡲ_tengahࡄiva_xls聝5-P聥ralatan3"/>
      <sheetName val="_Kࡲ_te࡮gahࡄiva࠮xls聝Inf聯rmasi3"/>
      <sheetName val="_Kr_te࡮gahࡄiva_xls聝upahbahan3"/>
      <sheetName val="_Kr_tengahࡄiva࠮xls聝01A-_RA聂3"/>
      <sheetName val="_Kr_tengahࡄiva࠮xls聝NS_GD_U联AMA3"/>
      <sheetName val="_Kr_tengahࡄiva_xls聝Str耭Bengkel3"/>
      <sheetName val="_Kࡲ_te࡮gahࡄiva࠮xls聝ANA职_BOW3"/>
      <sheetName val="_Kࡲ_tengahࡄiva_xls聝G_SUMMARY3"/>
      <sheetName val="_Kr_tengahDiva_xls聝ANAL_HREZ3"/>
      <sheetName val="_Kr_tengahDiva_xls聝analysis3"/>
      <sheetName val="Currency_Rate1"/>
      <sheetName val="Kuantitas_&amp;_Harga1"/>
      <sheetName val="Sumber_Daya1"/>
      <sheetName val="Analisa_Harga1"/>
      <sheetName val="Price_list3"/>
      <sheetName val="PAGE_1_3"/>
      <sheetName val="ME_Apt23"/>
      <sheetName val="HARGA_MATERIAL3"/>
      <sheetName val="Blk_B13"/>
      <sheetName val="Pengalaman_Per1"/>
      <sheetName val="Master_Edit1"/>
      <sheetName val="1_21"/>
      <sheetName val="ELEC_STIS1"/>
      <sheetName val="Harsat_Bahan1"/>
      <sheetName val="II_MAIN-LOB1"/>
      <sheetName val="Ｎｏ_131"/>
      <sheetName val="Rkp_Total1"/>
      <sheetName val="Unit_Cost1"/>
      <sheetName val="On_Time1"/>
      <sheetName val="List_Material1"/>
      <sheetName val="Div_11"/>
      <sheetName val="Form_4,5,61"/>
      <sheetName val="PL_(MONTHLY)1"/>
      <sheetName val="_Kr_tengah_iva_xls_H_Satua_2"/>
      <sheetName val="_Kr_te_gah_iva_xls_MAT_BAR__AC2"/>
      <sheetName val="_Kr_tengah_iva_xls_H_Satua_12"/>
      <sheetName val="_K__tengah_iva_xls_Kap_Tenaga2"/>
      <sheetName val="_K__te_gah_iva_xls_Ana_isa_HS2"/>
      <sheetName val="B_-_Nor_lec2"/>
      <sheetName val="_K__tengah_iva_xls_5-P_ralatan2"/>
      <sheetName val="_K__te_gah_iva_xls_Inf_rmasi2"/>
      <sheetName val="_Kr_te_gah_iva_xls_upahbahan2"/>
      <sheetName val="_Kr_tengah_iva_xls_01A-_RA_2"/>
      <sheetName val="_Kr_tengah_iva_xls_NS_GD_U_AMA2"/>
      <sheetName val="_Kr_tengah_iva_xls_Str_Bengkel2"/>
      <sheetName val="_K__te_gah_iva_xls_ANA__BOW2"/>
      <sheetName val="_K__tengah_iva_xls_G_SUMMARY2"/>
      <sheetName val="_Kr_tengahDiva_xls_ANAL_HREZ2"/>
      <sheetName val="ANAL__M_2"/>
      <sheetName val="_Kr_tengahDiva_xls_analysis2"/>
      <sheetName val="UPAH_BAHAN_ARST1"/>
      <sheetName val="BIIL_ASLI1"/>
      <sheetName val="Q'ty_per_m1"/>
      <sheetName val="Basic_alat1"/>
      <sheetName val="Basic_bahan1"/>
      <sheetName val="Basic_upah1"/>
      <sheetName val="TOTAL_Agustus1"/>
      <sheetName val="7_공정표1"/>
      <sheetName val="Daftar_Upah1"/>
      <sheetName val="Sum_IF1"/>
      <sheetName val="Uraian_Analisa1"/>
      <sheetName val="Basic_Price1"/>
      <sheetName val="Speck_ARSITEK1"/>
      <sheetName val="Stden_center1"/>
      <sheetName val="BQ__by_owner_1"/>
      <sheetName val="M_Pekerjaan1"/>
      <sheetName val="Daftar_Kuantitas_&amp;_Harga1"/>
      <sheetName val="DAF_ALAT1"/>
      <sheetName val="RPP01_61"/>
      <sheetName val="Rekap_"/>
      <sheetName val="ANALISA_PEK_UMUM1"/>
      <sheetName val="Daftar_Paket"/>
      <sheetName val="8LT_12"/>
      <sheetName val="SAT_UPAH_RAPI"/>
      <sheetName val="HASAT_DASAR"/>
      <sheetName val="AnBiaya_OperasionalAlat"/>
      <sheetName val="Rencana__2_"/>
      <sheetName val="Data_Pendukung1"/>
      <sheetName val="4-Basic_Price-Upah"/>
      <sheetName val="ana_pt"/>
      <sheetName val="GRADE_SKALA"/>
      <sheetName val="MASTER_DATA"/>
      <sheetName val="Muh_Akhir"/>
      <sheetName val="Chandra_Prabowo"/>
      <sheetName val="SAT_UPH_BHN1"/>
      <sheetName val="BQ_Mekanikal1"/>
      <sheetName val="Analisa_Upah_&amp;_Bahan_Plum1"/>
      <sheetName val="Assumption_&amp;_Dashboard_1"/>
      <sheetName val="Cover_Daf_2"/>
      <sheetName val="ANALISA_railing1"/>
      <sheetName val="REKAP_GROSS"/>
      <sheetName val="AN_BIAYA_MAKAN"/>
      <sheetName val="urain_teknis"/>
      <sheetName val="BUL__A1"/>
      <sheetName val="rab_me__by_owner__1"/>
      <sheetName val="rab_me__fisik_1"/>
      <sheetName val="_1"/>
      <sheetName val="hrg-sat_pek1"/>
      <sheetName val="_Kr_tengahDiva_xls聝analysi蕈1"/>
      <sheetName val="Lt_11"/>
      <sheetName val="Ana_Fin"/>
      <sheetName val="CAB_2"/>
      <sheetName val="STOK_MAT1"/>
      <sheetName val="BANG_TONG_HOP_(2)1"/>
      <sheetName val="analisa_SNI"/>
      <sheetName val="BAHAN_(2)"/>
      <sheetName val="Tata_Udara"/>
      <sheetName val="4_2_Public"/>
      <sheetName val="HDS_Sipil"/>
      <sheetName val="Data_Tower1"/>
      <sheetName val="COST_TOGO"/>
      <sheetName val="H_Satuan_Dasar"/>
      <sheetName val="A+Supl_"/>
      <sheetName val="hrg_sat1"/>
      <sheetName val="RAB_1"/>
      <sheetName val="RAB_2"/>
      <sheetName val="RAB_3"/>
      <sheetName val="Urai__Resap_pengikat"/>
      <sheetName val="Unit_Price"/>
      <sheetName val="500kV_BOQ1"/>
      <sheetName val="m_schedule1"/>
      <sheetName val="HM_MEK_1"/>
      <sheetName val="Control_Settings1"/>
      <sheetName val="Dates_&amp;_Escalators1"/>
      <sheetName val="Check_Totals1"/>
      <sheetName val="Rekap_BQ-Pompong1"/>
      <sheetName val="PERS_PENY1"/>
      <sheetName val="RAB_DC1"/>
      <sheetName val="anal_rinci1"/>
      <sheetName val="Rek_An1"/>
      <sheetName val="Har_Sat1"/>
      <sheetName val="LINK-MAST__BASIC_PRICE"/>
      <sheetName val="ANA_bab_6"/>
      <sheetName val="HSD_BAHAN"/>
      <sheetName val="HSD_UPAH_"/>
      <sheetName val="Price_of_Equip"/>
      <sheetName val="Price_of_Mat"/>
      <sheetName val="Upah&amp;Bahan_(2)1"/>
      <sheetName val="Analisa-Harga_(1F)1"/>
      <sheetName val="GAL_BIASA"/>
      <sheetName val="RAB_Ekstern"/>
      <sheetName val="Metod_TWR"/>
      <sheetName val="H_Alat"/>
      <sheetName val="H_Bahan"/>
      <sheetName val="Rekap_RAB"/>
      <sheetName val="unit_3"/>
      <sheetName val="Rokan_1"/>
      <sheetName val="7_PEK-STRUKTUR"/>
      <sheetName val="Appendix 2(SatDas´"/>
      <sheetName val="D7"/>
      <sheetName val="Div 2 - Drainase"/>
      <sheetName val="Div 3 - Tanah"/>
      <sheetName val="Div 5 - Berbutir"/>
      <sheetName val="Div 6 - Aspal"/>
      <sheetName val="Div 7 - Struktur"/>
      <sheetName val="Div 8 - Peng Kondisi"/>
      <sheetName val="Sheet15"/>
      <sheetName val="rms remunerasi"/>
      <sheetName val="TL"/>
      <sheetName val="upah-prod"/>
      <sheetName val="3-DIV5"/>
      <sheetName val="SOUND"/>
      <sheetName val="ACCESS"/>
      <sheetName val="GPON"/>
      <sheetName val="RACK_EC"/>
      <sheetName val="GR_EC"/>
      <sheetName val="SS"/>
      <sheetName val="A.Card"/>
      <sheetName val="TLP"/>
      <sheetName val="TP"/>
      <sheetName val="cargo"/>
      <sheetName val="F-JKM"/>
      <sheetName val="Harga Dasar"/>
      <sheetName val="D7(1)"/>
      <sheetName val="Hopf"/>
      <sheetName val="civil-work"/>
      <sheetName val="Watertank"/>
      <sheetName val="OPNAME COMM-10+825-10+300"/>
      <sheetName val="div7"/>
      <sheetName val="Data Alat"/>
      <sheetName val="MT_an"/>
      <sheetName val="BQBAS"/>
      <sheetName val="NP (2)"/>
      <sheetName val="Harsat Upah"/>
      <sheetName val="Antek1234"/>
      <sheetName val="Gal Sal"/>
      <sheetName val="UP-MAT-ALT"/>
      <sheetName val="Daf_Dasar_Upah&amp;Bahan"/>
      <sheetName val="OFFICE_2_LT"/>
      <sheetName val="ANALISA_GRS_TENGAH"/>
      <sheetName val="_INCOME_STATEMENT_(2)"/>
      <sheetName val="HRG_BAHAN___UPAH_okk"/>
      <sheetName val="HRG_BAHAN_&amp;_UPAH_okk"/>
      <sheetName val="Analis_Kusen_okk"/>
      <sheetName val="KJ_2002"/>
      <sheetName val="Tie_Beam_GN"/>
      <sheetName val="Tangga_GN"/>
      <sheetName val="Villa_A"/>
      <sheetName val="Standby_Alat"/>
      <sheetName val="LAP__HARIAN"/>
      <sheetName val="Schedule_OK_Status"/>
      <sheetName val="D2.4"/>
      <sheetName val="D3-3"/>
      <sheetName val="D4.3 (TE)"/>
      <sheetName val="D5.3 (TF) "/>
      <sheetName val="D8.3 (TJ)"/>
      <sheetName val="trf 7 jht"/>
      <sheetName val="Summary and Design"/>
      <sheetName val="RATE&amp;FCTR"/>
      <sheetName val="本体取纏"/>
      <sheetName val="鉄骨纏め"/>
      <sheetName val="HRG SATUAN"/>
      <sheetName val="anal-drainase,tanah&amp;ps batu"/>
      <sheetName val="anal-beton"/>
      <sheetName val="anal-aspal"/>
      <sheetName val="labor"/>
      <sheetName val="DCF"/>
      <sheetName val="CH-RANC"/>
      <sheetName val="HEADCOUNT_Bud"/>
      <sheetName val="Costs_ActivityNature"/>
      <sheetName val="BQ_Tenis"/>
      <sheetName val="FAB-2010 sd 2011"/>
      <sheetName val="Hg.Sat"/>
      <sheetName val="URA E450"/>
      <sheetName val="Rinci-Biaya"/>
      <sheetName val="Rinci-Pendapatan"/>
      <sheetName val="Pro-Base"/>
      <sheetName val="Sheet1 (3)"/>
      <sheetName val="갑지"/>
      <sheetName val="AHSATBAJA"/>
      <sheetName val="MT"/>
      <sheetName val="In-order"/>
      <sheetName val="Bangunan Utama"/>
      <sheetName val="Analisa Baku ME"/>
      <sheetName val="Analisa Baku STR ARS"/>
      <sheetName val="Breakdown"/>
      <sheetName val="Combine2005"/>
      <sheetName val="STN BAHAN"/>
      <sheetName val="teori"/>
      <sheetName val="DAF.TUL"/>
      <sheetName val="ANALISA satuan poryek sungai"/>
      <sheetName val="Bangunan Utama B"/>
      <sheetName val="Bt.Kosong"/>
      <sheetName val="dt"/>
      <sheetName val="BOW"/>
      <sheetName val="Bu_str"/>
      <sheetName val="Lamp. Bahan"/>
      <sheetName val="Faktor Konversi"/>
      <sheetName val="841"/>
      <sheetName val="311"/>
      <sheetName val="715"/>
      <sheetName val="Df-Kuan"/>
      <sheetName val="Data_alat"/>
      <sheetName val="upah_bahan_"/>
      <sheetName val="Rinc__Harg_BHN"/>
      <sheetName val="Data_alat1"/>
      <sheetName val="upah_bahan_1"/>
      <sheetName val="Rinc__Harg_BHN1"/>
      <sheetName val="DAFTAR_HARGA1"/>
      <sheetName val="Sumber_Daya2"/>
      <sheetName val="Basic_alat2"/>
      <sheetName val="Basic_bahan2"/>
      <sheetName val="Basic_upah2"/>
      <sheetName val="Appendix_2(SatDas)2"/>
      <sheetName val="Currency_Rate2"/>
      <sheetName val="UPAH_BAHAN_ARST2"/>
      <sheetName val="ELEC_STIS2"/>
      <sheetName val="analisa_stroke2"/>
      <sheetName val="Investment_Valuation2"/>
      <sheetName val="daftar_analisa2"/>
      <sheetName val="Data_alat2"/>
      <sheetName val="upah_bahan_2"/>
      <sheetName val="Rinc__Harg_BHN2"/>
      <sheetName val="Kuantitas_&amp;_Harga2"/>
      <sheetName val="Daftar_Kuantitas_&amp;_Harga2"/>
      <sheetName val="Analisa_Harga2"/>
      <sheetName val="1_22"/>
      <sheetName val="MPU. 6-3(4).LastonAC"/>
      <sheetName val="Data Info"/>
      <sheetName val="bahan dan upah"/>
      <sheetName val="D6-1b"/>
      <sheetName val="Sheet9"/>
      <sheetName val="ANAL RABP"/>
      <sheetName val="BQ-SIPIL"/>
      <sheetName val="daf-3(OK)"/>
      <sheetName val="daf-7(OK)"/>
      <sheetName val="Indirect_Const"/>
      <sheetName val="RAB.adm"/>
      <sheetName val="Sat.adm"/>
      <sheetName val="Als Struk"/>
      <sheetName val="H-Dasar-Bahan"/>
      <sheetName val="Marka"/>
      <sheetName val="SPL"/>
      <sheetName val="Blk-Mnl"/>
      <sheetName val="5.1.ELEKTRIKAL-ELEKTRONIK"/>
      <sheetName val="DW"/>
      <sheetName val="_Kr tengahDiva.xls聝analysi뷈"/>
      <sheetName val="_Kr tengahDiva.xls聝analysi飈"/>
      <sheetName val="_Kr tengahDiva.xls聝analysi_x0000_"/>
      <sheetName val="_Kr tengahDiva.xls聝analysi鷸"/>
      <sheetName val="_Kr tengahDiva.xls聝analysi闀"/>
      <sheetName val="_Kr tengahDiva.xls聝analysi_x0005_"/>
      <sheetName val="_Kr tengahDiva.xls聝analysi魈"/>
      <sheetName val="STR(CANCEL)"/>
      <sheetName val="REKAP ELEKTRIKAL"/>
      <sheetName val="jgn dihapus!"/>
      <sheetName val="REKAP BQ "/>
      <sheetName val="MTa"/>
      <sheetName val="1. PERSIAPAN"/>
      <sheetName val="GRAND REKAP"/>
      <sheetName val="다이꾸"/>
      <sheetName val="lap-bulan"/>
      <sheetName val="Rekap Bill"/>
      <sheetName val="Menu"/>
      <sheetName val="Daf Alat"/>
      <sheetName val="Jdw Alat"/>
      <sheetName val="S Penawar"/>
      <sheetName val="O"/>
      <sheetName val="ADD 2 (1)"/>
      <sheetName val="SORT"/>
      <sheetName val="TOWN"/>
      <sheetName val="chitiet"/>
      <sheetName val="aruskas"/>
      <sheetName val="FAKTUR"/>
      <sheetName val="Sat_Bahu"/>
      <sheetName val="Analys"/>
      <sheetName val="Lap-Minggu"/>
      <sheetName val="IU"/>
      <sheetName val="EK-JAN-08"/>
      <sheetName val="BILL OF QUAN"/>
      <sheetName val="AWAL"/>
      <sheetName val="Dist_analys"/>
      <sheetName val="HD ALAT"/>
      <sheetName val="HD BAHAN"/>
      <sheetName val="Hrg Satuan &amp; Upah"/>
      <sheetName val="MAJOR"/>
      <sheetName val="MAPP"/>
      <sheetName val="Tambahan Biaro"/>
      <sheetName val="Bill 2.1 Basement 41 "/>
      <sheetName val="_Kr tengahDiva.xls聝analysi"/>
      <sheetName val="upah.bahan.alat"/>
      <sheetName val="analisa.K"/>
      <sheetName val="daftarkuantitas"/>
      <sheetName val=" MINGGUAN"/>
      <sheetName val="analbahan"/>
      <sheetName val="petunjuk"/>
      <sheetName val="HAR_INI"/>
      <sheetName val="HAR_LALU"/>
      <sheetName val="harian"/>
      <sheetName val="AnalisaSIPIL RIIL"/>
      <sheetName val="HARGA SAT"/>
      <sheetName val="Lau Luhung"/>
      <sheetName val="anal.alat"/>
      <sheetName val="tifico"/>
      <sheetName val="LAPORAN KARYA"/>
      <sheetName val="PERFORMANCE"/>
      <sheetName val="MATERIAL-UPAH"/>
      <sheetName val="Bahan "/>
      <sheetName val="rek det 1-3"/>
      <sheetName val="R1. GREJA KATHOLIK"/>
      <sheetName val="mp &amp; eq"/>
      <sheetName val="UPAH &amp; SEWA"/>
      <sheetName val="config"/>
      <sheetName val="HSBU ANA"/>
      <sheetName val="SCH5"/>
      <sheetName val="SKEMA"/>
      <sheetName val="Jalan"/>
      <sheetName val="Penwrn"/>
      <sheetName val="Hargamaterial"/>
      <sheetName val="B.T"/>
      <sheetName val="Coef"/>
      <sheetName val="H-Bahan &amp; Tenaga"/>
      <sheetName val="REKAP."/>
      <sheetName val="Inputdata"/>
      <sheetName val="Perhitungan KC ke SUBKON"/>
      <sheetName val="CAT"/>
      <sheetName val="surat "/>
      <sheetName val="Ajuan"/>
      <sheetName val="Hit"/>
      <sheetName val="Bhn,Alat&amp;Upah"/>
      <sheetName val="Man Power &amp; Comp"/>
      <sheetName val="ocean voyage"/>
      <sheetName val="baja"/>
      <sheetName val="REKAP PRELIM 2014"/>
      <sheetName val="DIRECT COST"/>
      <sheetName val="JadpeL-Pkt1-Kampar (4)"/>
      <sheetName val="DAFTAR BESI KANAL C SIKU"/>
      <sheetName val="Ubas"/>
      <sheetName val="Marketing"/>
      <sheetName val="KNO"/>
      <sheetName val="INPUT_TABLE"/>
      <sheetName val="Connections"/>
      <sheetName val="Operation Cost "/>
      <sheetName val="Fasilitas Site"/>
      <sheetName val=" HSE Site"/>
      <sheetName val="Sekretariat Site"/>
      <sheetName val="Transport Site"/>
      <sheetName val="DAFPEK-SA"/>
      <sheetName val="SUM_ALL"/>
      <sheetName val="SUM_BB"/>
      <sheetName val="SUM_FO"/>
      <sheetName val="B1.2-BB"/>
      <sheetName val="MASTER 1"/>
      <sheetName val="PP"/>
      <sheetName val="LR-AGT-06"/>
      <sheetName val="LR-APR-06"/>
      <sheetName val="PkRp"/>
      <sheetName val="DH"/>
      <sheetName val="LR-JAN-06"/>
      <sheetName val="BA_CCO"/>
      <sheetName val="Daf_isi"/>
      <sheetName val="PREMLIN"/>
      <sheetName val="harga Satua Dasar"/>
      <sheetName val="bayar_04_fak"/>
      <sheetName val="D-HARGA"/>
      <sheetName val="Mall"/>
      <sheetName val="HIDRO"/>
      <sheetName val="Divisi1"/>
      <sheetName val="D2"/>
      <sheetName val="POL"/>
      <sheetName val="Master Schedule"/>
      <sheetName val="DIV7-BM"/>
      <sheetName val="time schedulle"/>
      <sheetName val="koef-beton"/>
      <sheetName val="Tunduk Panitia"/>
      <sheetName val="13mm E.P "/>
      <sheetName val="20mm(E.P)"/>
      <sheetName val="20mm(StaircaseP.P)"/>
      <sheetName val="13mm P.P"/>
      <sheetName val="M+MC"/>
      <sheetName val="내역서"/>
      <sheetName val="Rutin"/>
      <sheetName val="BID"/>
      <sheetName val="ERECTION"/>
      <sheetName val="BQ25"/>
      <sheetName val="REK ADD"/>
      <sheetName val="BQ22"/>
      <sheetName val="BQ23"/>
      <sheetName val="DATA_DES"/>
      <sheetName val="Pay Items"/>
      <sheetName val="DATAOKT"/>
      <sheetName val="DATE"/>
      <sheetName val="단가"/>
      <sheetName val="정부노임단가"/>
      <sheetName val="P&amp;L01-02GR"/>
      <sheetName val="일위대가목차"/>
      <sheetName val="DSBDY"/>
      <sheetName val="식재인부"/>
      <sheetName val="6a Rekap"/>
      <sheetName val="HQ"/>
      <sheetName val="LIST ANHARSAT"/>
      <sheetName val="HSATUAN"/>
      <sheetName val="AR1"/>
      <sheetName val="MONITORING PENGADAAN"/>
      <sheetName val="LNPB"/>
      <sheetName val="Pemakaian besi"/>
      <sheetName val="CIANTEN-3"/>
      <sheetName val="5-Alat"/>
      <sheetName val="4-Price"/>
      <sheetName val="4-Quarry"/>
      <sheetName val="curve s"/>
      <sheetName val="DWTables"/>
      <sheetName val="terendah"/>
      <sheetName val="1-REKAP"/>
      <sheetName val="1-BQ"/>
      <sheetName val="3-DIV1"/>
      <sheetName val="3-DIV6"/>
      <sheetName val="DIVISI 6. A"/>
      <sheetName val="3-DIV7"/>
      <sheetName val="3-DIV7.1"/>
      <sheetName val="4-ANTEK"/>
      <sheetName val="BAHAN , UPAH , ALAT"/>
      <sheetName val="8-Lamp1 (2)"/>
      <sheetName val="8-lamp5"/>
      <sheetName val="8-Lamp6.B"/>
      <sheetName val="8-Lamp10"/>
      <sheetName val="8-Lamp9"/>
      <sheetName val="8-Lamp11"/>
      <sheetName val="8-Lamp13"/>
      <sheetName val="8-Lamp14 "/>
      <sheetName val="8-Lamp15"/>
      <sheetName val="9-DATA"/>
      <sheetName val="10-SIMAK"/>
      <sheetName val="11-S.PEN"/>
      <sheetName val="L2MO"/>
      <sheetName val="HARVEST02"/>
      <sheetName val="schalt"/>
      <sheetName val="schtng"/>
      <sheetName val="schbhn"/>
      <sheetName val="REKAP_GROSS1"/>
      <sheetName val="AN_BIAYA_MAKAN1"/>
      <sheetName val="Daf_Dasar_Upah&amp;Bahan1"/>
      <sheetName val="OFFICE_2_LT1"/>
      <sheetName val="Ana_Fin1"/>
      <sheetName val="Vendor_Information1"/>
      <sheetName val="BAHAN_(2)1"/>
      <sheetName val="Tata_Udara1"/>
      <sheetName val="4_2_Public1"/>
      <sheetName val="ANALISA_GRS_TENGAH1"/>
      <sheetName val="_INCOME_STATEMENT_(2)1"/>
      <sheetName val="CAB_21"/>
      <sheetName val="HRG_BAHAN___UPAH_okk1"/>
      <sheetName val="HRG_BAHAN_&amp;_UPAH_okk1"/>
      <sheetName val="Analis_Kusen_okk1"/>
      <sheetName val="KJ_20021"/>
      <sheetName val="Tie_Beam_GN1"/>
      <sheetName val="Tangga_GN1"/>
      <sheetName val="Villa_A1"/>
      <sheetName val="ITB_COST1"/>
      <sheetName val="Daf_Besi1"/>
      <sheetName val="ana_pt1"/>
      <sheetName val="ANA_bab_61"/>
      <sheetName val="HSD_BAHAN1"/>
      <sheetName val="HSD_UPAH_1"/>
      <sheetName val="7_PEK-STRUKTUR1"/>
      <sheetName val="A+Supl_1"/>
      <sheetName val="RAB_Ekstern1"/>
      <sheetName val="Standby_Alat1"/>
      <sheetName val="LAP__HARIAN1"/>
      <sheetName val="Urai__Resap_pengikat1"/>
      <sheetName val="Schedule_OK_Status1"/>
      <sheetName val="Payback Analysis"/>
      <sheetName val="SKh.1.7.16.1.(3)"/>
      <sheetName val="Analisa Harsat"/>
      <sheetName val="NP7"/>
      <sheetName val="E"/>
      <sheetName val="Up _ bhn"/>
      <sheetName val="Daftar Harga Bahan"/>
      <sheetName val="analisa stripping"/>
      <sheetName val="Grading Tahap 1"/>
      <sheetName val="Conn. Lib"/>
      <sheetName val="BARCHART"/>
      <sheetName val="Upah+Bahan"/>
      <sheetName val="Daftar Upah_Material_Alat"/>
      <sheetName val="Analisa K"/>
      <sheetName val="HS BHN&amp;UPAH"/>
      <sheetName val="BBL"/>
      <sheetName val="JBTNAS_Des2012"/>
      <sheetName val="analt"/>
      <sheetName val="A-ALAT"/>
      <sheetName val="Perhitungan RAB"/>
      <sheetName val="MC0"/>
      <sheetName val="PEMBESIAN"/>
      <sheetName val="met-des03"/>
      <sheetName val="Data Masukan"/>
      <sheetName val="Fisik 2012"/>
      <sheetName val="Pek. Persiapan"/>
      <sheetName val="Rekap Anl.K"/>
      <sheetName val="Rekap Anl.SNI"/>
      <sheetName val="C.1"/>
      <sheetName val="C.11"/>
      <sheetName val="C.13"/>
      <sheetName val="C.15"/>
      <sheetName val="C.17"/>
      <sheetName val="C.20"/>
      <sheetName val="C.22"/>
      <sheetName val="C.24"/>
      <sheetName val="C.6"/>
      <sheetName val="C.8"/>
      <sheetName val="D.78"/>
      <sheetName val="Harga HS"/>
      <sheetName val="Rkp B. UP"/>
      <sheetName val="UPAH PEKERJA"/>
      <sheetName val="D.1.2"/>
      <sheetName val="D.1.3"/>
      <sheetName val="D.1.4"/>
      <sheetName val="D.1.6"/>
      <sheetName val="D.2.1"/>
      <sheetName val=" "/>
      <sheetName val="Jembatan"/>
      <sheetName val="FORM 3A"/>
      <sheetName val="Tab"/>
      <sheetName val="dft-harga"/>
      <sheetName val="Tabels"/>
      <sheetName val="SPREAD SHEET"/>
      <sheetName val="SGC-Rate"/>
      <sheetName val="DAF-5"/>
      <sheetName val="PSB"/>
      <sheetName val="4-Basic_Pricꀕ듦"/>
      <sheetName val="HR SAT"/>
      <sheetName val="Type 57  A"/>
      <sheetName val="BAHN"/>
      <sheetName val="Cash2"/>
      <sheetName val="Upah,Bahan,Alat"/>
      <sheetName val="AnPipa&amp;acc"/>
      <sheetName val="Daf.Harga"/>
      <sheetName val="OP. ALAT"/>
      <sheetName val="OP. PERJAM"/>
      <sheetName val="B. PERSONIL"/>
      <sheetName val="Rek-Cianten1B"/>
      <sheetName val="Rek.Cianten3"/>
      <sheetName val="HARDAS-M"/>
      <sheetName val="bau-6"/>
      <sheetName val="prd01-5"/>
      <sheetName val="AHS ME "/>
      <sheetName val="DATA 2009"/>
      <sheetName val="DATA 2010"/>
      <sheetName val="Target Raker TW III"/>
      <sheetName val="KUB-01(10)"/>
      <sheetName val="610.04"/>
      <sheetName val="610.05"/>
      <sheetName val="610.06"/>
      <sheetName val="610.07"/>
      <sheetName val="610.08"/>
      <sheetName val="BOQ CONTRACT WK"/>
      <sheetName val="Schedule 11a"/>
      <sheetName val="Temporary"/>
      <sheetName val="Septick tank"/>
      <sheetName val="PRIST LIST"/>
      <sheetName val="PERALATAN PROYEK GOL III A"/>
      <sheetName val="SUB &amp; mandor"/>
      <sheetName val="EVALUASI"/>
      <sheetName val="jan"/>
      <sheetName val="FEB"/>
      <sheetName val="MAR"/>
      <sheetName val="Parameter"/>
      <sheetName val="MasterSheet"/>
      <sheetName val="rate-alat"/>
      <sheetName val="DAF-4"/>
      <sheetName val="81+200"/>
      <sheetName val="AssumptionValue"/>
      <sheetName val="MAP 1-2"/>
      <sheetName val="time"/>
      <sheetName val="Data-Pdk"/>
      <sheetName val="An-Lat"/>
      <sheetName val="DT PENDUKUNG"/>
      <sheetName val="DivX"/>
      <sheetName val="DivVI"/>
      <sheetName val="DivVIII"/>
      <sheetName val="Sheet6"/>
      <sheetName val="DivII"/>
      <sheetName val="DivI"/>
      <sheetName val="DivIII"/>
      <sheetName val="DivIV"/>
      <sheetName val="DivV"/>
      <sheetName val="Infumum"/>
      <sheetName val="forml"/>
      <sheetName val="Public Area"/>
      <sheetName val="res200"/>
      <sheetName val="HARDAS-UPAH"/>
      <sheetName val="EPC"/>
      <sheetName val="Scurve"/>
      <sheetName val="Jadwal Pekerjaan"/>
      <sheetName val="RUMUS BEKISTING"/>
      <sheetName val="KGP Thp II"/>
      <sheetName val="List Pla_x005f_x0000_È"/>
      <sheetName val="21"/>
      <sheetName val="PRO_DCI"/>
      <sheetName val="INST_DCI"/>
      <sheetName val="HVAC_DCI"/>
      <sheetName val="PIPE_DCI"/>
      <sheetName val="INSTR"/>
      <sheetName val="me"/>
      <sheetName val="CASHFLOW_FORECAST"/>
      <sheetName val="REKAP_ELEKTRIKAL"/>
      <sheetName val="jgn_dihapus!"/>
      <sheetName val="REKAP_BQ_"/>
      <sheetName val="_Kr_tengahDiva_xls聝analysi"/>
      <sheetName val="AC-WC dan LAPIS PEREKAT"/>
      <sheetName val="beton k-350"/>
      <sheetName val="besi"/>
      <sheetName val="MONITOR &amp; INPUT"/>
      <sheetName val="Div"/>
      <sheetName val="unit"/>
      <sheetName val="TONG HOP VL-NC"/>
      <sheetName val="DONGIA"/>
      <sheetName val="PAD-F"/>
      <sheetName val="page 1"/>
      <sheetName val="szdfs"/>
      <sheetName val="Volume 1"/>
      <sheetName val="ANAL2"/>
      <sheetName val="ANAL1"/>
      <sheetName val="BQ PL "/>
      <sheetName val="REKAP_STRUKTUR"/>
      <sheetName val="Bill No 6 Koord &amp; Attendance"/>
      <sheetName val="analisa-pagar"/>
      <sheetName val="Sag1"/>
      <sheetName val="Volume"/>
      <sheetName val="01"/>
      <sheetName val="09"/>
      <sheetName val="analisa 09"/>
      <sheetName val="010"/>
      <sheetName val="011"/>
      <sheetName val="012"/>
      <sheetName val="013"/>
      <sheetName val="014"/>
      <sheetName val="015"/>
      <sheetName val="02"/>
      <sheetName val="03"/>
      <sheetName val="04"/>
      <sheetName val="04_REV_2"/>
      <sheetName val="05"/>
      <sheetName val="07"/>
      <sheetName val="08"/>
      <sheetName val="Analisa (2)"/>
      <sheetName val="Kell.Dind-GC"/>
      <sheetName val="EXISTING"/>
      <sheetName val="rekap PINTU"/>
      <sheetName val="Sizing_Input_Output"/>
      <sheetName val="Sizing_Assumptions"/>
      <sheetName val="Sizing_Parameters"/>
      <sheetName val="DatabaseBarang"/>
      <sheetName val="AHSSNI"/>
      <sheetName val="corbeldatail"/>
      <sheetName val="analisa Str"/>
      <sheetName val="upah_borong"/>
      <sheetName val="satuan_pek"/>
      <sheetName val="vels"/>
      <sheetName val="DA_List"/>
      <sheetName val="NDA_List"/>
      <sheetName val="tulang"/>
      <sheetName val="hit.BKMM"/>
      <sheetName val="ketuma gal.Wed"/>
      <sheetName val="ketema AC"/>
      <sheetName val="pivot"/>
      <sheetName val="DATA-ALAT"/>
      <sheetName val="S-Curve (Weekly)"/>
      <sheetName val="Sat Das"/>
      <sheetName val="Analisa (ok punya)"/>
      <sheetName val="Harga Upah"/>
      <sheetName val="perhtg material"/>
      <sheetName val="jadwal2"/>
      <sheetName val="Harga Upah + Bahan"/>
      <sheetName val="Kuantitas &amp; Harga "/>
      <sheetName val="BOQ_EM"/>
      <sheetName val="Field_DCPT"/>
      <sheetName val="eQUIPMENT_COST"/>
      <sheetName val="BOQ Seksi A"/>
      <sheetName val="Notes"/>
      <sheetName val="U,B"/>
      <sheetName val="R.ALT"/>
      <sheetName val="ee"/>
      <sheetName val="I-ME"/>
      <sheetName val="DIV.3"/>
      <sheetName val="DIV.4"/>
      <sheetName val="an. struktur"/>
      <sheetName val="HSP inen"/>
      <sheetName val="BahanAnalisa"/>
      <sheetName val="ItunganMat"/>
      <sheetName val="E1-322"/>
      <sheetName val="E1-511"/>
      <sheetName val="HSP 2018"/>
      <sheetName val="2011"/>
      <sheetName val="S-1"/>
      <sheetName val="KODE BAHAN"/>
      <sheetName val="KODE UPAH"/>
      <sheetName val="INPUT AGST"/>
      <sheetName val="sat-jadi"/>
      <sheetName val="RAB Propok"/>
      <sheetName val="Total for Check"/>
      <sheetName val="FAB별"/>
      <sheetName val="수량산출"/>
      <sheetName val="ANLS-PJ"/>
      <sheetName val="Analisa Prelim"/>
      <sheetName val="DUMP TRUCK"/>
      <sheetName val="L 1"/>
      <sheetName val="Harsat_Pek"/>
      <sheetName val="quantyty"/>
      <sheetName val="Aggr"/>
      <sheetName val="D6"/>
      <sheetName val="D8(1)"/>
      <sheetName val="harsat_sdy"/>
      <sheetName val="cons_workpapers"/>
      <sheetName val="BULAN_1"/>
      <sheetName val="Analisa_SNI_STANDART_"/>
      <sheetName val="Basic_P"/>
      <sheetName val="Amortization_Table"/>
      <sheetName val="RAB_(A)_(2)"/>
      <sheetName val="(htp@___"/>
      <sheetName val="Daf_Biaya_sewa_alat"/>
      <sheetName val="Supl_X"/>
      <sheetName val="An__HS"/>
      <sheetName val="RAB_TTB_ADM8"/>
      <sheetName val="Harga_Bahan"/>
      <sheetName val="Internal_AFE_Form_2_"/>
      <sheetName val="H__Dasar4"/>
      <sheetName val="data_profit"/>
      <sheetName val="Anl_2s_d4e"/>
      <sheetName val="Dftr_Isi"/>
      <sheetName val="TJ1Q47"/>
      <sheetName val="BERAT TUL."/>
      <sheetName val="Data-pendukung"/>
      <sheetName val="Anal-BM"/>
      <sheetName val="1-2"/>
      <sheetName val="INF"/>
      <sheetName val="ana-alat"/>
      <sheetName val="IN OUT"/>
      <sheetName val="REKAP HP"/>
      <sheetName val="Pajak (2) Agst"/>
      <sheetName val="HPP X Q'TY"/>
      <sheetName val="BLOK-BJR"/>
      <sheetName val="RINCIAN-SC"/>
      <sheetName val="Bab10"/>
      <sheetName val="tetrapod"/>
      <sheetName val="Ex_Fin_Output"/>
      <sheetName val="Depr_calc"/>
      <sheetName val="HARSAT_BAH"/>
      <sheetName val="Equipment Data"/>
      <sheetName val="PEMAKAIAN"/>
      <sheetName val="PENERIMAAN"/>
      <sheetName val="DATA PROYEK"/>
      <sheetName val="BBM-03"/>
      <sheetName val="MK"/>
      <sheetName val="ANALYS EXTERN"/>
      <sheetName val="COMM"/>
      <sheetName val="BOQ INTERN"/>
      <sheetName val="WELCOME"/>
      <sheetName val="BQ RESO"/>
      <sheetName val="REKAP INDIRECT"/>
      <sheetName val="ORGANIZATION"/>
      <sheetName val="MATRIX"/>
      <sheetName val="SUMMARY IN"/>
      <sheetName val="PROGRAM"/>
      <sheetName val="INDIRECT COST"/>
      <sheetName val="Rupiah"/>
      <sheetName val="Memb Schd"/>
      <sheetName val="SPH"/>
      <sheetName val="BJA TULANGAN"/>
      <sheetName val="K500"/>
      <sheetName val="TC"/>
      <sheetName val="Drn"/>
      <sheetName val="Gali"/>
      <sheetName val="AA"/>
      <sheetName val="BB"/>
      <sheetName val="CTB"/>
      <sheetName val="OP.ALAT"/>
      <sheetName val="oe"/>
      <sheetName val="PERMINTAAN"/>
      <sheetName val="App. 2a-1"/>
      <sheetName val="App. 2a-2"/>
      <sheetName val="SCH alat"/>
      <sheetName val="CIF"/>
      <sheetName val="SCH Mat"/>
      <sheetName val="Daf Bahan"/>
      <sheetName val="Daf Sub"/>
      <sheetName val="Daf MPU"/>
      <sheetName val="Lamp.6a"/>
      <sheetName val="Lamp.6b"/>
      <sheetName val="misc"/>
      <sheetName val="LEVEL 2"/>
      <sheetName val="LEVEL 4"/>
      <sheetName val="HANGERS"/>
      <sheetName val="FIXASS_MAR"/>
      <sheetName val="OUT"/>
      <sheetName val="fill in first"/>
      <sheetName val="HST"/>
      <sheetName val="AN"/>
      <sheetName val="D.UPH&amp;PEK"/>
      <sheetName val="H ALAT"/>
      <sheetName val="SAT"/>
      <sheetName val="REK PEN"/>
      <sheetName val="Hardasar-PSJJ"/>
      <sheetName val="Analis Kusen 1 ESKALASI"/>
      <sheetName val="VESEL"/>
      <sheetName val="3Arch"/>
      <sheetName val="met mpu"/>
      <sheetName val="harga lama"/>
      <sheetName val="PERSONIL P1"/>
      <sheetName val="DATA1"/>
      <sheetName val="LMKC CB V"/>
      <sheetName val="Seg history by BT"/>
      <sheetName val="HP evol by seg"/>
      <sheetName val="GS Tanah Kalimas Baru (2)"/>
      <sheetName val="412"/>
      <sheetName val="SELISIHKURSSOURCE"/>
      <sheetName val="2930"/>
      <sheetName val="2933"/>
      <sheetName val="2934"/>
      <sheetName val="PDPC0908"/>
      <sheetName val="smt"/>
      <sheetName val="GP-WB"/>
      <sheetName val="029Cikeas00"/>
      <sheetName val="JM"/>
      <sheetName val="LAMP_2.2"/>
      <sheetName val="VOL_1"/>
      <sheetName val="LUMPSUM"/>
      <sheetName val="igp-popno"/>
      <sheetName val="pt-perso"/>
      <sheetName val="Sensitive"/>
      <sheetName val="IDLE_ALAT6"/>
      <sheetName val="ATB_pers_(2)6"/>
      <sheetName val="FOTO_PR6"/>
      <sheetName val="G_umum6"/>
      <sheetName val="SCHE_vareto6"/>
      <sheetName val="ATB_pers6"/>
      <sheetName val="BQ_diva6"/>
      <sheetName val="MAT_BARU_AC6"/>
      <sheetName val="H_Satuan7"/>
      <sheetName val="AC_+6"/>
      <sheetName val="an_ATB_G6"/>
      <sheetName val="an_AC6"/>
      <sheetName val="an_ATB_L6"/>
      <sheetName val="ATB_+6"/>
      <sheetName val="Alat_DC6"/>
      <sheetName val="Kap_Tenaga6"/>
      <sheetName val="HRG_BHN5"/>
      <sheetName val="Agregat_Halus_&amp;_Kasar5"/>
      <sheetName val="B_-_Norelec5"/>
      <sheetName val="01A-_RAB5"/>
      <sheetName val="Analisa_HS5"/>
      <sheetName val="Kr_tengahDiva5"/>
      <sheetName val="Isolasi_Luar_Dalam5"/>
      <sheetName val="Isolasi_Luar5"/>
      <sheetName val="REKAP_ARSITEKTUR_5"/>
      <sheetName val="RAB_ADMINISTRASI_PUSAT_(1)5"/>
      <sheetName val="Man_Power5"/>
      <sheetName val="L3_An_H_Sat_Mob5"/>
      <sheetName val="RKP_PLUMBING4"/>
      <sheetName val="HB_4"/>
      <sheetName val="rekap_mekanikal5"/>
      <sheetName val="PROTEKSI_PETIR5"/>
      <sheetName val="KABEL_FEEDER5"/>
      <sheetName val="PENRNGN_&amp;_KTK-KNTK5"/>
      <sheetName val="fin_pro_centers4"/>
      <sheetName val="GASATAGG_XLS5"/>
      <sheetName val="EXTERNAL_WORK5"/>
      <sheetName val="Analisa___Upah5"/>
      <sheetName val="M&amp;E_R5"/>
      <sheetName val="RAB_PERSIAPAN_5"/>
      <sheetName val="ANAL__ME5"/>
      <sheetName val="BW_analisa_cika_20055"/>
      <sheetName val="Harga_Satuan4"/>
      <sheetName val="FIRE_FIGHTING5"/>
      <sheetName val="Master_1_05"/>
      <sheetName val="Bill_No_2_1_Cold_Water_System5"/>
      <sheetName val="Civil_Works5"/>
      <sheetName val="rab_me_(by_owner)_5"/>
      <sheetName val="BQ_(by_owner)5"/>
      <sheetName val="NS_GD_UTAMA5"/>
      <sheetName val="BANGUNAN_PENUNJANG5"/>
      <sheetName val="STD_Lanjutan5"/>
      <sheetName val="NS_Lanjutan5"/>
      <sheetName val="BoQ_C45"/>
      <sheetName val="Fill_this_out_first___10"/>
      <sheetName val="F_ALARM5"/>
      <sheetName val="Fill_this_out_first___11"/>
      <sheetName val="BOQ_KSN5"/>
      <sheetName val="ANAL_BOW6"/>
      <sheetName val="rab_me_(fisik)5"/>
      <sheetName val="1_B5"/>
      <sheetName val="Sat_Upah5"/>
      <sheetName val="HS_Alat5"/>
      <sheetName val="HS_Upah5"/>
      <sheetName val="HS_Sub-Kon5"/>
      <sheetName val="Analisa_ME_(2)5"/>
      <sheetName val="sheet_24"/>
      <sheetName val="RAB_ME4"/>
      <sheetName val="bill_qty5"/>
      <sheetName val="meth_hsl_nego5"/>
      <sheetName val="ANALISA_14"/>
      <sheetName val="4-Basic_Price4"/>
      <sheetName val="R_A_B_4"/>
      <sheetName val="Analisa_&amp;_Upah5"/>
      <sheetName val="M_12__2_5"/>
      <sheetName val="Daftar_berat5"/>
      <sheetName val="Fire_Alarm5"/>
      <sheetName val="D_&amp;_W_sizes5"/>
      <sheetName val="Cable_150kV_Ref_5"/>
      <sheetName val="MAIN_EQUIP_AC5"/>
      <sheetName val="Rekap_Prelim5"/>
      <sheetName val="An_HarSatPek4"/>
      <sheetName val="Unit_Rate4"/>
      <sheetName val="BQ_Stdr_R-14"/>
      <sheetName val="Pipa_(2)4"/>
      <sheetName val="Lamp_BAP4"/>
      <sheetName val="DUTCH_CONE5"/>
      <sheetName val="Rekap_Direct_Cost4"/>
      <sheetName val="Urai___Guide_Post4"/>
      <sheetName val="Met_Pas_Batu4"/>
      <sheetName val="Urai_Galian_Tanah4"/>
      <sheetName val="Met__Minor4"/>
      <sheetName val="Pos_4-15"/>
      <sheetName val="Lead_Schedule4"/>
      <sheetName val="NS_GD_UGD4"/>
      <sheetName val="STD_GD_UGD4"/>
      <sheetName val="D___W_sizes5"/>
      <sheetName val="Bill_of_Qty_MEP5"/>
      <sheetName val="Mat_Mek5"/>
      <sheetName val="Transfer_Pump4"/>
      <sheetName val="RAW_MATERIALS_4"/>
      <sheetName val="COST-PERSON-J_O_4"/>
      <sheetName val="Data_Ktr_Bupati_Tapsel4"/>
      <sheetName val="BQ_struktur4"/>
      <sheetName val="Analisa_ME4"/>
      <sheetName val="Upah_Bahan4"/>
      <sheetName val="ANALIS_15"/>
      <sheetName val="REKAP_ARSITEKTUR4"/>
      <sheetName val="rincian_per_proyek4"/>
      <sheetName val="AHS_str4"/>
      <sheetName val="Daf__No____4_24"/>
      <sheetName val="BQ_Arsit4"/>
      <sheetName val="Sat_Bah_&amp;_Up4"/>
      <sheetName val="Perm__Test4"/>
      <sheetName val="New_MADC4"/>
      <sheetName val="HARGA_ALAT4"/>
      <sheetName val="ETAB_14"/>
      <sheetName val="Daf_14"/>
      <sheetName val="Anal_Koef4"/>
      <sheetName val="Rekap_Biaya4"/>
      <sheetName val="Hydran___springkler4"/>
      <sheetName val="GH_Quantity4"/>
      <sheetName val="Daftar_Upah,Bhn,&amp;_alat4"/>
      <sheetName val="KAN__LOKAL4"/>
      <sheetName val="Terbilang_sertifikat4"/>
      <sheetName val="Bill_5_Summary4"/>
      <sheetName val="Analisa_24"/>
      <sheetName val="Upah_dan_bahan4"/>
      <sheetName val="AC_LOAD4"/>
      <sheetName val="D_1_2_LT-_1_~_Atap4"/>
      <sheetName val="ENC_144"/>
      <sheetName val="2_NSB_4"/>
      <sheetName val="2_SB4"/>
      <sheetName val="M_ITEM4"/>
      <sheetName val="BHN_Ars4"/>
      <sheetName val="7_NS_H4"/>
      <sheetName val="Analisa_Pusaka_Jaya4"/>
      <sheetName val="Report_detil_kondisi4"/>
      <sheetName val="REKAP_TOTAL4"/>
      <sheetName val="Bill_Of_Quantity4"/>
      <sheetName val="BGN_PENUNJANG4"/>
      <sheetName val="KH_Bahagia4"/>
      <sheetName val="AN_Panel5"/>
      <sheetName val="KONTRAK_INDUK_BULANAN4"/>
      <sheetName val="Bq_Ars4"/>
      <sheetName val="Up&amp;Bhn_4"/>
      <sheetName val="Sat_Alat4"/>
      <sheetName val="ANALISA_HARGA_SATUAN4"/>
      <sheetName val="Bill_4_Summary4"/>
      <sheetName val="GFA_224"/>
      <sheetName val="T-3_4_Cost_of_Equipment4"/>
      <sheetName val="An_H_Sat_Pek_Ut4"/>
      <sheetName val="Harga_Sat_Das4"/>
      <sheetName val="T-3_2_UP_Labour4"/>
      <sheetName val="T-3_3_UP_Material4"/>
      <sheetName val="Input_monthly_capex4"/>
      <sheetName val="PENJ_NERACA4"/>
      <sheetName val="CASH_FLOW4"/>
      <sheetName val="List_of_Eqp4"/>
      <sheetName val="REKAP_ME4"/>
      <sheetName val="SELISIH_HARGA4"/>
      <sheetName val="struktur_tdk_dipakai4"/>
      <sheetName val="B___Norelec4"/>
      <sheetName val="Site_Expenses4"/>
      <sheetName val="2__MVAC_R14"/>
      <sheetName val="Cover_Daf-24"/>
      <sheetName val="[Kr_tengahࡄiva_xls聝H_Satua聮4"/>
      <sheetName val="[Kr_te࡮gahࡄiva_xls聝MAT_BAR聕_AC4"/>
      <sheetName val="[Kr_tengahࡄiva࠮xls聝H_Satua聮14"/>
      <sheetName val="[Kࡲ_tengahࡄiva_xls聝Kap聟Tenaga4"/>
      <sheetName val="[Kࡲ_te࡮gahࡄiva_xls聝Ana聬isa_HS4"/>
      <sheetName val="B_-耠Nor聥lec4"/>
      <sheetName val="[Kࡲ_tengahࡄiva_xls聝5-P聥ralatan4"/>
      <sheetName val="[Kࡲ_te࡮gahࡄiva࠮xls聝Inf聯rmasi4"/>
      <sheetName val="[Kr_te࡮gahࡄiva_xls聝upahbahan4"/>
      <sheetName val="[Kr_tengahࡄiva࠮xls聝01A-_RA聂4"/>
      <sheetName val="[Kr_tengahࡄiva࠮xls聝NS_GD_U联AMA4"/>
      <sheetName val="[Kr_tengahࡄiva_xls聝Str耭Bengkel4"/>
      <sheetName val="[Kࡲ_te࡮gahࡄiva࠮xls聝ANA职_BOW4"/>
      <sheetName val="M_12__2聟4"/>
      <sheetName val="[Kࡲ_tengahࡄiva_xls聝G_SUMMARY4"/>
      <sheetName val="[Kr_tengahDiva_xls聝ANAL_HREZ4"/>
      <sheetName val="ANAL__M聅4"/>
      <sheetName val="[Kr_tengahDiva_xls聝analysis4"/>
      <sheetName val="3_3b4"/>
      <sheetName val="Sec_I_ML4"/>
      <sheetName val="Cash_Flow_bulanan4"/>
      <sheetName val="[Kr_tengah?iva_xls?H_Satua?4"/>
      <sheetName val="[Kr_te?gah?iva_xls?MAT_BAR?_AC4"/>
      <sheetName val="[Kr_tengah?iva?xls?H_Satua?14"/>
      <sheetName val="[K?_tengah?iva_xls?Kap?Tenaga4"/>
      <sheetName val="[K?_te?gah?iva_xls?Ana?isa_HS4"/>
      <sheetName val="B_-?Nor?lec4"/>
      <sheetName val="[K?_tengah?iva_xls?5-P?ralatan4"/>
      <sheetName val="[K?_te?gah?iva?xls?Inf?rmasi4"/>
      <sheetName val="[Kr_te?gah?iva_xls?upahbahan4"/>
      <sheetName val="[Kr_tengah?iva?xls?01A-_RA?4"/>
      <sheetName val="[Kr_tengah?iva?xls?NS_GD_U?AMA4"/>
      <sheetName val="[Kr_tengah?iva_xls?Str?Bengkel4"/>
      <sheetName val="[K?_te?gah?iva?xls?ANA?_BOW4"/>
      <sheetName val="M_12__2?4"/>
      <sheetName val="[K?_tengah?iva_xls?G_SUMMARY4"/>
      <sheetName val="[Kr_tengahDiva_xls?ANAL_HREZ4"/>
      <sheetName val="ANAL__M?4"/>
      <sheetName val="[Kr_tengahDiva_xls?analysis4"/>
      <sheetName val="T__Cs_Log_P_III4"/>
      <sheetName val="REF_ONLY4"/>
      <sheetName val="Summary_Sheets4"/>
      <sheetName val="Mat_Elk4"/>
      <sheetName val="AHS_Isolasi4"/>
      <sheetName val="Data_Sei_Belutu4"/>
      <sheetName val="610_64"/>
      <sheetName val="610_54"/>
      <sheetName val="Data_Sinabung4"/>
      <sheetName val="List_Plant4"/>
      <sheetName val="Price_list4"/>
      <sheetName val="ANAL_TEKNIK4"/>
      <sheetName val="bhn_FINAL4"/>
      <sheetName val="_Kr_tengahࡄiva_xls聝H_Satua聮4"/>
      <sheetName val="_Kr_te࡮gahࡄiva_xls聝MAT_BAR聕_AC4"/>
      <sheetName val="_Kr_tengahࡄiva࠮xls聝H_Satua聮14"/>
      <sheetName val="_Kࡲ_tengahࡄiva_xls聝Kap聟Tenaga4"/>
      <sheetName val="_Kࡲ_te࡮gahࡄiva_xls聝Ana聬isa_HS4"/>
      <sheetName val="_Kࡲ_tengahࡄiva_xls聝5-P聥ralatan4"/>
      <sheetName val="_Kࡲ_te࡮gahࡄiva࠮xls聝Inf聯rmasi4"/>
      <sheetName val="_Kr_te࡮gahࡄiva_xls聝upahbahan4"/>
      <sheetName val="_Kr_tengahࡄiva࠮xls聝01A-_RA聂4"/>
      <sheetName val="_Kr_tengahࡄiva࠮xls聝NS_GD_U联AMA4"/>
      <sheetName val="_Kr_tengahࡄiva_xls聝Str耭Bengkel4"/>
      <sheetName val="_Kࡲ_te࡮gahࡄiva࠮xls聝ANA职_BOW4"/>
      <sheetName val="_Kࡲ_tengahࡄiva_xls聝G_SUMMARY4"/>
      <sheetName val="_Kr_tengahDiva_xls聝ANAL_HREZ4"/>
      <sheetName val="_Kr_tengahDiva_xls聝analysis4"/>
      <sheetName val="3_Mob4"/>
      <sheetName val="TE_TS_FA_LAN_MATV4"/>
      <sheetName val="PAGE_1_4"/>
      <sheetName val="ME_Apt24"/>
      <sheetName val="Rate_Analysis4"/>
      <sheetName val="HARGA_MATERIAL4"/>
      <sheetName val="Blk_B14"/>
      <sheetName val="Pengalaman_Per2"/>
      <sheetName val="II_MAIN-LOB2"/>
      <sheetName val="Unit_Cost2"/>
      <sheetName val="Rkp_Total2"/>
      <sheetName val="Harsat_Bahan2"/>
      <sheetName val="List_Material2"/>
      <sheetName val="On_Time2"/>
      <sheetName val="Ｎｏ_132"/>
      <sheetName val="Analisa_HSP2"/>
      <sheetName val="Galian_12"/>
      <sheetName val="Analisa_(ok)2"/>
      <sheetName val="Master_Edit2"/>
      <sheetName val="Div_12"/>
      <sheetName val="Form_4,5,62"/>
      <sheetName val="PL_(MONTHLY)2"/>
      <sheetName val="_Kr_tengah_iva_xls_H_Satua_3"/>
      <sheetName val="_Kr_te_gah_iva_xls_MAT_BAR__AC3"/>
      <sheetName val="_Kr_tengah_iva_xls_H_Satua_13"/>
      <sheetName val="_K__tengah_iva_xls_Kap_Tenaga3"/>
      <sheetName val="_K__te_gah_iva_xls_Ana_isa_HS3"/>
      <sheetName val="B_-_Nor_lec3"/>
      <sheetName val="_K__tengah_iva_xls_5-P_ralatan3"/>
      <sheetName val="_K__te_gah_iva_xls_Inf_rmasi3"/>
      <sheetName val="_Kr_te_gah_iva_xls_upahbahan3"/>
      <sheetName val="_Kr_tengah_iva_xls_01A-_RA_3"/>
      <sheetName val="_Kr_tengah_iva_xls_NS_GD_U_AMA3"/>
      <sheetName val="_Kr_tengah_iva_xls_Str_Bengkel3"/>
      <sheetName val="_K__te_gah_iva_xls_ANA__BOW3"/>
      <sheetName val="_K__tengah_iva_xls_G_SUMMARY3"/>
      <sheetName val="_Kr_tengahDiva_xls_ANAL_HREZ3"/>
      <sheetName val="ANAL__M_3"/>
      <sheetName val="_Kr_tengahDiva_xls_analysis3"/>
      <sheetName val="Data_Pendukung2"/>
      <sheetName val="Basic_Price2"/>
      <sheetName val="7_공정표2"/>
      <sheetName val="Analisa_Upah_&amp;_Bahan_Plum2"/>
      <sheetName val="Upah&amp;Bahan_(2)2"/>
      <sheetName val="Analisa-Harga_(1F)2"/>
      <sheetName val="TOTAL_Agustus2"/>
      <sheetName val="DAF_ALAT2"/>
      <sheetName val="M_Pekerjaan2"/>
      <sheetName val="BIIL_ASLI2"/>
      <sheetName val="ANALISA_PEK_UMUM2"/>
      <sheetName val="Speck_ARSITEK2"/>
      <sheetName val="Stden_center2"/>
      <sheetName val="HDS_Sipil1"/>
      <sheetName val="Q'ty_per_m2"/>
      <sheetName val="Rencana__2_1"/>
      <sheetName val="8LT_121"/>
      <sheetName val="_2"/>
      <sheetName val="AnBiaya_OperasionalAlat1"/>
      <sheetName val="_Kr_tengahDiva_xls聝analysi蕈2"/>
      <sheetName val="hrg-sat_pek2"/>
      <sheetName val="Lt_12"/>
      <sheetName val="SAT_UPH_BHN2"/>
      <sheetName val="BQ_Mekanikal2"/>
      <sheetName val="Assumption_&amp;_Dashboard_2"/>
      <sheetName val="u_aLAT"/>
      <sheetName val="rab_me__by_owner__2"/>
      <sheetName val="BQ__by_owner_2"/>
      <sheetName val="rab_me__fisik_2"/>
      <sheetName val="ANALISA_railing2"/>
      <sheetName val="BUL__A2"/>
      <sheetName val="analisa_SNI1"/>
      <sheetName val="Daftar_Upah2"/>
      <sheetName val="Sum_IF2"/>
      <sheetName val="Uraian_Analisa2"/>
      <sheetName val="Control_Settings2"/>
      <sheetName val="Dates_&amp;_Escalators2"/>
      <sheetName val="Check_Totals2"/>
      <sheetName val="Har_Sat2"/>
      <sheetName val="HASAT_DASAR1"/>
      <sheetName val="SAT_UPAH_RAPI1"/>
      <sheetName val="Data_Tower2"/>
      <sheetName val="Price_of_Equip1"/>
      <sheetName val="COST_TOGO1"/>
      <sheetName val="H_Satuan_Dasar1"/>
      <sheetName val="LINK-MAST__BASIC_PRICE1"/>
      <sheetName val="Price_of_Mat1"/>
      <sheetName val="GAL_BIASA1"/>
      <sheetName val="4-Basic_Price-Upah1"/>
      <sheetName val="BANG_TONG_HOP_(2)2"/>
      <sheetName val="RPP01_62"/>
      <sheetName val="m_schedule2"/>
      <sheetName val="HM_MEK_2"/>
      <sheetName val="Rokan_11"/>
      <sheetName val="500kV_BOQ2"/>
      <sheetName val="STOK_MAT2"/>
      <sheetName val="H_Alat1"/>
      <sheetName val="H_Bahan1"/>
      <sheetName val="Rekap_RAB1"/>
      <sheetName val="unit_31"/>
      <sheetName val="Rekap_BQ-Pompong2"/>
      <sheetName val="PERS_PENY2"/>
      <sheetName val="RAB_DC2"/>
      <sheetName val="anal_rinci2"/>
      <sheetName val="Rek_An2"/>
      <sheetName val="Rekap_1"/>
      <sheetName val="ANA_bab_2"/>
      <sheetName val="hrg_sat2"/>
      <sheetName val="01_FA"/>
      <sheetName val="Daftar_Paket1"/>
      <sheetName val="Cover_Daf_21"/>
      <sheetName val="GRADE_SKALA1"/>
      <sheetName val="MASTER_DATA1"/>
      <sheetName val="Muh_Akhir1"/>
      <sheetName val="Chandra_Prabowo1"/>
      <sheetName val="urain_teknis1"/>
      <sheetName val="RAB_11"/>
      <sheetName val="RAB_21"/>
      <sheetName val="RAB_31"/>
      <sheetName val="Unit_Price1"/>
      <sheetName val="Metod_TWR1"/>
      <sheetName val="rab_g__menara_pengawas"/>
      <sheetName val="Daf_Harga_Satuan"/>
      <sheetName val="BGT_07"/>
      <sheetName val="Uraian_Upah"/>
      <sheetName val="H__Dasar5"/>
      <sheetName val="tabel_pnganan_mslh"/>
      <sheetName val="D2_4"/>
      <sheetName val="D4_3_(TE)"/>
      <sheetName val="D5_3_(TF)_"/>
      <sheetName val="D8_3_(TJ)"/>
      <sheetName val="Analisa_Alat"/>
      <sheetName val="SNI_FIX"/>
      <sheetName val="List_Pla"/>
      <sheetName val="Harga_Mat_"/>
      <sheetName val="LIST_ANHARSAT"/>
      <sheetName val="Summary_and_Design"/>
      <sheetName val="Kata_Pengantar"/>
      <sheetName val="D_1_7"/>
      <sheetName val="D_1_5"/>
      <sheetName val="D_2_3"/>
      <sheetName val="D_2_2"/>
      <sheetName val="SCH_GG_&amp;_SAS"/>
      <sheetName val="Data_Base_List"/>
      <sheetName val="HSU_2016"/>
      <sheetName val="Goodwill_Calculation"/>
      <sheetName val="ANALISA_EL_DAN_ELC"/>
      <sheetName val="HSP_LT_BS"/>
      <sheetName val="BAHAN_MKNL"/>
      <sheetName val="Tambahan_Biaro"/>
      <sheetName val="s_g_exx"/>
      <sheetName val="_BoQ_Green_Field_option_1"/>
      <sheetName val="L__Hr"/>
      <sheetName val="Div_2_-_Drainase"/>
      <sheetName val="Div_3_-_Tanah"/>
      <sheetName val="Div_5_-_Berbutir"/>
      <sheetName val="Div_6_-_Aspal"/>
      <sheetName val="Div_7_-_Struktur"/>
      <sheetName val="Div_8_-_Peng_Kondisi"/>
      <sheetName val="rms_remunerasi"/>
      <sheetName val="Bahan_"/>
      <sheetName val="LEVEL_2"/>
      <sheetName val="LEVEL_4"/>
      <sheetName val="Urugan_Pasir"/>
      <sheetName val="BILL_OF_QUAN"/>
      <sheetName val="Harsat_Bahan_"/>
      <sheetName val="RAB_AR&amp;STR"/>
      <sheetName val="HD_ALAT"/>
      <sheetName val="HD_BAHAN"/>
      <sheetName val="Hrg_Satuan_&amp;_Upah"/>
      <sheetName val="Faktor_Konversi"/>
      <sheetName val="Bahan_Upah"/>
      <sheetName val="rek_det_1-3"/>
      <sheetName val="H__Satuan_Upah_&amp;_Bahan"/>
      <sheetName val="Analisa_Satuan_Pekerjaan"/>
      <sheetName val="H__Satuan_Pekerjaan"/>
      <sheetName val="Rekap_BBM"/>
      <sheetName val="Anal_Alat_Type_II_A"/>
      <sheetName val="AnalisaSIPIL_RIIL_RAP"/>
      <sheetName val="DATA_2009"/>
      <sheetName val="DATA_2010"/>
      <sheetName val="Target_Raker_TW_III"/>
      <sheetName val="610_04"/>
      <sheetName val="610_05"/>
      <sheetName val="610_06"/>
      <sheetName val="610_07"/>
      <sheetName val="610_08"/>
      <sheetName val="BOQ_CONTRACT_WK"/>
      <sheetName val="Schedule_11a"/>
      <sheetName val="Septick_tank"/>
      <sheetName val="PRIST_LIST"/>
      <sheetName val="PERALATAN_PROYEK_GOL_III_A"/>
      <sheetName val="REKAP_Tbh"/>
      <sheetName val="DAF_HRG"/>
      <sheetName val="Analisa_Upah___Bahan_Plum"/>
      <sheetName val="DATA_BASE"/>
      <sheetName val="Man_Power_&amp;_Comp"/>
      <sheetName val="ANALISA_GRS_kota"/>
      <sheetName val="Harga_Dasar"/>
      <sheetName val="NP_(2)"/>
      <sheetName val="Harsat_Upah"/>
      <sheetName val="AHS_ME_"/>
      <sheetName val="SUB_&amp;_mandor"/>
      <sheetName val="UMUR_ALAT"/>
      <sheetName val="FAKTOR_MODAL_CRF"/>
      <sheetName val="Master_Schedule"/>
      <sheetName val="RinciBab1_Seksi1"/>
      <sheetName val="grail"/>
      <sheetName val="Ideal"/>
      <sheetName val="BQ(Piping)"/>
      <sheetName val="PipWT"/>
      <sheetName val="AnAlat"/>
      <sheetName val="CODE"/>
      <sheetName val="JVFORM"/>
      <sheetName val="NOPAT_VDF"/>
      <sheetName val="Summary Page_VDF"/>
      <sheetName val="bilangk"/>
      <sheetName val="s_v13"/>
      <sheetName val="s_v14"/>
      <sheetName val="s_v16"/>
      <sheetName val="p_fb01"/>
      <sheetName val="p_fb02"/>
      <sheetName val="PLINT 3.1.G"/>
      <sheetName val="Pertumbuhan"/>
      <sheetName val="dok aromindo"/>
      <sheetName val="Dbase"/>
      <sheetName val="REKAP_GROSS2"/>
      <sheetName val="AN_BIAYA_MAKAN2"/>
      <sheetName val="Daf_Dasar_Upah&amp;Bahan2"/>
      <sheetName val="OFFICE_2_LT2"/>
      <sheetName val="Ana_Fin2"/>
      <sheetName val="Vendor_Information2"/>
      <sheetName val="BAHAN_(2)2"/>
      <sheetName val="Tata_Udara2"/>
      <sheetName val="4_2_Public2"/>
      <sheetName val="ANALISA_GRS_TENGAH2"/>
      <sheetName val="_INCOME_STATEMENT_(2)2"/>
      <sheetName val="CAB_22"/>
      <sheetName val="HRG_BAHAN___UPAH_okk2"/>
      <sheetName val="HRG_BAHAN_&amp;_UPAH_okk2"/>
      <sheetName val="Analis_Kusen_okk2"/>
      <sheetName val="KJ_20022"/>
      <sheetName val="Tie_Beam_GN2"/>
      <sheetName val="Tangga_GN2"/>
      <sheetName val="Villa_A2"/>
      <sheetName val="ITB_COST2"/>
      <sheetName val="Daf_Besi2"/>
      <sheetName val="ana_pt2"/>
      <sheetName val="ANA_bab_62"/>
      <sheetName val="HSD_BAHAN2"/>
      <sheetName val="HSD_UPAH_2"/>
      <sheetName val="7_PEK-STRUKTUR2"/>
      <sheetName val="A+Supl_2"/>
      <sheetName val="RAB_Ekstern2"/>
      <sheetName val="Standby_Alat2"/>
      <sheetName val="LAP__HARIAN2"/>
      <sheetName val="Urai__Resap_pengikat2"/>
      <sheetName val="Schedule_OK_Status2"/>
      <sheetName val="trf_7_jht"/>
      <sheetName val="6a_Rekap"/>
      <sheetName val="LAPORAN_KARYA"/>
      <sheetName val="A_Card"/>
      <sheetName val="Payback_Analysis"/>
      <sheetName val="Eva Schedule 1"/>
      <sheetName val="Schedule Pabrikasi"/>
      <sheetName val="13mm_E_P_"/>
      <sheetName val="20mm(E_P)"/>
      <sheetName val="20mm(StaircaseP_P)"/>
      <sheetName val="13mm_P_P"/>
      <sheetName val="REK_ADD"/>
      <sheetName val="Pay_Items"/>
      <sheetName val="Rekap_Anl"/>
      <sheetName val="AHS_all"/>
      <sheetName val="lkalibrasi_BENENAIN"/>
      <sheetName val="sh健et_2"/>
      <sheetName val="IDLE_ALAT7"/>
      <sheetName val="ATB_pers_(2)7"/>
      <sheetName val="FOTO_PR7"/>
      <sheetName val="G_umum7"/>
      <sheetName val="SCHE_vareto7"/>
      <sheetName val="ATB_pers7"/>
      <sheetName val="BQ_diva7"/>
      <sheetName val="MAT_BARU_AC7"/>
      <sheetName val="H_Satuan8"/>
      <sheetName val="AC_+7"/>
      <sheetName val="an_ATB_G7"/>
      <sheetName val="an_AC7"/>
      <sheetName val="an_ATB_L7"/>
      <sheetName val="ATB_+7"/>
      <sheetName val="Alat_DC7"/>
      <sheetName val="Kap_Tenaga7"/>
      <sheetName val="HRG_BHN6"/>
      <sheetName val="Agregat_Halus_&amp;_Kasar6"/>
      <sheetName val="Analisa_HS6"/>
      <sheetName val="D_&amp;_W_sizes6"/>
      <sheetName val="Kr_tengahDiva6"/>
      <sheetName val="GASATAGG_XLS6"/>
      <sheetName val="EXTERNAL_WORK6"/>
      <sheetName val="Man_Power6"/>
      <sheetName val="L3_An_H_Sat_Mob6"/>
      <sheetName val="rekap_mekanikal6"/>
      <sheetName val="Analisa___Upah6"/>
      <sheetName val="Isolasi_Luar_Dalam6"/>
      <sheetName val="Isolasi_Luar6"/>
      <sheetName val="Analisa_&amp;_Upah6"/>
      <sheetName val="ANAL_BOW7"/>
      <sheetName val="B_-_Norelec6"/>
      <sheetName val="rab_me_(by_owner)_6"/>
      <sheetName val="BQ_(by_owner)6"/>
      <sheetName val="rab_me_(fisik)6"/>
      <sheetName val="M_12__2_6"/>
      <sheetName val="RKP_PLUMBING5"/>
      <sheetName val="STD_Lanjutan6"/>
      <sheetName val="NS_Lanjutan6"/>
      <sheetName val="Bill_No_2_1_Cold_Water_System6"/>
      <sheetName val="Civil_Works6"/>
      <sheetName val="1_B6"/>
      <sheetName val="01A-_RAB6"/>
      <sheetName val="REKAP_ARSITEKTUR_6"/>
      <sheetName val="RAB_ADMINISTRASI_PUSAT_(1)6"/>
      <sheetName val="PROTEKSI_PETIR6"/>
      <sheetName val="KABEL_FEEDER6"/>
      <sheetName val="PENRNGN_&amp;_KTK-KNTK6"/>
      <sheetName val="NS_GD_UTAMA6"/>
      <sheetName val="BoQ_C46"/>
      <sheetName val="ANAL__ME6"/>
      <sheetName val="BW_analisa_cika_20056"/>
      <sheetName val="Fill_this_out_first___12"/>
      <sheetName val="Fill_this_out_first___13"/>
      <sheetName val="BOQ_KSN6"/>
      <sheetName val="Sat_Upah6"/>
      <sheetName val="HS_Alat6"/>
      <sheetName val="HS_Upah6"/>
      <sheetName val="HS_Sub-Kon6"/>
      <sheetName val="Analisa_ME_(2)6"/>
      <sheetName val="M&amp;E_R6"/>
      <sheetName val="RAB_PERSIAPAN_6"/>
      <sheetName val="FIRE_FIGHTING6"/>
      <sheetName val="Master_1_06"/>
      <sheetName val="BANGUNAN_PENUNJANG6"/>
      <sheetName val="F_ALARM6"/>
      <sheetName val="RAW_MATERIALS_5"/>
      <sheetName val="COST-PERSON-J_O_5"/>
      <sheetName val="Analisa_ME5"/>
      <sheetName val="Rekap_Prelim6"/>
      <sheetName val="Daftar_berat6"/>
      <sheetName val="Fire_Alarm6"/>
      <sheetName val="MAIN_EQUIP_AC6"/>
      <sheetName val="Upah_Bahan5"/>
      <sheetName val="ANALIS_16"/>
      <sheetName val="Terbilang_sertifikat5"/>
      <sheetName val="bill_qty6"/>
      <sheetName val="meth_hsl_nego6"/>
      <sheetName val="HB_5"/>
      <sheetName val="Pipa_(2)5"/>
      <sheetName val="Unit_Rate5"/>
      <sheetName val="Lamp_BAP5"/>
      <sheetName val="DUTCH_CONE6"/>
      <sheetName val="Rekap_Direct_Cost5"/>
      <sheetName val="Urai___Guide_Post5"/>
      <sheetName val="Met_Pas_Batu5"/>
      <sheetName val="Urai_Galian_Tanah5"/>
      <sheetName val="Met__Minor5"/>
      <sheetName val="Pos_4-16"/>
      <sheetName val="Cable_150kV_Ref_6"/>
      <sheetName val="D___W_sizes6"/>
      <sheetName val="Daf__No____4_25"/>
      <sheetName val="BQ_Stdr_R-15"/>
      <sheetName val="BQ_Arsit5"/>
      <sheetName val="An_HarSatPek5"/>
      <sheetName val="Sat_Bah_&amp;_Up5"/>
      <sheetName val="Transfer_Pump5"/>
      <sheetName val="Bill_of_Qty_MEP6"/>
      <sheetName val="NS_GD_UGD5"/>
      <sheetName val="STD_GD_UGD5"/>
      <sheetName val="PENJ_NERACA5"/>
      <sheetName val="CASH_FLOW5"/>
      <sheetName val="Data_Ktr_Bupati_Tapsel5"/>
      <sheetName val="New_MADC5"/>
      <sheetName val="Analisa_Pusaka_Jaya5"/>
      <sheetName val="Hydran___springkler5"/>
      <sheetName val="Daf_15"/>
      <sheetName val="Perm__Test5"/>
      <sheetName val="Harga_Satuan5"/>
      <sheetName val="sheet_25"/>
      <sheetName val="RAB_ME5"/>
      <sheetName val="HARGA_ALAT5"/>
      <sheetName val="ETAB_15"/>
      <sheetName val="Mat_Mek6"/>
      <sheetName val="Input_monthly_capex5"/>
      <sheetName val="REF_ONLY5"/>
      <sheetName val="Cash_Flow_bulanan5"/>
      <sheetName val="Investment_Valuation3"/>
      <sheetName val="List_of_Eqp5"/>
      <sheetName val="ANALISA_HARGA_SATUAN5"/>
      <sheetName val="2_NSB_5"/>
      <sheetName val="2_SB5"/>
      <sheetName val="M_ITEM5"/>
      <sheetName val="BHN_Ars5"/>
      <sheetName val="7_NS_H5"/>
      <sheetName val="AHS_str5"/>
      <sheetName val="ANALISA_15"/>
      <sheetName val="4-Basic_Price5"/>
      <sheetName val="Daftar_Upah,Bhn,&amp;_alat5"/>
      <sheetName val="Lead_Schedule5"/>
      <sheetName val="Anal_Koef5"/>
      <sheetName val="Rekap_Biaya5"/>
      <sheetName val="REKAP_TOTAL5"/>
      <sheetName val="GH_Quantity5"/>
      <sheetName val="BQ_struktur5"/>
      <sheetName val="R_A_B_5"/>
      <sheetName val="Report_detil_kondisi5"/>
      <sheetName val="D_1_2_LT-_1_~_Atap5"/>
      <sheetName val="Bill_5_Summary5"/>
      <sheetName val="ENC_145"/>
      <sheetName val="fin_pro_centers5"/>
      <sheetName val="KAN__LOKAL5"/>
      <sheetName val="Upah_dan_bahan5"/>
      <sheetName val="REKAP_ARSITEKTUR5"/>
      <sheetName val="rincian_per_proyek5"/>
      <sheetName val="Bill_Of_Quantity5"/>
      <sheetName val="BGN_PENUNJANG5"/>
      <sheetName val="AC_LOAD5"/>
      <sheetName val="Analisa_25"/>
      <sheetName val="KH_Bahagia5"/>
      <sheetName val="Up&amp;Bhn_5"/>
      <sheetName val="bhn_FINAL5"/>
      <sheetName val="Sec_I_ML5"/>
      <sheetName val="AN_Panel6"/>
      <sheetName val="3_3b5"/>
      <sheetName val="[Kr_tengahࡄiva_xls聝H_Satua聮5"/>
      <sheetName val="[Kr_te࡮gahࡄiva_xls聝MAT_BAR聕_AC5"/>
      <sheetName val="[Kr_tengahࡄiva࠮xls聝H_Satua聮15"/>
      <sheetName val="[Kࡲ_tengahࡄiva_xls聝Kap聟Tenaga5"/>
      <sheetName val="[Kࡲ_te࡮gahࡄiva_xls聝Ana聬isa_HS5"/>
      <sheetName val="B_-耠Nor聥lec5"/>
      <sheetName val="[Kࡲ_tengahࡄiva_xls聝5-P聥ralatan5"/>
      <sheetName val="[Kࡲ_te࡮gahࡄiva࠮xls聝Inf聯rmasi5"/>
      <sheetName val="[Kr_te࡮gahࡄiva_xls聝upahbahan5"/>
      <sheetName val="[Kr_tengahࡄiva࠮xls聝01A-_RA聂5"/>
      <sheetName val="[Kr_tengahࡄiva࠮xls聝NS_GD_U联AMA5"/>
      <sheetName val="[Kr_tengahࡄiva_xls聝Str耭Bengkel5"/>
      <sheetName val="[Kࡲ_te࡮gahࡄiva࠮xls聝ANA职_BOW5"/>
      <sheetName val="M_12__2聟5"/>
      <sheetName val="[Kࡲ_tengahࡄiva_xls聝G_SUMMARY5"/>
      <sheetName val="[Kr_tengahDiva_xls聝ANAL_HREZ5"/>
      <sheetName val="ANAL__M聅5"/>
      <sheetName val="[Kr_tengahDiva_xls聝analysis5"/>
      <sheetName val="[Kr_tengah?iva_xls?H_Satua?5"/>
      <sheetName val="[Kr_te?gah?iva_xls?MAT_BAR?_AC5"/>
      <sheetName val="[Kr_tengah?iva?xls?H_Satua?15"/>
      <sheetName val="[K?_tengah?iva_xls?Kap?Tenaga5"/>
      <sheetName val="[K?_te?gah?iva_xls?Ana?isa_HS5"/>
      <sheetName val="B_-?Nor?lec5"/>
      <sheetName val="[K?_tengah?iva_xls?5-P?ralatan5"/>
      <sheetName val="[K?_te?gah?iva?xls?Inf?rmasi5"/>
      <sheetName val="[Kr_te?gah?iva_xls?upahbahan5"/>
      <sheetName val="[Kr_tengah?iva?xls?01A-_RA?5"/>
      <sheetName val="[Kr_tengah?iva?xls?NS_GD_U?AMA5"/>
      <sheetName val="[Kr_tengah?iva_xls?Str?Bengkel5"/>
      <sheetName val="[K?_te?gah?iva?xls?ANA?_BOW5"/>
      <sheetName val="M_12__2?5"/>
      <sheetName val="[K?_tengah?iva_xls?G_SUMMARY5"/>
      <sheetName val="[Kr_tengahDiva_xls?ANAL_HREZ5"/>
      <sheetName val="ANAL__M?5"/>
      <sheetName val="[Kr_tengahDiva_xls?analysis5"/>
      <sheetName val="H__Dasar6"/>
      <sheetName val="REKAP_ME5"/>
      <sheetName val="Bill_4_Summary5"/>
      <sheetName val="List_Material3"/>
      <sheetName val="Bq_Ars5"/>
      <sheetName val="B___Norelec5"/>
      <sheetName val="Site_Expenses5"/>
      <sheetName val="2__MVAC_R15"/>
      <sheetName val="Cover_Daf-25"/>
      <sheetName val="Rate_Analysis5"/>
      <sheetName val="GFA_225"/>
      <sheetName val="KONTRAK_INDUK_BULANAN5"/>
      <sheetName val="Sat_Alat5"/>
      <sheetName val="T-3_4_Cost_of_Equipment5"/>
      <sheetName val="An_H_Sat_Pek_Ut5"/>
      <sheetName val="Harga_Sat_Das5"/>
      <sheetName val="T-3_2_UP_Labour5"/>
      <sheetName val="T-3_3_UP_Material5"/>
      <sheetName val="SELISIH_HARGA5"/>
      <sheetName val="struktur_tdk_dipakai5"/>
      <sheetName val="T__Cs_Log_P_III5"/>
      <sheetName val="Mat_Elk5"/>
      <sheetName val="AHS_Isolasi5"/>
      <sheetName val="Data_Sei_Belutu5"/>
      <sheetName val="610_65"/>
      <sheetName val="610_55"/>
      <sheetName val="Data_Sinabung5"/>
      <sheetName val="List_Plant5"/>
      <sheetName val="Summary_Sheets5"/>
      <sheetName val="3_Mob5"/>
      <sheetName val="Price_list5"/>
      <sheetName val="ANAL_TEKNIK5"/>
      <sheetName val="_Kr_tengahࡄiva_xls聝H_Satua聮5"/>
      <sheetName val="_Kr_te࡮gahࡄiva_xls聝MAT_BAR聕_AC5"/>
      <sheetName val="_Kr_tengahࡄiva࠮xls聝H_Satua聮15"/>
      <sheetName val="_Kࡲ_tengahࡄiva_xls聝Kap聟Tenaga5"/>
      <sheetName val="_Kࡲ_te࡮gahࡄiva_xls聝Ana聬isa_HS5"/>
      <sheetName val="_Kࡲ_tengahࡄiva_xls聝5-P聥ralatan5"/>
      <sheetName val="_Kࡲ_te࡮gahࡄiva࠮xls聝Inf聯rmasi5"/>
      <sheetName val="_Kr_te࡮gahࡄiva_xls聝upahbahan5"/>
      <sheetName val="_Kr_tengahࡄiva࠮xls聝01A-_RA聂5"/>
      <sheetName val="_Kr_tengahࡄiva࠮xls聝NS_GD_U联AMA5"/>
      <sheetName val="_Kr_tengahࡄiva_xls聝Str耭Bengkel5"/>
      <sheetName val="_Kࡲ_te࡮gahࡄiva࠮xls聝ANA职_BOW5"/>
      <sheetName val="_Kࡲ_tengahࡄiva_xls聝G_SUMMARY5"/>
      <sheetName val="_Kr_tengahDiva_xls聝ANAL_HREZ5"/>
      <sheetName val="_Kr_tengahDiva_xls聝analysis5"/>
      <sheetName val="TE_TS_FA_LAN_MATV5"/>
      <sheetName val="Pengalaman_Per3"/>
      <sheetName val="ME_Apt25"/>
      <sheetName val="On_Time3"/>
      <sheetName val="analisa_stroke3"/>
      <sheetName val="Currency_Rate3"/>
      <sheetName val="HARGA_MATERIAL5"/>
      <sheetName val="Blk_B15"/>
      <sheetName val="Unit_Cost3"/>
      <sheetName val="II_MAIN-LOB3"/>
      <sheetName val="Rkp_Total3"/>
      <sheetName val="Harsat_Bahan3"/>
      <sheetName val="Appendix_2(SatDas)3"/>
      <sheetName val="daftar_analisa3"/>
      <sheetName val="PAGE_1_5"/>
      <sheetName val="Analisa_Harga3"/>
      <sheetName val="Ｎｏ_133"/>
      <sheetName val="1_23"/>
      <sheetName val="_Kr_tengah_iva_xls_H_Satua_4"/>
      <sheetName val="BIIL_ASLI3"/>
      <sheetName val="Q'ty_per_m3"/>
      <sheetName val="Sumber_Daya3"/>
      <sheetName val="TOTAL_Agustus3"/>
      <sheetName val="DAF_ALAT3"/>
      <sheetName val="Assumption_&amp;_Dashboard_3"/>
      <sheetName val="UPAH_BAHAN_ARST3"/>
      <sheetName val="ELEC_STIS3"/>
      <sheetName val="REKAP_GROSS3"/>
      <sheetName val="AN_BIAYA_MAKAN3"/>
      <sheetName val="Daf_Dasar_Upah&amp;Bahan3"/>
      <sheetName val="OFFICE_2_LT3"/>
      <sheetName val="Basic_Price3"/>
      <sheetName val="ANALISA_railing3"/>
      <sheetName val="Analisa_Upah_&amp;_Bahan_Plum3"/>
      <sheetName val="ANALISA_GRS_TENGAH3"/>
      <sheetName val="BQ_Mekanikal3"/>
      <sheetName val="_INCOME_STATEMENT_(2)3"/>
      <sheetName val="Div_13"/>
      <sheetName val="Form_4,5,63"/>
      <sheetName val="PL_(MONTHLY)3"/>
      <sheetName val="Analisa_HSP3"/>
      <sheetName val="Galian_13"/>
      <sheetName val="Basic_alat3"/>
      <sheetName val="Basic_bahan3"/>
      <sheetName val="Basic_upah3"/>
      <sheetName val="Analisa_(ok)3"/>
      <sheetName val="Kuantitas_&amp;_Harga3"/>
      <sheetName val="Master_Edit3"/>
      <sheetName val="Data_Pendukung3"/>
      <sheetName val="Ana_Fin3"/>
      <sheetName val="SAT_UPH_BHN3"/>
      <sheetName val="ANALISA_PEK_UMUM3"/>
      <sheetName val="Vendor_Information3"/>
      <sheetName val="BANG_TONG_HOP_(2)3"/>
      <sheetName val="BAHAN_(2)3"/>
      <sheetName val="Tata_Udara3"/>
      <sheetName val="rab_me__by_owner__3"/>
      <sheetName val="BQ__by_owner_3"/>
      <sheetName val="rab_me__fisik_3"/>
      <sheetName val="4_2_Public3"/>
      <sheetName val="_Kr_tengahDiva_xls聝analysi蕈3"/>
      <sheetName val="7_공정표3"/>
      <sheetName val="Lt_13"/>
      <sheetName val="CAB_23"/>
      <sheetName val="STOK_MAT3"/>
      <sheetName val="HRG_BAHAN___UPAH_okk3"/>
      <sheetName val="HRG_BAHAN_&amp;_UPAH_okk3"/>
      <sheetName val="Analis_Kusen_okk3"/>
      <sheetName val="KJ_20023"/>
      <sheetName val="Data_Tower3"/>
      <sheetName val="M_Pekerjaan3"/>
      <sheetName val="Tie_Beam_GN3"/>
      <sheetName val="Tangga_GN3"/>
      <sheetName val="Speck_ARSITEK3"/>
      <sheetName val="Stden_center3"/>
      <sheetName val="_3"/>
      <sheetName val="Villa_A3"/>
      <sheetName val="ANA_bab_63"/>
      <sheetName val="HSD_BAHAN3"/>
      <sheetName val="HSD_UPAH_3"/>
      <sheetName val="7_PEK-STRUKTUR3"/>
      <sheetName val="A+Supl_3"/>
      <sheetName val="RAB_Ekstern3"/>
      <sheetName val="Standby_Alat3"/>
      <sheetName val="LAP__HARIAN3"/>
      <sheetName val="hrg-sat_pek3"/>
      <sheetName val="hrg_sat3"/>
      <sheetName val="Urai__Resap_pengikat3"/>
      <sheetName val="Daftar_Kuantitas_&amp;_Harga3"/>
      <sheetName val="CASHFLOW_FORECAST1"/>
      <sheetName val="_Kr_tengahDiva_xls聝analysi1"/>
      <sheetName val="ITB_COST3"/>
      <sheetName val="Upah&amp;Bahan_(2)3"/>
      <sheetName val="Analisa-Harga_(1F)3"/>
      <sheetName val="Daf_Besi3"/>
      <sheetName val="ana_pt3"/>
      <sheetName val="Harsat_Bahan_1"/>
      <sheetName val="(htp@___1"/>
      <sheetName val="RAB_(A)_(2)1"/>
      <sheetName val="Daf_Biaya_sewa_alat1"/>
      <sheetName val="Supl_X1"/>
      <sheetName val="An__HS1"/>
      <sheetName val="RAB_TTB_ADM81"/>
      <sheetName val="rab_g__menara_pengawas1"/>
      <sheetName val="01_FA1"/>
      <sheetName val="ANALISA_EL_DAN_ELC1"/>
      <sheetName val="Schedule_OK_Status3"/>
      <sheetName val="BOQ_EM1"/>
      <sheetName val="Field_DCPT1"/>
      <sheetName val="eQUIPMENT_COST1"/>
      <sheetName val="A_Card1"/>
      <sheetName val="harsat_sdy1"/>
      <sheetName val="RAB_AR&amp;STR1"/>
      <sheetName val="AnalisaSIPIL_RIIL_RAP1"/>
      <sheetName val="ANA_bab_21"/>
      <sheetName val="NP_(2)1"/>
      <sheetName val="Harsat_Upah1"/>
      <sheetName val="List_Pla1"/>
      <sheetName val="L__Hr1"/>
      <sheetName val="_BoQ_Green_Field_option_11"/>
      <sheetName val="Basic_P1"/>
      <sheetName val="cons_workpapers1"/>
      <sheetName val="Summary_and_Design1"/>
      <sheetName val="H__Dasar7"/>
      <sheetName val="tabel_pnganan_mslh1"/>
      <sheetName val="Kata_Pengantar1"/>
      <sheetName val="Analisa_SNI_STANDART_1"/>
      <sheetName val="BULAN_11"/>
      <sheetName val="LAPORAN_KARYA1"/>
      <sheetName val="Analisa_Alat1"/>
      <sheetName val="SNI_FIX1"/>
      <sheetName val="Harga_Mat_1"/>
      <sheetName val="LIST_ANHARSAT1"/>
      <sheetName val="6a_Rekap1"/>
      <sheetName val="trf_7_jht1"/>
      <sheetName val="D2_41"/>
      <sheetName val="D4_3_(TE)1"/>
      <sheetName val="D5_3_(TF)_1"/>
      <sheetName val="D8_3_(TJ)1"/>
      <sheetName val="data_profit1"/>
      <sheetName val="rms_remunerasi1"/>
      <sheetName val="Anl_2s_d4e1"/>
      <sheetName val="u_aLAT1"/>
      <sheetName val="Dftr_Isi1"/>
      <sheetName val="UMUR_ALAT1"/>
      <sheetName val="FAKTOR_MODAL_CRF1"/>
      <sheetName val="13mm_E_P_1"/>
      <sheetName val="20mm(E_P)1"/>
      <sheetName val="20mm(StaircaseP_P)1"/>
      <sheetName val="13mm_P_P1"/>
      <sheetName val="REK_ADD1"/>
      <sheetName val="Pay_Items1"/>
      <sheetName val="Rekap_Anl1"/>
      <sheetName val="AHS_all1"/>
      <sheetName val="s_g_exx1"/>
      <sheetName val="Harga_Bahan1"/>
      <sheetName val="Internal_AFE_Form_2_1"/>
      <sheetName val="Amortization_Table1"/>
      <sheetName val="lkalibrasi_BENENAIN1"/>
      <sheetName val="sh健et_21"/>
      <sheetName val="Urugan_Pasir1"/>
      <sheetName val="BGT_071"/>
      <sheetName val="Daf_Harga_Satuan1"/>
      <sheetName val="Uraian_Upah1"/>
      <sheetName val="BILL_OF_QUAN1"/>
      <sheetName val="Goodwill_Calculation1"/>
      <sheetName val="Payback_Analysis1"/>
      <sheetName val="H__Satuan_Upah_&amp;_Bahan1"/>
      <sheetName val="Analisa_Satuan_Pekerjaan1"/>
      <sheetName val="H__Satuan_Pekerjaan1"/>
      <sheetName val="ANALI_PP"/>
      <sheetName val="anal-drainase,tanah&amp;ps_batu"/>
      <sheetName val="ANALISA_BANGLI"/>
      <sheetName val="HRG_SATUAN"/>
      <sheetName val="Eva_Schedule_1"/>
      <sheetName val="Schedule_Pabrikasi"/>
      <sheetName val="mp_&amp;_eq"/>
      <sheetName val="UPAH_&amp;_SEWA"/>
      <sheetName val="HSBU_ANA"/>
      <sheetName val="GRAFIK_"/>
      <sheetName val="R1__GREJA_KATHOLIK"/>
      <sheetName val="B_T"/>
      <sheetName val="H-Bahan_&amp;_Tenaga"/>
      <sheetName val="anal_alat1"/>
      <sheetName val="_MINGGUAN"/>
      <sheetName val="AnalisaSIPIL_RIIL"/>
      <sheetName val="HARGA_SAT"/>
      <sheetName val="P&amp;L98"/>
      <sheetName val="Hrg Readymix"/>
      <sheetName val="IDLE_ALAT8"/>
      <sheetName val="ATB_pers_(2)8"/>
      <sheetName val="FOTO_PR8"/>
      <sheetName val="G_umum8"/>
      <sheetName val="SCHE_vareto8"/>
      <sheetName val="ATB_pers8"/>
      <sheetName val="BQ_diva8"/>
      <sheetName val="MAT_BARU_AC8"/>
      <sheetName val="H_Satuan9"/>
      <sheetName val="AC_+8"/>
      <sheetName val="an_ATB_G8"/>
      <sheetName val="an_AC8"/>
      <sheetName val="an_ATB_L8"/>
      <sheetName val="ATB_+8"/>
      <sheetName val="Alat_DC8"/>
      <sheetName val="Kap_Tenaga8"/>
      <sheetName val="HRG_BHN7"/>
      <sheetName val="Agregat_Halus_&amp;_Kasar7"/>
      <sheetName val="Analisa_HS7"/>
      <sheetName val="D_&amp;_W_sizes7"/>
      <sheetName val="Kr_tengahDiva7"/>
      <sheetName val="GASATAGG_XLS7"/>
      <sheetName val="EXTERNAL_WORK7"/>
      <sheetName val="Man_Power7"/>
      <sheetName val="L3_An_H_Sat_Mob7"/>
      <sheetName val="rekap_mekanikal7"/>
      <sheetName val="Analisa___Upah7"/>
      <sheetName val="Isolasi_Luar_Dalam7"/>
      <sheetName val="Isolasi_Luar7"/>
      <sheetName val="Analisa_&amp;_Upah7"/>
      <sheetName val="ANAL_BOW8"/>
      <sheetName val="B_-_Norelec7"/>
      <sheetName val="rab_me_(by_owner)_7"/>
      <sheetName val="BQ_(by_owner)7"/>
      <sheetName val="rab_me_(fisik)7"/>
      <sheetName val="M_12__2_7"/>
      <sheetName val="RKP_PLUMBING6"/>
      <sheetName val="STD_Lanjutan7"/>
      <sheetName val="NS_Lanjutan7"/>
      <sheetName val="Bill_No_2_1_Cold_Water_System7"/>
      <sheetName val="Civil_Works7"/>
      <sheetName val="1_B7"/>
      <sheetName val="01A-_RAB7"/>
      <sheetName val="REKAP_ARSITEKTUR_7"/>
      <sheetName val="RAB_ADMINISTRASI_PUSAT_(1)7"/>
      <sheetName val="PROTEKSI_PETIR7"/>
      <sheetName val="KABEL_FEEDER7"/>
      <sheetName val="PENRNGN_&amp;_KTK-KNTK7"/>
      <sheetName val="NS_GD_UTAMA7"/>
      <sheetName val="BoQ_C47"/>
      <sheetName val="ANAL__ME7"/>
      <sheetName val="BW_analisa_cika_20057"/>
      <sheetName val="Fill_this_out_first___14"/>
      <sheetName val="Fill_this_out_first___15"/>
      <sheetName val="BOQ_KSN7"/>
      <sheetName val="Sat_Upah7"/>
      <sheetName val="HS_Alat7"/>
      <sheetName val="HS_Upah7"/>
      <sheetName val="HS_Sub-Kon7"/>
      <sheetName val="Analisa_ME_(2)7"/>
      <sheetName val="M&amp;E_R7"/>
      <sheetName val="RAB_PERSIAPAN_7"/>
      <sheetName val="FIRE_FIGHTING7"/>
      <sheetName val="Master_1_07"/>
      <sheetName val="BANGUNAN_PENUNJANG7"/>
      <sheetName val="F_ALARM7"/>
      <sheetName val="RAW_MATERIALS_6"/>
      <sheetName val="COST-PERSON-J_O_6"/>
      <sheetName val="Analisa_ME6"/>
      <sheetName val="Rekap_Prelim7"/>
      <sheetName val="Daftar_berat7"/>
      <sheetName val="Fire_Alarm7"/>
      <sheetName val="MAIN_EQUIP_AC7"/>
      <sheetName val="Upah_Bahan6"/>
      <sheetName val="ANALIS_17"/>
      <sheetName val="Terbilang_sertifikat6"/>
      <sheetName val="bill_qty7"/>
      <sheetName val="meth_hsl_nego7"/>
      <sheetName val="HB_6"/>
      <sheetName val="Pipa_(2)6"/>
      <sheetName val="Unit_Rate6"/>
      <sheetName val="Lamp_BAP6"/>
      <sheetName val="DUTCH_CONE7"/>
      <sheetName val="Rekap_Direct_Cost6"/>
      <sheetName val="Urai___Guide_Post6"/>
      <sheetName val="Met_Pas_Batu6"/>
      <sheetName val="Urai_Galian_Tanah6"/>
      <sheetName val="Met__Minor6"/>
      <sheetName val="Pos_4-17"/>
      <sheetName val="Cable_150kV_Ref_7"/>
      <sheetName val="D___W_sizes7"/>
      <sheetName val="Daf__No____4_26"/>
      <sheetName val="BQ_Stdr_R-16"/>
      <sheetName val="BQ_Arsit6"/>
      <sheetName val="An_HarSatPek6"/>
      <sheetName val="Sat_Bah_&amp;_Up6"/>
      <sheetName val="Transfer_Pump6"/>
      <sheetName val="Bill_of_Qty_MEP7"/>
      <sheetName val="NS_GD_UGD6"/>
      <sheetName val="STD_GD_UGD6"/>
      <sheetName val="PENJ_NERACA6"/>
      <sheetName val="CASH_FLOW6"/>
      <sheetName val="Data_Ktr_Bupati_Tapsel6"/>
      <sheetName val="New_MADC6"/>
      <sheetName val="Analisa_Pusaka_Jaya6"/>
      <sheetName val="Hydran___springkler6"/>
      <sheetName val="Daf_16"/>
      <sheetName val="Perm__Test6"/>
      <sheetName val="Harga_Satuan6"/>
      <sheetName val="sheet_26"/>
      <sheetName val="RAB_ME6"/>
      <sheetName val="HARGA_ALAT6"/>
      <sheetName val="ETAB_16"/>
      <sheetName val="Mat_Mek7"/>
      <sheetName val="Input_monthly_capex6"/>
      <sheetName val="REF_ONLY6"/>
      <sheetName val="Cash_Flow_bulanan6"/>
      <sheetName val="Investment_Valuation4"/>
      <sheetName val="List_of_Eqp6"/>
      <sheetName val="ANALISA_HARGA_SATUAN6"/>
      <sheetName val="2_NSB_6"/>
      <sheetName val="2_SB6"/>
      <sheetName val="M_ITEM6"/>
      <sheetName val="BHN_Ars6"/>
      <sheetName val="7_NS_H6"/>
      <sheetName val="AHS_str6"/>
      <sheetName val="ANALISA_16"/>
      <sheetName val="4-Basic_Price6"/>
      <sheetName val="Daftar_Upah,Bhn,&amp;_alat6"/>
      <sheetName val="Lead_Schedule6"/>
      <sheetName val="Anal_Koef6"/>
      <sheetName val="Rekap_Biaya6"/>
      <sheetName val="REKAP_TOTAL6"/>
      <sheetName val="GH_Quantity6"/>
      <sheetName val="BQ_struktur6"/>
      <sheetName val="R_A_B_6"/>
      <sheetName val="Report_detil_kondisi6"/>
      <sheetName val="D_1_2_LT-_1_~_Atap6"/>
      <sheetName val="Bill_5_Summary6"/>
      <sheetName val="ENC_146"/>
      <sheetName val="fin_pro_centers6"/>
      <sheetName val="KAN__LOKAL6"/>
      <sheetName val="Upah_dan_bahan6"/>
      <sheetName val="REKAP_ARSITEKTUR6"/>
      <sheetName val="rincian_per_proyek6"/>
      <sheetName val="Bill_Of_Quantity6"/>
      <sheetName val="BGN_PENUNJANG6"/>
      <sheetName val="AC_LOAD6"/>
      <sheetName val="Analisa_26"/>
      <sheetName val="KH_Bahagia6"/>
      <sheetName val="Up&amp;Bhn_6"/>
      <sheetName val="bhn_FINAL6"/>
      <sheetName val="List_Material4"/>
      <sheetName val="Sec_I_ML6"/>
      <sheetName val="AN_Panel7"/>
      <sheetName val="3_3b6"/>
      <sheetName val="[Kr_tengahࡄiva_xls聝H_Satua聮6"/>
      <sheetName val="[Kr_te࡮gahࡄiva_xls聝MAT_BAR聕_AC6"/>
      <sheetName val="[Kr_tengahࡄiva࠮xls聝H_Satua聮16"/>
      <sheetName val="[Kࡲ_tengahࡄiva_xls聝Kap聟Tenaga6"/>
      <sheetName val="[Kࡲ_te࡮gahࡄiva_xls聝Ana聬isa_HS6"/>
      <sheetName val="B_-耠Nor聥lec6"/>
      <sheetName val="[Kࡲ_tengahࡄiva_xls聝5-P聥ralatan6"/>
      <sheetName val="[Kࡲ_te࡮gahࡄiva࠮xls聝Inf聯rmasi6"/>
      <sheetName val="[Kr_te࡮gahࡄiva_xls聝upahbahan6"/>
      <sheetName val="[Kr_tengahࡄiva࠮xls聝01A-_RA聂6"/>
      <sheetName val="[Kr_tengahࡄiva࠮xls聝NS_GD_U联AMA6"/>
      <sheetName val="[Kr_tengahࡄiva_xls聝Str耭Bengkel6"/>
      <sheetName val="[Kࡲ_te࡮gahࡄiva࠮xls聝ANA职_BOW6"/>
      <sheetName val="M_12__2聟6"/>
      <sheetName val="[Kࡲ_tengahࡄiva_xls聝G_SUMMARY6"/>
      <sheetName val="[Kr_tengahDiva_xls聝ANAL_HREZ6"/>
      <sheetName val="ANAL__M聅6"/>
      <sheetName val="[Kr_tengahDiva_xls聝analysis6"/>
      <sheetName val="[Kr_tengah?iva_xls?H_Satua?6"/>
      <sheetName val="[Kr_te?gah?iva_xls?MAT_BAR?_AC6"/>
      <sheetName val="[Kr_tengah?iva?xls?H_Satua?16"/>
      <sheetName val="[K?_tengah?iva_xls?Kap?Tenaga6"/>
      <sheetName val="[K?_te?gah?iva_xls?Ana?isa_HS6"/>
      <sheetName val="B_-?Nor?lec6"/>
      <sheetName val="[K?_tengah?iva_xls?5-P?ralatan6"/>
      <sheetName val="[K?_te?gah?iva?xls?Inf?rmasi6"/>
      <sheetName val="[Kr_te?gah?iva_xls?upahbahan6"/>
      <sheetName val="[Kr_tengah?iva?xls?01A-_RA?6"/>
      <sheetName val="[Kr_tengah?iva?xls?NS_GD_U?AMA6"/>
      <sheetName val="[Kr_tengah?iva_xls?Str?Bengkel6"/>
      <sheetName val="[K?_te?gah?iva?xls?ANA?_BOW6"/>
      <sheetName val="M_12__2?6"/>
      <sheetName val="[K?_tengah?iva_xls?G_SUMMARY6"/>
      <sheetName val="[Kr_tengahDiva_xls?ANAL_HREZ6"/>
      <sheetName val="ANAL__M?6"/>
      <sheetName val="[Kr_tengahDiva_xls?analysis6"/>
      <sheetName val="H__Dasar8"/>
      <sheetName val="REKAP_ME6"/>
      <sheetName val="Bill_4_Summary6"/>
      <sheetName val="GFA_226"/>
      <sheetName val="KONTRAK_INDUK_BULANAN6"/>
      <sheetName val="Bq_Ars6"/>
      <sheetName val="Sat_Alat6"/>
      <sheetName val="T-3_4_Cost_of_Equipment6"/>
      <sheetName val="An_H_Sat_Pek_Ut6"/>
      <sheetName val="Harga_Sat_Das6"/>
      <sheetName val="T-3_2_UP_Labour6"/>
      <sheetName val="T-3_3_UP_Material6"/>
      <sheetName val="SELISIH_HARGA6"/>
      <sheetName val="struktur_tdk_dipakai6"/>
      <sheetName val="B___Norelec6"/>
      <sheetName val="Site_Expenses6"/>
      <sheetName val="2__MVAC_R16"/>
      <sheetName val="Cover_Daf-26"/>
      <sheetName val="Sens"/>
      <sheetName val="Mkt"/>
      <sheetName val="Trf"/>
      <sheetName val="Material-mr"/>
      <sheetName val="Agg Halus &amp; Kasar"/>
      <sheetName val="tgl"/>
      <sheetName val="HG-UPAH"/>
      <sheetName val="HG_JADI"/>
      <sheetName val="Harga S Dasar"/>
      <sheetName val="4-Basic_Price-Upah2"/>
      <sheetName val="OPNAME_COMM-10+825-10+300"/>
      <sheetName val="upah_bahan_3"/>
      <sheetName val="Rinc__Harg_BHN3"/>
      <sheetName val="Harga_S_Dasar_UNTUK_IDISI"/>
      <sheetName val="Currency"/>
      <sheetName val="AHS_1"/>
      <sheetName val="anal-mos"/>
      <sheetName val="mob-demob"/>
      <sheetName val="ANALIS 2"/>
      <sheetName val="DATA JEMBATAN BARU"/>
      <sheetName val="DATA REHAB JEMBATAN"/>
      <sheetName val="DATA REHAB JEMBATAN (2)"/>
      <sheetName val="Anal Harsat"/>
      <sheetName val="Analis harga"/>
      <sheetName val="AHSrutin"/>
      <sheetName val="3A7.1.Jln Insitu"/>
      <sheetName val="schtot"/>
      <sheetName val="RAB TOTAL"/>
      <sheetName val="Trial Balance"/>
      <sheetName val="ANALISA1"/>
      <sheetName val="ANALISA SNI'13 "/>
      <sheetName val="AnalAdjust"/>
      <sheetName val="Upah dan Bahan "/>
      <sheetName val="COST BREAKDOWN"/>
      <sheetName val="Statprod gab"/>
      <sheetName val="Perolehan 2007"/>
      <sheetName val="PumpSpec"/>
      <sheetName val="Anals.1"/>
      <sheetName val="HARGASEWAALAT"/>
      <sheetName val="HARGA&amp; UPAH"/>
      <sheetName val="Scd_RAB"/>
      <sheetName val="MOBIL barantang"/>
      <sheetName val="Dft Hrg"/>
      <sheetName val="PT"/>
      <sheetName val="DINDING KIRI"/>
      <sheetName val="Lantai Beton K225"/>
      <sheetName val="DINDING P0"/>
      <sheetName val="MERCU (2)"/>
      <sheetName val="S_CURVE"/>
      <sheetName val="RENPEN"/>
      <sheetName val="C2"/>
      <sheetName val="G2.01"/>
      <sheetName val="Q2"/>
      <sheetName val="I.2"/>
      <sheetName val="Bekis"/>
      <sheetName val="P2"/>
      <sheetName val="input data umum"/>
      <sheetName val="Analisa Gabungan"/>
      <sheetName val="DON GIA"/>
      <sheetName val="DG"/>
      <sheetName val="VCV-BE-TONG"/>
      <sheetName val="CHITIET VL-NC"/>
      <sheetName val="Cashflow_ref"/>
      <sheetName val="TARGET RAKER "/>
      <sheetName val="target raker 1"/>
      <sheetName val="BS Assumptions"/>
      <sheetName val="bhn-upah"/>
      <sheetName val="ESC"/>
      <sheetName val="BAG-III"/>
      <sheetName val="div7-1"/>
      <sheetName val="MAP-Prog"/>
      <sheetName val="BoQ Total_lama"/>
      <sheetName val="ANSTRUK"/>
      <sheetName val="tp 45x45 (6)"/>
      <sheetName val="TEKNIS"/>
      <sheetName val="PROD 15-1"/>
      <sheetName val="HargaBahan"/>
      <sheetName val="AHS-8FO"/>
      <sheetName val="7.1(3)"/>
      <sheetName val="ANALISA TENDER"/>
      <sheetName val="D3"/>
      <sheetName val="Harga-RAB"/>
      <sheetName val="ES STG"/>
      <sheetName val="div 4"/>
      <sheetName val="Rekap Gab"/>
      <sheetName val="STR &amp; ARS"/>
      <sheetName val="Input Data"/>
      <sheetName val="Soil factor"/>
      <sheetName val="Pricing-2"/>
      <sheetName val="Det Str BT"/>
      <sheetName val="Bukti Memorial"/>
      <sheetName val="Daftar Piutang"/>
      <sheetName val="HUTANG"/>
      <sheetName val="PENDAPATAN"/>
      <sheetName val="Bi oprsl bgkl"/>
      <sheetName val="Meto"/>
      <sheetName val="Analisa H.Sat.Pek."/>
      <sheetName val="HSPek"/>
      <sheetName val="HSAlat"/>
      <sheetName val="HS-SKGub"/>
      <sheetName val="HSPek 6xx-7xx"/>
      <sheetName val="TONGKE-HT"/>
      <sheetName val="LAP-MGG-DINAS"/>
      <sheetName val="BACK - UP-GALIAN (ALAT)"/>
      <sheetName val="Data Keu"/>
      <sheetName val="Als_Struk"/>
      <sheetName val="RAB_adm"/>
      <sheetName val="Sat_adm"/>
      <sheetName val="Appendix_2(SatDas´"/>
      <sheetName val="DRUP_(ASLI)"/>
      <sheetName val="MASTER_1"/>
      <sheetName val="ANL_K"/>
      <sheetName val="MONITORING_PENGADAAN"/>
      <sheetName val="Pemakaian_besi"/>
      <sheetName val="curve_s"/>
      <sheetName val="DIVISI_6__A"/>
      <sheetName val="3-DIV7_1"/>
      <sheetName val="BAHAN_,_UPAH_,_ALAT"/>
      <sheetName val="8-Lamp1_(2)"/>
      <sheetName val="8-Lamp6_B"/>
      <sheetName val="8-Lamp14_"/>
      <sheetName val="11-S_PEN"/>
      <sheetName val="Rencana_Anggaran_Biaya"/>
      <sheetName val="Mobilisasi_(2)"/>
      <sheetName val="Data_Umum_Penawaran"/>
      <sheetName val="dongia_(2)"/>
      <sheetName val="THPDMoi__(2)"/>
      <sheetName val="sched-induk-(Th_2008_5M)"/>
      <sheetName val="ANALISA_SBU"/>
      <sheetName val="Lab_E_(FKU)"/>
      <sheetName val="Gal_Sal"/>
      <sheetName val="FAB-2010_sd_2011"/>
      <sheetName val="Hg_Sat"/>
      <sheetName val="URA_E450"/>
      <sheetName val="Sheet1_(3)"/>
      <sheetName val="Bangunan_Utama"/>
      <sheetName val="Analisa_Baku_ME"/>
      <sheetName val="Analisa_Baku_STR_ARS"/>
      <sheetName val="RM-034"/>
      <sheetName val="_Kr tengahDiva.xls聝analysi_x000"/>
      <sheetName val="Data P-1"/>
      <sheetName val="skejul"/>
      <sheetName val="4-B Price"/>
      <sheetName val="Div 9 - Harian"/>
      <sheetName val="upah_bahan_alat"/>
      <sheetName val="analisa_K"/>
      <sheetName val="Lau_Luhung"/>
      <sheetName val="HRG-_UPAH"/>
      <sheetName val="FORM_X_COST"/>
      <sheetName val="Man_Power_Const"/>
      <sheetName val="Up"/>
      <sheetName val="PE-F-37 Rev 00 Paym.GBP"/>
      <sheetName val="SP10"/>
      <sheetName val="Bill rekap"/>
      <sheetName val="Default"/>
      <sheetName val="Analisa  _2_"/>
      <sheetName val="BQMPALOC"/>
      <sheetName val="KP1590_E"/>
      <sheetName val="수입"/>
      <sheetName val="Koordinat"/>
      <sheetName val="경비2내역"/>
      <sheetName val="Staff"/>
      <sheetName val="Tawar"/>
      <sheetName val="Lain2"/>
      <sheetName val="trf multiple dnrks"/>
      <sheetName val="Harga bahan-1"/>
      <sheetName val="rekap1"/>
      <sheetName val="trf_multiple_dnrks"/>
      <sheetName val="Harga_bahan-1"/>
      <sheetName val="Short term loan"/>
      <sheetName val="NAMES"/>
      <sheetName val="Analisa  (2)"/>
      <sheetName val="unit weight"/>
      <sheetName val="RPP-6"/>
      <sheetName val="Normalisasi"/>
      <sheetName val="01Reg3"/>
      <sheetName val="Attachement"/>
      <sheetName val="EXTERNAL  (revisi 1)"/>
      <sheetName val="HS1b"/>
      <sheetName val="DEF"/>
      <sheetName val="BD-LS"/>
      <sheetName val="HS KALIJATI"/>
      <sheetName val="UNDER PASS"/>
      <sheetName val="Pier Head"/>
      <sheetName val="ListAnalisa"/>
      <sheetName val="MDL"/>
      <sheetName val="BAHAN-UPAH"/>
      <sheetName val="Anlat"/>
      <sheetName val="Anl."/>
      <sheetName val="URUTAN BUKA"/>
      <sheetName val="rcnPDP"/>
      <sheetName val="@ MONHTLY"/>
      <sheetName val="rab_analisa"/>
      <sheetName val="H.DASAR"/>
      <sheetName val="HS-1"/>
      <sheetName val="L_TIGA"/>
      <sheetName val="L-TIGA"/>
      <sheetName val="Harga Pekerjaan"/>
      <sheetName val="Gia"/>
      <sheetName val="Spec1"/>
      <sheetName val="Harga ME "/>
      <sheetName val="HARDAS-Mê"/>
      <sheetName val="ANTEK-1"/>
      <sheetName val="antek"/>
      <sheetName val="usaid"/>
      <sheetName val="anal-2"/>
      <sheetName val="Tanah"/>
      <sheetName val="KOR-10"/>
      <sheetName val="KOR-8"/>
      <sheetName val="KOR-9"/>
      <sheetName val="61006"/>
      <sheetName val="UP_an"/>
      <sheetName val="Note"/>
      <sheetName val="DIV 7"/>
      <sheetName val="RAB STEEL "/>
      <sheetName val="Finishing Warehouse"/>
      <sheetName val="material "/>
      <sheetName val="pekerjaan "/>
      <sheetName val="H STN"/>
      <sheetName val="DUB"/>
      <sheetName val="Time Schedule"/>
      <sheetName val="REKAP.."/>
      <sheetName val="4SM00369 &amp; 4SM00370 "/>
      <sheetName val="L_23"/>
      <sheetName val="FCT BHN"/>
      <sheetName val="Harga Sat."/>
      <sheetName val="IPL_SCHEDULE"/>
      <sheetName val="Keb. Bhn, alt, tenaga"/>
      <sheetName val="Daft 2_1"/>
      <sheetName val="Consumable"/>
      <sheetName val="arp-3a"/>
      <sheetName val="ARP-10"/>
      <sheetName val="Sales Rental"/>
      <sheetName val="OwnEq"/>
      <sheetName val="Alat &amp; Bahan"/>
      <sheetName val="Sheet5"/>
      <sheetName val="DAFTAR_HARGA3"/>
      <sheetName val="Sumber_Daya4"/>
      <sheetName val="Basic_alat4"/>
      <sheetName val="Basic_bahan4"/>
      <sheetName val="Basic_upah4"/>
      <sheetName val="Appendix_2(SatDas)4"/>
      <sheetName val="Currency_Rate4"/>
      <sheetName val="UPAH_BAHAN_ARST4"/>
      <sheetName val="ELEC_STIS4"/>
      <sheetName val="analisa_stroke4"/>
      <sheetName val="daftar_analisa4"/>
      <sheetName val="Data_alat4"/>
      <sheetName val="upah_bahan_4"/>
      <sheetName val="Rinc__Harg_BHN4"/>
      <sheetName val="Kuantitas_&amp;_Harga4"/>
      <sheetName val="Daftar_Kuantitas_&amp;_Harga4"/>
      <sheetName val="Analisa_Harga4"/>
      <sheetName val="1_24"/>
      <sheetName val="DAFTAR_HARGA2"/>
      <sheetName val="Data_alat3"/>
      <sheetName val="RAB Temiling "/>
      <sheetName val="kontribusi"/>
      <sheetName val="likuiditas"/>
      <sheetName val="Manajerial"/>
      <sheetName val="revenue"/>
      <sheetName val="progres sub unv"/>
      <sheetName val="rework"/>
      <sheetName val="CCO"/>
      <sheetName val="ME_DOSEN"/>
      <sheetName val="EPCOS"/>
      <sheetName val="DAFMAT"/>
      <sheetName val="Unit Price MSS"/>
      <sheetName val="A.4.3"/>
      <sheetName val="BERAT_TUL_"/>
      <sheetName val="MAP_1-2"/>
      <sheetName val="Faktor Markup"/>
      <sheetName val="D8"/>
      <sheetName val="Std-Prod KS"/>
      <sheetName val="20130403"/>
      <sheetName val="LAMP_C"/>
      <sheetName val="Perhit.Alat"/>
      <sheetName val="Data Markup"/>
      <sheetName val="box culvert"/>
      <sheetName val="24"/>
      <sheetName val="43"/>
      <sheetName val="53 "/>
      <sheetName val="54"/>
      <sheetName val="MH CIVIL"/>
      <sheetName val="30"/>
      <sheetName val="64.14"/>
      <sheetName val="64.1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0"/>
      <sheetName val="49"/>
      <sheetName val="28"/>
      <sheetName val="29"/>
      <sheetName val="36.3"/>
      <sheetName val="36.4"/>
      <sheetName val="36.2"/>
      <sheetName val="36.1"/>
      <sheetName val="44"/>
      <sheetName val="45"/>
      <sheetName val="63"/>
      <sheetName val="MU"/>
      <sheetName val="AHS Sipil"/>
      <sheetName val="PROTECH ASIA R2"/>
      <sheetName val="Sub Pipa Waterway"/>
      <sheetName val="1.4. Kanal (NA)"/>
      <sheetName val="6.5"/>
      <sheetName val="TOTAL RKP"/>
      <sheetName val="6.4"/>
      <sheetName val="H-SAT"/>
      <sheetName val="Material&amp;Alat"/>
      <sheetName val="Exchange"/>
      <sheetName val="LK-1"/>
      <sheetName val="USAHA"/>
      <sheetName val="Base E-M"/>
      <sheetName val="Kalk"/>
      <sheetName val="Sch-5"/>
      <sheetName val="GI 275 kV Pengadaan"/>
      <sheetName val="lpb"/>
      <sheetName val="Monthly Progress"/>
      <sheetName val="eqp-rek"/>
      <sheetName val=" hrg bhn"/>
      <sheetName val="JBTNAS_Des2013"/>
      <sheetName val="61007"/>
      <sheetName val="DIV 6"/>
      <sheetName val="DIV 5"/>
      <sheetName val="INDEX BPS"/>
      <sheetName val="upah-baru"/>
      <sheetName val="uba"/>
      <sheetName val="T-3.3 Cost of Equipment"/>
      <sheetName val="001"/>
      <sheetName val="13.Nangakara Weir"/>
      <sheetName val="14.Irr.Canal Work"/>
      <sheetName val="15.Irr. Struc.Work"/>
      <sheetName val="16.Pipe Inst."/>
      <sheetName val="18.Lateral Pipe"/>
      <sheetName val="DAFT.SEWA ALT"/>
      <sheetName val="A (1)"/>
      <sheetName val="D4"/>
      <sheetName val="D5"/>
      <sheetName val="D7(2)"/>
      <sheetName val="D8(2)"/>
      <sheetName val="D9"/>
      <sheetName val="Agg A"/>
      <sheetName val="Agg B"/>
      <sheetName val="i-j. Pengalaman"/>
      <sheetName val="ketuma_gal_Wed"/>
      <sheetName val="ketema_AC"/>
      <sheetName val="MPU__6-3(4)_LastonAC"/>
      <sheetName val="Data_Info"/>
      <sheetName val="bahan_dan_upah"/>
      <sheetName val="Volume_1"/>
      <sheetName val="_Kr_tengahDiva_xls聝analysi뷈"/>
      <sheetName val="_Kr_tengahDiva_xls聝analysi飈"/>
      <sheetName val="_Kr_tengahDiva_xls聝analysi"/>
      <sheetName val="_Kr_tengahDiva_xls聝analysi鷸"/>
      <sheetName val="_Kr_tengahDiva_xls聝analysi闀"/>
      <sheetName val="_Kr_tengahDiva_xls聝analysi魈"/>
      <sheetName val="2__Elektrik"/>
      <sheetName val="URAIAN_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5_1_ELEKTRIKAL-ELEKTRONIK"/>
      <sheetName val="lt__dasar"/>
      <sheetName val="FINAL_SUM"/>
      <sheetName val="Perhitungan_KC_ke_SUBKON"/>
      <sheetName val="surat_"/>
      <sheetName val="Hit_Vol_Str_Jambi"/>
      <sheetName val="inst_pemrintah"/>
      <sheetName val="REKAP_ELEKTRIKAL1"/>
      <sheetName val="jgn_dihapus!1"/>
      <sheetName val="REKAP_BQ_1"/>
      <sheetName val="1__PERSIAPAN"/>
      <sheetName val="GRAND_REKAP"/>
      <sheetName val="Rekap_Bill"/>
      <sheetName val="Jdw_Alat"/>
      <sheetName val="S_Penawar"/>
      <sheetName val="ADD_2_(1)"/>
      <sheetName val="harga_Satua_Dasar"/>
      <sheetName val="REKAP_PRELIM_2014"/>
      <sheetName val="DIRECT_COST"/>
      <sheetName val="ocean_voyage"/>
      <sheetName val="perhtg_material"/>
      <sheetName val="Harga_Upah_+_Bahan"/>
      <sheetName val="S-Curve_(Weekly)"/>
      <sheetName val="Kuantitas_&amp;_Harga_"/>
      <sheetName val="B1_2-BB"/>
      <sheetName val="time_schedulle"/>
      <sheetName val="Public_Area"/>
      <sheetName val="D_78"/>
      <sheetName val="Sat_Das"/>
      <sheetName val="Analisa_(ok_punya)"/>
      <sheetName val="Harga_Upah"/>
      <sheetName val="SPREAD_SHEET"/>
      <sheetName val="BOQ_Seksi_A"/>
      <sheetName val="ANAL_RABP"/>
      <sheetName val="Equipment_Data"/>
      <sheetName val="DATA_PROYEK"/>
      <sheetName val="UPAH_PEKERJA"/>
      <sheetName val="ANALYS_EXTERN"/>
      <sheetName val="BOQ_INTERN"/>
      <sheetName val="BQ_RESO"/>
      <sheetName val="REKAP_INDIRECT"/>
      <sheetName val="SUMMARY_IN"/>
      <sheetName val="INDIRECT_COST"/>
      <sheetName val="Memb_Schd"/>
      <sheetName val="BJA_TULANGAN"/>
      <sheetName val="OP_ALAT"/>
      <sheetName val="App__2a-1"/>
      <sheetName val="App__2a-2"/>
      <sheetName val="SCH_alat"/>
      <sheetName val="SCH_Mat"/>
      <sheetName val="Daf_Bahan"/>
      <sheetName val="Daf_Sub"/>
      <sheetName val="Daf_MPU"/>
      <sheetName val="Lamp_6a"/>
      <sheetName val="Lamp_6b"/>
      <sheetName val="DT_PENDUKUNG"/>
      <sheetName val="Perhitungan_RAB"/>
      <sheetName val="REKAP_HP"/>
      <sheetName val="Up___bhn"/>
      <sheetName val="AC-WC_dan_LAPIS_PEREKAT"/>
      <sheetName val="beton_k-350"/>
      <sheetName val="MONITOR_&amp;_INPUT"/>
      <sheetName val="TONG_HOP_VL-NC"/>
      <sheetName val="[K?_te?gah?iva_xls?A聮a?isa_HS1"/>
      <sheetName val="bukan PNS"/>
      <sheetName val="k300 123"/>
      <sheetName val="H_S_BAHAN"/>
      <sheetName val="Bill No.1"/>
      <sheetName val="HRGA SATUAN UPAH-BAHAN"/>
      <sheetName val="HPA"/>
      <sheetName val="HARGA SATUAN UPAH &amp; BAHAN"/>
      <sheetName val="BIAYA ALAT"/>
      <sheetName val="BAB 2"/>
      <sheetName val="BAB 3"/>
      <sheetName val="BAB 7"/>
      <sheetName val="OPN"/>
      <sheetName val="NPV"/>
      <sheetName val="trans"/>
      <sheetName val="rekI"/>
      <sheetName val="Gen"/>
      <sheetName val="BASIC PRICE "/>
      <sheetName val="DATA2009"/>
      <sheetName val="H.SAT-PRK"/>
      <sheetName val="Temporer"/>
      <sheetName val="AA.1.1 BNI"/>
      <sheetName val="Purchase Order (2)"/>
      <sheetName val="Customize Your Purchase Order"/>
      <sheetName val="Invoice"/>
      <sheetName val="Agustus"/>
      <sheetName val="RincianQ3_Q4"/>
      <sheetName val="MAP GAB"/>
      <sheetName val="SD"/>
      <sheetName val="ARAB"/>
      <sheetName val="EVAL-ANAL"/>
      <sheetName val="ANAL-str2"/>
      <sheetName val="RAB-LANSEKAP"/>
      <sheetName val="BETON"/>
      <sheetName val="MAP 18.12.17"/>
      <sheetName val="Management"/>
      <sheetName val="D.BOARD"/>
      <sheetName val="SCORE_RC_Code"/>
      <sheetName val="Hsatuan-OK"/>
      <sheetName val="tabel Nilai Sekarang"/>
      <sheetName val="ANAL_P4"/>
      <sheetName val="jadw"/>
      <sheetName val="04.1.1 RDC"/>
      <sheetName val="04.1.2 BAHAN BP"/>
      <sheetName val="04.1.0 1B"/>
      <sheetName val="04.7 B.BANK"/>
      <sheetName val="FPWP-PDP-01-15a"/>
      <sheetName val="h90-160 (penebalan)"/>
      <sheetName val="PEMBAGIAN"/>
      <sheetName val="TOTAL UPAH"/>
      <sheetName val="Kinerja Proyek"/>
      <sheetName val="Total Load List"/>
      <sheetName val="MP MOB"/>
      <sheetName val="e4-6-%"/>
      <sheetName val="DIV 8"/>
      <sheetName val="DIV 3"/>
      <sheetName val="DIV 2"/>
      <sheetName val="DIV 1"/>
      <sheetName val="Data_Umum"/>
      <sheetName val="Sbarani"/>
      <sheetName val="HS Bahan"/>
      <sheetName val="UMUM-PU"/>
      <sheetName val="Har_Sat3"/>
      <sheetName val="RPP01_63"/>
      <sheetName val="m_schedule3"/>
      <sheetName val="HM_MEK_3"/>
      <sheetName val="_Kr_te_gah_iva_xls_MAT_BAR__AC4"/>
      <sheetName val="_Kr_tengah_iva_xls_H_Satua_14"/>
      <sheetName val="_K__tengah_iva_xls_Kap_Tenaga4"/>
      <sheetName val="_K__te_gah_iva_xls_Ana_isa_HS4"/>
      <sheetName val="B_-_Nor_lec4"/>
      <sheetName val="_K__tengah_iva_xls_5-P_ralatan4"/>
      <sheetName val="_K__te_gah_iva_xls_Inf_rmasi4"/>
      <sheetName val="_Kr_te_gah_iva_xls_upahbahan4"/>
      <sheetName val="_Kr_tengah_iva_xls_01A-_RA_4"/>
      <sheetName val="_Kr_tengah_iva_xls_NS_GD_U_AMA4"/>
      <sheetName val="_Kr_tengah_iva_xls_Str_Bengkel4"/>
      <sheetName val="_K__te_gah_iva_xls_ANA__BOW4"/>
      <sheetName val="_K__tengah_iva_xls_G_SUMMARY4"/>
      <sheetName val="_Kr_tengahDiva_xls_ANAL_HREZ4"/>
      <sheetName val="ANAL__M_4"/>
      <sheetName val="_Kr_tengahDiva_xls_analysis4"/>
      <sheetName val="Control_Settings3"/>
      <sheetName val="Dates_&amp;_Escalators3"/>
      <sheetName val="Check_Totals3"/>
      <sheetName val="Rekap_BQ-Pompong3"/>
      <sheetName val="PERS_PENY3"/>
      <sheetName val="RAB_DC3"/>
      <sheetName val="anal_rinci3"/>
      <sheetName val="Rek_An3"/>
      <sheetName val="500kV_BOQ3"/>
      <sheetName val="COST_TOGO2"/>
      <sheetName val="Sum_IF3"/>
      <sheetName val="Daftar_Upah3"/>
      <sheetName val="Uraian_Analisa3"/>
      <sheetName val="BUL__A3"/>
      <sheetName val="Price_of_Equip2"/>
      <sheetName val="Price_of_Mat2"/>
      <sheetName val="AnBiaya_OperasionalAlat2"/>
      <sheetName val="GAL_BIASA2"/>
      <sheetName val="RAB_12"/>
      <sheetName val="RAB_22"/>
      <sheetName val="RAB_32"/>
      <sheetName val="Rokan_12"/>
      <sheetName val="H_Alat2"/>
      <sheetName val="H_Bahan2"/>
      <sheetName val="Rekap_RAB2"/>
      <sheetName val="unit_32"/>
      <sheetName val="Daftar_Paket2"/>
      <sheetName val="8LT_122"/>
      <sheetName val="analisa_SNI2"/>
      <sheetName val="Rencana__2_2"/>
      <sheetName val="HDS_Sipil2"/>
      <sheetName val="HASAT_DASAR2"/>
      <sheetName val="H_Satuan_Dasar2"/>
      <sheetName val="SAT_UPAH_RAPI2"/>
      <sheetName val="Cover_Daf_22"/>
      <sheetName val="LINK-MAST__BASIC_PRICE2"/>
      <sheetName val="HSP_LT_BS1"/>
      <sheetName val="BAHAN_MKNL1"/>
      <sheetName val="REKAP_Tbh1"/>
      <sheetName val="DAF_HRG1"/>
      <sheetName val="Analisa_Upah___Bahan_Plum1"/>
      <sheetName val="DATA_BASE1"/>
      <sheetName val="Man_Power_&amp;_Comp1"/>
      <sheetName val="ANALISA_GRS_kota1"/>
      <sheetName val="Harga_Dasar1"/>
      <sheetName val="Rekap_2"/>
      <sheetName val="GRADE_SKALA2"/>
      <sheetName val="MASTER_DATA2"/>
      <sheetName val="Muh_Akhir2"/>
      <sheetName val="Chandra_Prabowo2"/>
      <sheetName val="urain_teknis2"/>
      <sheetName val="Unit_Price2"/>
      <sheetName val="Metod_TWR2"/>
      <sheetName val="Faktor_Konversi1"/>
      <sheetName val="Bahan_Upah1"/>
      <sheetName val="Schedule_11a1"/>
      <sheetName val="Septick_tank1"/>
      <sheetName val="HD_ALAT1"/>
      <sheetName val="Tambahan_Biaro1"/>
      <sheetName val="DATA_20091"/>
      <sheetName val="DATA_20101"/>
      <sheetName val="Target_Raker_TW_III1"/>
      <sheetName val="610_041"/>
      <sheetName val="610_051"/>
      <sheetName val="610_061"/>
      <sheetName val="610_071"/>
      <sheetName val="610_081"/>
      <sheetName val="HD_BAHAN1"/>
      <sheetName val="BOQ_CONTRACT_WK1"/>
      <sheetName val="Hrg_Satuan_&amp;_Upah1"/>
      <sheetName val="Rekap_BBM1"/>
      <sheetName val="D_1_71"/>
      <sheetName val="D_1_51"/>
      <sheetName val="D_2_31"/>
      <sheetName val="D_2_21"/>
      <sheetName val="SCH_GG_&amp;_SAS1"/>
      <sheetName val="Data_Base_List1"/>
      <sheetName val="HSU_20161"/>
      <sheetName val="Anal_Alat_Type_II_A1"/>
      <sheetName val="PRIST_LIST1"/>
      <sheetName val="PERALATAN_PROYEK_GOL_III_A1"/>
      <sheetName val="rek_det_1-31"/>
      <sheetName val="AHS_ME_1"/>
      <sheetName val="SUB_&amp;_mandor1"/>
      <sheetName val="Master_Schedule1"/>
      <sheetName val="HS_BHN&amp;UPAH"/>
      <sheetName val="Div_2_-_Drainase1"/>
      <sheetName val="Div_3_-_Tanah1"/>
      <sheetName val="Div_5_-_Berbutir1"/>
      <sheetName val="Div_6_-_Aspal1"/>
      <sheetName val="Div_7_-_Struktur1"/>
      <sheetName val="Div_8_-_Peng_Kondisi1"/>
      <sheetName val="Bangunan_Utama_B"/>
      <sheetName val="Bt_Kosong"/>
      <sheetName val="HPP_X_Q'TY"/>
      <sheetName val="Pajak_(2)_Agst"/>
      <sheetName val="Bahan_1"/>
      <sheetName val="LAMP_2_2"/>
      <sheetName val="GS_Tanah_Kalimas_Baru_(2)"/>
      <sheetName val="REK_PEN"/>
      <sheetName val="PLINT_3_1_G"/>
      <sheetName val="dok_aromindo"/>
      <sheetName val="Summary_Page_VDF"/>
      <sheetName val="LEVEL_21"/>
      <sheetName val="LEVEL_41"/>
      <sheetName val="DAF_TUL"/>
      <sheetName val="Sdy_Bhn_Upah_Alat"/>
      <sheetName val="HALAMAN_1-60"/>
      <sheetName val="Daftar_No_MAPPI"/>
      <sheetName val="Rekap_-sarana_luar"/>
      <sheetName val="DIV_3"/>
      <sheetName val="DIV_4"/>
      <sheetName val="STN_BAHAN"/>
      <sheetName val="Daftar_Upah_Material_Alat"/>
      <sheetName val="G2_01"/>
      <sheetName val="I_2"/>
      <sheetName val="tp_45x45_(6)"/>
      <sheetName val="BoQ_Total_lama"/>
      <sheetName val="PROD_15-1"/>
      <sheetName val="7_1(3)"/>
      <sheetName val="ANALISA_TENDER"/>
      <sheetName val="EXTERNAL__(revisi_1)"/>
      <sheetName val="DON_GIA"/>
      <sheetName val="CHITIET_VL-NC"/>
      <sheetName val="H_DASAR"/>
      <sheetName val="Act"/>
      <sheetName val="Dft Isi PQ 1"/>
      <sheetName val="Bekisting"/>
      <sheetName val="RinciBab1"/>
      <sheetName val="Stressing bed"/>
      <sheetName val="Source"/>
      <sheetName val="TARIP"/>
      <sheetName val="Cover-01"/>
      <sheetName val="IDX06"/>
      <sheetName val="Allowance"/>
      <sheetName val="SPJ"/>
      <sheetName val="IS"/>
      <sheetName val="Analisa tambahan"/>
      <sheetName val="upah, bahan, alat"/>
      <sheetName val="Template"/>
      <sheetName val="Sheet8"/>
      <sheetName val="UPH BHN"/>
      <sheetName val="RESUME"/>
      <sheetName val="BAHAN &amp; ALAT"/>
      <sheetName val="HS Dasar "/>
      <sheetName val="fcsp-w"/>
      <sheetName val="Lacori"/>
      <sheetName val="Profit Loss"/>
      <sheetName val="HARGA AT"/>
      <sheetName val="BHN+KMK"/>
      <sheetName val="XL4Test5"/>
      <sheetName val="Common"/>
      <sheetName val="Manthos"/>
      <sheetName val="Rekap (2)"/>
      <sheetName val="DKONSOL"/>
      <sheetName val="LAP 031HO"/>
      <sheetName val="LAP 035HO"/>
      <sheetName val="LAP 253HO"/>
      <sheetName val="TABEL2"/>
      <sheetName val="DATs"/>
      <sheetName val="K.225"/>
      <sheetName val="k617"/>
      <sheetName val="k618"/>
      <sheetName val="k710"/>
      <sheetName val="k715"/>
      <sheetName val="k725"/>
      <sheetName val="ANALISA 2010"/>
      <sheetName val="WF "/>
      <sheetName val="SP"/>
      <sheetName val="UP MINOR"/>
      <sheetName val="hit str"/>
      <sheetName val="Analisa BOW"/>
      <sheetName val="HRG_NO_PRINT"/>
      <sheetName val="K012"/>
      <sheetName val="K017"/>
      <sheetName val="BAG_III"/>
      <sheetName val="hit_str"/>
      <sheetName val="DAF_7"/>
      <sheetName val="hs_ars"/>
      <sheetName val="D6 ASBT"/>
      <sheetName val="Lalu Lintas"/>
      <sheetName val="DIV.7.7 sd 16"/>
      <sheetName val="Agg S"/>
      <sheetName val="Agg C"/>
      <sheetName val="DIV. 3"/>
      <sheetName val="Jembatan Sementara"/>
      <sheetName val="LEKAT1"/>
      <sheetName val="lisa-baru"/>
      <sheetName val="harsat-baru"/>
      <sheetName val="OH Transportasi"/>
      <sheetName val="OH Insentif"/>
      <sheetName val="DFT BHN"/>
      <sheetName val="DAFTAR BESI"/>
      <sheetName val="DAFTAR ALAT"/>
      <sheetName val="Bahan-Non Lokal"/>
      <sheetName val="GAL_BIASA3"/>
      <sheetName val="HS_Bahan"/>
      <sheetName val="analisabudget"/>
      <sheetName val="BQNK"/>
      <sheetName val="BA_ADD"/>
      <sheetName val="Minat"/>
      <sheetName val="harga-satuan"/>
      <sheetName val="Analisa E"/>
      <sheetName val="Hrg.Sat.Alat"/>
      <sheetName val="Hrg.Sat Bahan &amp; Upah"/>
      <sheetName val="201_2"/>
      <sheetName val="301_1"/>
      <sheetName val="301_2"/>
      <sheetName val="301_3"/>
      <sheetName val="301_4"/>
      <sheetName val="301_5"/>
      <sheetName val="403"/>
      <sheetName val="404"/>
      <sheetName val="407"/>
      <sheetName val="408"/>
      <sheetName val="501_2"/>
      <sheetName val="501_6"/>
      <sheetName val="501_7"/>
      <sheetName val="606_1"/>
      <sheetName val="606_21"/>
      <sheetName val="10a"/>
      <sheetName val="B_7"/>
      <sheetName val="B_6"/>
      <sheetName val="AGG"/>
      <sheetName val="2-2Div6"/>
      <sheetName val="2-2Div2.1"/>
      <sheetName val="2-2Div2.2"/>
      <sheetName val="2-2Div2.3(2)"/>
      <sheetName val="ALAT1"/>
      <sheetName val="hsp_STR_ARS"/>
      <sheetName val="Sat Pek"/>
      <sheetName val="Data PJ"/>
      <sheetName val="NP (3)"/>
      <sheetName val="NP (5)"/>
      <sheetName val="NP (6)"/>
      <sheetName val="NP (7)A"/>
      <sheetName val="NP (7)B"/>
      <sheetName val="NP (7)C"/>
      <sheetName val="L2 Arit"/>
      <sheetName val="L1 Arit"/>
      <sheetName val="Data kontraktor"/>
      <sheetName val="BA Arit"/>
      <sheetName val="Prog. Mggu 1"/>
      <sheetName val="ADD II S Curve 123-126"/>
      <sheetName val="Penawaran PL"/>
      <sheetName val="breakdown bq paket 9"/>
      <sheetName val="hargaupah+bahan"/>
      <sheetName val="III.ELEKTRIKAL"/>
      <sheetName val="V.FIRE ALARM "/>
      <sheetName val="I-PERSIAPAN"/>
      <sheetName val="VI.SOUND SISTEM "/>
      <sheetName val="TS PAVING  &amp; SAL. 1,5 BLN"/>
      <sheetName val="SAT-UP bangunan"/>
      <sheetName val="E.001"/>
      <sheetName val="bahan upah PU"/>
      <sheetName val="PAV-TEX"/>
      <sheetName val="FORMRFK"/>
      <sheetName val="FORMA2A2"/>
      <sheetName val="FORMB2"/>
      <sheetName val="Prof Staf"/>
      <sheetName val="Peralatan (2)"/>
      <sheetName val="Form-1a"/>
      <sheetName val="KLDI"/>
      <sheetName val="cetak 5-Rekap BoQ"/>
      <sheetName val="cetak 7-HSD Upah-Bhn"/>
      <sheetName val="D7(1)_BETON"/>
      <sheetName val="lanscap_All"/>
      <sheetName val="Rekap analisa"/>
      <sheetName val="baladewa"/>
      <sheetName val="HARGA RATA"/>
      <sheetName val="SAT_SEWA ALAT"/>
      <sheetName val="SAT_BAHAN"/>
      <sheetName val="Analis Alat"/>
      <sheetName val="analisa_ars"/>
      <sheetName val="REMUNERASISTANDAR"/>
      <sheetName val="W1"/>
      <sheetName val="Cost Control Utk Perub RAP"/>
      <sheetName val="Sel Dev"/>
      <sheetName val="RAP Change"/>
      <sheetName val="RAP Sisa"/>
      <sheetName val="agr A"/>
      <sheetName val="Basic Price (2)"/>
      <sheetName val="hrg sat1"/>
      <sheetName val="SNI"/>
      <sheetName val="HARSATALAT"/>
      <sheetName val=" HARGA UPAH, BAHAN,ALAT"/>
      <sheetName val="Sch Tender"/>
      <sheetName val="Back_Up"/>
      <sheetName val="4-Basic_Price-Upah3"/>
      <sheetName val="OPNAME_COMM-10+825-10+3001"/>
      <sheetName val="Harga_S_Dasar_UNTUK_IDISI1"/>
      <sheetName val="IDLE_ALAT9"/>
      <sheetName val="ATB_pers_(2)9"/>
      <sheetName val="FOTO_PR9"/>
      <sheetName val="G_umum9"/>
      <sheetName val="SCHE_vareto9"/>
      <sheetName val="ATB_pers9"/>
      <sheetName val="BQ_diva9"/>
      <sheetName val="MAT_BARU_AC9"/>
      <sheetName val="H_Satuan10"/>
      <sheetName val="AC_+9"/>
      <sheetName val="an_ATB_G9"/>
      <sheetName val="an_AC9"/>
      <sheetName val="an_ATB_L9"/>
      <sheetName val="ATB_+9"/>
      <sheetName val="Alat_DC9"/>
      <sheetName val="Kap_Tenaga9"/>
      <sheetName val="KH_Bahagia7"/>
      <sheetName val="HRG_BHN8"/>
      <sheetName val="Analisa_HS8"/>
      <sheetName val="Agregat_Halus_&amp;_Kasar8"/>
      <sheetName val="Kr_tengahDiva8"/>
      <sheetName val="Isolasi_Luar_Dalam8"/>
      <sheetName val="Isolasi_Luar8"/>
      <sheetName val="GASATAGG_XLS8"/>
      <sheetName val="EXTERNAL_WORK8"/>
      <sheetName val="B_-_Norelec8"/>
      <sheetName val="L3_An_H_Sat_Mob8"/>
      <sheetName val="rab_me_(by_owner)_8"/>
      <sheetName val="BQ_(by_owner)8"/>
      <sheetName val="rab_me_(fisik)8"/>
      <sheetName val="Man_Power8"/>
      <sheetName val="bill_qty8"/>
      <sheetName val="meth_hsl_nego8"/>
      <sheetName val="Perm__Test7"/>
      <sheetName val="HB_7"/>
      <sheetName val="R_A_B_7"/>
      <sheetName val="Unit_Rate7"/>
      <sheetName val="BQ_Stdr_R-17"/>
      <sheetName val="New_MADC7"/>
      <sheetName val="Data_Ktr_Bupati_Tapsel7"/>
      <sheetName val="HS_Alat8"/>
      <sheetName val="HS_Upah8"/>
      <sheetName val="HS_Sub-Kon8"/>
      <sheetName val="Harga_Satuan7"/>
      <sheetName val="sheet_27"/>
      <sheetName val="RAB_ME7"/>
      <sheetName val="RKP_PLUMBING7"/>
      <sheetName val="ENC_147"/>
      <sheetName val="Transfer_Pump7"/>
      <sheetName val="An_HarSatPek7"/>
      <sheetName val="Pipa_(2)7"/>
      <sheetName val="Lamp_BAP7"/>
      <sheetName val="RAW_MATERIALS_7"/>
      <sheetName val="COST-PERSON-J_O_7"/>
      <sheetName val="NS_GD_UGD7"/>
      <sheetName val="STD_GD_UGD7"/>
      <sheetName val="AHS_str7"/>
      <sheetName val="4-Basic_Price7"/>
      <sheetName val="Daftar_Upah,Bhn,&amp;_alat7"/>
      <sheetName val="Lead_Schedule7"/>
      <sheetName val="Anal_Koef7"/>
      <sheetName val="Rekap_Biaya7"/>
      <sheetName val="HARGA_ALAT7"/>
      <sheetName val="ETAB_17"/>
      <sheetName val="Bill_5_Summary7"/>
      <sheetName val="GH_Quantity7"/>
      <sheetName val="KAN__LOKAL7"/>
      <sheetName val="Analisa_ME7"/>
      <sheetName val="Upah_Bahan7"/>
      <sheetName val="Rekap_Direct_Cost7"/>
      <sheetName val="Urai___Guide_Post7"/>
      <sheetName val="Met_Pas_Batu7"/>
      <sheetName val="Urai_Galian_Tanah7"/>
      <sheetName val="Met__Minor7"/>
      <sheetName val="Up&amp;Bhn_7"/>
      <sheetName val="ANALISA_HARGA_SATUAN7"/>
      <sheetName val="Hydran___springkler7"/>
      <sheetName val="BQ_Arsit7"/>
      <sheetName val="Sat_Bah_&amp;_Up7"/>
      <sheetName val="REKAP_TOTAL7"/>
      <sheetName val="Daf_17"/>
      <sheetName val="2_NSB_7"/>
      <sheetName val="2_SB7"/>
      <sheetName val="M_ITEM7"/>
      <sheetName val="BHN_Ars7"/>
      <sheetName val="7_NS_H7"/>
      <sheetName val="Daf__No____4_27"/>
      <sheetName val="D_1_2_LT-_1_~_Atap7"/>
      <sheetName val="BQ_struktur7"/>
      <sheetName val="Analisa_Pusaka_Jaya7"/>
      <sheetName val="Report_detil_kondisi7"/>
      <sheetName val="fin_pro_centers7"/>
      <sheetName val="REKAP_ARSITEKTUR7"/>
      <sheetName val="rincian_per_proyek7"/>
      <sheetName val="Bq_Ars7"/>
      <sheetName val="Terbilang_sertifikat7"/>
      <sheetName val="Upah_dan_bahan7"/>
      <sheetName val="Input_monthly_capex7"/>
      <sheetName val="Data_Sei_Belutu7"/>
      <sheetName val="610_67"/>
      <sheetName val="610_57"/>
      <sheetName val="Data_Sinabung7"/>
      <sheetName val="AN_Panel8"/>
      <sheetName val="Bill_Of_Quantity7"/>
      <sheetName val="BGN_PENUNJANG7"/>
      <sheetName val="AC_LOAD7"/>
      <sheetName val="REKAP_ME7"/>
      <sheetName val="ANA_bab_65"/>
      <sheetName val="ANALISA_PEK_UMUM5"/>
      <sheetName val="Basic_Price5"/>
      <sheetName val="4-Basic_Price-Upah5"/>
      <sheetName val="Bill_4_Summary7"/>
      <sheetName val="B___Norelec7"/>
      <sheetName val="Site_Expenses7"/>
      <sheetName val="Cover_Daf-27"/>
      <sheetName val="[Kr_tengahࡄiva_xls聝H_Satua聮7"/>
      <sheetName val="[Kr_te࡮gahࡄiva_xls聝MAT_BAR聕_AC7"/>
      <sheetName val="[Kr_tengahࡄiva࠮xls聝H_Satua聮17"/>
      <sheetName val="[Kࡲ_tengahࡄiva_xls聝Kap聟Tenaga7"/>
      <sheetName val="[Kࡲ_te࡮gahࡄiva_xls聝Ana聬isa_HS7"/>
      <sheetName val="B_-耠Nor聥lec7"/>
      <sheetName val="[Kࡲ_tengahࡄiva_xls聝5-P聥ralatan7"/>
      <sheetName val="[Kࡲ_te࡮gahࡄiva࠮xls聝Inf聯rmasi7"/>
      <sheetName val="[Kr_te࡮gahࡄiva_xls聝upahbahan7"/>
      <sheetName val="[Kr_tengahࡄiva࠮xls聝01A-_RA聂7"/>
      <sheetName val="[Kr_tengahࡄiva࠮xls聝NS_GD_U联AMA7"/>
      <sheetName val="[Kr_tengahࡄiva_xls聝Str耭Bengkel7"/>
      <sheetName val="[Kࡲ_te࡮gahࡄiva࠮xls聝ANA职_BOW7"/>
      <sheetName val="M_12__2聟7"/>
      <sheetName val="[Kࡲ_tengahࡄiva_xls聝G_SUMMARY7"/>
      <sheetName val="[Kr_tengahDiva_xls聝ANAL_HREZ7"/>
      <sheetName val="ANAL__M聅7"/>
      <sheetName val="[Kr_tengahDiva_xls聝analysis7"/>
      <sheetName val="Mat_Elk7"/>
      <sheetName val="AHS_Isolasi7"/>
      <sheetName val="List_Plant7"/>
      <sheetName val="ANAL_TEKNIK7"/>
      <sheetName val="bhn_FINAL7"/>
      <sheetName val="KONTRAK_INDUK_BULANAN7"/>
      <sheetName val="Sat_Alat7"/>
      <sheetName val="T-3_4_Cost_of_Equipment7"/>
      <sheetName val="An_H_Sat_Pek_Ut7"/>
      <sheetName val="Harga_Sat_Das7"/>
      <sheetName val="T-3_2_UP_Labour7"/>
      <sheetName val="T-3_3_UP_Material7"/>
      <sheetName val="analisa_stroke6"/>
      <sheetName val="upah_bahan_6"/>
      <sheetName val="PENJ_NERACA7"/>
      <sheetName val="CASH_FLOW7"/>
      <sheetName val="SELISIH_HARGA7"/>
      <sheetName val="Investment_Valuation6"/>
      <sheetName val="Summary_Sheets6"/>
      <sheetName val="T__Cs_Log_P_III7"/>
      <sheetName val="Price_list6"/>
      <sheetName val="_Kr_tengahࡄiva_xls聝H_Satua聮6"/>
      <sheetName val="_Kr_te࡮gahࡄiva_xls聝MAT_BAR聕_AC6"/>
      <sheetName val="_Kr_tengahࡄiva࠮xls聝H_Satua聮16"/>
      <sheetName val="_Kࡲ_tengahࡄiva_xls聝Kap聟Tenaga6"/>
      <sheetName val="_Kࡲ_te࡮gahࡄiva_xls聝Ana聬isa_HS6"/>
      <sheetName val="_Kࡲ_tengahࡄiva_xls聝5-P聥ralatan6"/>
      <sheetName val="_Kࡲ_te࡮gahࡄiva࠮xls聝Inf聯rmasi6"/>
      <sheetName val="_Kr_te࡮gahࡄiva_xls聝upahbahan6"/>
      <sheetName val="_Kr_tengahࡄiva࠮xls聝01A-_RA聂6"/>
      <sheetName val="_Kr_tengahࡄiva࠮xls聝NS_GD_U联AMA6"/>
      <sheetName val="_Kr_tengahࡄiva_xls聝Str耭Bengkel6"/>
      <sheetName val="_Kࡲ_te࡮gahࡄiva࠮xls聝ANA职_BOW6"/>
      <sheetName val="_Kࡲ_tengahࡄiva_xls聝G_SUMMARY6"/>
      <sheetName val="_Kr_tengahDiva_xls聝ANAL_HREZ6"/>
      <sheetName val="_Kr_tengahDiva_xls聝analysis6"/>
      <sheetName val="3_Mob6"/>
      <sheetName val="TE_TS_FA_LAN_MATV6"/>
      <sheetName val="DAF_ALAT4"/>
      <sheetName val="Appendix_2(SatDas)6"/>
      <sheetName val="Currency_Rate6"/>
      <sheetName val="Sumber_Daya6"/>
      <sheetName val="Basic_alat6"/>
      <sheetName val="Basic_bahan6"/>
      <sheetName val="Basic_upah6"/>
      <sheetName val="HARGA_MATERIAL6"/>
      <sheetName val="Daftar_Kuantitas_&amp;_Harga6"/>
      <sheetName val="daftar_analisa6"/>
      <sheetName val="Analisa_Harga6"/>
      <sheetName val="UPAH_BAHAN_ARST6"/>
      <sheetName val="ELEC_STIS6"/>
      <sheetName val="1_26"/>
      <sheetName val="ME_Apt26"/>
      <sheetName val="Rate_Analysis6"/>
      <sheetName val="Blk_B16"/>
      <sheetName val="Pengalaman_Per4"/>
      <sheetName val="Unit_Cost4"/>
      <sheetName val="TOTAL_Agustus4"/>
      <sheetName val="OPNAME_COMM-10+825-10+3003"/>
      <sheetName val="Harsat_Bahan4"/>
      <sheetName val="7_공정표4"/>
      <sheetName val="On_Time4"/>
      <sheetName val="Analisa_(ok)4"/>
      <sheetName val="II_MAIN-LOB4"/>
      <sheetName val="Rkp_Total4"/>
      <sheetName val="PAGE_1_6"/>
      <sheetName val="Ｎｏ_134"/>
      <sheetName val="Div_14"/>
      <sheetName val="Form_4,5,64"/>
      <sheetName val="PL_(MONTHLY)4"/>
      <sheetName val="_Kr_tengah_iva_xls_H_Satua_5"/>
      <sheetName val="_Kr_te_gah_iva_xls_MAT_BAR__AC5"/>
      <sheetName val="_Kr_tengah_iva_xls_H_Satua_15"/>
      <sheetName val="_K__tengah_iva_xls_Kap_Tenaga5"/>
      <sheetName val="_K__te_gah_iva_xls_Ana_isa_HS5"/>
      <sheetName val="B_-_Nor_lec5"/>
      <sheetName val="_K__tengah_iva_xls_5-P_ralatan5"/>
      <sheetName val="_K__te_gah_iva_xls_Inf_rmasi5"/>
      <sheetName val="_Kr_te_gah_iva_xls_upahbahan5"/>
      <sheetName val="_Kr_tengah_iva_xls_01A-_RA_5"/>
      <sheetName val="_Kr_tengah_iva_xls_NS_GD_U_AMA5"/>
      <sheetName val="_Kr_tengah_iva_xls_Str_Bengkel5"/>
      <sheetName val="_K__te_gah_iva_xls_ANA__BOW5"/>
      <sheetName val="_K__tengah_iva_xls_G_SUMMARY5"/>
      <sheetName val="_Kr_tengahDiva_xls_ANAL_HREZ5"/>
      <sheetName val="ANAL__M_5"/>
      <sheetName val="_Kr_tengahDiva_xls_analysis5"/>
      <sheetName val="Analisa_HSP4"/>
      <sheetName val="Galian_14"/>
      <sheetName val="Kuantitas_&amp;_Harga6"/>
      <sheetName val="Master_Edit4"/>
      <sheetName val="M_Pekerjaan4"/>
      <sheetName val="Daftar_Paket3"/>
      <sheetName val="8LT_123"/>
      <sheetName val="Rekap_3"/>
      <sheetName val="Rencana__2_3"/>
      <sheetName val="Data_Pendukung4"/>
      <sheetName val="AnBiaya_OperasionalAlat3"/>
      <sheetName val="Analisa_Upah_&amp;_Bahan_Plum4"/>
      <sheetName val="Cover_Daf_23"/>
      <sheetName val="SAT_UPAH_RAPI3"/>
      <sheetName val="HASAT_DASAR3"/>
      <sheetName val="GRADE_SKALA3"/>
      <sheetName val="MASTER_DATA3"/>
      <sheetName val="Muh_Akhir3"/>
      <sheetName val="Chandra_Prabowo3"/>
      <sheetName val="HDS_Sipil3"/>
      <sheetName val="Vendor_Information4"/>
      <sheetName val="analisa_SNI3"/>
      <sheetName val="COST_TOGO3"/>
      <sheetName val="H_Satuan_Dasar3"/>
      <sheetName val="urain_teknis3"/>
      <sheetName val="RAB_13"/>
      <sheetName val="RAB_23"/>
      <sheetName val="RAB_33"/>
      <sheetName val="Unit_Price3"/>
      <sheetName val="LINK-MAST__BASIC_PRICE3"/>
      <sheetName val="Price_of_Equip3"/>
      <sheetName val="Price_of_Mat3"/>
      <sheetName val="Upah&amp;Bahan_(2)4"/>
      <sheetName val="Analisa-Harga_(1F)4"/>
      <sheetName val="Rinc__Harg_BHN6"/>
      <sheetName val="H__Satuan_Upah_&amp;_Bahan3"/>
      <sheetName val="Analisa_Satuan_Pekerjaan3"/>
      <sheetName val="H__Satuan_Pekerjaan3"/>
      <sheetName val="Harga_S_Dasar_UNTUK_IDISI3"/>
      <sheetName val="Daf_Biaya_sewa_alat3"/>
      <sheetName val="Supl_X3"/>
      <sheetName val="An__HS3"/>
      <sheetName val="Div_2_-_Drainase3"/>
      <sheetName val="Div_3_-_Tanah3"/>
      <sheetName val="Div_5_-_Berbutir3"/>
      <sheetName val="Div_6_-_Aspal3"/>
      <sheetName val="Div_7_-_Struktur3"/>
      <sheetName val="Div_8_-_Peng_Kondisi3"/>
      <sheetName val="Rekap_BBM3"/>
      <sheetName val="Rokan_13"/>
      <sheetName val="ITB_COST4"/>
      <sheetName val="Daf_Besi4"/>
      <sheetName val="data_profit3"/>
      <sheetName val="Anl_2s_d4e3"/>
      <sheetName val="CASHFLOW_FORECAST3"/>
      <sheetName val="Dftr_Isi3"/>
      <sheetName val="harsat_sdy3"/>
      <sheetName val="Metod_TWR3"/>
      <sheetName val="List_Pla3"/>
      <sheetName val="Data_Sei_Belutu6"/>
      <sheetName val="610_66"/>
      <sheetName val="610_56"/>
      <sheetName val="Data_Sinabung6"/>
      <sheetName val="ANA_bab_64"/>
      <sheetName val="ANALISA_PEK_UMUM4"/>
      <sheetName val="Basic_Price4"/>
      <sheetName val="4-Basic_Price-Upah4"/>
      <sheetName val="Mat_Elk6"/>
      <sheetName val="AHS_Isolasi6"/>
      <sheetName val="List_Plant6"/>
      <sheetName val="ANAL_TEKNIK6"/>
      <sheetName val="analisa_stroke5"/>
      <sheetName val="upah_bahan_5"/>
      <sheetName val="Investment_Valuation5"/>
      <sheetName val="T__Cs_Log_P_III6"/>
      <sheetName val="Appendix_2(SatDas)5"/>
      <sheetName val="Currency_Rate5"/>
      <sheetName val="Sumber_Daya5"/>
      <sheetName val="Basic_alat5"/>
      <sheetName val="Basic_bahan5"/>
      <sheetName val="Basic_upah5"/>
      <sheetName val="Daftar_Kuantitas_&amp;_Harga5"/>
      <sheetName val="daftar_analisa5"/>
      <sheetName val="Analisa_Harga5"/>
      <sheetName val="UPAH_BAHAN_ARST5"/>
      <sheetName val="ELEC_STIS5"/>
      <sheetName val="1_25"/>
      <sheetName val="OPNAME_COMM-10+825-10+3002"/>
      <sheetName val="Kuantitas_&amp;_Harga5"/>
      <sheetName val="Rinc__Harg_BHN5"/>
      <sheetName val="H__Satuan_Upah_&amp;_Bahan2"/>
      <sheetName val="Analisa_Satuan_Pekerjaan2"/>
      <sheetName val="H__Satuan_Pekerjaan2"/>
      <sheetName val="Harga_S_Dasar_UNTUK_IDISI2"/>
      <sheetName val="Daf_Biaya_sewa_alat2"/>
      <sheetName val="Supl_X2"/>
      <sheetName val="An__HS2"/>
      <sheetName val="Div_2_-_Drainase2"/>
      <sheetName val="Div_3_-_Tanah2"/>
      <sheetName val="Div_5_-_Berbutir2"/>
      <sheetName val="Div_6_-_Aspal2"/>
      <sheetName val="Div_7_-_Struktur2"/>
      <sheetName val="Div_8_-_Peng_Kondisi2"/>
      <sheetName val="Rekap_BBM2"/>
      <sheetName val="data_profit2"/>
      <sheetName val="Anl_2s_d4e2"/>
      <sheetName val="CASHFLOW_FORECAST2"/>
      <sheetName val="Dftr_Isi2"/>
      <sheetName val="harsat_sdy2"/>
      <sheetName val="List_Pla2"/>
      <sheetName val="IDLE_ALAT10"/>
      <sheetName val="ATB_pers_(2)10"/>
      <sheetName val="FOTO_PR10"/>
      <sheetName val="G_umum10"/>
      <sheetName val="SCHE_vareto10"/>
      <sheetName val="ATB_pers10"/>
      <sheetName val="BQ_diva10"/>
      <sheetName val="MAT_BARU_AC10"/>
      <sheetName val="H_Satuan11"/>
      <sheetName val="AC_+10"/>
      <sheetName val="an_ATB_G10"/>
      <sheetName val="an_AC10"/>
      <sheetName val="an_ATB_L10"/>
      <sheetName val="ATB_+10"/>
      <sheetName val="Alat_DC10"/>
      <sheetName val="Kap_Tenaga10"/>
      <sheetName val="KH_Bahagia8"/>
      <sheetName val="HRG_BHN9"/>
      <sheetName val="Analisa_HS9"/>
      <sheetName val="Agregat_Halus_&amp;_Kasar9"/>
      <sheetName val="Kr_tengahDiva9"/>
      <sheetName val="Isolasi_Luar_Dalam9"/>
      <sheetName val="Isolasi_Luar9"/>
      <sheetName val="GASATAGG_XLS9"/>
      <sheetName val="ANAL_BOW9"/>
      <sheetName val="EXTERNAL_WORK9"/>
      <sheetName val="B_-_Norelec9"/>
      <sheetName val="L3_An_H_Sat_Mob9"/>
      <sheetName val="rab_me_(by_owner)_9"/>
      <sheetName val="BQ_(by_owner)9"/>
      <sheetName val="rab_me_(fisik)9"/>
      <sheetName val="ANAL__ME8"/>
      <sheetName val="Man_Power9"/>
      <sheetName val="BW_analisa_cika_20058"/>
      <sheetName val="rekap_mekanikal8"/>
      <sheetName val="Analisa___Upah8"/>
      <sheetName val="01A-_RAB8"/>
      <sheetName val="M&amp;E_R8"/>
      <sheetName val="RAB_PERSIAPAN_8"/>
      <sheetName val="NS_GD_UTAMA8"/>
      <sheetName val="bill_qty9"/>
      <sheetName val="meth_hsl_nego9"/>
      <sheetName val="Perm__Test8"/>
      <sheetName val="HB_8"/>
      <sheetName val="R_A_B_8"/>
      <sheetName val="REKAP_ARSITEKTUR_8"/>
      <sheetName val="RAB_ADMINISTRASI_PUSAT_(1)8"/>
      <sheetName val="PROTEKSI_PETIR8"/>
      <sheetName val="KABEL_FEEDER8"/>
      <sheetName val="PENRNGN_&amp;_KTK-KNTK8"/>
      <sheetName val="Bill_No_2_1_Cold_Water_System8"/>
      <sheetName val="Civil_Works8"/>
      <sheetName val="Analisa_&amp;_Upah8"/>
      <sheetName val="M_12__2_8"/>
      <sheetName val="1_B8"/>
      <sheetName val="Unit_Rate8"/>
      <sheetName val="BQ_Stdr_R-18"/>
      <sheetName val="New_MADC8"/>
      <sheetName val="Data_Ktr_Bupati_Tapsel8"/>
      <sheetName val="Fill_this_out_first___16"/>
      <sheetName val="BOQ_KSN8"/>
      <sheetName val="STD_Lanjutan8"/>
      <sheetName val="NS_Lanjutan8"/>
      <sheetName val="Fill_this_out_first___17"/>
      <sheetName val="FIRE_FIGHTING8"/>
      <sheetName val="Master_1_08"/>
      <sheetName val="BANGUNAN_PENUNJANG8"/>
      <sheetName val="BoQ_C48"/>
      <sheetName val="F_ALARM8"/>
      <sheetName val="Sat_Upah8"/>
      <sheetName val="HS_Alat9"/>
      <sheetName val="HS_Upah9"/>
      <sheetName val="HS_Sub-Kon9"/>
      <sheetName val="Analisa_ME_(2)8"/>
      <sheetName val="Harga_Satuan8"/>
      <sheetName val="sheet_28"/>
      <sheetName val="RAB_ME8"/>
      <sheetName val="RKP_PLUMBING8"/>
      <sheetName val="ENC_148"/>
      <sheetName val="Daftar_berat8"/>
      <sheetName val="Fire_Alarm8"/>
      <sheetName val="D_&amp;_W_sizes8"/>
      <sheetName val="Cable_150kV_Ref_8"/>
      <sheetName val="MAIN_EQUIP_AC8"/>
      <sheetName val="Rekap_Prelim8"/>
      <sheetName val="DUTCH_CONE8"/>
      <sheetName val="D___W_sizes8"/>
      <sheetName val="Bill_of_Qty_MEP8"/>
      <sheetName val="Transfer_Pump8"/>
      <sheetName val="An_HarSatPek8"/>
      <sheetName val="Pipa_(2)8"/>
      <sheetName val="Lamp_BAP8"/>
      <sheetName val="Pos_4-18"/>
      <sheetName val="RAW_MATERIALS_8"/>
      <sheetName val="COST-PERSON-J_O_8"/>
      <sheetName val="NS_GD_UGD8"/>
      <sheetName val="STD_GD_UGD8"/>
      <sheetName val="AHS_str8"/>
      <sheetName val="4-Basic_Price8"/>
      <sheetName val="Daftar_Upah,Bhn,&amp;_alat8"/>
      <sheetName val="Lead_Schedule8"/>
      <sheetName val="Anal_Koef8"/>
      <sheetName val="Rekap_Biaya8"/>
      <sheetName val="HARGA_ALAT8"/>
      <sheetName val="ETAB_18"/>
      <sheetName val="Bill_5_Summary8"/>
      <sheetName val="GH_Quantity8"/>
      <sheetName val="KAN__LOKAL8"/>
      <sheetName val="Mat_Mek8"/>
      <sheetName val="Analisa_ME8"/>
      <sheetName val="Upah_Bahan8"/>
      <sheetName val="Rekap_Direct_Cost8"/>
      <sheetName val="Urai___Guide_Post8"/>
      <sheetName val="Met_Pas_Batu8"/>
      <sheetName val="Urai_Galian_Tanah8"/>
      <sheetName val="Met__Minor8"/>
      <sheetName val="Up&amp;Bhn_8"/>
      <sheetName val="ANALISA_HARGA_SATUAN8"/>
      <sheetName val="Hydran___springkler8"/>
      <sheetName val="BQ_Arsit8"/>
      <sheetName val="Sat_Bah_&amp;_Up8"/>
      <sheetName val="ANALIS_18"/>
      <sheetName val="REKAP_TOTAL8"/>
      <sheetName val="Daf_18"/>
      <sheetName val="2_NSB_8"/>
      <sheetName val="2_SB8"/>
      <sheetName val="M_ITEM8"/>
      <sheetName val="BHN_Ars8"/>
      <sheetName val="7_NS_H8"/>
      <sheetName val="Daf__No____4_28"/>
      <sheetName val="D_1_2_LT-_1_~_Atap8"/>
      <sheetName val="BQ_struktur8"/>
      <sheetName val="Analisa_Pusaka_Jaya8"/>
      <sheetName val="Report_detil_kondisi8"/>
      <sheetName val="fin_pro_centers8"/>
      <sheetName val="REKAP_ARSITEKTUR8"/>
      <sheetName val="rincian_per_proyek8"/>
      <sheetName val="Bq_Ars8"/>
      <sheetName val="Terbilang_sertifikat8"/>
      <sheetName val="Upah_dan_bahan8"/>
      <sheetName val="Input_monthly_capex8"/>
      <sheetName val="Data_Sei_Belutu8"/>
      <sheetName val="610_68"/>
      <sheetName val="610_58"/>
      <sheetName val="Data_Sinabung8"/>
      <sheetName val="AN_Panel9"/>
      <sheetName val="Bill_Of_Quantity8"/>
      <sheetName val="BGN_PENUNJANG8"/>
      <sheetName val="AC_LOAD8"/>
      <sheetName val="REKAP_ME8"/>
      <sheetName val="ANA_bab_66"/>
      <sheetName val="Sec_I_ML7"/>
      <sheetName val="ANALISA_PEK_UMUM6"/>
      <sheetName val="Basic_Price6"/>
      <sheetName val="4-Basic_Price-Upah6"/>
      <sheetName val="Analisa_27"/>
      <sheetName val="Bill_4_Summary8"/>
      <sheetName val="B___Norelec8"/>
      <sheetName val="Site_Expenses8"/>
      <sheetName val="Cover_Daf-28"/>
      <sheetName val="[Kr_tengahࡄiva_xls聝H_Satua聮8"/>
      <sheetName val="[Kr_te࡮gahࡄiva_xls聝MAT_BAR聕_AC8"/>
      <sheetName val="[Kr_tengahࡄiva࠮xls聝H_Satua聮18"/>
      <sheetName val="[Kࡲ_tengahࡄiva_xls聝Kap聟Tenaga8"/>
      <sheetName val="[Kࡲ_te࡮gahࡄiva_xls聝Ana聬isa_HS8"/>
      <sheetName val="B_-耠Nor聥lec8"/>
      <sheetName val="[Kࡲ_tengahࡄiva_xls聝5-P聥ralatan8"/>
      <sheetName val="[Kࡲ_te࡮gahࡄiva࠮xls聝Inf聯rmasi8"/>
      <sheetName val="[Kr_te࡮gahࡄiva_xls聝upahbahan8"/>
      <sheetName val="[Kr_tengahࡄiva࠮xls聝01A-_RA聂8"/>
      <sheetName val="[Kr_tengahࡄiva࠮xls聝NS_GD_U联AMA8"/>
      <sheetName val="[Kr_tengahࡄiva_xls聝Str耭Bengkel8"/>
      <sheetName val="[Kࡲ_te࡮gahࡄiva࠮xls聝ANA职_BOW8"/>
      <sheetName val="M_12__2聟8"/>
      <sheetName val="[Kࡲ_tengahࡄiva_xls聝G_SUMMARY8"/>
      <sheetName val="[Kr_tengahDiva_xls聝ANAL_HREZ8"/>
      <sheetName val="ANAL__M聅8"/>
      <sheetName val="[Kr_tengahDiva_xls聝analysis8"/>
      <sheetName val="2__MVAC_R17"/>
      <sheetName val="Mat_Elk8"/>
      <sheetName val="AHS_Isolasi8"/>
      <sheetName val="List_Plant8"/>
      <sheetName val="ANAL_TEKNIK8"/>
      <sheetName val="bhn_FINAL8"/>
      <sheetName val="KONTRAK_INDUK_BULANAN8"/>
      <sheetName val="Sat_Alat8"/>
      <sheetName val="GFA_227"/>
      <sheetName val="T-3_4_Cost_of_Equipment8"/>
      <sheetName val="An_H_Sat_Pek_Ut8"/>
      <sheetName val="Harga_Sat_Das8"/>
      <sheetName val="T-3_2_UP_Labour8"/>
      <sheetName val="T-3_3_UP_Material8"/>
      <sheetName val="analisa_stroke7"/>
      <sheetName val="upah_bahan_7"/>
      <sheetName val="PENJ_NERACA8"/>
      <sheetName val="CASH_FLOW8"/>
      <sheetName val="struktur_tdk_dipakai7"/>
      <sheetName val="REF_ONLY7"/>
      <sheetName val="SELISIH_HARGA8"/>
      <sheetName val="List_of_Eqp7"/>
      <sheetName val="Cash_Flow_bulanan7"/>
      <sheetName val="Investment_Valuation7"/>
      <sheetName val="3_3b7"/>
      <sheetName val="[Kr_tengah?iva_xls?H_Satua?7"/>
      <sheetName val="[Kr_te?gah?iva_xls?MAT_BAR?_AC7"/>
      <sheetName val="[Kr_tengah?iva?xls?H_Satua?17"/>
      <sheetName val="[K?_tengah?iva_xls?Kap?Tenaga7"/>
      <sheetName val="[K?_te?gah?iva_xls?Ana?isa_HS7"/>
      <sheetName val="B_-?Nor?lec7"/>
      <sheetName val="[K?_tengah?iva_xls?5-P?ralatan7"/>
      <sheetName val="[K?_te?gah?iva?xls?Inf?rmasi7"/>
      <sheetName val="[Kr_te?gah?iva_xls?upahbahan7"/>
      <sheetName val="[Kr_tengah?iva?xls?01A-_RA?7"/>
      <sheetName val="[Kr_tengah?iva?xls?NS_GD_U?AMA7"/>
      <sheetName val="[Kr_tengah?iva_xls?Str?Bengkel7"/>
      <sheetName val="[K?_te?gah?iva?xls?ANA?_BOW7"/>
      <sheetName val="M_12__2?7"/>
      <sheetName val="[K?_tengah?iva_xls?G_SUMMARY7"/>
      <sheetName val="[Kr_tengahDiva_xls?ANAL_HREZ7"/>
      <sheetName val="ANAL__M?7"/>
      <sheetName val="[Kr_tengahDiva_xls?analysis7"/>
      <sheetName val="Summary_Sheets7"/>
      <sheetName val="T__Cs_Log_P_III8"/>
      <sheetName val="Price_list7"/>
      <sheetName val="_Kr_tengahࡄiva_xls聝H_Satua聮7"/>
      <sheetName val="_Kr_te࡮gahࡄiva_xls聝MAT_BAR聕_AC7"/>
      <sheetName val="_Kr_tengahࡄiva࠮xls聝H_Satua聮17"/>
      <sheetName val="_Kࡲ_tengahࡄiva_xls聝Kap聟Tenaga7"/>
      <sheetName val="_Kࡲ_te࡮gahࡄiva_xls聝Ana聬isa_HS7"/>
      <sheetName val="_Kࡲ_tengahࡄiva_xls聝5-P聥ralatan7"/>
      <sheetName val="_Kࡲ_te࡮gahࡄiva࠮xls聝Inf聯rmasi7"/>
      <sheetName val="_Kr_te࡮gahࡄiva_xls聝upahbahan7"/>
      <sheetName val="_Kr_tengahࡄiva࠮xls聝01A-_RA聂7"/>
      <sheetName val="_Kr_tengahࡄiva࠮xls聝NS_GD_U联AMA7"/>
      <sheetName val="_Kr_tengahࡄiva_xls聝Str耭Bengkel7"/>
      <sheetName val="_Kࡲ_te࡮gahࡄiva࠮xls聝ANA职_BOW7"/>
      <sheetName val="_Kࡲ_tengahࡄiva_xls聝G_SUMMARY7"/>
      <sheetName val="_Kr_tengahDiva_xls聝ANAL_HREZ7"/>
      <sheetName val="_Kr_tengahDiva_xls聝analysis7"/>
      <sheetName val="3_Mob7"/>
      <sheetName val="TE_TS_FA_LAN_MATV7"/>
      <sheetName val="DAF_ALAT5"/>
      <sheetName val="Appendix_2(SatDas)7"/>
      <sheetName val="Currency_Rate7"/>
      <sheetName val="Sumber_Daya7"/>
      <sheetName val="Basic_alat7"/>
      <sheetName val="Basic_bahan7"/>
      <sheetName val="Basic_upah7"/>
      <sheetName val="HARGA_MATERIAL7"/>
      <sheetName val="Daftar_Kuantitas_&amp;_Harga7"/>
      <sheetName val="daftar_analisa7"/>
      <sheetName val="Analisa_Harga7"/>
      <sheetName val="UPAH_BAHAN_ARST7"/>
      <sheetName val="ELEC_STIS7"/>
      <sheetName val="1_27"/>
      <sheetName val="ME_Apt27"/>
      <sheetName val="Rate_Analysis7"/>
      <sheetName val="Standby_Alat4"/>
      <sheetName val="LAP__HARIAN4"/>
      <sheetName val="Blk_B17"/>
      <sheetName val="Pengalaman_Per5"/>
      <sheetName val="Unit_Cost5"/>
      <sheetName val="TOTAL_Agustus5"/>
      <sheetName val="A+Supl_4"/>
      <sheetName val="BQ__by_owner_4"/>
      <sheetName val="OPNAME_COMM-10+825-10+3004"/>
      <sheetName val="Harsat_Bahan5"/>
      <sheetName val="7_공정표5"/>
      <sheetName val="On_Time5"/>
      <sheetName val="List_Material5"/>
      <sheetName val="GAL_BIASA4"/>
      <sheetName val="Analisa_(ok)5"/>
      <sheetName val="II_MAIN-LOB5"/>
      <sheetName val="Rkp_Total5"/>
      <sheetName val="PAGE_1_7"/>
      <sheetName val="Ｎｏ_135"/>
      <sheetName val="Div_15"/>
      <sheetName val="Form_4,5,65"/>
      <sheetName val="PL_(MONTHLY)5"/>
      <sheetName val="_Kr_tengah_iva_xls_H_Satua_6"/>
      <sheetName val="_Kr_te_gah_iva_xls_MAT_BAR__AC6"/>
      <sheetName val="_Kr_tengah_iva_xls_H_Satua_16"/>
      <sheetName val="_K__tengah_iva_xls_Kap_Tenaga6"/>
      <sheetName val="_K__te_gah_iva_xls_Ana_isa_HS6"/>
      <sheetName val="B_-_Nor_lec6"/>
      <sheetName val="_K__tengah_iva_xls_5-P_ralatan6"/>
      <sheetName val="_K__te_gah_iva_xls_Inf_rmasi6"/>
      <sheetName val="_Kr_te_gah_iva_xls_upahbahan6"/>
      <sheetName val="_Kr_tengah_iva_xls_01A-_RA_6"/>
      <sheetName val="_Kr_tengah_iva_xls_NS_GD_U_AMA6"/>
      <sheetName val="_Kr_tengah_iva_xls_Str_Bengkel6"/>
      <sheetName val="_K__te_gah_iva_xls_ANA__BOW6"/>
      <sheetName val="_K__tengah_iva_xls_G_SUMMARY6"/>
      <sheetName val="_Kr_tengahDiva_xls_ANAL_HREZ6"/>
      <sheetName val="ANAL__M_6"/>
      <sheetName val="_Kr_tengahDiva_xls_analysis6"/>
      <sheetName val="Analisa_HSP5"/>
      <sheetName val="Galian_15"/>
      <sheetName val="Kuantitas_&amp;_Harga7"/>
      <sheetName val="Master_Edit5"/>
      <sheetName val="RPP01_64"/>
      <sheetName val="Daftar_Upah4"/>
      <sheetName val="Sum_IF4"/>
      <sheetName val="Uraian_Analisa4"/>
      <sheetName val="Speck_ARSITEK4"/>
      <sheetName val="Stden_center4"/>
      <sheetName val="M_Pekerjaan5"/>
      <sheetName val="BIIL_ASLI4"/>
      <sheetName val="Q'ty_per_m4"/>
      <sheetName val="Daftar_Paket4"/>
      <sheetName val="8LT_124"/>
      <sheetName val="Rekap_4"/>
      <sheetName val="BANG_TONG_HOP_(2)4"/>
      <sheetName val="_Kr_tengahDiva_xls聝analysi蕈4"/>
      <sheetName val="BQ_Mekanikal4"/>
      <sheetName val="Rencana__2_4"/>
      <sheetName val="Data_Pendukung5"/>
      <sheetName val="_4"/>
      <sheetName val="AnBiaya_OperasionalAlat4"/>
      <sheetName val="SAT_UPH_BHN4"/>
      <sheetName val="Analisa_Upah_&amp;_Bahan_Plum5"/>
      <sheetName val="Assumption_&amp;_Dashboard_4"/>
      <sheetName val="Cover_Daf_24"/>
      <sheetName val="ANALISA_railing4"/>
      <sheetName val="SAT_UPAH_RAPI4"/>
      <sheetName val="HASAT_DASAR4"/>
      <sheetName val="ana_pt4"/>
      <sheetName val="GRADE_SKALA4"/>
      <sheetName val="MASTER_DATA4"/>
      <sheetName val="Muh_Akhir4"/>
      <sheetName val="Chandra_Prabowo4"/>
      <sheetName val="BUL__A4"/>
      <sheetName val="rab_me__by_owner__4"/>
      <sheetName val="rab_me__fisik_4"/>
      <sheetName val="hrg-sat_pek4"/>
      <sheetName val="Lt_14"/>
      <sheetName val="Ana_Fin4"/>
      <sheetName val="CAB_24"/>
      <sheetName val="STOK_MAT4"/>
      <sheetName val="HDS_Sipil4"/>
      <sheetName val="Data_Tower4"/>
      <sheetName val="Vendor_Information5"/>
      <sheetName val="analisa_SNI4"/>
      <sheetName val="BAHAN_(2)4"/>
      <sheetName val="Tata_Udara4"/>
      <sheetName val="4_2_Public4"/>
      <sheetName val="COST_TOGO4"/>
      <sheetName val="H_Satuan_Dasar4"/>
      <sheetName val="urain_teknis4"/>
      <sheetName val="REKAP_GROSS4"/>
      <sheetName val="AN_BIAYA_MAKAN4"/>
      <sheetName val="HSD_BAHAN4"/>
      <sheetName val="HSD_UPAH_4"/>
      <sheetName val="7_PEK-STRUKTUR4"/>
      <sheetName val="Har_Sat4"/>
      <sheetName val="m_schedule4"/>
      <sheetName val="HM_MEK_4"/>
      <sheetName val="Control_Settings4"/>
      <sheetName val="Dates_&amp;_Escalators4"/>
      <sheetName val="Check_Totals4"/>
      <sheetName val="Rekap_BQ-Pompong4"/>
      <sheetName val="PERS_PENY4"/>
      <sheetName val="RAB_DC4"/>
      <sheetName val="anal_rinci4"/>
      <sheetName val="Rek_An4"/>
      <sheetName val="RAB_14"/>
      <sheetName val="RAB_24"/>
      <sheetName val="RAB_34"/>
      <sheetName val="Urai__Resap_pengikat4"/>
      <sheetName val="Unit_Price4"/>
      <sheetName val="500kV_BOQ4"/>
      <sheetName val="LINK-MAST__BASIC_PRICE4"/>
      <sheetName val="Price_of_Equip4"/>
      <sheetName val="Price_of_Mat4"/>
      <sheetName val="Upah&amp;Bahan_(2)5"/>
      <sheetName val="Analisa-Harga_(1F)5"/>
      <sheetName val="Rinc__Harg_BHN7"/>
      <sheetName val="H__Satuan_Upah_&amp;_Bahan4"/>
      <sheetName val="Analisa_Satuan_Pekerjaan4"/>
      <sheetName val="H__Satuan_Pekerjaan4"/>
      <sheetName val="OFFICE_2_LT4"/>
      <sheetName val="Harga_S_Dasar_UNTUK_IDISI4"/>
      <sheetName val="Daf_Biaya_sewa_alat4"/>
      <sheetName val="Supl_X4"/>
      <sheetName val="An__HS4"/>
      <sheetName val="Div_2_-_Drainase4"/>
      <sheetName val="Div_3_-_Tanah4"/>
      <sheetName val="Div_5_-_Berbutir4"/>
      <sheetName val="Div_6_-_Aspal4"/>
      <sheetName val="Div_7_-_Struktur4"/>
      <sheetName val="Div_8_-_Peng_Kondisi4"/>
      <sheetName val="Rekap_BBM4"/>
      <sheetName val="Rokan_14"/>
      <sheetName val="RAB_Ekstern4"/>
      <sheetName val="ITB_COST5"/>
      <sheetName val="Daf_Besi5"/>
      <sheetName val="data_profit4"/>
      <sheetName val="Anl_2s_d4e4"/>
      <sheetName val="CASHFLOW_FORECAST4"/>
      <sheetName val="Dftr_Isi4"/>
      <sheetName val="harsat_sdy4"/>
      <sheetName val="Metod_TWR4"/>
      <sheetName val="List_Pla4"/>
      <sheetName val="IDLE_ALAT11"/>
      <sheetName val="ATB_pers_(2)11"/>
      <sheetName val="FOTO_PR11"/>
      <sheetName val="G_umum11"/>
      <sheetName val="SCHE_vareto11"/>
      <sheetName val="ATB_pers11"/>
      <sheetName val="BQ_diva11"/>
      <sheetName val="MAT_BARU_AC11"/>
      <sheetName val="H_Satuan12"/>
      <sheetName val="AC_+11"/>
      <sheetName val="an_ATB_G11"/>
      <sheetName val="an_AC11"/>
      <sheetName val="an_ATB_L11"/>
      <sheetName val="ATB_+11"/>
      <sheetName val="Alat_DC11"/>
      <sheetName val="Kap_Tenaga11"/>
      <sheetName val="KH_Bahagia9"/>
      <sheetName val="HRG_BHN10"/>
      <sheetName val="Analisa_HS10"/>
      <sheetName val="Agregat_Halus_&amp;_Kasar10"/>
      <sheetName val="Kr_tengahDiva10"/>
      <sheetName val="Isolasi_Luar_Dalam10"/>
      <sheetName val="Isolasi_Luar10"/>
      <sheetName val="GASATAGG_XLS10"/>
      <sheetName val="ANAL_BOW10"/>
      <sheetName val="EXTERNAL_WORK10"/>
      <sheetName val="B_-_Norelec10"/>
      <sheetName val="L3_An_H_Sat_Mob10"/>
      <sheetName val="rab_me_(by_owner)_10"/>
      <sheetName val="BQ_(by_owner)10"/>
      <sheetName val="rab_me_(fisik)10"/>
      <sheetName val="ANAL__ME9"/>
      <sheetName val="Man_Power10"/>
      <sheetName val="BW_analisa_cika_20059"/>
      <sheetName val="rekap_mekanikal9"/>
      <sheetName val="Analisa___Upah9"/>
      <sheetName val="01A-_RAB9"/>
      <sheetName val="M&amp;E_R9"/>
      <sheetName val="RAB_PERSIAPAN_9"/>
      <sheetName val="NS_GD_UTAMA9"/>
      <sheetName val="bill_qty10"/>
      <sheetName val="meth_hsl_nego10"/>
      <sheetName val="Perm__Test9"/>
      <sheetName val="HB_9"/>
      <sheetName val="R_A_B_9"/>
      <sheetName val="REKAP_ARSITEKTUR_9"/>
      <sheetName val="RAB_ADMINISTRASI_PUSAT_(1)9"/>
      <sheetName val="PROTEKSI_PETIR9"/>
      <sheetName val="KABEL_FEEDER9"/>
      <sheetName val="PENRNGN_&amp;_KTK-KNTK9"/>
      <sheetName val="Bill_No_2_1_Cold_Water_System9"/>
      <sheetName val="Civil_Works9"/>
      <sheetName val="Analisa_&amp;_Upah9"/>
      <sheetName val="M_12__2_9"/>
      <sheetName val="1_B9"/>
      <sheetName val="Unit_Rate9"/>
      <sheetName val="BQ_Stdr_R-19"/>
      <sheetName val="New_MADC9"/>
      <sheetName val="Data_Ktr_Bupati_Tapsel9"/>
      <sheetName val="Fill_this_out_first___18"/>
      <sheetName val="BOQ_KSN9"/>
      <sheetName val="STD_Lanjutan9"/>
      <sheetName val="NS_Lanjutan9"/>
      <sheetName val="Fill_this_out_first___19"/>
      <sheetName val="FIRE_FIGHTING9"/>
      <sheetName val="Master_1_09"/>
      <sheetName val="BANGUNAN_PENUNJANG9"/>
      <sheetName val="BoQ_C49"/>
      <sheetName val="F_ALARM9"/>
      <sheetName val="Sat_Upah9"/>
      <sheetName val="HS_Alat10"/>
      <sheetName val="HS_Upah10"/>
      <sheetName val="HS_Sub-Kon10"/>
      <sheetName val="Analisa_ME_(2)9"/>
      <sheetName val="Harga_Satuan9"/>
      <sheetName val="sheet_29"/>
      <sheetName val="RAB_ME9"/>
      <sheetName val="RKP_PLUMBING9"/>
      <sheetName val="ENC_149"/>
      <sheetName val="Daftar_berat9"/>
      <sheetName val="Fire_Alarm9"/>
      <sheetName val="D_&amp;_W_sizes9"/>
      <sheetName val="Cable_150kV_Ref_9"/>
      <sheetName val="MAIN_EQUIP_AC9"/>
      <sheetName val="Rekap_Prelim9"/>
      <sheetName val="DUTCH_CONE9"/>
      <sheetName val="D___W_sizes9"/>
      <sheetName val="Bill_of_Qty_MEP9"/>
      <sheetName val="Transfer_Pump9"/>
      <sheetName val="An_HarSatPek9"/>
      <sheetName val="Pipa_(2)9"/>
      <sheetName val="Lamp_BAP9"/>
      <sheetName val="Pos_4-19"/>
      <sheetName val="RAW_MATERIALS_9"/>
      <sheetName val="COST-PERSON-J_O_9"/>
      <sheetName val="NS_GD_UGD9"/>
      <sheetName val="STD_GD_UGD9"/>
      <sheetName val="AHS_str9"/>
      <sheetName val="4-Basic_Price9"/>
      <sheetName val="Daftar_Upah,Bhn,&amp;_alat9"/>
      <sheetName val="Lead_Schedule9"/>
      <sheetName val="Anal_Koef9"/>
      <sheetName val="Rekap_Biaya9"/>
      <sheetName val="HARGA_ALAT9"/>
      <sheetName val="ETAB_19"/>
      <sheetName val="Bill_5_Summary9"/>
      <sheetName val="GH_Quantity9"/>
      <sheetName val="KAN__LOKAL9"/>
      <sheetName val="Mat_Mek9"/>
      <sheetName val="Analisa_ME9"/>
      <sheetName val="Upah_Bahan9"/>
      <sheetName val="Rekap_Direct_Cost9"/>
      <sheetName val="Urai___Guide_Post9"/>
      <sheetName val="Met_Pas_Batu9"/>
      <sheetName val="Urai_Galian_Tanah9"/>
      <sheetName val="Met__Minor9"/>
      <sheetName val="Up&amp;Bhn_9"/>
      <sheetName val="ANALISA_HARGA_SATUAN9"/>
      <sheetName val="Hydran___springkler9"/>
      <sheetName val="BQ_Arsit9"/>
      <sheetName val="Sat_Bah_&amp;_Up9"/>
      <sheetName val="ANALIS_19"/>
      <sheetName val="REKAP_TOTAL9"/>
      <sheetName val="Daf_19"/>
      <sheetName val="2_NSB_9"/>
      <sheetName val="2_SB9"/>
      <sheetName val="M_ITEM9"/>
      <sheetName val="BHN_Ars9"/>
      <sheetName val="7_NS_H9"/>
      <sheetName val="Daf__No____4_29"/>
      <sheetName val="D_1_2_LT-_1_~_Atap9"/>
      <sheetName val="BQ_struktur9"/>
      <sheetName val="Analisa_Pusaka_Jaya9"/>
      <sheetName val="Report_detil_kondisi9"/>
      <sheetName val="fin_pro_centers9"/>
      <sheetName val="REKAP_ARSITEKTUR9"/>
      <sheetName val="rincian_per_proyek9"/>
      <sheetName val="Bq_Ars9"/>
      <sheetName val="Terbilang_sertifikat9"/>
      <sheetName val="Upah_dan_bahan9"/>
      <sheetName val="Input_monthly_capex9"/>
      <sheetName val="Data_Sei_Belutu9"/>
      <sheetName val="610_69"/>
      <sheetName val="610_59"/>
      <sheetName val="Data_Sinabung9"/>
      <sheetName val="AN_Panel10"/>
      <sheetName val="Bill_Of_Quantity9"/>
      <sheetName val="BGN_PENUNJANG9"/>
      <sheetName val="AC_LOAD9"/>
      <sheetName val="REKAP_ME9"/>
      <sheetName val="ANA_bab_67"/>
      <sheetName val="Sec_I_ML8"/>
      <sheetName val="ANALISA_PEK_UMUM7"/>
      <sheetName val="Basic_Price7"/>
      <sheetName val="4-Basic_Price-Upah7"/>
      <sheetName val="Analisa_28"/>
      <sheetName val="Bill_4_Summary9"/>
      <sheetName val="H__Dasar9"/>
      <sheetName val="B___Norelec9"/>
      <sheetName val="Site_Expenses9"/>
      <sheetName val="Cover_Daf-29"/>
      <sheetName val="[Kr_tengahࡄiva_xls聝H_Satua聮9"/>
      <sheetName val="[Kr_te࡮gahࡄiva_xls聝MAT_BAR聕_AC9"/>
      <sheetName val="[Kr_tengahࡄiva࠮xls聝H_Satua聮19"/>
      <sheetName val="[Kࡲ_tengahࡄiva_xls聝Kap聟Tenaga9"/>
      <sheetName val="[Kࡲ_te࡮gahࡄiva_xls聝Ana聬isa_HS9"/>
      <sheetName val="B_-耠Nor聥lec9"/>
      <sheetName val="[Kࡲ_tengahࡄiva_xls聝5-P聥ralatan9"/>
      <sheetName val="[Kࡲ_te࡮gahࡄiva࠮xls聝Inf聯rmasi9"/>
      <sheetName val="[Kr_te࡮gahࡄiva_xls聝upahbahan9"/>
      <sheetName val="[Kr_tengahࡄiva࠮xls聝01A-_RA聂9"/>
      <sheetName val="[Kr_tengahࡄiva࠮xls聝NS_GD_U联AMA9"/>
      <sheetName val="[Kr_tengahࡄiva_xls聝Str耭Bengkel9"/>
      <sheetName val="[Kࡲ_te࡮gahࡄiva࠮xls聝ANA职_BOW9"/>
      <sheetName val="M_12__2聟9"/>
      <sheetName val="[Kࡲ_tengahࡄiva_xls聝G_SUMMARY9"/>
      <sheetName val="[Kr_tengahDiva_xls聝ANAL_HREZ9"/>
      <sheetName val="ANAL__M聅9"/>
      <sheetName val="[Kr_tengahDiva_xls聝analysis9"/>
      <sheetName val="2__MVAC_R18"/>
      <sheetName val="Mat_Elk9"/>
      <sheetName val="AHS_Isolasi9"/>
      <sheetName val="List_Plant9"/>
      <sheetName val="ANAL_TEKNIK9"/>
      <sheetName val="bhn_FINAL9"/>
      <sheetName val="KONTRAK_INDUK_BULANAN9"/>
      <sheetName val="Sat_Alat9"/>
      <sheetName val="GFA_228"/>
      <sheetName val="T-3_4_Cost_of_Equipment9"/>
      <sheetName val="An_H_Sat_Pek_Ut9"/>
      <sheetName val="Harga_Sat_Das9"/>
      <sheetName val="T-3_2_UP_Labour9"/>
      <sheetName val="T-3_3_UP_Material9"/>
      <sheetName val="analisa_stroke8"/>
      <sheetName val="upah_bahan_8"/>
      <sheetName val="PENJ_NERACA9"/>
      <sheetName val="CASH_FLOW9"/>
      <sheetName val="struktur_tdk_dipakai8"/>
      <sheetName val="REF_ONLY8"/>
      <sheetName val="SELISIH_HARGA9"/>
      <sheetName val="List_of_Eqp8"/>
      <sheetName val="Cash_Flow_bulanan8"/>
      <sheetName val="Investment_Valuation8"/>
      <sheetName val="3_3b8"/>
      <sheetName val="[Kr_tengah?iva_xls?H_Satua?8"/>
      <sheetName val="[Kr_te?gah?iva_xls?MAT_BAR?_AC8"/>
      <sheetName val="[Kr_tengah?iva?xls?H_Satua?18"/>
      <sheetName val="[K?_tengah?iva_xls?Kap?Tenaga8"/>
      <sheetName val="[K?_te?gah?iva_xls?Ana?isa_HS8"/>
      <sheetName val="B_-?Nor?lec8"/>
      <sheetName val="[K?_tengah?iva_xls?5-P?ralatan8"/>
      <sheetName val="[K?_te?gah?iva?xls?Inf?rmasi8"/>
      <sheetName val="[Kr_te?gah?iva_xls?upahbahan8"/>
      <sheetName val="[Kr_tengah?iva?xls?01A-_RA?8"/>
      <sheetName val="[Kr_tengah?iva?xls?NS_GD_U?AMA8"/>
      <sheetName val="[Kr_tengah?iva_xls?Str?Bengkel8"/>
      <sheetName val="[K?_te?gah?iva?xls?ANA?_BOW8"/>
      <sheetName val="M_12__2?8"/>
      <sheetName val="[K?_tengah?iva_xls?G_SUMMARY8"/>
      <sheetName val="[Kr_tengahDiva_xls?ANAL_HREZ8"/>
      <sheetName val="ANAL__M?8"/>
      <sheetName val="[Kr_tengahDiva_xls?analysis8"/>
      <sheetName val="Summary_Sheets8"/>
      <sheetName val="T__Cs_Log_P_III9"/>
      <sheetName val="Price_list8"/>
      <sheetName val="_Kr_tengahࡄiva_xls聝H_Satua聮8"/>
      <sheetName val="_Kr_te࡮gahࡄiva_xls聝MAT_BAR聕_AC8"/>
      <sheetName val="_Kr_tengahࡄiva࠮xls聝H_Satua聮18"/>
      <sheetName val="_Kࡲ_tengahࡄiva_xls聝Kap聟Tenaga8"/>
      <sheetName val="_Kࡲ_te࡮gahࡄiva_xls聝Ana聬isa_HS8"/>
      <sheetName val="_Kࡲ_tengahࡄiva_xls聝5-P聥ralatan8"/>
      <sheetName val="_Kࡲ_te࡮gahࡄiva࠮xls聝Inf聯rmasi8"/>
      <sheetName val="_Kr_te࡮gahࡄiva_xls聝upahbahan8"/>
      <sheetName val="_Kr_tengahࡄiva࠮xls聝01A-_RA聂8"/>
      <sheetName val="_Kr_tengahࡄiva࠮xls聝NS_GD_U联AMA8"/>
      <sheetName val="_Kr_tengahࡄiva_xls聝Str耭Bengkel8"/>
      <sheetName val="_Kࡲ_te࡮gahࡄiva࠮xls聝ANA职_BOW8"/>
      <sheetName val="_Kࡲ_tengahࡄiva_xls聝G_SUMMARY8"/>
      <sheetName val="_Kr_tengahDiva_xls聝ANAL_HREZ8"/>
      <sheetName val="_Kr_tengahDiva_xls聝analysis8"/>
      <sheetName val="3_Mob8"/>
      <sheetName val="TE_TS_FA_LAN_MATV8"/>
      <sheetName val="DAF_ALAT6"/>
      <sheetName val="Appendix_2(SatDas)8"/>
      <sheetName val="Currency_Rate8"/>
      <sheetName val="Sumber_Daya8"/>
      <sheetName val="Basic_alat8"/>
      <sheetName val="Basic_bahan8"/>
      <sheetName val="Basic_upah8"/>
      <sheetName val="HARGA_MATERIAL8"/>
      <sheetName val="Daftar_Kuantitas_&amp;_Harga8"/>
      <sheetName val="daftar_analisa8"/>
      <sheetName val="Analisa_Harga8"/>
      <sheetName val="UPAH_BAHAN_ARST8"/>
      <sheetName val="ELEC_STIS8"/>
      <sheetName val="1_28"/>
      <sheetName val="ME_Apt28"/>
      <sheetName val="Rate_Analysis8"/>
      <sheetName val="Standby_Alat5"/>
      <sheetName val="LAP__HARIAN5"/>
      <sheetName val="Blk_B18"/>
      <sheetName val="Pengalaman_Per6"/>
      <sheetName val="Unit_Cost6"/>
      <sheetName val="TOTAL_Agustus6"/>
      <sheetName val="A+Supl_5"/>
      <sheetName val="BQ__by_owner_5"/>
      <sheetName val="OPNAME_COMM-10+825-10+3005"/>
      <sheetName val="Harsat_Bahan6"/>
      <sheetName val="7_공정표6"/>
      <sheetName val="On_Time6"/>
      <sheetName val="List_Material6"/>
      <sheetName val="GAL_BIASA5"/>
      <sheetName val="Analisa_(ok)6"/>
      <sheetName val="II_MAIN-LOB6"/>
      <sheetName val="Rkp_Total6"/>
      <sheetName val="PAGE_1_8"/>
      <sheetName val="Ｎｏ_136"/>
      <sheetName val="Div_16"/>
      <sheetName val="Form_4,5,66"/>
      <sheetName val="PL_(MONTHLY)6"/>
      <sheetName val="_Kr_tengah_iva_xls_H_Satua_7"/>
      <sheetName val="_Kr_te_gah_iva_xls_MAT_BAR__AC7"/>
      <sheetName val="_Kr_tengah_iva_xls_H_Satua_17"/>
      <sheetName val="_K__tengah_iva_xls_Kap_Tenaga7"/>
      <sheetName val="_K__te_gah_iva_xls_Ana_isa_HS7"/>
      <sheetName val="B_-_Nor_lec7"/>
      <sheetName val="_K__tengah_iva_xls_5-P_ralatan7"/>
      <sheetName val="_K__te_gah_iva_xls_Inf_rmasi7"/>
      <sheetName val="_Kr_te_gah_iva_xls_upahbahan7"/>
      <sheetName val="_Kr_tengah_iva_xls_01A-_RA_7"/>
      <sheetName val="_Kr_tengah_iva_xls_NS_GD_U_AMA7"/>
      <sheetName val="_Kr_tengah_iva_xls_Str_Bengkel7"/>
      <sheetName val="_K__te_gah_iva_xls_ANA__BOW7"/>
      <sheetName val="_K__tengah_iva_xls_G_SUMMARY7"/>
      <sheetName val="_Kr_tengahDiva_xls_ANAL_HREZ7"/>
      <sheetName val="ANAL__M_7"/>
      <sheetName val="_Kr_tengahDiva_xls_analysis7"/>
      <sheetName val="Analisa_HSP6"/>
      <sheetName val="Galian_16"/>
      <sheetName val="Kuantitas_&amp;_Harga8"/>
      <sheetName val="Master_Edit6"/>
      <sheetName val="RPP01_65"/>
      <sheetName val="Daftar_Upah5"/>
      <sheetName val="Sum_IF5"/>
      <sheetName val="Uraian_Analisa5"/>
      <sheetName val="Speck_ARSITEK5"/>
      <sheetName val="Stden_center5"/>
      <sheetName val="M_Pekerjaan6"/>
      <sheetName val="BIIL_ASLI5"/>
      <sheetName val="Q'ty_per_m5"/>
      <sheetName val="Daftar_Paket5"/>
      <sheetName val="8LT_125"/>
      <sheetName val="Rekap_5"/>
      <sheetName val="BANG_TONG_HOP_(2)5"/>
      <sheetName val="_Kr_tengahDiva_xls聝analysi蕈5"/>
      <sheetName val="BQ_Mekanikal5"/>
      <sheetName val="Rencana__2_5"/>
      <sheetName val="Data_Pendukung6"/>
      <sheetName val="_5"/>
      <sheetName val="AnBiaya_OperasionalAlat5"/>
      <sheetName val="SAT_UPH_BHN5"/>
      <sheetName val="Analisa_Upah_&amp;_Bahan_Plum6"/>
      <sheetName val="Assumption_&amp;_Dashboard_5"/>
      <sheetName val="Cover_Daf_25"/>
      <sheetName val="ANALISA_railing5"/>
      <sheetName val="SAT_UPAH_RAPI5"/>
      <sheetName val="HASAT_DASAR5"/>
      <sheetName val="ana_pt5"/>
      <sheetName val="GRADE_SKALA5"/>
      <sheetName val="MASTER_DATA5"/>
      <sheetName val="Muh_Akhir5"/>
      <sheetName val="Chandra_Prabowo5"/>
      <sheetName val="BUL__A5"/>
      <sheetName val="rab_me__by_owner__5"/>
      <sheetName val="rab_me__fisik_5"/>
      <sheetName val="hrg-sat_pek5"/>
      <sheetName val="Lt_15"/>
      <sheetName val="Ana_Fin5"/>
      <sheetName val="CAB_25"/>
      <sheetName val="STOK_MAT5"/>
      <sheetName val="HDS_Sipil5"/>
      <sheetName val="Data_Tower5"/>
      <sheetName val="Vendor_Information6"/>
      <sheetName val="analisa_SNI5"/>
      <sheetName val="BAHAN_(2)5"/>
      <sheetName val="Tata_Udara5"/>
      <sheetName val="4_2_Public5"/>
      <sheetName val="COST_TOGO5"/>
      <sheetName val="H_Satuan_Dasar5"/>
      <sheetName val="urain_teknis5"/>
      <sheetName val="REKAP_GROSS5"/>
      <sheetName val="AN_BIAYA_MAKAN5"/>
      <sheetName val="HSD_BAHAN5"/>
      <sheetName val="HSD_UPAH_5"/>
      <sheetName val="7_PEK-STRUKTUR5"/>
      <sheetName val="Har_Sat5"/>
      <sheetName val="m_schedule5"/>
      <sheetName val="HM_MEK_5"/>
      <sheetName val="Control_Settings5"/>
      <sheetName val="Dates_&amp;_Escalators5"/>
      <sheetName val="Check_Totals5"/>
      <sheetName val="Rekap_BQ-Pompong5"/>
      <sheetName val="PERS_PENY5"/>
      <sheetName val="RAB_DC5"/>
      <sheetName val="anal_rinci5"/>
      <sheetName val="Rek_An5"/>
      <sheetName val="RAB_15"/>
      <sheetName val="RAB_25"/>
      <sheetName val="RAB_35"/>
      <sheetName val="Urai__Resap_pengikat5"/>
      <sheetName val="Unit_Price5"/>
      <sheetName val="500kV_BOQ5"/>
      <sheetName val="LINK-MAST__BASIC_PRICE5"/>
      <sheetName val="Price_of_Equip5"/>
      <sheetName val="Price_of_Mat5"/>
      <sheetName val="Upah&amp;Bahan_(2)6"/>
      <sheetName val="Analisa-Harga_(1F)6"/>
      <sheetName val="Rinc__Harg_BHN8"/>
      <sheetName val="H__Satuan_Upah_&amp;_Bahan5"/>
      <sheetName val="Analisa_Satuan_Pekerjaan5"/>
      <sheetName val="H__Satuan_Pekerjaan5"/>
      <sheetName val="OFFICE_2_LT5"/>
      <sheetName val="Harga_S_Dasar_UNTUK_IDISI5"/>
      <sheetName val="Daf_Biaya_sewa_alat5"/>
      <sheetName val="Supl_X5"/>
      <sheetName val="An__HS5"/>
      <sheetName val="Div_2_-_Drainase5"/>
      <sheetName val="Div_3_-_Tanah5"/>
      <sheetName val="Div_5_-_Berbutir5"/>
      <sheetName val="Div_6_-_Aspal5"/>
      <sheetName val="Div_7_-_Struktur5"/>
      <sheetName val="Div_8_-_Peng_Kondisi5"/>
      <sheetName val="Rekap_BBM5"/>
      <sheetName val="Rokan_15"/>
      <sheetName val="RAB_Ekstern5"/>
      <sheetName val="ITB_COST6"/>
      <sheetName val="Daf_Besi6"/>
      <sheetName val="data_profit5"/>
      <sheetName val="Anl_2s_d4e5"/>
      <sheetName val="CASHFLOW_FORECAST5"/>
      <sheetName val="Dftr_Isi5"/>
      <sheetName val="harsat_sdy5"/>
      <sheetName val="Metod_TWR5"/>
      <sheetName val="List_Pla5"/>
      <sheetName val="IDLE_ALAT12"/>
      <sheetName val="ATB_pers_(2)12"/>
      <sheetName val="FOTO_PR12"/>
      <sheetName val="G_umum12"/>
      <sheetName val="SCHE_vareto12"/>
      <sheetName val="ATB_pers12"/>
      <sheetName val="BQ_diva12"/>
      <sheetName val="MAT_BARU_AC12"/>
      <sheetName val="H_Satuan13"/>
      <sheetName val="AC_+12"/>
      <sheetName val="an_ATB_G12"/>
      <sheetName val="an_AC12"/>
      <sheetName val="an_ATB_L12"/>
      <sheetName val="ATB_+12"/>
      <sheetName val="Alat_DC12"/>
      <sheetName val="Kap_Tenaga12"/>
      <sheetName val="KH_Bahagia10"/>
      <sheetName val="HRG_BHN11"/>
      <sheetName val="Analisa_HS11"/>
      <sheetName val="Agregat_Halus_&amp;_Kasar11"/>
      <sheetName val="bill_qty11"/>
      <sheetName val="meth_hsl_nego11"/>
      <sheetName val="Kr_tengahDiva11"/>
      <sheetName val="Isolasi_Luar_Dalam11"/>
      <sheetName val="Isolasi_Luar11"/>
      <sheetName val="GASATAGG_XLS11"/>
      <sheetName val="ANAL_BOW11"/>
      <sheetName val="EXTERNAL_WORK11"/>
      <sheetName val="B_-_Norelec11"/>
      <sheetName val="L3_An_H_Sat_Mob11"/>
      <sheetName val="rab_me_(by_owner)_11"/>
      <sheetName val="BQ_(by_owner)11"/>
      <sheetName val="rab_me_(fisik)11"/>
      <sheetName val="Perm__Test10"/>
      <sheetName val="01A-_RAB10"/>
      <sheetName val="Man_Power11"/>
      <sheetName val="rekap_mekanikal10"/>
      <sheetName val="Analisa___Upah10"/>
      <sheetName val="Analisa_&amp;_Upah10"/>
      <sheetName val="M_12__2_10"/>
      <sheetName val="1_B10"/>
      <sheetName val="ANAL__ME10"/>
      <sheetName val="BW_analisa_cika_200510"/>
      <sheetName val="Fire_Alarm10"/>
      <sheetName val="F_ALARM10"/>
      <sheetName val="M&amp;E_R10"/>
      <sheetName val="RAB_PERSIAPAN_10"/>
      <sheetName val="Bill_No_2_1_Cold_Water_System10"/>
      <sheetName val="Civil_Works10"/>
      <sheetName val="Pos_4-110"/>
      <sheetName val="REKAP_ARSITEKTUR_10"/>
      <sheetName val="RAB_ADMINISTRASI_PUSAT_(1)10"/>
      <sheetName val="PROTEKSI_PETIR10"/>
      <sheetName val="KABEL_FEEDER10"/>
      <sheetName val="PENRNGN_&amp;_KTK-KNTK10"/>
      <sheetName val="NS_GD_UTAMA10"/>
      <sheetName val="BoQ_C410"/>
      <sheetName val="Fill_this_out_first___20"/>
      <sheetName val="Fill_this_out_first___21"/>
      <sheetName val="BOQ_KSN10"/>
      <sheetName val="Sat_Upah10"/>
      <sheetName val="HS_Alat11"/>
      <sheetName val="HS_Upah11"/>
      <sheetName val="HS_Sub-Kon11"/>
      <sheetName val="Analisa_ME_(2)10"/>
      <sheetName val="FIRE_FIGHTING10"/>
      <sheetName val="Master_1_010"/>
      <sheetName val="BANGUNAN_PENUNJANG10"/>
      <sheetName val="STD_Lanjutan10"/>
      <sheetName val="NS_Lanjutan10"/>
      <sheetName val="Up&amp;Bhn_10"/>
      <sheetName val="HB_10"/>
      <sheetName val="R_A_B_10"/>
      <sheetName val="Unit_Rate10"/>
      <sheetName val="BQ_Stdr_R-110"/>
      <sheetName val="New_MADC10"/>
      <sheetName val="Data_Ktr_Bupati_Tapsel10"/>
      <sheetName val="Harga_Satuan10"/>
      <sheetName val="sheet_210"/>
      <sheetName val="RAB_ME10"/>
      <sheetName val="RKP_PLUMBING10"/>
      <sheetName val="ENC_1410"/>
      <sheetName val="Daftar_berat10"/>
      <sheetName val="D_&amp;_W_sizes10"/>
      <sheetName val="Cable_150kV_Ref_10"/>
      <sheetName val="MAIN_EQUIP_AC10"/>
      <sheetName val="Rekap_Prelim10"/>
      <sheetName val="DUTCH_CONE10"/>
      <sheetName val="D___W_sizes10"/>
      <sheetName val="Bill_of_Qty_MEP10"/>
      <sheetName val="Transfer_Pump10"/>
      <sheetName val="An_HarSatPek10"/>
      <sheetName val="Pipa_(2)10"/>
      <sheetName val="Lamp_BAP10"/>
      <sheetName val="RAW_MATERIALS_10"/>
      <sheetName val="COST-PERSON-J_O_10"/>
      <sheetName val="NS_GD_UGD10"/>
      <sheetName val="STD_GD_UGD10"/>
      <sheetName val="AHS_str10"/>
      <sheetName val="4-Basic_Price10"/>
      <sheetName val="Daftar_Upah,Bhn,&amp;_alat10"/>
      <sheetName val="Lead_Schedule10"/>
      <sheetName val="Anal_Koef10"/>
      <sheetName val="Rekap_Biaya10"/>
      <sheetName val="HARGA_ALAT10"/>
      <sheetName val="ETAB_110"/>
      <sheetName val="Bill_5_Summary10"/>
      <sheetName val="GH_Quantity10"/>
      <sheetName val="KAN__LOKAL10"/>
      <sheetName val="Mat_Mek10"/>
      <sheetName val="Analisa_ME10"/>
      <sheetName val="Upah_Bahan10"/>
      <sheetName val="Rekap_Direct_Cost10"/>
      <sheetName val="Urai___Guide_Post10"/>
      <sheetName val="Met_Pas_Batu10"/>
      <sheetName val="Urai_Galian_Tanah10"/>
      <sheetName val="Met__Minor10"/>
      <sheetName val="ANALISA_HARGA_SATUAN10"/>
      <sheetName val="Daf_110"/>
      <sheetName val="fin_pro_centers10"/>
      <sheetName val="REKAP_ARSITEKTUR10"/>
      <sheetName val="rincian_per_proyek10"/>
      <sheetName val="BQ_struktur10"/>
      <sheetName val="ANALIS_110"/>
      <sheetName val="Daf__No____4_210"/>
      <sheetName val="BQ_Arsit10"/>
      <sheetName val="Sat_Bah_&amp;_Up10"/>
      <sheetName val="Bq_Ars10"/>
      <sheetName val="Hydran___springkler10"/>
      <sheetName val="Terbilang_sertifikat10"/>
      <sheetName val="REKAP_TOTAL10"/>
      <sheetName val="2_NSB_10"/>
      <sheetName val="2_SB10"/>
      <sheetName val="M_ITEM10"/>
      <sheetName val="BHN_Ars10"/>
      <sheetName val="7_NS_H10"/>
      <sheetName val="D_1_2_LT-_1_~_Atap10"/>
      <sheetName val="Analisa_Pusaka_Jaya10"/>
      <sheetName val="Report_detil_kondisi10"/>
      <sheetName val="Upah_dan_bahan10"/>
      <sheetName val="Input_monthly_capex10"/>
      <sheetName val="Data_Sei_Belutu10"/>
      <sheetName val="610_610"/>
      <sheetName val="610_510"/>
      <sheetName val="Data_Sinabung10"/>
      <sheetName val="AN_Panel11"/>
      <sheetName val="Bill_Of_Quantity10"/>
      <sheetName val="BGN_PENUNJANG10"/>
      <sheetName val="AC_LOAD10"/>
      <sheetName val="REKAP_ME10"/>
      <sheetName val="ANA_bab_68"/>
      <sheetName val="Sec_I_ML9"/>
      <sheetName val="ANALISA_PEK_UMUM8"/>
      <sheetName val="Basic_Price8"/>
      <sheetName val="4-Basic_Price-Upah8"/>
      <sheetName val="Analisa_29"/>
      <sheetName val="Bill_4_Summary10"/>
      <sheetName val="H__Dasar10"/>
      <sheetName val="B___Norelec10"/>
      <sheetName val="Site_Expenses10"/>
      <sheetName val="Cover_Daf-210"/>
      <sheetName val="[Kr_tengahࡄiva_xls聝H_Satua聮10"/>
      <sheetName val="[Kr_te࡮gahࡄiva_xls聝MAT_BAR聕_A10"/>
      <sheetName val="[Kr_tengahࡄiva࠮xls聝H_Satua聮110"/>
      <sheetName val="[Kࡲ_tengahࡄiva_xls聝Kap聟Tenaga10"/>
      <sheetName val="[Kࡲ_te࡮gahࡄiva_xls聝Ana聬isa_HS10"/>
      <sheetName val="B_-耠Nor聥lec10"/>
      <sheetName val="[Kࡲ_tengahࡄiva_xls聝5-P聥ralata10"/>
      <sheetName val="[Kࡲ_te࡮gahࡄiva࠮xls聝Inf聯rmasi10"/>
      <sheetName val="[Kr_te࡮gahࡄiva_xls聝upahbahan10"/>
      <sheetName val="[Kr_tengahࡄiva࠮xls聝01A-_RA聂10"/>
      <sheetName val="[Kr_tengahࡄiva࠮xls聝NS_GD_U联AM10"/>
      <sheetName val="[Kr_tengahࡄiva_xls聝Str耭Bengke10"/>
      <sheetName val="[Kࡲ_te࡮gahࡄiva࠮xls聝ANA职_BOW10"/>
      <sheetName val="M_12__2聟10"/>
      <sheetName val="[Kࡲ_tengahࡄiva_xls聝G_SUMMARY10"/>
      <sheetName val="[Kr_tengahDiva_xls聝ANAL_HREZ10"/>
      <sheetName val="ANAL__M聅10"/>
      <sheetName val="[Kr_tengahDiva_xls聝analysis10"/>
      <sheetName val="2__MVAC_R19"/>
      <sheetName val="Mat_Elk10"/>
      <sheetName val="AHS_Isolasi10"/>
      <sheetName val="List_Plant10"/>
      <sheetName val="ANAL_TEKNIK10"/>
      <sheetName val="bhn_FINAL10"/>
      <sheetName val="Sat_Alat10"/>
      <sheetName val="PENJ_NERACA10"/>
      <sheetName val="CASH_FLOW10"/>
      <sheetName val="struktur_tdk_dipakai9"/>
      <sheetName val="REF_ONLY9"/>
      <sheetName val="SELISIH_HARGA10"/>
      <sheetName val="List_of_Eqp9"/>
      <sheetName val="Cash_Flow_bulanan9"/>
      <sheetName val="Investment_Valuation9"/>
      <sheetName val="3_3b9"/>
      <sheetName val="KONTRAK_INDUK_BULANAN10"/>
      <sheetName val="GFA_229"/>
      <sheetName val="T-3_4_Cost_of_Equipment10"/>
      <sheetName val="An_H_Sat_Pek_Ut10"/>
      <sheetName val="Harga_Sat_Das10"/>
      <sheetName val="T-3_2_UP_Labour10"/>
      <sheetName val="T-3_3_UP_Material10"/>
      <sheetName val="[Kr_tengah?iva_xls?H_Satua?9"/>
      <sheetName val="[Kr_te?gah?iva_xls?MAT_BAR?_AC9"/>
      <sheetName val="[Kr_tengah?iva?xls?H_Satua?19"/>
      <sheetName val="[K?_tengah?iva_xls?Kap?Tenaga9"/>
      <sheetName val="[K?_te?gah?iva_xls?Ana?isa_HS9"/>
      <sheetName val="B_-?Nor?lec9"/>
      <sheetName val="[K?_tengah?iva_xls?5-P?ralatan9"/>
      <sheetName val="[K?_te?gah?iva?xls?Inf?rmasi9"/>
      <sheetName val="[Kr_te?gah?iva_xls?upahbahan9"/>
      <sheetName val="[Kr_tengah?iva?xls?01A-_RA?9"/>
      <sheetName val="[Kr_tengah?iva?xls?NS_GD_U?AMA9"/>
      <sheetName val="[Kr_tengah?iva_xls?Str?Bengkel9"/>
      <sheetName val="[K?_te?gah?iva?xls?ANA?_BOW9"/>
      <sheetName val="M_12__2?9"/>
      <sheetName val="[K?_tengah?iva_xls?G_SUMMARY9"/>
      <sheetName val="[Kr_tengahDiva_xls?ANAL_HREZ9"/>
      <sheetName val="ANAL__M?9"/>
      <sheetName val="[Kr_tengahDiva_xls?analysis9"/>
      <sheetName val="Summary_Sheets9"/>
      <sheetName val="T__Cs_Log_P_III10"/>
      <sheetName val="Price_list9"/>
      <sheetName val="_Kr_tengahࡄiva_xls聝H_Satua聮9"/>
      <sheetName val="_Kr_te࡮gahࡄiva_xls聝MAT_BAR聕_AC9"/>
      <sheetName val="_Kr_tengahࡄiva࠮xls聝H_Satua聮19"/>
      <sheetName val="_Kࡲ_tengahࡄiva_xls聝Kap聟Tenaga9"/>
      <sheetName val="_Kࡲ_te࡮gahࡄiva_xls聝Ana聬isa_HS9"/>
      <sheetName val="_Kࡲ_tengahࡄiva_xls聝5-P聥ralatan9"/>
      <sheetName val="_Kࡲ_te࡮gahࡄiva࠮xls聝Inf聯rmasi9"/>
      <sheetName val="_Kr_te࡮gahࡄiva_xls聝upahbahan9"/>
      <sheetName val="_Kr_tengahࡄiva࠮xls聝01A-_RA聂9"/>
      <sheetName val="_Kr_tengahࡄiva࠮xls聝NS_GD_U联AMA9"/>
      <sheetName val="_Kr_tengahࡄiva_xls聝Str耭Bengkel9"/>
      <sheetName val="_Kࡲ_te࡮gahࡄiva࠮xls聝ANA职_BOW9"/>
      <sheetName val="_Kࡲ_tengahࡄiva_xls聝G_SUMMARY9"/>
      <sheetName val="_Kr_tengahDiva_xls聝ANAL_HREZ9"/>
      <sheetName val="_Kr_tengahDiva_xls聝analysis9"/>
      <sheetName val="3_Mob9"/>
      <sheetName val="TE_TS_FA_LAN_MATV9"/>
      <sheetName val="DAF_ALAT7"/>
      <sheetName val="Appendix_2(SatDas)9"/>
      <sheetName val="Currency_Rate9"/>
      <sheetName val="Sumber_Daya9"/>
      <sheetName val="Basic_alat9"/>
      <sheetName val="Basic_bahan9"/>
      <sheetName val="Basic_upah9"/>
      <sheetName val="HARGA_MATERIAL9"/>
      <sheetName val="Daftar_Kuantitas_&amp;_Harga9"/>
      <sheetName val="daftar_analisa9"/>
      <sheetName val="Analisa_Harga9"/>
      <sheetName val="UPAH_BAHAN_ARST9"/>
      <sheetName val="ELEC_STIS9"/>
      <sheetName val="1_29"/>
      <sheetName val="analisa_stroke9"/>
      <sheetName val="ME_Apt29"/>
      <sheetName val="Rate_Analysis9"/>
      <sheetName val="Standby_Alat6"/>
      <sheetName val="LAP__HARIAN6"/>
      <sheetName val="Blk_B19"/>
      <sheetName val="Pengalaman_Per7"/>
      <sheetName val="Unit_Cost7"/>
      <sheetName val="TOTAL_Agustus7"/>
      <sheetName val="A+Supl_6"/>
      <sheetName val="BQ__by_owner_6"/>
      <sheetName val="OPNAME_COMM-10+825-10+3006"/>
      <sheetName val="Harsat_Bahan7"/>
      <sheetName val="7_공정표7"/>
      <sheetName val="On_Time7"/>
      <sheetName val="List_Material7"/>
      <sheetName val="GAL_BIASA6"/>
      <sheetName val="Analisa_(ok)7"/>
      <sheetName val="II_MAIN-LOB7"/>
      <sheetName val="Rkp_Total7"/>
      <sheetName val="PAGE_1_9"/>
      <sheetName val="Ｎｏ_137"/>
      <sheetName val="Div_17"/>
      <sheetName val="Form_4,5,67"/>
      <sheetName val="PL_(MONTHLY)7"/>
      <sheetName val="_Kr_tengah_iva_xls_H_Satua_8"/>
      <sheetName val="_Kr_te_gah_iva_xls_MAT_BAR__AC8"/>
      <sheetName val="_Kr_tengah_iva_xls_H_Satua_18"/>
      <sheetName val="_K__tengah_iva_xls_Kap_Tenaga8"/>
      <sheetName val="_K__te_gah_iva_xls_Ana_isa_HS8"/>
      <sheetName val="B_-_Nor_lec8"/>
      <sheetName val="_K__tengah_iva_xls_5-P_ralatan8"/>
      <sheetName val="_K__te_gah_iva_xls_Inf_rmasi8"/>
      <sheetName val="_Kr_te_gah_iva_xls_upahbahan8"/>
      <sheetName val="_Kr_tengah_iva_xls_01A-_RA_8"/>
      <sheetName val="_Kr_tengah_iva_xls_NS_GD_U_AMA8"/>
      <sheetName val="_Kr_tengah_iva_xls_Str_Bengkel8"/>
      <sheetName val="_K__te_gah_iva_xls_ANA__BOW8"/>
      <sheetName val="_K__tengah_iva_xls_G_SUMMARY8"/>
      <sheetName val="_Kr_tengahDiva_xls_ANAL_HREZ8"/>
      <sheetName val="ANAL__M_8"/>
      <sheetName val="_Kr_tengahDiva_xls_analysis8"/>
      <sheetName val="Analisa_HSP7"/>
      <sheetName val="Galian_17"/>
      <sheetName val="Kuantitas_&amp;_Harga9"/>
      <sheetName val="Master_Edit7"/>
      <sheetName val="RPP01_66"/>
      <sheetName val="Daftar_Upah6"/>
      <sheetName val="Sum_IF6"/>
      <sheetName val="Uraian_Analisa6"/>
      <sheetName val="Speck_ARSITEK6"/>
      <sheetName val="Stden_center6"/>
      <sheetName val="M_Pekerjaan7"/>
      <sheetName val="BIIL_ASLI6"/>
      <sheetName val="Q'ty_per_m6"/>
      <sheetName val="Daftar_Paket6"/>
      <sheetName val="8LT_126"/>
      <sheetName val="Rekap_6"/>
      <sheetName val="BANG_TONG_HOP_(2)6"/>
      <sheetName val="_Kr_tengahDiva_xls聝analysi蕈6"/>
      <sheetName val="BQ_Mekanikal6"/>
      <sheetName val="Rencana__2_6"/>
      <sheetName val="Data_Pendukung7"/>
      <sheetName val="_6"/>
      <sheetName val="AnBiaya_OperasionalAlat6"/>
      <sheetName val="SAT_UPH_BHN6"/>
      <sheetName val="Analisa_Upah_&amp;_Bahan_Plum7"/>
      <sheetName val="Assumption_&amp;_Dashboard_6"/>
      <sheetName val="Cover_Daf_26"/>
      <sheetName val="ANALISA_railing6"/>
      <sheetName val="SAT_UPAH_RAPI6"/>
      <sheetName val="HASAT_DASAR6"/>
      <sheetName val="ana_pt6"/>
      <sheetName val="GRADE_SKALA6"/>
      <sheetName val="MASTER_DATA6"/>
      <sheetName val="Muh_Akhir6"/>
      <sheetName val="Chandra_Prabowo6"/>
      <sheetName val="BUL__A6"/>
      <sheetName val="rab_me__by_owner__6"/>
      <sheetName val="rab_me__fisik_6"/>
      <sheetName val="hrg-sat_pek6"/>
      <sheetName val="Lt_16"/>
      <sheetName val="Ana_Fin6"/>
      <sheetName val="CAB_26"/>
      <sheetName val="STOK_MAT6"/>
      <sheetName val="HDS_Sipil6"/>
      <sheetName val="Data_Tower6"/>
      <sheetName val="Vendor_Information7"/>
      <sheetName val="analisa_SNI6"/>
      <sheetName val="BAHAN_(2)6"/>
      <sheetName val="Tata_Udara6"/>
      <sheetName val="4_2_Public6"/>
      <sheetName val="COST_TOGO6"/>
      <sheetName val="H_Satuan_Dasar6"/>
      <sheetName val="urain_teknis6"/>
      <sheetName val="REKAP_GROSS6"/>
      <sheetName val="AN_BIAYA_MAKAN6"/>
      <sheetName val="HSD_BAHAN6"/>
      <sheetName val="HSD_UPAH_6"/>
      <sheetName val="7_PEK-STRUKTUR6"/>
      <sheetName val="Har_Sat6"/>
      <sheetName val="m_schedule6"/>
      <sheetName val="HM_MEK_6"/>
      <sheetName val="Control_Settings6"/>
      <sheetName val="Dates_&amp;_Escalators6"/>
      <sheetName val="Check_Totals6"/>
      <sheetName val="Rekap_BQ-Pompong6"/>
      <sheetName val="PERS_PENY6"/>
      <sheetName val="RAB_DC6"/>
      <sheetName val="anal_rinci6"/>
      <sheetName val="Rek_An6"/>
      <sheetName val="RAB_16"/>
      <sheetName val="RAB_26"/>
      <sheetName val="RAB_36"/>
      <sheetName val="Urai__Resap_pengikat6"/>
      <sheetName val="Unit_Price6"/>
      <sheetName val="500kV_BOQ6"/>
      <sheetName val="LINK-MAST__BASIC_PRICE6"/>
      <sheetName val="Price_of_Equip6"/>
      <sheetName val="Price_of_Mat6"/>
      <sheetName val="Upah&amp;Bahan_(2)7"/>
      <sheetName val="Analisa-Harga_(1F)7"/>
      <sheetName val="upah_bahan_9"/>
      <sheetName val="Rinc__Harg_BHN9"/>
      <sheetName val="H__Satuan_Upah_&amp;_Bahan6"/>
      <sheetName val="Analisa_Satuan_Pekerjaan6"/>
      <sheetName val="H__Satuan_Pekerjaan6"/>
      <sheetName val="OFFICE_2_LT6"/>
      <sheetName val="Harga_S_Dasar_UNTUK_IDISI6"/>
      <sheetName val="Daf_Biaya_sewa_alat6"/>
      <sheetName val="Supl_X6"/>
      <sheetName val="An__HS6"/>
      <sheetName val="Div_2_-_Drainase6"/>
      <sheetName val="Div_3_-_Tanah6"/>
      <sheetName val="Div_5_-_Berbutir6"/>
      <sheetName val="Div_6_-_Aspal6"/>
      <sheetName val="Div_7_-_Struktur6"/>
      <sheetName val="Div_8_-_Peng_Kondisi6"/>
      <sheetName val="Rekap_BBM6"/>
      <sheetName val="Rokan_16"/>
      <sheetName val="RAB_Ekstern6"/>
      <sheetName val="ITB_COST7"/>
      <sheetName val="Daf_Besi7"/>
      <sheetName val="data_profit6"/>
      <sheetName val="Anl_2s_d4e6"/>
      <sheetName val="CASHFLOW_FORECAST6"/>
      <sheetName val="Dftr_Isi6"/>
      <sheetName val="harsat_sdy6"/>
      <sheetName val="Metod_TWR6"/>
      <sheetName val="List_Pla6"/>
      <sheetName val="IDLE_ALAT13"/>
      <sheetName val="ATB_pers_(2)13"/>
      <sheetName val="FOTO_PR13"/>
      <sheetName val="G_umum13"/>
      <sheetName val="SCHE_vareto13"/>
      <sheetName val="ATB_pers13"/>
      <sheetName val="BQ_diva13"/>
      <sheetName val="MAT_BARU_AC13"/>
      <sheetName val="H_Satuan14"/>
      <sheetName val="AC_+13"/>
      <sheetName val="an_ATB_G13"/>
      <sheetName val="an_AC13"/>
      <sheetName val="an_ATB_L13"/>
      <sheetName val="ATB_+13"/>
      <sheetName val="Alat_DC13"/>
      <sheetName val="Kap_Tenaga13"/>
      <sheetName val="KH_Bahagia11"/>
      <sheetName val="HRG_BHN12"/>
      <sheetName val="Analisa_HS12"/>
      <sheetName val="Agregat_Halus_&amp;_Kasar12"/>
      <sheetName val="bill_qty12"/>
      <sheetName val="meth_hsl_nego12"/>
      <sheetName val="Kr_tengahDiva12"/>
      <sheetName val="Isolasi_Luar_Dalam12"/>
      <sheetName val="Isolasi_Luar12"/>
      <sheetName val="GASATAGG_XLS12"/>
      <sheetName val="ANAL_BOW12"/>
      <sheetName val="EXTERNAL_WORK12"/>
      <sheetName val="B_-_Norelec12"/>
      <sheetName val="L3_An_H_Sat_Mob12"/>
      <sheetName val="rab_me_(by_owner)_12"/>
      <sheetName val="BQ_(by_owner)12"/>
      <sheetName val="rab_me_(fisik)12"/>
      <sheetName val="Perm__Test11"/>
      <sheetName val="01A-_RAB11"/>
      <sheetName val="Man_Power12"/>
      <sheetName val="rekap_mekanikal11"/>
      <sheetName val="Analisa___Upah11"/>
      <sheetName val="Analisa_&amp;_Upah11"/>
      <sheetName val="M_12__2_11"/>
      <sheetName val="1_B11"/>
      <sheetName val="ANAL__ME11"/>
      <sheetName val="BW_analisa_cika_200511"/>
      <sheetName val="Fire_Alarm11"/>
      <sheetName val="F_ALARM11"/>
      <sheetName val="M&amp;E_R11"/>
      <sheetName val="RAB_PERSIAPAN_11"/>
      <sheetName val="Bill_No_2_1_Cold_Water_System11"/>
      <sheetName val="Civil_Works11"/>
      <sheetName val="Pos_4-111"/>
      <sheetName val="REKAP_ARSITEKTUR_11"/>
      <sheetName val="RAB_ADMINISTRASI_PUSAT_(1)11"/>
      <sheetName val="PROTEKSI_PETIR11"/>
      <sheetName val="KABEL_FEEDER11"/>
      <sheetName val="PENRNGN_&amp;_KTK-KNTK11"/>
      <sheetName val="NS_GD_UTAMA11"/>
      <sheetName val="BoQ_C411"/>
      <sheetName val="Fill_this_out_first___22"/>
      <sheetName val="Fill_this_out_first___23"/>
      <sheetName val="BOQ_KSN11"/>
      <sheetName val="Sat_Upah11"/>
      <sheetName val="HS_Alat12"/>
      <sheetName val="HS_Upah12"/>
      <sheetName val="HS_Sub-Kon12"/>
      <sheetName val="Analisa_ME_(2)11"/>
      <sheetName val="FIRE_FIGHTING11"/>
      <sheetName val="Master_1_011"/>
      <sheetName val="BANGUNAN_PENUNJANG11"/>
      <sheetName val="STD_Lanjutan11"/>
      <sheetName val="NS_Lanjutan11"/>
      <sheetName val="Up&amp;Bhn_11"/>
      <sheetName val="HB_11"/>
      <sheetName val="R_A_B_11"/>
      <sheetName val="Unit_Rate11"/>
      <sheetName val="BQ_Stdr_R-111"/>
      <sheetName val="New_MADC11"/>
      <sheetName val="Data_Ktr_Bupati_Tapsel11"/>
      <sheetName val="Harga_Satuan11"/>
      <sheetName val="sheet_211"/>
      <sheetName val="RAB_ME11"/>
      <sheetName val="RKP_PLUMBING11"/>
      <sheetName val="ENC_1411"/>
      <sheetName val="Daftar_berat11"/>
      <sheetName val="D_&amp;_W_sizes11"/>
      <sheetName val="Cable_150kV_Ref_11"/>
      <sheetName val="MAIN_EQUIP_AC11"/>
      <sheetName val="Rekap_Prelim11"/>
      <sheetName val="DUTCH_CONE11"/>
      <sheetName val="D___W_sizes11"/>
      <sheetName val="Bill_of_Qty_MEP11"/>
      <sheetName val="Transfer_Pump11"/>
      <sheetName val="An_HarSatPek11"/>
      <sheetName val="Pipa_(2)11"/>
      <sheetName val="Lamp_BAP11"/>
      <sheetName val="RAW_MATERIALS_11"/>
      <sheetName val="COST-PERSON-J_O_11"/>
      <sheetName val="NS_GD_UGD11"/>
      <sheetName val="STD_GD_UGD11"/>
      <sheetName val="AHS_str11"/>
      <sheetName val="4-Basic_Price11"/>
      <sheetName val="Daftar_Upah,Bhn,&amp;_alat11"/>
      <sheetName val="Lead_Schedule11"/>
      <sheetName val="Anal_Koef11"/>
      <sheetName val="Rekap_Biaya11"/>
      <sheetName val="HARGA_ALAT11"/>
      <sheetName val="ETAB_111"/>
      <sheetName val="Bill_5_Summary11"/>
      <sheetName val="GH_Quantity11"/>
      <sheetName val="KAN__LOKAL11"/>
      <sheetName val="Mat_Mek11"/>
      <sheetName val="Analisa_ME11"/>
      <sheetName val="Upah_Bahan11"/>
      <sheetName val="Rekap_Direct_Cost11"/>
      <sheetName val="Urai___Guide_Post11"/>
      <sheetName val="Met_Pas_Batu11"/>
      <sheetName val="Urai_Galian_Tanah11"/>
      <sheetName val="Met__Minor11"/>
      <sheetName val="ANALISA_HARGA_SATUAN11"/>
      <sheetName val="Daf_111"/>
      <sheetName val="fin_pro_centers11"/>
      <sheetName val="REKAP_ARSITEKTUR11"/>
      <sheetName val="rincian_per_proyek11"/>
      <sheetName val="BQ_struktur11"/>
      <sheetName val="ANALIS_111"/>
      <sheetName val="Daf__No____4_211"/>
      <sheetName val="BQ_Arsit11"/>
      <sheetName val="Sat_Bah_&amp;_Up11"/>
      <sheetName val="Bq_Ars11"/>
      <sheetName val="Hydran___springkler11"/>
      <sheetName val="Terbilang_sertifikat11"/>
      <sheetName val="REKAP_TOTAL11"/>
      <sheetName val="2_NSB_11"/>
      <sheetName val="2_SB11"/>
      <sheetName val="M_ITEM11"/>
      <sheetName val="BHN_Ars11"/>
      <sheetName val="7_NS_H11"/>
      <sheetName val="D_1_2_LT-_1_~_Atap11"/>
      <sheetName val="Analisa_Pusaka_Jaya11"/>
      <sheetName val="Report_detil_kondisi11"/>
      <sheetName val="Upah_dan_bahan11"/>
      <sheetName val="Input_monthly_capex11"/>
      <sheetName val="Data_Sei_Belutu11"/>
      <sheetName val="610_611"/>
      <sheetName val="610_511"/>
      <sheetName val="Data_Sinabung11"/>
      <sheetName val="AN_Panel12"/>
      <sheetName val="Bill_Of_Quantity11"/>
      <sheetName val="BGN_PENUNJANG11"/>
      <sheetName val="AC_LOAD11"/>
      <sheetName val="REKAP_ME11"/>
      <sheetName val="ANA_bab_69"/>
      <sheetName val="Sec_I_ML10"/>
      <sheetName val="ANALISA_PEK_UMUM9"/>
      <sheetName val="Basic_Price9"/>
      <sheetName val="4-Basic_Price-Upah9"/>
      <sheetName val="Analisa_210"/>
      <sheetName val="Bill_4_Summary11"/>
      <sheetName val="H__Dasar11"/>
      <sheetName val="B___Norelec11"/>
      <sheetName val="Site_Expenses11"/>
      <sheetName val="Cover_Daf-211"/>
      <sheetName val="[Kr_tengahࡄiva_xls聝H_Satua聮11"/>
      <sheetName val="[Kr_te࡮gahࡄiva_xls聝MAT_BAR聕_A11"/>
      <sheetName val="[Kr_tengahࡄiva࠮xls聝H_Satua聮111"/>
      <sheetName val="[Kࡲ_tengahࡄiva_xls聝Kap聟Tenaga11"/>
      <sheetName val="[Kࡲ_te࡮gahࡄiva_xls聝Ana聬isa_HS11"/>
      <sheetName val="B_-耠Nor聥lec11"/>
      <sheetName val="[Kࡲ_tengahࡄiva_xls聝5-P聥ralata11"/>
      <sheetName val="[Kࡲ_te࡮gahࡄiva࠮xls聝Inf聯rmasi11"/>
      <sheetName val="[Kr_te࡮gahࡄiva_xls聝upahbahan11"/>
      <sheetName val="[Kr_tengahࡄiva࠮xls聝01A-_RA聂11"/>
      <sheetName val="[Kr_tengahࡄiva࠮xls聝NS_GD_U联AM11"/>
      <sheetName val="[Kr_tengahࡄiva_xls聝Str耭Bengke11"/>
      <sheetName val="[Kࡲ_te࡮gahࡄiva࠮xls聝ANA职_BOW11"/>
      <sheetName val="M_12__2聟11"/>
      <sheetName val="[Kࡲ_tengahࡄiva_xls聝G_SUMMARY11"/>
      <sheetName val="[Kr_tengahDiva_xls聝ANAL_HREZ11"/>
      <sheetName val="ANAL__M聅11"/>
      <sheetName val="[Kr_tengahDiva_xls聝analysis11"/>
      <sheetName val="2__MVAC_R110"/>
      <sheetName val="Mat_Elk11"/>
      <sheetName val="AHS_Isolasi11"/>
      <sheetName val="List_Plant11"/>
      <sheetName val="ANAL_TEKNIK11"/>
      <sheetName val="bhn_FINAL11"/>
      <sheetName val="Sat_Alat11"/>
      <sheetName val="PENJ_NERACA11"/>
      <sheetName val="CASH_FLOW11"/>
      <sheetName val="struktur_tdk_dipakai10"/>
      <sheetName val="REF_ONLY10"/>
      <sheetName val="SELISIH_HARGA11"/>
      <sheetName val="List_of_Eqp10"/>
      <sheetName val="Cash_Flow_bulanan10"/>
      <sheetName val="Investment_Valuation10"/>
      <sheetName val="3_3b10"/>
      <sheetName val="KONTRAK_INDUK_BULANAN11"/>
      <sheetName val="GFA_2210"/>
      <sheetName val="T-3_4_Cost_of_Equipment11"/>
      <sheetName val="An_H_Sat_Pek_Ut11"/>
      <sheetName val="Harga_Sat_Das11"/>
      <sheetName val="T-3_2_UP_Labour11"/>
      <sheetName val="T-3_3_UP_Material11"/>
      <sheetName val="[Kr_tengah?iva_xls?H_Satua?10"/>
      <sheetName val="[Kr_te?gah?iva_xls?MAT_BAR?_A10"/>
      <sheetName val="[Kr_tengah?iva?xls?H_Satua?110"/>
      <sheetName val="[K?_tengah?iva_xls?Kap?Tenaga10"/>
      <sheetName val="[K?_te?gah?iva_xls?Ana?isa_HS10"/>
      <sheetName val="B_-?Nor?lec10"/>
      <sheetName val="[K?_tengah?iva_xls?5-P?ralata10"/>
      <sheetName val="[K?_te?gah?iva?xls?Inf?rmasi10"/>
      <sheetName val="[Kr_te?gah?iva_xls?upahbahan10"/>
      <sheetName val="[Kr_tengah?iva?xls?01A-_RA?10"/>
      <sheetName val="[Kr_tengah?iva?xls?NS_GD_U?AM10"/>
      <sheetName val="[Kr_tengah?iva_xls?Str?Bengke10"/>
      <sheetName val="[K?_te?gah?iva?xls?ANA?_BOW10"/>
      <sheetName val="M_12__2?10"/>
      <sheetName val="[K?_tengah?iva_xls?G_SUMMARY10"/>
      <sheetName val="[Kr_tengahDiva_xls?ANAL_HREZ10"/>
      <sheetName val="ANAL__M?10"/>
      <sheetName val="[Kr_tengahDiva_xls?analysis10"/>
      <sheetName val="Summary_Sheets10"/>
      <sheetName val="T__Cs_Log_P_III11"/>
      <sheetName val="Price_list10"/>
      <sheetName val="_Kr_tengahࡄiva_xls聝H_Satua聮10"/>
      <sheetName val="_Kr_te࡮gahࡄiva_xls聝MAT_BAR聕_A10"/>
      <sheetName val="_Kr_tengahࡄiva࠮xls聝H_Satua聮110"/>
      <sheetName val="_Kࡲ_tengahࡄiva_xls聝Kap聟Tenaga10"/>
      <sheetName val="_Kࡲ_te࡮gahࡄiva_xls聝Ana聬isa_HS10"/>
      <sheetName val="_Kࡲ_tengahࡄiva_xls聝5-P聥ralata10"/>
      <sheetName val="_Kࡲ_te࡮gahࡄiva࠮xls聝Inf聯rmasi10"/>
      <sheetName val="_Kr_te࡮gahࡄiva_xls聝upahbahan10"/>
      <sheetName val="_Kr_tengahࡄiva࠮xls聝01A-_RA聂10"/>
      <sheetName val="_Kr_tengahࡄiva࠮xls聝NS_GD_U联AM10"/>
      <sheetName val="_Kr_tengahࡄiva_xls聝Str耭Bengke10"/>
      <sheetName val="_Kࡲ_te࡮gahࡄiva࠮xls聝ANA职_BOW10"/>
      <sheetName val="_Kࡲ_tengahࡄiva_xls聝G_SUMMARY10"/>
      <sheetName val="_Kr_tengahDiva_xls聝ANAL_HREZ10"/>
      <sheetName val="_Kr_tengahDiva_xls聝analysis10"/>
      <sheetName val="3_Mob10"/>
      <sheetName val="TE_TS_FA_LAN_MATV10"/>
      <sheetName val="DAF_ALAT8"/>
      <sheetName val="Appendix_2(SatDas)10"/>
      <sheetName val="Currency_Rate10"/>
      <sheetName val="Sumber_Daya10"/>
      <sheetName val="Basic_alat10"/>
      <sheetName val="Basic_bahan10"/>
      <sheetName val="Basic_upah10"/>
      <sheetName val="HARGA_MATERIAL10"/>
      <sheetName val="Daftar_Kuantitas_&amp;_Harga10"/>
      <sheetName val="daftar_analisa10"/>
      <sheetName val="Analisa_Harga10"/>
      <sheetName val="UPAH_BAHAN_ARST10"/>
      <sheetName val="ELEC_STIS10"/>
      <sheetName val="1_210"/>
      <sheetName val="analisa_stroke10"/>
      <sheetName val="ME_Apt210"/>
      <sheetName val="Rate_Analysis10"/>
      <sheetName val="Standby_Alat7"/>
      <sheetName val="LAP__HARIAN7"/>
      <sheetName val="Blk_B110"/>
      <sheetName val="Pengalaman_Per8"/>
      <sheetName val="Unit_Cost8"/>
      <sheetName val="TOTAL_Agustus8"/>
      <sheetName val="A+Supl_7"/>
      <sheetName val="BQ__by_owner_7"/>
      <sheetName val="OPNAME_COMM-10+825-10+3007"/>
      <sheetName val="Harsat_Bahan8"/>
      <sheetName val="7_공정표8"/>
      <sheetName val="On_Time8"/>
      <sheetName val="List_Material8"/>
      <sheetName val="GAL_BIASA7"/>
      <sheetName val="Analisa_(ok)8"/>
      <sheetName val="II_MAIN-LOB8"/>
      <sheetName val="Rkp_Total8"/>
      <sheetName val="PAGE_1_10"/>
      <sheetName val="Ｎｏ_138"/>
      <sheetName val="Div_18"/>
      <sheetName val="Form_4,5,68"/>
      <sheetName val="PL_(MONTHLY)8"/>
      <sheetName val="_Kr_tengah_iva_xls_H_Satua_9"/>
      <sheetName val="_Kr_te_gah_iva_xls_MAT_BAR__AC9"/>
      <sheetName val="_Kr_tengah_iva_xls_H_Satua_19"/>
      <sheetName val="_K__tengah_iva_xls_Kap_Tenaga9"/>
      <sheetName val="_K__te_gah_iva_xls_Ana_isa_HS9"/>
      <sheetName val="B_-_Nor_lec9"/>
      <sheetName val="_K__tengah_iva_xls_5-P_ralatan9"/>
      <sheetName val="_K__te_gah_iva_xls_Inf_rmasi9"/>
      <sheetName val="_Kr_te_gah_iva_xls_upahbahan9"/>
      <sheetName val="_Kr_tengah_iva_xls_01A-_RA_9"/>
      <sheetName val="_Kr_tengah_iva_xls_NS_GD_U_AMA9"/>
      <sheetName val="_Kr_tengah_iva_xls_Str_Bengkel9"/>
      <sheetName val="_K__te_gah_iva_xls_ANA__BOW9"/>
      <sheetName val="_K__tengah_iva_xls_G_SUMMARY9"/>
      <sheetName val="_Kr_tengahDiva_xls_ANAL_HREZ9"/>
      <sheetName val="ANAL__M_9"/>
      <sheetName val="_Kr_tengahDiva_xls_analysis9"/>
      <sheetName val="Analisa_HSP8"/>
      <sheetName val="Galian_18"/>
      <sheetName val="Kuantitas_&amp;_Harga10"/>
      <sheetName val="Master_Edit8"/>
      <sheetName val="RPP01_67"/>
      <sheetName val="Daftar_Upah7"/>
      <sheetName val="Sum_IF7"/>
      <sheetName val="Uraian_Analisa7"/>
      <sheetName val="Speck_ARSITEK7"/>
      <sheetName val="Stden_center7"/>
      <sheetName val="M_Pekerjaan8"/>
      <sheetName val="BIIL_ASLI7"/>
      <sheetName val="Q'ty_per_m7"/>
      <sheetName val="Daftar_Paket7"/>
      <sheetName val="8LT_127"/>
      <sheetName val="Rekap_7"/>
      <sheetName val="BANG_TONG_HOP_(2)7"/>
      <sheetName val="_Kr_tengahDiva_xls聝analysi蕈7"/>
      <sheetName val="BQ_Mekanikal7"/>
      <sheetName val="Rencana__2_7"/>
      <sheetName val="Data_Pendukung8"/>
      <sheetName val="_7"/>
      <sheetName val="AnBiaya_OperasionalAlat7"/>
      <sheetName val="SAT_UPH_BHN7"/>
      <sheetName val="Analisa_Upah_&amp;_Bahan_Plum8"/>
      <sheetName val="Assumption_&amp;_Dashboard_7"/>
      <sheetName val="Cover_Daf_27"/>
      <sheetName val="ANALISA_railing7"/>
      <sheetName val="SAT_UPAH_RAPI7"/>
      <sheetName val="HASAT_DASAR7"/>
      <sheetName val="ana_pt7"/>
      <sheetName val="GRADE_SKALA7"/>
      <sheetName val="MASTER_DATA7"/>
      <sheetName val="Muh_Akhir7"/>
      <sheetName val="Chandra_Prabowo7"/>
      <sheetName val="BUL__A7"/>
      <sheetName val="rab_me__by_owner__7"/>
      <sheetName val="rab_me__fisik_7"/>
      <sheetName val="hrg-sat_pek7"/>
      <sheetName val="Lt_17"/>
      <sheetName val="Ana_Fin7"/>
      <sheetName val="CAB_27"/>
      <sheetName val="STOK_MAT7"/>
      <sheetName val="HDS_Sipil7"/>
      <sheetName val="Data_Tower7"/>
      <sheetName val="Vendor_Information8"/>
      <sheetName val="analisa_SNI7"/>
      <sheetName val="BAHAN_(2)7"/>
      <sheetName val="Tata_Udara7"/>
      <sheetName val="4_2_Public7"/>
      <sheetName val="COST_TOGO7"/>
      <sheetName val="H_Satuan_Dasar7"/>
      <sheetName val="urain_teknis7"/>
      <sheetName val="REKAP_GROSS7"/>
      <sheetName val="AN_BIAYA_MAKAN7"/>
      <sheetName val="HSD_BAHAN7"/>
      <sheetName val="HSD_UPAH_7"/>
      <sheetName val="7_PEK-STRUKTUR7"/>
      <sheetName val="Har_Sat7"/>
      <sheetName val="m_schedule7"/>
      <sheetName val="HM_MEK_7"/>
      <sheetName val="Control_Settings7"/>
      <sheetName val="Dates_&amp;_Escalators7"/>
      <sheetName val="Check_Totals7"/>
      <sheetName val="Rekap_BQ-Pompong7"/>
      <sheetName val="PERS_PENY7"/>
      <sheetName val="RAB_DC7"/>
      <sheetName val="anal_rinci7"/>
      <sheetName val="Rek_An7"/>
      <sheetName val="RAB_17"/>
      <sheetName val="RAB_27"/>
      <sheetName val="RAB_37"/>
      <sheetName val="Urai__Resap_pengikat7"/>
      <sheetName val="Unit_Price7"/>
      <sheetName val="500kV_BOQ7"/>
      <sheetName val="LINK-MAST__BASIC_PRICE7"/>
      <sheetName val="Price_of_Equip7"/>
      <sheetName val="Price_of_Mat7"/>
      <sheetName val="Upah&amp;Bahan_(2)8"/>
      <sheetName val="Analisa-Harga_(1F)8"/>
      <sheetName val="upah_bahan_10"/>
      <sheetName val="Rinc__Harg_BHN10"/>
      <sheetName val="H__Satuan_Upah_&amp;_Bahan7"/>
      <sheetName val="Analisa_Satuan_Pekerjaan7"/>
      <sheetName val="H__Satuan_Pekerjaan7"/>
      <sheetName val="OFFICE_2_LT7"/>
      <sheetName val="Harga_S_Dasar_UNTUK_IDISI7"/>
      <sheetName val="Daf_Biaya_sewa_alat7"/>
      <sheetName val="Supl_X7"/>
      <sheetName val="An__HS7"/>
      <sheetName val="Div_2_-_Drainase7"/>
      <sheetName val="Div_3_-_Tanah7"/>
      <sheetName val="Div_5_-_Berbutir7"/>
      <sheetName val="Div_6_-_Aspal7"/>
      <sheetName val="Div_7_-_Struktur7"/>
      <sheetName val="Div_8_-_Peng_Kondisi7"/>
      <sheetName val="Rekap_BBM7"/>
      <sheetName val="Rokan_17"/>
      <sheetName val="RAB_Ekstern7"/>
      <sheetName val="ITB_COST8"/>
      <sheetName val="Daf_Besi8"/>
      <sheetName val="data_profit7"/>
      <sheetName val="Anl_2s_d4e7"/>
      <sheetName val="CASHFLOW_FORECAST7"/>
      <sheetName val="Dftr_Isi7"/>
      <sheetName val="harsat_sdy7"/>
      <sheetName val="Metod_TWR7"/>
      <sheetName val="List_Pla7"/>
      <sheetName val="Analis Upah"/>
      <sheetName val="ELEMENT SUM"/>
      <sheetName val="HDS"/>
      <sheetName val="ALAT3"/>
      <sheetName val="Analisa___2_"/>
      <sheetName val="KGP_Thp_II"/>
      <sheetName val="page_1"/>
      <sheetName val="RUMUS_BEKISTING"/>
      <sheetName val="Total_for_Check"/>
      <sheetName val="analisa_Str"/>
      <sheetName val="analisa_09"/>
      <sheetName val="Analisa_(2)"/>
      <sheetName val="Kell_Dind-GC"/>
      <sheetName val="pekerjaan_"/>
      <sheetName val="List_Pla_x005f_x0000_È"/>
      <sheetName val="Hrg_Readymix"/>
      <sheetName val="BQ_PL_"/>
      <sheetName val="Bill_2_1_Basement_41_"/>
      <sheetName val="Operation_Cost_"/>
      <sheetName val="Fasilitas_Site"/>
      <sheetName val="_HSE_Site"/>
      <sheetName val="Sekretariat_Site"/>
      <sheetName val="Transport_Site"/>
      <sheetName val="Type_57__A"/>
      <sheetName val="harga_lama"/>
      <sheetName val="rekap_PINTU"/>
      <sheetName val="DAFTAR_BESI_KANAL_C_SIKU"/>
      <sheetName val="an__struktur"/>
      <sheetName val="JadpeL-Pkt1-Kampar_(4)"/>
      <sheetName val="Analisa_Prelim"/>
      <sheetName val="RAB_STEEL_"/>
      <sheetName val="Finishing_Warehouse"/>
      <sheetName val="material_"/>
      <sheetName val="Analis_Kusen_1_ESKALASI"/>
      <sheetName val="trf_multiple_dnrks1"/>
      <sheetName val="Harga_bahan-11"/>
      <sheetName val="Short_term_loan"/>
      <sheetName val="Analisa__(2)"/>
      <sheetName val="Pembongkaran"/>
      <sheetName val="Tabel"/>
      <sheetName val="Wall - Dewatering"/>
      <sheetName val="SOPMA DD"/>
      <sheetName val="terdistribusi"/>
      <sheetName val="RAB.STR,ARS"/>
      <sheetName val="RAB.1"/>
      <sheetName val="RAB.2"/>
      <sheetName val="RAB.4"/>
      <sheetName val="RAB.5"/>
      <sheetName val="RAB.6"/>
      <sheetName val="DIV5"/>
      <sheetName val="Escalation Code"/>
      <sheetName val="22MUK"/>
      <sheetName val="MHPP"/>
      <sheetName val="PIUTANG"/>
      <sheetName val="sektor"/>
      <sheetName val="PE-F-37_Rev_00_Paym_GBP"/>
      <sheetName val="Bill_rekap"/>
      <sheetName val="PERSONIL_P1"/>
      <sheetName val="An-Sipil(ADA_KODE)"/>
      <sheetName val="DICA_AKTIF"/>
      <sheetName val="fill_in_first"/>
      <sheetName val="Bill_No_6_Koord_&amp;_Attendance"/>
      <sheetName val="met_mpu"/>
      <sheetName val="Time_Schedule"/>
      <sheetName val="KODE_BAHAN"/>
      <sheetName val="KODE_UPAH"/>
      <sheetName val="INPUT_AGST"/>
      <sheetName val="LMKC_CB_V"/>
      <sheetName val="Seg_history_by_BT"/>
      <sheetName val="HP_evol_by_seg"/>
      <sheetName val="HSP_inen"/>
      <sheetName val="HSP_2018"/>
      <sheetName val="hit_BKMM"/>
      <sheetName val="an-jln"/>
      <sheetName val="an-pipa"/>
      <sheetName val="BYMHD_SBB"/>
      <sheetName val="Bolts"/>
      <sheetName val="Harga BBM Indonesia"/>
      <sheetName val="sch 1.2"/>
      <sheetName val="275kV"/>
      <sheetName val="Dolar dalam Rp"/>
      <sheetName val="Inflasi $"/>
      <sheetName val="ダクト拾･集計"/>
      <sheetName val="Analisa ME "/>
      <sheetName val="DatabaseSPK"/>
      <sheetName val="EQUIP LIST"/>
      <sheetName val="BQMP"/>
      <sheetName val="co-no.2"/>
      <sheetName val="2.4 (1)"/>
      <sheetName val="analisa_Lengkap"/>
      <sheetName val="ANALISA RUDINIM"/>
      <sheetName val="K-9 Ok"/>
      <sheetName val="Analisa-H"/>
      <sheetName val="ANL-E"/>
      <sheetName val="Prelim Thp 2"/>
      <sheetName val="Direct Cost Thp 2"/>
      <sheetName val="MEK"/>
      <sheetName val="daftar harga dan upah"/>
      <sheetName val="PEMBANTAIAN"/>
      <sheetName val="giathanh1"/>
      <sheetName val="thao-go"/>
      <sheetName val="CHITIET VL-NC-TT -1p"/>
      <sheetName val="VC"/>
      <sheetName val="TH XL"/>
      <sheetName val="Tiepdia"/>
      <sheetName val="CHITIET VL-NC-TT-3p"/>
      <sheetName val="t-h HA THE"/>
      <sheetName val="TDTKP"/>
      <sheetName val="TDTKP1"/>
      <sheetName val="TONGKE3p "/>
      <sheetName val="KPVC-BD "/>
      <sheetName val="TNHCHINH"/>
      <sheetName val="BQ Str - Ars"/>
      <sheetName val="PLN Mar"/>
      <sheetName val="ANALISA_BANGLI1"/>
      <sheetName val="HRG-_UPAH1"/>
      <sheetName val="5_1_ELEKTRIKAL-ELEKTRONIK1"/>
      <sheetName val="_Kr_tengahDiva_xls聝analysi뷈1"/>
      <sheetName val="_Kr_tengahDiva_xls聝analysi飈1"/>
      <sheetName val="_Kr_tengahDiva_xls聝analysi鷸1"/>
      <sheetName val="_Kr_tengahDiva_xls聝analysi闀1"/>
      <sheetName val="_Kr_tengahDiva_xls聝analysi魈1"/>
      <sheetName val="2__Elektrik1"/>
      <sheetName val="FORM_X_COST1"/>
      <sheetName val="1__PERSIAPAN1"/>
      <sheetName val="GRAND_REKAP1"/>
      <sheetName val="Rekap_Bill1"/>
      <sheetName val="Jdw_Alat1"/>
      <sheetName val="S_Penawar1"/>
      <sheetName val="ADD_2_(1)1"/>
      <sheetName val="Bangunan_Utama1"/>
      <sheetName val="Analisa_Baku_ME1"/>
      <sheetName val="Analisa_Baku_STR_ARS1"/>
      <sheetName val="lt__dasar1"/>
      <sheetName val="FINAL_SUM1"/>
      <sheetName val="_MINGGUAN1"/>
      <sheetName val="Hit_Vol_Str_Jambi1"/>
      <sheetName val="_Kr_tengahDiva_xls聝analysi1"/>
      <sheetName val="Jadwal_Pekerjaan"/>
      <sheetName val="H_STN"/>
      <sheetName val="Harga_Pekerjaan"/>
      <sheetName val="Harga Kelistrikan"/>
      <sheetName val="Upah &amp; Bahan"/>
      <sheetName val="nama"/>
      <sheetName val="RAB IPAL"/>
      <sheetName val="H. SATUAN"/>
      <sheetName val="ANALISA_OK"/>
      <sheetName val="Balok L.1"/>
      <sheetName val="Daf Harga"/>
      <sheetName val="An_ Harga"/>
      <sheetName val="PROD 15-11"/>
      <sheetName val="PROD 15-10"/>
      <sheetName val="Material + upah"/>
      <sheetName val="PROD 15-7"/>
      <sheetName val="Rincian beban operasi"/>
      <sheetName val="DBKoef"/>
      <sheetName val="ANTEK-AGGA"/>
      <sheetName val="BURDA"/>
      <sheetName val="ANTEK-GAL"/>
      <sheetName val="HRS-ATB"/>
      <sheetName val="ANTEK-PRIME"/>
      <sheetName val="ANTEK-TIMB"/>
      <sheetName val="railing"/>
      <sheetName val="Side channel"/>
      <sheetName val="div-1"/>
      <sheetName val="VOLUME MATERIL"/>
      <sheetName val="conc-mix"/>
      <sheetName val="BACK"/>
      <sheetName val="catatan"/>
      <sheetName val="div-2"/>
      <sheetName val="2.RAB"/>
      <sheetName val="DIV-2 (Drainase)"/>
      <sheetName val="DIV-3"/>
      <sheetName val="DIV-4"/>
      <sheetName val="DIV-5"/>
      <sheetName val="DIV-6"/>
      <sheetName val="Schedule(S-Curve)"/>
      <sheetName val="Matriks Skla Priorit MTW"/>
      <sheetName val="예산M12A"/>
      <sheetName val="earthwork"/>
      <sheetName val="Sat Bahan"/>
      <sheetName val="4SM00369_&amp;_4SM00370_"/>
      <sheetName val="KJ_20024"/>
      <sheetName val="Tie_Beam_GN4"/>
      <sheetName val="Tangga_GN4"/>
      <sheetName val="Villa_A4"/>
      <sheetName val="D_1_72"/>
      <sheetName val="D_1_52"/>
      <sheetName val="D_2_32"/>
      <sheetName val="D_2_22"/>
      <sheetName val="SCH_GG_&amp;_SAS2"/>
      <sheetName val="Data_Base_List2"/>
      <sheetName val="HRG_BAHAN___UPAH_okk4"/>
      <sheetName val="HRG_BAHAN_&amp;_UPAH_okk4"/>
      <sheetName val="Analis_Kusen_okk4"/>
      <sheetName val="01_FA2"/>
      <sheetName val="Anal_Alat_Type_II_A2"/>
      <sheetName val="u_aLAT2"/>
      <sheetName val="BOQ_EM3"/>
      <sheetName val="Field_DCPT3"/>
      <sheetName val="eQUIPMENT_COST3"/>
      <sheetName val="2__Elektrik2"/>
      <sheetName val="H_Alat3"/>
      <sheetName val="H_Bahan3"/>
      <sheetName val="Rekap_RAB3"/>
      <sheetName val="unit_33"/>
      <sheetName val="ANALISA_GRS_kota2"/>
      <sheetName val="NP_(2)2"/>
      <sheetName val="Harsat_Upah2"/>
      <sheetName val="Harga_Dasar2"/>
      <sheetName val="FAB-2010_sd_20112"/>
      <sheetName val="Goodwill_Calculation2"/>
      <sheetName val="Basic_P3"/>
      <sheetName val="cons_workpapers3"/>
      <sheetName val="Hg_Sat2"/>
      <sheetName val="Daf_Dasar_Upah&amp;Bahan4"/>
      <sheetName val="URA_E4502"/>
      <sheetName val="hrg_sat4"/>
      <sheetName val="_BoQ_Green_Field_option_12"/>
      <sheetName val="HRG-_UPAH2"/>
      <sheetName val="rab_g__menara_pengawas2"/>
      <sheetName val="tabel_pnganan_mslh2"/>
      <sheetName val="SNI_FIX2"/>
      <sheetName val="ANA_bab_22"/>
      <sheetName val="Amortization_Table3"/>
      <sheetName val="BGT_072"/>
      <sheetName val="Daf_Harga_Satuan2"/>
      <sheetName val="Uraian_Upah2"/>
      <sheetName val="ANALISA_EL_DAN_ELC2"/>
      <sheetName val="HSP_LT_BS2"/>
      <sheetName val="BAHAN_MKNL2"/>
      <sheetName val="HSU_20162"/>
      <sheetName val="_Kr_tengahDiva_xls聝analysi3"/>
      <sheetName val="(htp@___3"/>
      <sheetName val="RAB_(A)_(2)3"/>
      <sheetName val="RAB_TTB_ADM83"/>
      <sheetName val="BULAN_13"/>
      <sheetName val="Analisa_SNI_STANDART_3"/>
      <sheetName val="Harsat_Bahan_2"/>
      <sheetName val="Analisa_Alat2"/>
      <sheetName val="sh健et_22"/>
      <sheetName val="MASTER_12"/>
      <sheetName val="REKAP_Tbh2"/>
      <sheetName val="DAF_HRG2"/>
      <sheetName val="Analisa_Upah___Bahan_Plum2"/>
      <sheetName val="DATA_BASE2"/>
      <sheetName val="DRUP_(ASLI)2"/>
      <sheetName val="Appendix_2(SatDas´2"/>
      <sheetName val="Harga_Bahan3"/>
      <sheetName val="Internal_AFE_Form_2_3"/>
      <sheetName val="ANALISA_GRS_TENGAH4"/>
      <sheetName val="Rekap_Anl2"/>
      <sheetName val="RAB_AR&amp;STR2"/>
      <sheetName val="AnalisaSIPIL_RIIL_RAP2"/>
      <sheetName val="GRAFIK_2"/>
      <sheetName val="ANALISA_BANGLI2"/>
      <sheetName val="lkalibrasi_BENENAIN2"/>
      <sheetName val="L__Hr2"/>
      <sheetName val="s_g_exx2"/>
      <sheetName val="AHS_all2"/>
      <sheetName val="D_792"/>
      <sheetName val="D_802"/>
      <sheetName val="D_812"/>
      <sheetName val="D_822"/>
      <sheetName val="D_832"/>
      <sheetName val="D_842"/>
      <sheetName val="D_852"/>
      <sheetName val="D_862"/>
      <sheetName val="D_872"/>
      <sheetName val="D_882"/>
      <sheetName val="D_892"/>
      <sheetName val="D_912"/>
      <sheetName val="D_922"/>
      <sheetName val="D_932"/>
      <sheetName val="D_942"/>
      <sheetName val="D_952"/>
      <sheetName val="D_962"/>
      <sheetName val="time_schedulle2"/>
      <sheetName val="4SM00369_&amp;_4SM00370_2"/>
      <sheetName val="lt__dasar2"/>
      <sheetName val="FINAL_SUM2"/>
      <sheetName val="Perhitungan_KC_ke_SUBKON2"/>
      <sheetName val="surat_2"/>
      <sheetName val="Bangunan_Utama2"/>
      <sheetName val="Analisa_Baku_ME2"/>
      <sheetName val="Analisa_Baku_STR_ARS2"/>
      <sheetName val="_Kr_tengahDiva_xls聝analysi뷈2"/>
      <sheetName val="_Kr_tengahDiva_xls聝analysi飈2"/>
      <sheetName val="_Kr_tengahDiva_xls聝analysi鷸2"/>
      <sheetName val="_Kr_tengahDiva_xls聝analysi闀2"/>
      <sheetName val="_Kr_tengahDiva_xls聝analysi魈2"/>
      <sheetName val="5_1_ELEKTRIKAL-ELEKTRONIK2"/>
      <sheetName val="analisa_092"/>
      <sheetName val="Analisa_(2)2"/>
      <sheetName val="Kell_Dind-GC2"/>
      <sheetName val="rekap_PINTU2"/>
      <sheetName val="Rencana_Anggaran_Biaya2"/>
      <sheetName val="Mobilisasi_(2)2"/>
      <sheetName val="Data_Umum_Penawaran2"/>
      <sheetName val="dongia_(2)2"/>
      <sheetName val="THPDMoi__(2)2"/>
      <sheetName val="sched-induk-(Th_2008_5M)2"/>
      <sheetName val="ANALISA_SBU2"/>
      <sheetName val="ANL_K2"/>
      <sheetName val="Urugan_Pasir2"/>
      <sheetName val="ANALI_PP2"/>
      <sheetName val="inst_pemrintah2"/>
      <sheetName val="Lab_E_(FKU)2"/>
      <sheetName val="rms_remunerasi2"/>
      <sheetName val="Harga_Mat_2"/>
      <sheetName val="URAIAN_2"/>
      <sheetName val="_INCOME_STATEMENT_(2)4"/>
      <sheetName val="UMUR_ALAT2"/>
      <sheetName val="FAKTOR_MODAL_CRF2"/>
      <sheetName val="BILL_OF_QUAN2"/>
      <sheetName val="Faktor_Konversi2"/>
      <sheetName val="Bahan_Upah2"/>
      <sheetName val="Man_Power_&amp;_Comp2"/>
      <sheetName val="harga_Satua_Dasar2"/>
      <sheetName val="anal-drainase,tanah&amp;ps_batu2"/>
      <sheetName val="B1_2-BB2"/>
      <sheetName val="_MINGGUAN2"/>
      <sheetName val="AnalisaSIPIL_RIIL2"/>
      <sheetName val="HARGA_SAT2"/>
      <sheetName val="Lau_Luhung2"/>
      <sheetName val="FORM_X_COST2"/>
      <sheetName val="A_Card2"/>
      <sheetName val="Kata_Pengantar2"/>
      <sheetName val="Als_Struk2"/>
      <sheetName val="_Kr_tengahDiva_xls聝analysi2"/>
      <sheetName val="Schedule_OK_Status4"/>
      <sheetName val="Summary_and_Design2"/>
      <sheetName val="D2_42"/>
      <sheetName val="D4_3_(TE)2"/>
      <sheetName val="D5_3_(TF)_2"/>
      <sheetName val="D8_3_(TJ)2"/>
      <sheetName val="trf_7_jht2"/>
      <sheetName val="LAPORAN_KARYA2"/>
      <sheetName val="LIST_ANHARSAT2"/>
      <sheetName val="6a_Rekap2"/>
      <sheetName val="13mm_E_P_2"/>
      <sheetName val="20mm(E_P)2"/>
      <sheetName val="20mm(StaircaseP_P)2"/>
      <sheetName val="13mm_P_P2"/>
      <sheetName val="REK_ADD2"/>
      <sheetName val="Pay_Items2"/>
      <sheetName val="Payback_Analysis2"/>
      <sheetName val="HRG_SATUAN2"/>
      <sheetName val="RAB_adm2"/>
      <sheetName val="Sat_adm2"/>
      <sheetName val="MONITORING_PENGADAAN2"/>
      <sheetName val="Pemakaian_besi2"/>
      <sheetName val="curve_s2"/>
      <sheetName val="DIVISI_6__A2"/>
      <sheetName val="3-DIV7_12"/>
      <sheetName val="BAHAN_,_UPAH_,_ALAT2"/>
      <sheetName val="8-Lamp1_(2)2"/>
      <sheetName val="8-Lamp6_B2"/>
      <sheetName val="8-Lamp14_2"/>
      <sheetName val="11-S_PEN2"/>
      <sheetName val="SPREAD_SHEET2"/>
      <sheetName val="LEVEL_22"/>
      <sheetName val="LEVEL_42"/>
      <sheetName val="REKAP_PRELIM_20141"/>
      <sheetName val="DIRECT_COST1"/>
      <sheetName val="ocean_voyage1"/>
      <sheetName val="Public_Area1"/>
      <sheetName val="BOQ_EM2"/>
      <sheetName val="Field_DCPT2"/>
      <sheetName val="eQUIPMENT_COST2"/>
      <sheetName val="FAB-2010_sd_20111"/>
      <sheetName val="Basic_P2"/>
      <sheetName val="cons_workpapers2"/>
      <sheetName val="Hg_Sat1"/>
      <sheetName val="URA_E4501"/>
      <sheetName val="Amortization_Table2"/>
      <sheetName val="_Kr_tengahDiva_xls聝analysi2"/>
      <sheetName val="(htp@___2"/>
      <sheetName val="RAB_(A)_(2)2"/>
      <sheetName val="RAB_TTB_ADM82"/>
      <sheetName val="BULAN_12"/>
      <sheetName val="Analisa_SNI_STANDART_2"/>
      <sheetName val="MASTER_11"/>
      <sheetName val="DRUP_(ASLI)1"/>
      <sheetName val="Appendix_2(SatDas´1"/>
      <sheetName val="Harga_Bahan2"/>
      <sheetName val="Internal_AFE_Form_2_2"/>
      <sheetName val="GRAFIK_1"/>
      <sheetName val="D_791"/>
      <sheetName val="D_801"/>
      <sheetName val="D_811"/>
      <sheetName val="D_821"/>
      <sheetName val="D_831"/>
      <sheetName val="D_841"/>
      <sheetName val="D_851"/>
      <sheetName val="D_861"/>
      <sheetName val="D_871"/>
      <sheetName val="D_881"/>
      <sheetName val="D_891"/>
      <sheetName val="D_911"/>
      <sheetName val="D_921"/>
      <sheetName val="D_931"/>
      <sheetName val="D_941"/>
      <sheetName val="D_951"/>
      <sheetName val="D_961"/>
      <sheetName val="time_schedulle1"/>
      <sheetName val="4SM00369_&amp;_4SM00370_1"/>
      <sheetName val="Perhitungan_KC_ke_SUBKON1"/>
      <sheetName val="surat_1"/>
      <sheetName val="analisa_091"/>
      <sheetName val="Analisa_(2)1"/>
      <sheetName val="Kell_Dind-GC1"/>
      <sheetName val="rekap_PINTU1"/>
      <sheetName val="Rencana_Anggaran_Biaya1"/>
      <sheetName val="Mobilisasi_(2)1"/>
      <sheetName val="Data_Umum_Penawaran1"/>
      <sheetName val="dongia_(2)1"/>
      <sheetName val="THPDMoi__(2)1"/>
      <sheetName val="sched-induk-(Th_2008_5M)1"/>
      <sheetName val="ANALISA_SBU1"/>
      <sheetName val="ANL_K1"/>
      <sheetName val="ANALI_PP1"/>
      <sheetName val="inst_pemrintah1"/>
      <sheetName val="Lab_E_(FKU)1"/>
      <sheetName val="URAIAN_1"/>
      <sheetName val="harga_Satua_Dasar1"/>
      <sheetName val="anal-drainase,tanah&amp;ps_batu1"/>
      <sheetName val="B1_2-BB1"/>
      <sheetName val="AnalisaSIPIL_RIIL1"/>
      <sheetName val="HARGA_SAT1"/>
      <sheetName val="Lau_Luhung1"/>
      <sheetName val="Als_Struk1"/>
      <sheetName val="HRG_SATUAN1"/>
      <sheetName val="RAB_adm1"/>
      <sheetName val="Sat_adm1"/>
      <sheetName val="MONITORING_PENGADAAN1"/>
      <sheetName val="Pemakaian_besi1"/>
      <sheetName val="curve_s1"/>
      <sheetName val="DIVISI_6__A1"/>
      <sheetName val="3-DIV7_11"/>
      <sheetName val="BAHAN_,_UPAH_,_ALAT1"/>
      <sheetName val="8-Lamp1_(2)1"/>
      <sheetName val="8-Lamp6_B1"/>
      <sheetName val="8-Lamp14_1"/>
      <sheetName val="11-S_PEN1"/>
      <sheetName val="SPREAD_SHEET1"/>
      <sheetName val="RASK ALL"/>
      <sheetName val="data-1"/>
      <sheetName val="finalisasi"/>
      <sheetName val="Data base 2011 (Sept)"/>
      <sheetName val="perkerasan rigid"/>
      <sheetName val="DIV.2"/>
      <sheetName val="Sect-1a"/>
      <sheetName val="RJBR"/>
      <sheetName val="HYPOTHESES"/>
      <sheetName val="Projects Y2002"/>
      <sheetName val="Sales&amp;GM Jan Dec 04"/>
      <sheetName val="AR"/>
      <sheetName val="CB"/>
      <sheetName val="Civil-work  "/>
      <sheetName val="Miscellaneous "/>
      <sheetName val="RO45"/>
      <sheetName val="POS JAGA"/>
      <sheetName val="Total Civil work"/>
      <sheetName val="#REF!"/>
      <sheetName val="Bill No 2 Cover"/>
      <sheetName val="CommonInputs"/>
      <sheetName val="current property"/>
      <sheetName val="TH VL, NC, DDHT Thanhphuoc"/>
      <sheetName val="Motor Sytem"/>
      <sheetName val="Coa"/>
      <sheetName val="2.3.(4)"/>
      <sheetName val="Alat R"/>
      <sheetName val="ANA-HRG"/>
      <sheetName val="METHOD"/>
      <sheetName val="Hst,upah"/>
      <sheetName val="BAB.V-5(1)"/>
      <sheetName val="BAB.V-11(1)"/>
      <sheetName val="BAB.V-4(1)"/>
      <sheetName val="5-ALAT slury"/>
      <sheetName val="BOQ-Rekon"/>
      <sheetName val="Rekap Masing2"/>
      <sheetName val="6.a. uraian"/>
      <sheetName val="6. Analisa"/>
      <sheetName val="1. Rekap A"/>
      <sheetName val="2. RAB"/>
      <sheetName val="ANALISA  besing"/>
      <sheetName val="S_Suramadu"/>
      <sheetName val="TENAGA"/>
      <sheetName val="Tuk Koef"/>
      <sheetName val="Metode 3"/>
      <sheetName val="BQ EXTERN"/>
      <sheetName val="Kurs"/>
      <sheetName val="DAFTAR ISI"/>
      <sheetName val="An Mjl"/>
      <sheetName val="GRAND RCPT"/>
      <sheetName val="Bang Ut BoQ"/>
      <sheetName val="LANDSCPE BoQ"/>
      <sheetName val="sc"/>
      <sheetName val="rab-str-TAHAP.1-PC"/>
      <sheetName val="UPAH-2"/>
      <sheetName val="COV"/>
      <sheetName val="FxRates_Monthly Rates"/>
      <sheetName val="Vol Eff"/>
      <sheetName val="volsum"/>
      <sheetName val="VOLUMES"/>
      <sheetName val="An.Q"/>
      <sheetName val="7(a)"/>
      <sheetName val="C"/>
      <sheetName val="지급자재"/>
      <sheetName val="List Pla?È"/>
      <sheetName val="_Kr tengahDiva.xls聝analysi?"/>
      <sheetName val="bilangk??"/>
      <sheetName val="VMR - Entertainment"/>
      <sheetName val="OrgRates2000"/>
      <sheetName val="Eng_Hrs _HO_"/>
      <sheetName val="Machinery"/>
      <sheetName val="Musholla Pantry 1"/>
      <sheetName val="Musholah &amp; PantryMEP"/>
      <sheetName val="유림골조"/>
      <sheetName val="IDLE_ALAT14"/>
      <sheetName val="ATB_pers_(2)14"/>
      <sheetName val="FOTO_PR14"/>
      <sheetName val="G_umum14"/>
      <sheetName val="SCHE_vareto14"/>
      <sheetName val="ATB_pers14"/>
      <sheetName val="BQ_diva14"/>
      <sheetName val="MAT_BARU_AC14"/>
      <sheetName val="H_Satuan15"/>
      <sheetName val="AC_+14"/>
      <sheetName val="an_ATB_G14"/>
      <sheetName val="an_AC14"/>
      <sheetName val="an_ATB_L14"/>
      <sheetName val="ATB_+14"/>
      <sheetName val="Alat_DC14"/>
      <sheetName val="Kap_Tenaga14"/>
      <sheetName val="HRG_BHN13"/>
      <sheetName val="Agregat_Halus_&amp;_Kasar13"/>
      <sheetName val="Analisa_HS13"/>
      <sheetName val="Kr_tengahDiva13"/>
      <sheetName val="Isolasi_Luar_Dalam13"/>
      <sheetName val="Isolasi_Luar13"/>
      <sheetName val="Sat_Upah13"/>
      <sheetName val="REKAP_ARSITEKTUR_13"/>
      <sheetName val="L3_An_H_Sat_Mob13"/>
      <sheetName val="Man_Power13"/>
      <sheetName val="EXTERNAL_WORK13"/>
      <sheetName val="01A-_RAB13"/>
      <sheetName val="Fill_this_out_first___26"/>
      <sheetName val="Fill_this_out_first___27"/>
      <sheetName val="B_-_Norelec13"/>
      <sheetName val="STD_Lanjutan13"/>
      <sheetName val="NS_Lanjutan13"/>
      <sheetName val="GASATAGG_XLS13"/>
      <sheetName val="BOQ_KSN13"/>
      <sheetName val="HS_Alat13"/>
      <sheetName val="HS_Upah13"/>
      <sheetName val="HS_Sub-Kon13"/>
      <sheetName val="Analisa_ME_(2)13"/>
      <sheetName val="1_B13"/>
      <sheetName val="Bill_No_2_1_Cold_Water_System13"/>
      <sheetName val="Civil_Works13"/>
      <sheetName val="rab_me_(by_owner)_13"/>
      <sheetName val="BQ_(by_owner)13"/>
      <sheetName val="D_&amp;_W_sizes13"/>
      <sheetName val="NS_GD_UTAMA13"/>
      <sheetName val="Pipa_(2)12"/>
      <sheetName val="rekap_mekanikal13"/>
      <sheetName val="Analisa___Upah13"/>
      <sheetName val="Unit_Rate12"/>
      <sheetName val="Lamp_BAP12"/>
      <sheetName val="bill_qty13"/>
      <sheetName val="meth_hsl_nego13"/>
      <sheetName val="ANAL_BOW14"/>
      <sheetName val="rab_me_(fisik)13"/>
      <sheetName val="Fire_Alarm13"/>
      <sheetName val="F_ALARM13"/>
      <sheetName val="ANAL__ME13"/>
      <sheetName val="BW_analisa_cika_200513"/>
      <sheetName val="M&amp;E_R13"/>
      <sheetName val="RAB_PERSIAPAN_13"/>
      <sheetName val="Pos_4-113"/>
      <sheetName val="RAB_ADMINISTRASI_PUSAT_(1)13"/>
      <sheetName val="PROTEKSI_PETIR13"/>
      <sheetName val="KABEL_FEEDER13"/>
      <sheetName val="PENRNGN_&amp;_KTK-KNTK13"/>
      <sheetName val="BoQ_C413"/>
      <sheetName val="FIRE_FIGHTING13"/>
      <sheetName val="Master_1_013"/>
      <sheetName val="BANGUNAN_PENUNJANG13"/>
      <sheetName val="Analisa_&amp;_Upah13"/>
      <sheetName val="M_12__2_13"/>
      <sheetName val="Daftar_berat13"/>
      <sheetName val="Bill_of_Qty_MEP13"/>
      <sheetName val="HB_12"/>
      <sheetName val="Rekap_Prelim13"/>
      <sheetName val="BQ_Stdr_R-112"/>
      <sheetName val="Transfer_Pump12"/>
      <sheetName val="D___W_sizes13"/>
      <sheetName val="Cable_150kV_Ref_13"/>
      <sheetName val="MAIN_EQUIP_AC13"/>
      <sheetName val="Data_Ktr_Bupati_Tapsel12"/>
      <sheetName val="New_MADC12"/>
      <sheetName val="Daf__No____4_212"/>
      <sheetName val="RKP_PLUMBING12"/>
      <sheetName val="BQ_Arsit12"/>
      <sheetName val="An_HarSatPek12"/>
      <sheetName val="Sat_Bah_&amp;_Up12"/>
      <sheetName val="ANALIS_113"/>
      <sheetName val="DUTCH_CONE13"/>
      <sheetName val="Upah_Bahan12"/>
      <sheetName val="RAW_MATERIALS_12"/>
      <sheetName val="COST-PERSON-J_O_12"/>
      <sheetName val="Mat_Mek13"/>
      <sheetName val="Harga_Satuan12"/>
      <sheetName val="sheet_212"/>
      <sheetName val="RAB_ME12"/>
      <sheetName val="Analisa_ME12"/>
      <sheetName val="AN_Panel13"/>
      <sheetName val="HARGA_ALAT12"/>
      <sheetName val="ETAB_112"/>
      <sheetName val="NS_GD_UGD12"/>
      <sheetName val="STD_GD_UGD12"/>
      <sheetName val="Perm__Test12"/>
      <sheetName val="Daf_112"/>
      <sheetName val="KAN__LOKAL12"/>
      <sheetName val="Upah_dan_bahan12"/>
      <sheetName val="GH_Quantity12"/>
      <sheetName val="BQ_struktur12"/>
      <sheetName val="4-Basic_Price12"/>
      <sheetName val="fin_pro_centers12"/>
      <sheetName val="R_A_B_12"/>
      <sheetName val="Rekap_Direct_Cost12"/>
      <sheetName val="Urai___Guide_Post12"/>
      <sheetName val="Met_Pas_Batu12"/>
      <sheetName val="Urai_Galian_Tanah12"/>
      <sheetName val="Met__Minor12"/>
      <sheetName val="2_NSB_12"/>
      <sheetName val="2_SB12"/>
      <sheetName val="M_ITEM12"/>
      <sheetName val="BHN_Ars12"/>
      <sheetName val="7_NS_H12"/>
      <sheetName val="Terbilang_sertifikat12"/>
      <sheetName val="ENC_1412"/>
      <sheetName val="Analisa_Pusaka_Jaya12"/>
      <sheetName val="Report_detil_kondisi12"/>
      <sheetName val="AHS_str12"/>
      <sheetName val="ANALISA_HARGA_SATUAN12"/>
      <sheetName val="Hydran___springkler12"/>
      <sheetName val="Daftar_Upah,Bhn,&amp;_alat12"/>
      <sheetName val="Lead_Schedule12"/>
      <sheetName val="Anal_Koef12"/>
      <sheetName val="Rekap_Biaya12"/>
      <sheetName val="REKAP_TOTAL12"/>
      <sheetName val="D_1_2_LT-_1_~_Atap12"/>
      <sheetName val="Bill_Of_Quantity12"/>
      <sheetName val="BGN_PENUNJANG12"/>
      <sheetName val="REKAP_ARSITEKTUR12"/>
      <sheetName val="rincian_per_proyek12"/>
      <sheetName val="AC_LOAD12"/>
      <sheetName val="Bill_5_Summary12"/>
      <sheetName val="B___Norelec12"/>
      <sheetName val="Site_Expenses12"/>
      <sheetName val="Input_monthly_capex12"/>
      <sheetName val="H__Dasar12"/>
      <sheetName val="REKAP_ME12"/>
      <sheetName val="2__MVAC_R112"/>
      <sheetName val="Cover_Daf-212"/>
      <sheetName val="Harsat_Bahan10"/>
      <sheetName val="Up&amp;Bhn_12"/>
      <sheetName val="PENJ_NERACA12"/>
      <sheetName val="CASH_FLOW12"/>
      <sheetName val="[Kr_tengahࡄiva_xls聝H_Satua聮12"/>
      <sheetName val="[Kr_te࡮gahࡄiva_xls聝MAT_BAR聕_A12"/>
      <sheetName val="[Kr_tengahࡄiva࠮xls聝H_Satua聮112"/>
      <sheetName val="[Kࡲ_tengahࡄiva_xls聝Kap聟Tenaga12"/>
      <sheetName val="[Kࡲ_te࡮gahࡄiva_xls聝Ana聬isa_HS12"/>
      <sheetName val="B_-耠Nor聥lec12"/>
      <sheetName val="[Kࡲ_tengahࡄiva_xls聝5-P聥ralata12"/>
      <sheetName val="[Kࡲ_te࡮gahࡄiva࠮xls聝Inf聯rmasi12"/>
      <sheetName val="[Kr_te࡮gahࡄiva_xls聝upahbahan12"/>
      <sheetName val="[Kr_tengahࡄiva࠮xls聝01A-_RA聂12"/>
      <sheetName val="[Kr_tengahࡄiva࠮xls聝NS_GD_U联AM12"/>
      <sheetName val="[Kr_tengahࡄiva_xls聝Str耭Bengke12"/>
      <sheetName val="[Kࡲ_te࡮gahࡄiva࠮xls聝ANA职_BOW12"/>
      <sheetName val="M_12__2聟12"/>
      <sheetName val="[Kࡲ_tengahࡄiva_xls聝G_SUMMARY12"/>
      <sheetName val="[Kr_tengahDiva_xls聝ANAL_HREZ12"/>
      <sheetName val="ANAL__M聅12"/>
      <sheetName val="[Kr_tengahDiva_xls聝analysis12"/>
      <sheetName val="Analisa_211"/>
      <sheetName val="KH_Bahagia12"/>
      <sheetName val="Bq_Ars12"/>
      <sheetName val="KONTRAK_INDUK_BULANAN12"/>
      <sheetName val="Sat_Alat12"/>
      <sheetName val="Bill_4_Summary12"/>
      <sheetName val="Mat_Elk12"/>
      <sheetName val="AHS_Isolasi12"/>
      <sheetName val="List_Plant12"/>
      <sheetName val="Data_Sei_Belutu12"/>
      <sheetName val="610_612"/>
      <sheetName val="610_512"/>
      <sheetName val="Data_Sinabung12"/>
      <sheetName val="T__Cs_Log_P_III12"/>
      <sheetName val="[Kr_tengah?iva_xls?H_Satua?12"/>
      <sheetName val="[Kr_te?gah?iva_xls?MAT_BAR?_A12"/>
      <sheetName val="[Kr_tengah?iva?xls?H_Satua?112"/>
      <sheetName val="[K?_tengah?iva_xls?Kap?Tenaga12"/>
      <sheetName val="[K?_te?gah?iva_xls?Ana?isa_HS12"/>
      <sheetName val="B_-?Nor?lec12"/>
      <sheetName val="[K?_tengah?iva_xls?5-P?ralata12"/>
      <sheetName val="[K?_te?gah?iva?xls?Inf?rmasi12"/>
      <sheetName val="[Kr_te?gah?iva_xls?upahbahan12"/>
      <sheetName val="[Kr_tengah?iva?xls?01A-_RA?12"/>
      <sheetName val="[Kr_tengah?iva?xls?NS_GD_U?AM12"/>
      <sheetName val="[Kr_tengah?iva_xls?Str?Bengke12"/>
      <sheetName val="[K?_te?gah?iva?xls?ANA?_BOW12"/>
      <sheetName val="M_12__2?12"/>
      <sheetName val="[K?_tengah?iva_xls?G_SUMMARY12"/>
      <sheetName val="[Kr_tengahDiva_xls?ANAL_HREZ12"/>
      <sheetName val="ANAL__M?12"/>
      <sheetName val="[Kr_tengahDiva_xls?analysis12"/>
      <sheetName val="_Kr_tengahࡄiva_xls聝H_Satua聮12"/>
      <sheetName val="_Kr_te࡮gahࡄiva_xls聝MAT_BAR聕_A12"/>
      <sheetName val="_Kr_tengahࡄiva࠮xls聝H_Satua聮112"/>
      <sheetName val="_Kࡲ_tengahࡄiva_xls聝Kap聟Tenaga12"/>
      <sheetName val="_Kࡲ_te࡮gahࡄiva_xls聝Ana聬isa_HS12"/>
      <sheetName val="_Kࡲ_tengahࡄiva_xls聝5-P聥ralata12"/>
      <sheetName val="_Kࡲ_te࡮gahࡄiva࠮xls聝Inf聯rmasi12"/>
      <sheetName val="_Kr_te࡮gahࡄiva_xls聝upahbahan12"/>
      <sheetName val="Sat_Upah12"/>
      <sheetName val="REKAP_ARSITEKTUR_12"/>
      <sheetName val="01A-_RAB12"/>
      <sheetName val="Fill_this_out_first___24"/>
      <sheetName val="Fill_this_out_first___25"/>
      <sheetName val="STD_Lanjutan12"/>
      <sheetName val="NS_Lanjutan12"/>
      <sheetName val="BOQ_KSN12"/>
      <sheetName val="Analisa_ME_(2)12"/>
      <sheetName val="1_B12"/>
      <sheetName val="Bill_No_2_1_Cold_Water_System12"/>
      <sheetName val="Civil_Works12"/>
      <sheetName val="D_&amp;_W_sizes12"/>
      <sheetName val="NS_GD_UTAMA12"/>
      <sheetName val="rekap_mekanikal12"/>
      <sheetName val="Analisa___Upah12"/>
      <sheetName val="ANAL_BOW13"/>
      <sheetName val="Fire_Alarm12"/>
      <sheetName val="F_ALARM12"/>
      <sheetName val="ANAL__ME12"/>
      <sheetName val="BW_analisa_cika_200512"/>
      <sheetName val="M&amp;E_R12"/>
      <sheetName val="RAB_PERSIAPAN_12"/>
      <sheetName val="Pos_4-112"/>
      <sheetName val="RAB_ADMINISTRASI_PUSAT_(1)12"/>
      <sheetName val="PROTEKSI_PETIR12"/>
      <sheetName val="KABEL_FEEDER12"/>
      <sheetName val="PENRNGN_&amp;_KTK-KNTK12"/>
      <sheetName val="BoQ_C412"/>
      <sheetName val="FIRE_FIGHTING12"/>
      <sheetName val="Master_1_012"/>
      <sheetName val="BANGUNAN_PENUNJANG12"/>
      <sheetName val="Analisa_&amp;_Upah12"/>
      <sheetName val="M_12__2_12"/>
      <sheetName val="Daftar_berat12"/>
      <sheetName val="Bill_of_Qty_MEP12"/>
      <sheetName val="Rekap_Prelim12"/>
      <sheetName val="D___W_sizes12"/>
      <sheetName val="Cable_150kV_Ref_12"/>
      <sheetName val="MAIN_EQUIP_AC12"/>
      <sheetName val="ANALIS_112"/>
      <sheetName val="DUTCH_CONE12"/>
      <sheetName val="Mat_Mek12"/>
      <sheetName val="2__MVAC_R111"/>
      <sheetName val="Harsat_Bahan9"/>
      <sheetName val="[Kr_tengah?iva_xls?H_Satua?11"/>
      <sheetName val="[Kr_te?gah?iva_xls?MAT_BAR?_A11"/>
      <sheetName val="[Kr_tengah?iva?xls?H_Satua?111"/>
      <sheetName val="[K?_tengah?iva_xls?Kap?Tenaga11"/>
      <sheetName val="[K?_te?gah?iva_xls?Ana?isa_HS11"/>
      <sheetName val="B_-?Nor?lec11"/>
      <sheetName val="[K?_tengah?iva_xls?5-P?ralata11"/>
      <sheetName val="[K?_te?gah?iva?xls?Inf?rmasi11"/>
      <sheetName val="[Kr_te?gah?iva_xls?upahbahan11"/>
      <sheetName val="[Kr_tengah?iva?xls?01A-_RA?11"/>
      <sheetName val="[Kr_tengah?iva?xls?NS_GD_U?AM11"/>
      <sheetName val="[Kr_tengah?iva_xls?Str?Bengke11"/>
      <sheetName val="[K?_te?gah?iva?xls?ANA?_BOW11"/>
      <sheetName val="M_12__2?11"/>
      <sheetName val="[K?_tengah?iva_xls?G_SUMMARY11"/>
      <sheetName val="[Kr_tengahDiva_xls?ANAL_HREZ11"/>
      <sheetName val="ANAL__M?11"/>
      <sheetName val="[Kr_tengahDiva_xls?analysis11"/>
      <sheetName val="_Kr_tengahࡄiva_xls聝H_Satua聮11"/>
      <sheetName val="_Kr_te࡮gahࡄiva_xls聝MAT_BAR聕_A11"/>
      <sheetName val="_Kr_tengahࡄiva࠮xls聝H_Satua聮111"/>
      <sheetName val="_Kࡲ_tengahࡄiva_xls聝Kap聟Tenaga11"/>
      <sheetName val="_Kࡲ_te࡮gahࡄiva_xls聝Ana聬isa_HS11"/>
      <sheetName val="_Kࡲ_tengahࡄiva_xls聝5-P聥ralata11"/>
      <sheetName val="_Kࡲ_te࡮gahࡄiva࠮xls聝Inf聯rmasi11"/>
      <sheetName val="_Kr_te࡮gahࡄiva_xls聝upahbahan11"/>
      <sheetName val="1.1.Barrette pile"/>
      <sheetName val="Qty_pile"/>
      <sheetName val="Steel_slab"/>
      <sheetName val="Steel_tank"/>
      <sheetName val="Steel_wall"/>
      <sheetName val="_Kr_tengahࡄiva࠮xls聝01A-_RA聂12"/>
      <sheetName val="_Kr_tengahࡄiva࠮xls聝NS_GD_U联AM12"/>
      <sheetName val="_Kr_tengahࡄiva_xls聝Str耭Bengke12"/>
      <sheetName val="_Kࡲ_te࡮gahࡄiva࠮xls聝ANA职_BOW12"/>
      <sheetName val="_Kࡲ_tengahࡄiva_xls聝G_SUMMARY12"/>
      <sheetName val="_Kr_tengahDiva_xls聝ANAL_HREZ12"/>
      <sheetName val="_Kr_tengahDiva_xls聝analysis12"/>
      <sheetName val="_Kr_te_gah_iva_xls_MAT_BAR__A12"/>
      <sheetName val="_Kr_tengah_iva_xls_H_Satua_112"/>
      <sheetName val="_K__tengah_iva_xls_Kap_Tenaga12"/>
      <sheetName val="_K__te_gah_iva_xls_Ana_isa_HS12"/>
      <sheetName val="B_-_Nor_lec12"/>
      <sheetName val="_K__tengah_iva_xls_5-P_ralata12"/>
      <sheetName val="_K__te_gah_iva_xls_Inf_rmasi12"/>
      <sheetName val="_Kr_te_gah_iva_xls_upahbahan12"/>
      <sheetName val="_Kr_tengah_iva_xls_01A-_RA_12"/>
      <sheetName val="_Kr_tengah_iva_xls_NS_GD_U_AM12"/>
      <sheetName val="_Kr_tengah_iva_xls_Str_Bengke12"/>
      <sheetName val="_K__te_gah_iva_xls_ANA__BOW12"/>
      <sheetName val="_K__tengah_iva_xls_G_SUMMARY12"/>
      <sheetName val="_Kr_tengahDiva_xls_ANAL_HREZ12"/>
      <sheetName val="ANAL__M_12"/>
      <sheetName val="_Kr_tengahDiva_xls_analysis12"/>
      <sheetName val="_Kr_tengah_iva_xls_H_Satua_10"/>
      <sheetName val="_Kr_te_gah_iva_xls_MAT_BAR__A10"/>
      <sheetName val="_Kr_tengah_iva_xls_H_Satua_110"/>
      <sheetName val="_K__tengah_iva_xls_Kap_Tenaga10"/>
      <sheetName val="_K__te_gah_iva_xls_Ana_isa_HS10"/>
      <sheetName val="B_-_Nor_lec10"/>
      <sheetName val="_K__tengah_iva_xls_5-P_ralata10"/>
      <sheetName val="_K__te_gah_iva_xls_Inf_rmasi10"/>
      <sheetName val="_Kr_te_gah_iva_xls_upahbahan10"/>
      <sheetName val="_Kr_tengah_iva_xls_01A-_RA_10"/>
      <sheetName val="_Kr_tengah_iva_xls_NS_GD_U_AM10"/>
      <sheetName val="_Kr_tengah_iva_xls_Str_Bengke10"/>
      <sheetName val="_K__te_gah_iva_xls_ANA__BOW10"/>
      <sheetName val="_K__tengah_iva_xls_G_SUMMARY10"/>
      <sheetName val="_Kr_tengahDiva_xls_ANAL_HREZ10"/>
      <sheetName val="ANAL__M_10"/>
      <sheetName val="_Kr_tengahDiva_xls_analysis10"/>
      <sheetName val="_Kr_tengahࡄiva࠮xls聝01A-_RA聂11"/>
      <sheetName val="_Kr_tengahࡄiva࠮xls聝NS_GD_U联AM11"/>
      <sheetName val="_Kr_tengahࡄiva_xls聝Str耭Bengke11"/>
      <sheetName val="_Kࡲ_te࡮gahࡄiva࠮xls聝ANA职_BOW11"/>
      <sheetName val="_Kࡲ_tengahࡄiva_xls聝G_SUMMARY11"/>
      <sheetName val="_Kr_tengahDiva_xls聝ANAL_HREZ11"/>
      <sheetName val="_Kr_tengahDiva_xls聝analysis11"/>
      <sheetName val="_Kr_te_gah_iva_xls_MAT_BAR__A11"/>
      <sheetName val="_Kr_tengah_iva_xls_H_Satua_111"/>
      <sheetName val="_K__tengah_iva_xls_Kap_Tenaga11"/>
      <sheetName val="_K__te_gah_iva_xls_Ana_isa_HS11"/>
      <sheetName val="B_-_Nor_lec11"/>
      <sheetName val="_K__tengah_iva_xls_5-P_ralata11"/>
      <sheetName val="_K__te_gah_iva_xls_Inf_rmasi11"/>
      <sheetName val="_Kr_te_gah_iva_xls_upahbahan11"/>
      <sheetName val="_Kr_tengah_iva_xls_01A-_RA_11"/>
      <sheetName val="_Kr_tengah_iva_xls_NS_GD_U_AM11"/>
      <sheetName val="_Kr_tengah_iva_xls_Str_Bengke11"/>
      <sheetName val="_K__te_gah_iva_xls_ANA__BOW11"/>
      <sheetName val="_K__tengah_iva_xls_G_SUMMARY11"/>
      <sheetName val="_Kr_tengahDiva_xls_ANAL_HREZ11"/>
      <sheetName val="ANAL__M_11"/>
      <sheetName val="_Kr_tengahDiva_xls_analysis11"/>
      <sheetName val="IDLE_ALAT15"/>
      <sheetName val="ATB_pers_(2)15"/>
      <sheetName val="FOTO_PR15"/>
      <sheetName val="G_umum15"/>
      <sheetName val="SCHE_vareto15"/>
      <sheetName val="ATB_pers15"/>
      <sheetName val="BQ_diva15"/>
      <sheetName val="MAT_BARU_AC15"/>
      <sheetName val="H_Satuan16"/>
      <sheetName val="AC_+15"/>
      <sheetName val="an_ATB_G15"/>
      <sheetName val="an_AC15"/>
      <sheetName val="an_ATB_L15"/>
      <sheetName val="ATB_+15"/>
      <sheetName val="Alat_DC15"/>
      <sheetName val="Kap_Tenaga15"/>
      <sheetName val="HRG_BHN14"/>
      <sheetName val="Agregat_Halus_&amp;_Kasar14"/>
      <sheetName val="Analisa_HS14"/>
      <sheetName val="Kr_tengahDiva14"/>
      <sheetName val="Isolasi_Luar_Dalam14"/>
      <sheetName val="Isolasi_Luar14"/>
      <sheetName val="Sat_Upah14"/>
      <sheetName val="REKAP_ARSITEKTUR_14"/>
      <sheetName val="L3_An_H_Sat_Mob14"/>
      <sheetName val="Man_Power14"/>
      <sheetName val="EXTERNAL_WORK14"/>
      <sheetName val="01A-_RAB14"/>
      <sheetName val="Fill_this_out_first___28"/>
      <sheetName val="Fill_this_out_first___29"/>
      <sheetName val="B_-_Norelec14"/>
      <sheetName val="STD_Lanjutan14"/>
      <sheetName val="NS_Lanjutan14"/>
      <sheetName val="GASATAGG_XLS14"/>
      <sheetName val="BOQ_KSN14"/>
      <sheetName val="HS_Alat14"/>
      <sheetName val="HS_Upah14"/>
      <sheetName val="HS_Sub-Kon14"/>
      <sheetName val="Analisa_ME_(2)14"/>
      <sheetName val="1_B14"/>
      <sheetName val="Bill_No_2_1_Cold_Water_System14"/>
      <sheetName val="Civil_Works14"/>
      <sheetName val="rab_me_(by_owner)_14"/>
      <sheetName val="BQ_(by_owner)14"/>
      <sheetName val="D_&amp;_W_sizes14"/>
      <sheetName val="NS_GD_UTAMA14"/>
      <sheetName val="Pipa_(2)13"/>
      <sheetName val="rekap_mekanikal14"/>
      <sheetName val="Analisa___Upah14"/>
      <sheetName val="Unit_Rate13"/>
      <sheetName val="Lamp_BAP13"/>
      <sheetName val="bill_qty14"/>
      <sheetName val="meth_hsl_nego14"/>
      <sheetName val="ANAL_BOW15"/>
      <sheetName val="rab_me_(fisik)14"/>
      <sheetName val="Fire_Alarm14"/>
      <sheetName val="F_ALARM14"/>
      <sheetName val="ANAL__ME14"/>
      <sheetName val="BW_analisa_cika_200514"/>
      <sheetName val="M&amp;E_R14"/>
      <sheetName val="RAB_PERSIAPAN_14"/>
      <sheetName val="Pos_4-114"/>
      <sheetName val="RAB_ADMINISTRASI_PUSAT_(1)14"/>
      <sheetName val="PROTEKSI_PETIR14"/>
      <sheetName val="KABEL_FEEDER14"/>
      <sheetName val="PENRNGN_&amp;_KTK-KNTK14"/>
      <sheetName val="BoQ_C414"/>
      <sheetName val="FIRE_FIGHTING14"/>
      <sheetName val="Master_1_014"/>
      <sheetName val="BANGUNAN_PENUNJANG14"/>
      <sheetName val="Analisa_&amp;_Upah14"/>
      <sheetName val="M_12__2_14"/>
      <sheetName val="Daftar_berat14"/>
      <sheetName val="Bill_of_Qty_MEP14"/>
      <sheetName val="HB_13"/>
      <sheetName val="Rekap_Prelim14"/>
      <sheetName val="BQ_Stdr_R-113"/>
      <sheetName val="Transfer_Pump13"/>
      <sheetName val="D___W_sizes14"/>
      <sheetName val="Cable_150kV_Ref_14"/>
      <sheetName val="MAIN_EQUIP_AC14"/>
      <sheetName val="Data_Ktr_Bupati_Tapsel13"/>
      <sheetName val="New_MADC13"/>
      <sheetName val="Daf__No____4_213"/>
      <sheetName val="RKP_PLUMBING13"/>
      <sheetName val="BQ_Arsit13"/>
      <sheetName val="An_HarSatPek13"/>
      <sheetName val="Sat_Bah_&amp;_Up13"/>
      <sheetName val="ANALIS_114"/>
      <sheetName val="DUTCH_CONE14"/>
      <sheetName val="Upah_Bahan13"/>
      <sheetName val="RAW_MATERIALS_13"/>
      <sheetName val="COST-PERSON-J_O_13"/>
      <sheetName val="Mat_Mek14"/>
      <sheetName val="Harga_Satuan13"/>
      <sheetName val="sheet_213"/>
      <sheetName val="RAB_ME13"/>
      <sheetName val="Analisa_ME13"/>
      <sheetName val="AN_Panel14"/>
      <sheetName val="HARGA_ALAT13"/>
      <sheetName val="ETAB_113"/>
      <sheetName val="NS_GD_UGD13"/>
      <sheetName val="STD_GD_UGD13"/>
      <sheetName val="Perm__Test13"/>
      <sheetName val="Daf_113"/>
      <sheetName val="KAN__LOKAL13"/>
      <sheetName val="Upah_dan_bahan13"/>
      <sheetName val="GH_Quantity13"/>
      <sheetName val="BQ_struktur13"/>
      <sheetName val="4-Basic_Price13"/>
      <sheetName val="fin_pro_centers13"/>
      <sheetName val="R_A_B_13"/>
      <sheetName val="Rekap_Direct_Cost13"/>
      <sheetName val="Urai___Guide_Post13"/>
      <sheetName val="Met_Pas_Batu13"/>
      <sheetName val="Urai_Galian_Tanah13"/>
      <sheetName val="Met__Minor13"/>
      <sheetName val="2_NSB_13"/>
      <sheetName val="2_SB13"/>
      <sheetName val="M_ITEM13"/>
      <sheetName val="BHN_Ars13"/>
      <sheetName val="7_NS_H13"/>
      <sheetName val="Terbilang_sertifikat13"/>
      <sheetName val="ENC_1413"/>
      <sheetName val="Analisa_Pusaka_Jaya13"/>
      <sheetName val="Report_detil_kondisi13"/>
      <sheetName val="AHS_str13"/>
      <sheetName val="ANALISA_HARGA_SATUAN13"/>
      <sheetName val="Hydran___springkler13"/>
      <sheetName val="Daftar_Upah,Bhn,&amp;_alat13"/>
      <sheetName val="Lead_Schedule13"/>
      <sheetName val="Anal_Koef13"/>
      <sheetName val="Rekap_Biaya13"/>
      <sheetName val="REKAP_TOTAL13"/>
      <sheetName val="D_1_2_LT-_1_~_Atap13"/>
      <sheetName val="Bill_Of_Quantity13"/>
      <sheetName val="BGN_PENUNJANG13"/>
      <sheetName val="REKAP_ARSITEKTUR13"/>
      <sheetName val="rincian_per_proyek13"/>
      <sheetName val="AC_LOAD13"/>
      <sheetName val="Bill_5_Summary13"/>
      <sheetName val="B___Norelec13"/>
      <sheetName val="Site_Expenses13"/>
      <sheetName val="Input_monthly_capex13"/>
      <sheetName val="H__Dasar13"/>
      <sheetName val="REKAP_ME13"/>
      <sheetName val="2__MVAC_R113"/>
      <sheetName val="Cover_Daf-213"/>
      <sheetName val="Harsat_Bahan11"/>
      <sheetName val="Up&amp;Bhn_13"/>
      <sheetName val="PENJ_NERACA13"/>
      <sheetName val="CASH_FLOW13"/>
      <sheetName val="[Kr_tengahࡄiva_xls聝H_Satua聮13"/>
      <sheetName val="[Kr_te࡮gahࡄiva_xls聝MAT_BAR聕_A13"/>
      <sheetName val="[Kr_tengahࡄiva࠮xls聝H_Satua聮113"/>
      <sheetName val="[Kࡲ_tengahࡄiva_xls聝Kap聟Tenaga13"/>
      <sheetName val="[Kࡲ_te࡮gahࡄiva_xls聝Ana聬isa_HS13"/>
      <sheetName val="B_-耠Nor聥lec13"/>
      <sheetName val="[Kࡲ_tengahࡄiva_xls聝5-P聥ralata13"/>
      <sheetName val="[Kࡲ_te࡮gahࡄiva࠮xls聝Inf聯rmasi13"/>
      <sheetName val="[Kr_te࡮gahࡄiva_xls聝upahbahan13"/>
      <sheetName val="[Kr_tengahࡄiva࠮xls聝01A-_RA聂13"/>
      <sheetName val="[Kr_tengahࡄiva࠮xls聝NS_GD_U联AM13"/>
      <sheetName val="[Kr_tengahࡄiva_xls聝Str耭Bengke13"/>
      <sheetName val="[Kࡲ_te࡮gahࡄiva࠮xls聝ANA职_BOW13"/>
      <sheetName val="M_12__2聟13"/>
      <sheetName val="[Kࡲ_tengahࡄiva_xls聝G_SUMMARY13"/>
      <sheetName val="[Kr_tengahDiva_xls聝ANAL_HREZ13"/>
      <sheetName val="ANAL__M聅13"/>
      <sheetName val="[Kr_tengahDiva_xls聝analysis13"/>
      <sheetName val="Analisa_212"/>
      <sheetName val="KH_Bahagia13"/>
      <sheetName val="Bq_Ars13"/>
      <sheetName val="KONTRAK_INDUK_BULANAN13"/>
      <sheetName val="Sat_Alat13"/>
      <sheetName val="Bill_4_Summary13"/>
      <sheetName val="Mat_Elk13"/>
      <sheetName val="AHS_Isolasi13"/>
      <sheetName val="List_Plant13"/>
      <sheetName val="Data_Sei_Belutu13"/>
      <sheetName val="610_613"/>
      <sheetName val="610_513"/>
      <sheetName val="Data_Sinabung13"/>
      <sheetName val="T__Cs_Log_P_III13"/>
      <sheetName val="[Kr_tengah?iva_xls?H_Satua?13"/>
      <sheetName val="[Kr_te?gah?iva_xls?MAT_BAR?_A13"/>
      <sheetName val="[Kr_tengah?iva?xls?H_Satua?113"/>
      <sheetName val="[K?_tengah?iva_xls?Kap?Tenaga13"/>
      <sheetName val="[K?_te?gah?iva_xls?Ana?isa_HS13"/>
      <sheetName val="B_-?Nor?lec13"/>
      <sheetName val="[K?_tengah?iva_xls?5-P?ralata13"/>
      <sheetName val="[K?_te?gah?iva?xls?Inf?rmasi13"/>
      <sheetName val="[Kr_te?gah?iva_xls?upahbahan13"/>
      <sheetName val="[Kr_tengah?iva?xls?01A-_RA?13"/>
      <sheetName val="[Kr_tengah?iva?xls?NS_GD_U?AM13"/>
      <sheetName val="[Kr_tengah?iva_xls?Str?Bengke13"/>
      <sheetName val="[K?_te?gah?iva?xls?ANA?_BOW13"/>
      <sheetName val="M_12__2?13"/>
      <sheetName val="[K?_tengah?iva_xls?G_SUMMARY13"/>
      <sheetName val="[Kr_tengahDiva_xls?ANAL_HREZ13"/>
      <sheetName val="ANAL__M?13"/>
      <sheetName val="[Kr_tengahDiva_xls?analysis13"/>
      <sheetName val="_Kr_tengahࡄiva_xls聝H_Satua聮13"/>
      <sheetName val="_Kr_te࡮gahࡄiva_xls聝MAT_BAR聕_A13"/>
      <sheetName val="_Kr_tengahࡄiva࠮xls聝H_Satua聮113"/>
      <sheetName val="_Kࡲ_tengahࡄiva_xls聝Kap聟Tenaga13"/>
      <sheetName val="_Kࡲ_te࡮gahࡄiva_xls聝Ana聬isa_HS13"/>
      <sheetName val="_Kࡲ_tengahࡄiva_xls聝5-P聥ralata13"/>
      <sheetName val="_Kࡲ_te࡮gahࡄiva࠮xls聝Inf聯rmasi13"/>
      <sheetName val="_Kr_te࡮gahࡄiva_xls聝upahbahan13"/>
      <sheetName val="Demolation"/>
      <sheetName val="U_PRICE"/>
      <sheetName val="FM-ITP R-0.0"/>
      <sheetName val="Anl. Pek. Komplit"/>
      <sheetName val="pas wm"/>
      <sheetName val="div3"/>
      <sheetName val="REK.EE"/>
      <sheetName val="anal Lamp 4a"/>
      <sheetName val="BAHAN BANGUNAN JUNI 2008"/>
      <sheetName val="D2-1a"/>
      <sheetName val="D3.4.3"/>
      <sheetName val="D3.4.4"/>
      <sheetName val="AUG02"/>
      <sheetName val="RISK_table"/>
      <sheetName val="PE-List"/>
      <sheetName val="GT"/>
      <sheetName val="FORM BQ TL PRATU 4cct"/>
      <sheetName val="DynamicChart"/>
      <sheetName val="HS-DASAR"/>
      <sheetName val="CGSgm2"/>
      <sheetName val="CGSsp"/>
      <sheetName val="Factors"/>
      <sheetName val="Sales"/>
      <sheetName val="sat dasar"/>
      <sheetName val="COVERUSRP"/>
      <sheetName val="BIAYA BAHAN"/>
      <sheetName val="ANALISA METODE"/>
      <sheetName val="F1.4"/>
      <sheetName val="HS-Ban"/>
      <sheetName val="HSD.Pk"/>
      <sheetName val="BQ-SRT"/>
      <sheetName val="SUB"/>
      <sheetName val="TS"/>
      <sheetName val="SmDaya"/>
      <sheetName val="Contract-Data"/>
      <sheetName val="hrg-dsr"/>
      <sheetName val="LBP-01"/>
      <sheetName val="Permintaan Dana"/>
      <sheetName val="Comp equip"/>
      <sheetName val="EMN KPI's "/>
      <sheetName val="input_data_umum"/>
      <sheetName val="Sales_Rental"/>
      <sheetName val="Analisa_Gabungan"/>
      <sheetName val="TARGET_RAKER_"/>
      <sheetName val="target_raker_1"/>
      <sheetName val="BS_Assumptions"/>
      <sheetName val="HS_KALIJATI"/>
      <sheetName val="Alat_&amp;_Bahan"/>
      <sheetName val="Tambahan_Biaro2"/>
      <sheetName val="DATA_20092"/>
      <sheetName val="DATA_20102"/>
      <sheetName val="Target_Raker_TW_III2"/>
      <sheetName val="610_042"/>
      <sheetName val="610_052"/>
      <sheetName val="610_062"/>
      <sheetName val="610_072"/>
      <sheetName val="610_082"/>
      <sheetName val="HD_BAHAN2"/>
      <sheetName val="BOQ_CONTRACT_WK2"/>
      <sheetName val="Schedule_11a2"/>
      <sheetName val="Septick_tank2"/>
      <sheetName val="HD_ALAT2"/>
      <sheetName val="PRIST_LIST2"/>
      <sheetName val="PERALATAN_PROYEK_GOL_III_A2"/>
      <sheetName val="Hrg_Satuan_&amp;_Upah2"/>
      <sheetName val="rek_det_1-32"/>
      <sheetName val="AHS_ME_2"/>
      <sheetName val="SUB_&amp;_mandor2"/>
      <sheetName val="Master_Schedule2"/>
      <sheetName val="MAP_1-21"/>
      <sheetName val="REKAP_HP1"/>
      <sheetName val="BERAT_TUL_1"/>
      <sheetName val="GS_Tanah_Kalimas_Baru_(2)1"/>
      <sheetName val="MPU__6-3(4)_LastonAC1"/>
      <sheetName val="Data_Info1"/>
      <sheetName val="bahan_dan_upah1"/>
      <sheetName val="ANAL_RABP1"/>
      <sheetName val="Analisa_K1"/>
      <sheetName val="HS_BHN&amp;UPAH1"/>
      <sheetName val="Bangunan_Utama_B1"/>
      <sheetName val="Bt_Kosong1"/>
      <sheetName val="Daftar_Upah_Material_Alat1"/>
      <sheetName val="HPP_X_Q'TY1"/>
      <sheetName val="Pajak_(2)_Agst1"/>
      <sheetName val="upah_bahan_alat1"/>
      <sheetName val="anal_alat2"/>
      <sheetName val="Bahan_2"/>
      <sheetName val="R1__GREJA_KATHOLIK1"/>
      <sheetName val="mp_&amp;_eq1"/>
      <sheetName val="UPAH_&amp;_SEWA1"/>
      <sheetName val="HSBU_ANA1"/>
      <sheetName val="B_T1"/>
      <sheetName val="H-Bahan_&amp;_Tenaga1"/>
      <sheetName val="LAMP_2_21"/>
      <sheetName val="Gal_Sal1"/>
      <sheetName val="Sdy_Bhn_Upah_Alat1"/>
      <sheetName val="HALAMAN_1-601"/>
      <sheetName val="Daftar_No_MAPPI1"/>
      <sheetName val="Rekap_-sarana_luar1"/>
      <sheetName val="DIV_31"/>
      <sheetName val="DIV_41"/>
      <sheetName val="DAF_TUL1"/>
      <sheetName val="STN_BAHAN1"/>
      <sheetName val="G2_011"/>
      <sheetName val="I_21"/>
      <sheetName val="input_data_umum1"/>
      <sheetName val="Analisa_Gabungan1"/>
      <sheetName val="TONG_HOP_VL-NC1"/>
      <sheetName val="DON_GIA1"/>
      <sheetName val="CHITIET_VL-NC1"/>
      <sheetName val="target_raker_11"/>
      <sheetName val="BS_Assumptions1"/>
      <sheetName val="BoQ_Total_lama1"/>
      <sheetName val="tp_45x45_(6)1"/>
      <sheetName val="PROD_15-11"/>
      <sheetName val="7_1(3)1"/>
      <sheetName val="ANALISA_TENDER1"/>
      <sheetName val="Summary_Page_VDF1"/>
      <sheetName val="PLINT_3_1_G1"/>
      <sheetName val="dok_aromindo1"/>
      <sheetName val="REKAP_ELEKTRIKAL2"/>
      <sheetName val="jgn_dihapus!2"/>
      <sheetName val="REKAP_BQ_2"/>
      <sheetName val="DATA_PROYEK1"/>
      <sheetName val="Sales_Rental1"/>
      <sheetName val="EXTERNAL__(revisi_1)1"/>
      <sheetName val="HS_KALIJATI1"/>
      <sheetName val="Sheet1_(3)1"/>
      <sheetName val="Perhitungan_RAB1"/>
      <sheetName val="D_781"/>
      <sheetName val="S-Curve_(Weekly)1"/>
      <sheetName val="Sat_Das1"/>
      <sheetName val="Analisa_(ok_punya)1"/>
      <sheetName val="Harga_Upah1"/>
      <sheetName val="perhtg_material1"/>
      <sheetName val="Harga_Upah_+_Bahan1"/>
      <sheetName val="Kuantitas_&amp;_Harga_1"/>
      <sheetName val="BOQ_Seksi_A1"/>
      <sheetName val="JadpeL-Pkt1-Kampar_(4)1"/>
      <sheetName val="Bill_2_1_Basement_41_1"/>
      <sheetName val="DAFTAR_BESI_KANAL_C_SIKU1"/>
      <sheetName val="Volume_11"/>
      <sheetName val="ketuma_gal_Wed1"/>
      <sheetName val="ketema_AC1"/>
      <sheetName val="AC-WC_dan_LAPIS_PEREKAT1"/>
      <sheetName val="beton_k-3501"/>
      <sheetName val="MONITOR_&amp;_INPUT1"/>
      <sheetName val="KGP_Thp_II1"/>
      <sheetName val="BQ_PL_1"/>
      <sheetName val="RUMUS_BEKISTING1"/>
      <sheetName val="List_Pla_x005f_x0000_È1"/>
      <sheetName val="page_11"/>
      <sheetName val="Type_57__A1"/>
      <sheetName val="harga_lama1"/>
      <sheetName val="Alat_&amp;_Bahan1"/>
      <sheetName val="H_DASAR1"/>
      <sheetName val="tknk"/>
      <sheetName val="REKAP-1"/>
      <sheetName val="PRD 01-1"/>
      <sheetName val="shotcrete"/>
      <sheetName val="UG Excav"/>
      <sheetName val="HD UPAH"/>
      <sheetName val="bahan SNI"/>
      <sheetName val="Parameters"/>
      <sheetName val="Setup"/>
      <sheetName val="Transfer"/>
      <sheetName val="Daily Report"/>
      <sheetName val="MTD OB Forecasting"/>
      <sheetName val="REK_PEN1"/>
      <sheetName val="AnlsAlt"/>
      <sheetName val="BQ SPH"/>
      <sheetName val="MC 0"/>
      <sheetName val="K.641A"/>
      <sheetName val="DHSBU"/>
      <sheetName val="REAL KEU"/>
      <sheetName val="List Pla_È"/>
      <sheetName val="_Kr tengahDiva.xls聝analysi_"/>
      <sheetName val="TabelBantu"/>
      <sheetName val="DatabaseBuilding"/>
      <sheetName val="DatabaseDeliveryOrder"/>
      <sheetName val="DatabaseDokumen"/>
      <sheetName val="DatabaseTransmittal"/>
      <sheetName val="DatabaseHargaSatuan"/>
      <sheetName val="DatabaseInvoice"/>
      <sheetName val="DatabaseJobOrder"/>
      <sheetName val="DatabaseLOC"/>
      <sheetName val="DatabaseLOP"/>
      <sheetName val="DatabaseLevelAuthority"/>
      <sheetName val="DatabaseMaterial"/>
      <sheetName val="DatabaseNesting"/>
      <sheetName val="DatabaseProject"/>
      <sheetName val="DatabaseUser"/>
      <sheetName val="DatabaseWorkOrder"/>
      <sheetName val="cuaca"/>
      <sheetName val="crewlist S"/>
      <sheetName val="BCP.1"/>
      <sheetName val="Ahs.1"/>
      <sheetName val="Ahs.2"/>
      <sheetName val="Bill 5 - Carpark"/>
      <sheetName val="Rek-Analisa"/>
      <sheetName val="Satuan Dasar"/>
      <sheetName val="Analisa Teknik"/>
      <sheetName val="Formulir 7.6"/>
      <sheetName val="Ring"/>
      <sheetName val="REKAP HPS"/>
      <sheetName val="MET"/>
      <sheetName val="analisa struk"/>
      <sheetName val="Form-CV-PU_BDG"/>
      <sheetName val="PERSON"/>
      <sheetName val="pQ2"/>
      <sheetName val="hsp-STR-ARS"/>
      <sheetName val="rab - persiapan &amp; lantai-1"/>
      <sheetName val="SAT-BHN"/>
      <sheetName val="rab_g__menara_pengawas3"/>
      <sheetName val="tabel_pnganan_mslh3"/>
      <sheetName val="01_FA3"/>
      <sheetName val="Anal_Alat_Type_II_A3"/>
      <sheetName val="u_aLAT3"/>
      <sheetName val="ANALISA_BANGLI3"/>
      <sheetName val="Harsat_Bahan_3"/>
      <sheetName val="_MINGGUAN3"/>
      <sheetName val="Bahan_Upah3"/>
      <sheetName val="AHS_all3"/>
      <sheetName val="Rekap_Anl3"/>
      <sheetName val="s_g_exx3"/>
      <sheetName val="sh健et_23"/>
      <sheetName val="Analisa_Alat3"/>
      <sheetName val="L__Hr3"/>
      <sheetName val="AnalisaSIPIL_RIIL3"/>
      <sheetName val="RAB_AR&amp;STR3"/>
      <sheetName val="AnalisaSIPIL_RIIL_RAP3"/>
      <sheetName val="GRAFIK_3"/>
      <sheetName val="ANALISA_EL_DAN_ELC3"/>
      <sheetName val="D_1_73"/>
      <sheetName val="D_1_53"/>
      <sheetName val="D_2_33"/>
      <sheetName val="D_2_23"/>
      <sheetName val="SCH_GG_&amp;_SAS3"/>
      <sheetName val="Data_Base_List3"/>
      <sheetName val="HSU_20163"/>
      <sheetName val="Goodwill_Calculation3"/>
      <sheetName val="lkalibrasi_BENENAIN3"/>
      <sheetName val="SNI_FIX3"/>
      <sheetName val="HSP_LT_BS3"/>
      <sheetName val="BAHAN_MKNL3"/>
      <sheetName val="D_793"/>
      <sheetName val="D_803"/>
      <sheetName val="D_813"/>
      <sheetName val="D_823"/>
      <sheetName val="D_833"/>
      <sheetName val="D_843"/>
      <sheetName val="D_853"/>
      <sheetName val="D_863"/>
      <sheetName val="D_873"/>
      <sheetName val="D_883"/>
      <sheetName val="D_893"/>
      <sheetName val="D_913"/>
      <sheetName val="D_923"/>
      <sheetName val="D_933"/>
      <sheetName val="D_943"/>
      <sheetName val="D_953"/>
      <sheetName val="D_963"/>
      <sheetName val="HARGA_SAT3"/>
      <sheetName val="Lau_Luhung3"/>
      <sheetName val="ANALISA_GRS_kota3"/>
      <sheetName val="HRG-_UPAH3"/>
      <sheetName val="FORM_X_COST3"/>
      <sheetName val="rab_g__menara_pengawas4"/>
      <sheetName val="tabel_pnganan_mslh4"/>
      <sheetName val="hrg_sat5"/>
      <sheetName val="01_FA4"/>
      <sheetName val="Anal_Alat_Type_II_A4"/>
      <sheetName val="u_aLAT4"/>
      <sheetName val="BOQ_EM4"/>
      <sheetName val="Field_DCPT4"/>
      <sheetName val="eQUIPMENT_COST4"/>
      <sheetName val="ANALISA_BANGLI4"/>
      <sheetName val="(htp@___4"/>
      <sheetName val="RAB_(A)_(2)4"/>
      <sheetName val="RAB_TTB_ADM84"/>
      <sheetName val="Harsat_Bahan_4"/>
      <sheetName val="_MINGGUAN4"/>
      <sheetName val="Bahan_Upah4"/>
      <sheetName val="H_Alat4"/>
      <sheetName val="H_Bahan4"/>
      <sheetName val="Rekap_RAB4"/>
      <sheetName val="unit_34"/>
      <sheetName val="AHS_all4"/>
      <sheetName val="Rekap_Anl4"/>
      <sheetName val="s_g_exx4"/>
      <sheetName val="sh健et_24"/>
      <sheetName val="Analisa_Alat4"/>
      <sheetName val="L__Hr4"/>
      <sheetName val="AnalisaSIPIL_RIIL4"/>
      <sheetName val="_Kr_tengahDiva_xls聝analysi4"/>
      <sheetName val="RAB_AR&amp;STR4"/>
      <sheetName val="AnalisaSIPIL_RIIL_RAP4"/>
      <sheetName val="Harga_Bahan4"/>
      <sheetName val="Internal_AFE_Form_2_4"/>
      <sheetName val="GRAFIK_4"/>
      <sheetName val="ANALISA_EL_DAN_ELC4"/>
      <sheetName val="D_1_74"/>
      <sheetName val="D_1_54"/>
      <sheetName val="D_2_34"/>
      <sheetName val="D_2_24"/>
      <sheetName val="SCH_GG_&amp;_SAS4"/>
      <sheetName val="Data_Base_List4"/>
      <sheetName val="HSU_20164"/>
      <sheetName val="Goodwill_Calculation4"/>
      <sheetName val="lkalibrasi_BENENAIN4"/>
      <sheetName val="SNI_FIX4"/>
      <sheetName val="Basic_P4"/>
      <sheetName val="cons_workpapers4"/>
      <sheetName val="Amortization_Table4"/>
      <sheetName val="BULAN_14"/>
      <sheetName val="Analisa_SNI_STANDART_4"/>
      <sheetName val="HSP_LT_BS4"/>
      <sheetName val="BAHAN_MKNL4"/>
      <sheetName val="D_794"/>
      <sheetName val="D_804"/>
      <sheetName val="D_814"/>
      <sheetName val="D_824"/>
      <sheetName val="D_834"/>
      <sheetName val="D_844"/>
      <sheetName val="D_854"/>
      <sheetName val="D_864"/>
      <sheetName val="D_874"/>
      <sheetName val="D_884"/>
      <sheetName val="D_894"/>
      <sheetName val="D_914"/>
      <sheetName val="D_924"/>
      <sheetName val="D_934"/>
      <sheetName val="D_944"/>
      <sheetName val="D_954"/>
      <sheetName val="D_964"/>
      <sheetName val="HARGA_SAT4"/>
      <sheetName val="Lau_Luhung4"/>
      <sheetName val="ANALISA_GRS_kota4"/>
      <sheetName val="HRG-_UPAH4"/>
      <sheetName val="FORM_X_COST4"/>
      <sheetName val="cover2"/>
      <sheetName val="HRG BH"/>
      <sheetName val="12CGOU"/>
      <sheetName val="AnPipa &amp; Acc"/>
      <sheetName val="AnSipil"/>
      <sheetName val="Rekap Analisa1"/>
      <sheetName val="AnTes &amp; Cuci pipa"/>
      <sheetName val="anl-b7"/>
      <sheetName val="HSU"/>
      <sheetName val="harga pipa dan acc "/>
      <sheetName val="ANALISA SNI_BOW"/>
      <sheetName val="PERHITUNGAN LUMPSUM"/>
      <sheetName val="PERHITUNGAN PDAM"/>
      <sheetName val="met biasa"/>
      <sheetName val="kuant"/>
      <sheetName val="SATUAN HARGA"/>
      <sheetName val="7.3.1 PD"/>
      <sheetName val="Rekap Ans"/>
      <sheetName val="HSPK"/>
      <sheetName val="3DIV2"/>
      <sheetName val="3DIV3"/>
      <sheetName val="bilangk_x0000__x0000_"/>
      <sheetName val="DAF-KUAN"/>
      <sheetName val="LPP-2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06">
          <cell r="C106" t="str">
            <v>Hour</v>
          </cell>
          <cell r="D106">
            <v>50625</v>
          </cell>
          <cell r="E106">
            <v>25312.5</v>
          </cell>
          <cell r="F106">
            <v>5000</v>
          </cell>
          <cell r="G106">
            <v>7142.8571428571431</v>
          </cell>
          <cell r="H106">
            <v>7142.8571428571431</v>
          </cell>
          <cell r="I106">
            <v>55000</v>
          </cell>
          <cell r="J106">
            <v>6666.67</v>
          </cell>
          <cell r="K106">
            <v>7700</v>
          </cell>
          <cell r="L106">
            <v>80937.5</v>
          </cell>
          <cell r="M106">
            <v>76509.527142857143</v>
          </cell>
          <cell r="N106">
            <v>157447.02714285717</v>
          </cell>
          <cell r="O106">
            <v>80937.5</v>
          </cell>
          <cell r="P106">
            <v>76509.527142857143</v>
          </cell>
        </row>
        <row r="107">
          <cell r="C107" t="str">
            <v>Hour</v>
          </cell>
          <cell r="D107">
            <v>4500</v>
          </cell>
          <cell r="E107">
            <v>2700</v>
          </cell>
          <cell r="F107">
            <v>531</v>
          </cell>
          <cell r="G107">
            <v>4250</v>
          </cell>
          <cell r="H107">
            <v>850</v>
          </cell>
          <cell r="I107">
            <v>4250</v>
          </cell>
          <cell r="J107">
            <v>850</v>
          </cell>
          <cell r="K107">
            <v>5100</v>
          </cell>
          <cell r="L107">
            <v>0</v>
          </cell>
          <cell r="M107">
            <v>0</v>
          </cell>
          <cell r="N107">
            <v>12831</v>
          </cell>
          <cell r="O107">
            <v>7731</v>
          </cell>
          <cell r="P107">
            <v>5100</v>
          </cell>
        </row>
        <row r="108">
          <cell r="C108" t="str">
            <v>Hour</v>
          </cell>
          <cell r="D108">
            <v>2250</v>
          </cell>
          <cell r="E108">
            <v>405</v>
          </cell>
          <cell r="F108">
            <v>7600</v>
          </cell>
          <cell r="G108">
            <v>7600</v>
          </cell>
          <cell r="H108">
            <v>0</v>
          </cell>
          <cell r="I108">
            <v>5000</v>
          </cell>
          <cell r="J108">
            <v>225</v>
          </cell>
          <cell r="K108">
            <v>0</v>
          </cell>
          <cell r="L108">
            <v>2655</v>
          </cell>
          <cell r="M108">
            <v>12825</v>
          </cell>
          <cell r="N108">
            <v>15480</v>
          </cell>
          <cell r="O108">
            <v>2655</v>
          </cell>
          <cell r="P108">
            <v>12825</v>
          </cell>
        </row>
        <row r="109">
          <cell r="C109" t="str">
            <v>Hour</v>
          </cell>
          <cell r="D109">
            <v>8250</v>
          </cell>
          <cell r="E109">
            <v>3300</v>
          </cell>
          <cell r="F109">
            <v>1093.75</v>
          </cell>
          <cell r="G109">
            <v>16730</v>
          </cell>
          <cell r="H109">
            <v>0</v>
          </cell>
          <cell r="I109">
            <v>9125</v>
          </cell>
          <cell r="J109">
            <v>1600</v>
          </cell>
          <cell r="K109">
            <v>0</v>
          </cell>
          <cell r="L109">
            <v>40098.75</v>
          </cell>
          <cell r="M109">
            <v>12643.75</v>
          </cell>
          <cell r="N109">
            <v>40098.75</v>
          </cell>
          <cell r="O109">
            <v>12643.75</v>
          </cell>
          <cell r="P109">
            <v>27455</v>
          </cell>
        </row>
        <row r="110">
          <cell r="C110" t="str">
            <v>Hour</v>
          </cell>
          <cell r="D110">
            <v>22800</v>
          </cell>
          <cell r="E110">
            <v>5700</v>
          </cell>
          <cell r="F110">
            <v>0</v>
          </cell>
          <cell r="G110">
            <v>22800</v>
          </cell>
          <cell r="H110">
            <v>5700</v>
          </cell>
          <cell r="I110">
            <v>0</v>
          </cell>
          <cell r="J110">
            <v>128500</v>
          </cell>
          <cell r="K110">
            <v>100000</v>
          </cell>
          <cell r="L110">
            <v>0</v>
          </cell>
          <cell r="M110">
            <v>0</v>
          </cell>
          <cell r="N110">
            <v>128500</v>
          </cell>
          <cell r="O110">
            <v>0</v>
          </cell>
          <cell r="P110">
            <v>128500</v>
          </cell>
        </row>
        <row r="111">
          <cell r="C111" t="str">
            <v>Hour</v>
          </cell>
          <cell r="D111">
            <v>25000</v>
          </cell>
          <cell r="E111">
            <v>0</v>
          </cell>
          <cell r="F111">
            <v>0</v>
          </cell>
          <cell r="G111">
            <v>16280</v>
          </cell>
          <cell r="H111">
            <v>0</v>
          </cell>
          <cell r="I111">
            <v>15500</v>
          </cell>
          <cell r="J111">
            <v>2500</v>
          </cell>
          <cell r="K111">
            <v>0</v>
          </cell>
          <cell r="L111">
            <v>59280</v>
          </cell>
          <cell r="M111">
            <v>25000</v>
          </cell>
          <cell r="N111">
            <v>59280</v>
          </cell>
          <cell r="O111">
            <v>25000</v>
          </cell>
          <cell r="P111">
            <v>34280</v>
          </cell>
        </row>
        <row r="112">
          <cell r="C112" t="str">
            <v>Ls</v>
          </cell>
          <cell r="D112">
            <v>1000</v>
          </cell>
          <cell r="E112">
            <v>1000</v>
          </cell>
          <cell r="F112">
            <v>0</v>
          </cell>
          <cell r="G112">
            <v>1000</v>
          </cell>
          <cell r="H112">
            <v>0</v>
          </cell>
          <cell r="I112">
            <v>0</v>
          </cell>
          <cell r="J112">
            <v>0</v>
          </cell>
          <cell r="K112">
            <v>1000</v>
          </cell>
          <cell r="L112">
            <v>0</v>
          </cell>
          <cell r="M112">
            <v>0</v>
          </cell>
          <cell r="N112">
            <v>1000</v>
          </cell>
          <cell r="O112">
            <v>0</v>
          </cell>
          <cell r="P112">
            <v>1000</v>
          </cell>
        </row>
        <row r="113">
          <cell r="C113" t="str">
            <v>Hour</v>
          </cell>
          <cell r="D113">
            <v>7865</v>
          </cell>
          <cell r="E113">
            <v>5160</v>
          </cell>
          <cell r="F113">
            <v>830</v>
          </cell>
          <cell r="G113">
            <v>0</v>
          </cell>
          <cell r="H113">
            <v>0</v>
          </cell>
          <cell r="I113">
            <v>1750</v>
          </cell>
          <cell r="J113">
            <v>0</v>
          </cell>
          <cell r="K113">
            <v>0</v>
          </cell>
          <cell r="L113">
            <v>15605</v>
          </cell>
          <cell r="M113">
            <v>13855</v>
          </cell>
          <cell r="N113">
            <v>15605</v>
          </cell>
          <cell r="O113">
            <v>13855</v>
          </cell>
          <cell r="P113">
            <v>1750</v>
          </cell>
        </row>
        <row r="114">
          <cell r="C114" t="str">
            <v>Hour</v>
          </cell>
          <cell r="D114">
            <v>28500</v>
          </cell>
          <cell r="E114">
            <v>5700</v>
          </cell>
          <cell r="F114">
            <v>130000</v>
          </cell>
          <cell r="G114">
            <v>28500</v>
          </cell>
          <cell r="H114">
            <v>5700</v>
          </cell>
          <cell r="I114">
            <v>164200</v>
          </cell>
          <cell r="J114">
            <v>0</v>
          </cell>
          <cell r="K114">
            <v>130000</v>
          </cell>
          <cell r="L114">
            <v>0</v>
          </cell>
          <cell r="M114">
            <v>0</v>
          </cell>
          <cell r="N114">
            <v>164200</v>
          </cell>
          <cell r="O114">
            <v>0</v>
          </cell>
          <cell r="P114">
            <v>164200</v>
          </cell>
        </row>
        <row r="115">
          <cell r="C115" t="str">
            <v>Hour</v>
          </cell>
          <cell r="D115">
            <v>28500</v>
          </cell>
          <cell r="E115">
            <v>5700</v>
          </cell>
          <cell r="F115">
            <v>130000</v>
          </cell>
          <cell r="G115">
            <v>28500</v>
          </cell>
          <cell r="H115">
            <v>5700</v>
          </cell>
          <cell r="I115">
            <v>164200</v>
          </cell>
          <cell r="J115">
            <v>0</v>
          </cell>
          <cell r="K115">
            <v>130000</v>
          </cell>
          <cell r="L115">
            <v>0</v>
          </cell>
          <cell r="M115">
            <v>0</v>
          </cell>
          <cell r="N115">
            <v>164200</v>
          </cell>
          <cell r="O115">
            <v>0</v>
          </cell>
          <cell r="P115">
            <v>164200</v>
          </cell>
        </row>
        <row r="116">
          <cell r="C116" t="str">
            <v>Hour</v>
          </cell>
          <cell r="D116">
            <v>1750</v>
          </cell>
          <cell r="E116">
            <v>315</v>
          </cell>
          <cell r="F116">
            <v>21.88</v>
          </cell>
          <cell r="G116">
            <v>2087.5</v>
          </cell>
          <cell r="H116">
            <v>445.5</v>
          </cell>
          <cell r="I116">
            <v>875</v>
          </cell>
          <cell r="J116">
            <v>175</v>
          </cell>
          <cell r="K116">
            <v>280</v>
          </cell>
          <cell r="L116">
            <v>5949.88</v>
          </cell>
          <cell r="M116">
            <v>2086.88</v>
          </cell>
          <cell r="N116">
            <v>5949.88</v>
          </cell>
          <cell r="O116">
            <v>2086.88</v>
          </cell>
          <cell r="P116">
            <v>3863</v>
          </cell>
        </row>
        <row r="117">
          <cell r="C117" t="str">
            <v>Hour</v>
          </cell>
          <cell r="D117">
            <v>15200</v>
          </cell>
          <cell r="E117">
            <v>4300</v>
          </cell>
          <cell r="F117">
            <v>1000</v>
          </cell>
          <cell r="G117">
            <v>15200</v>
          </cell>
          <cell r="H117">
            <v>4300</v>
          </cell>
          <cell r="I117">
            <v>0</v>
          </cell>
          <cell r="J117">
            <v>1000</v>
          </cell>
          <cell r="K117">
            <v>60000</v>
          </cell>
          <cell r="L117">
            <v>0</v>
          </cell>
          <cell r="M117">
            <v>0</v>
          </cell>
          <cell r="N117">
            <v>80500</v>
          </cell>
          <cell r="O117">
            <v>0</v>
          </cell>
          <cell r="P117">
            <v>80500</v>
          </cell>
        </row>
        <row r="118">
          <cell r="C118" t="str">
            <v>Hour</v>
          </cell>
          <cell r="D118">
            <v>15200</v>
          </cell>
          <cell r="E118">
            <v>0</v>
          </cell>
          <cell r="F118">
            <v>1000</v>
          </cell>
          <cell r="G118">
            <v>15200</v>
          </cell>
          <cell r="H118">
            <v>0</v>
          </cell>
          <cell r="I118">
            <v>0</v>
          </cell>
          <cell r="J118">
            <v>1000</v>
          </cell>
          <cell r="K118">
            <v>0</v>
          </cell>
          <cell r="L118">
            <v>0</v>
          </cell>
          <cell r="M118">
            <v>0</v>
          </cell>
          <cell r="N118">
            <v>16200</v>
          </cell>
          <cell r="O118">
            <v>0</v>
          </cell>
          <cell r="P118">
            <v>16200</v>
          </cell>
        </row>
        <row r="119">
          <cell r="C119" t="str">
            <v>Hour</v>
          </cell>
          <cell r="D119">
            <v>50000</v>
          </cell>
          <cell r="E119">
            <v>0</v>
          </cell>
          <cell r="F119">
            <v>0</v>
          </cell>
          <cell r="G119">
            <v>29275</v>
          </cell>
          <cell r="H119">
            <v>0</v>
          </cell>
          <cell r="I119">
            <v>33500</v>
          </cell>
          <cell r="J119">
            <v>7500</v>
          </cell>
          <cell r="K119">
            <v>0</v>
          </cell>
          <cell r="L119">
            <v>120275</v>
          </cell>
          <cell r="M119">
            <v>50000</v>
          </cell>
          <cell r="N119">
            <v>120275</v>
          </cell>
          <cell r="O119">
            <v>50000</v>
          </cell>
          <cell r="P119">
            <v>70275</v>
          </cell>
        </row>
        <row r="120">
          <cell r="C120" t="str">
            <v>Hour</v>
          </cell>
          <cell r="D120">
            <v>0</v>
          </cell>
          <cell r="E120">
            <v>0</v>
          </cell>
          <cell r="F120">
            <v>0</v>
          </cell>
          <cell r="G120">
            <v>38000</v>
          </cell>
          <cell r="H120">
            <v>5700</v>
          </cell>
          <cell r="I120">
            <v>0</v>
          </cell>
          <cell r="J120">
            <v>0</v>
          </cell>
          <cell r="K120">
            <v>125000</v>
          </cell>
          <cell r="L120">
            <v>168700</v>
          </cell>
          <cell r="M120">
            <v>0</v>
          </cell>
          <cell r="N120">
            <v>168700</v>
          </cell>
          <cell r="O120">
            <v>0</v>
          </cell>
          <cell r="P120">
            <v>168700</v>
          </cell>
        </row>
        <row r="121">
          <cell r="O121">
            <v>0</v>
          </cell>
        </row>
        <row r="122">
          <cell r="N122">
            <v>165583</v>
          </cell>
          <cell r="O122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>
        <row r="106">
          <cell r="C106" t="str">
            <v>Hour</v>
          </cell>
        </row>
      </sheetData>
      <sheetData sheetId="424"/>
      <sheetData sheetId="425">
        <row r="106">
          <cell r="C106" t="str">
            <v>Hour</v>
          </cell>
        </row>
      </sheetData>
      <sheetData sheetId="426"/>
      <sheetData sheetId="427">
        <row r="106">
          <cell r="C106" t="str">
            <v>Hour</v>
          </cell>
        </row>
      </sheetData>
      <sheetData sheetId="428">
        <row r="106">
          <cell r="C106" t="str">
            <v>Hour</v>
          </cell>
        </row>
      </sheetData>
      <sheetData sheetId="429"/>
      <sheetData sheetId="430"/>
      <sheetData sheetId="431">
        <row r="106">
          <cell r="C106" t="str">
            <v>Hour</v>
          </cell>
        </row>
      </sheetData>
      <sheetData sheetId="432"/>
      <sheetData sheetId="433">
        <row r="106">
          <cell r="C106" t="str">
            <v>Hour</v>
          </cell>
        </row>
      </sheetData>
      <sheetData sheetId="434">
        <row r="106">
          <cell r="C106" t="str">
            <v>Hour</v>
          </cell>
        </row>
      </sheetData>
      <sheetData sheetId="435">
        <row r="106">
          <cell r="C106" t="str">
            <v>Hour</v>
          </cell>
        </row>
      </sheetData>
      <sheetData sheetId="436"/>
      <sheetData sheetId="437">
        <row r="106">
          <cell r="C106" t="str">
            <v>Hour</v>
          </cell>
        </row>
      </sheetData>
      <sheetData sheetId="438">
        <row r="106">
          <cell r="C106" t="str">
            <v>Hour</v>
          </cell>
        </row>
      </sheetData>
      <sheetData sheetId="439">
        <row r="106">
          <cell r="C106" t="str">
            <v>Hour</v>
          </cell>
        </row>
      </sheetData>
      <sheetData sheetId="440"/>
      <sheetData sheetId="441">
        <row r="106">
          <cell r="C106" t="str">
            <v>Hour</v>
          </cell>
        </row>
      </sheetData>
      <sheetData sheetId="442"/>
      <sheetData sheetId="443">
        <row r="106">
          <cell r="C106" t="str">
            <v>Hour</v>
          </cell>
        </row>
      </sheetData>
      <sheetData sheetId="444"/>
      <sheetData sheetId="445"/>
      <sheetData sheetId="446"/>
      <sheetData sheetId="447"/>
      <sheetData sheetId="448"/>
      <sheetData sheetId="449"/>
      <sheetData sheetId="450">
        <row r="106">
          <cell r="C106" t="str">
            <v>Hour</v>
          </cell>
        </row>
      </sheetData>
      <sheetData sheetId="451" refreshError="1"/>
      <sheetData sheetId="452" refreshError="1"/>
      <sheetData sheetId="453" refreshError="1"/>
      <sheetData sheetId="454">
        <row r="106">
          <cell r="C106" t="str">
            <v>Hour</v>
          </cell>
        </row>
      </sheetData>
      <sheetData sheetId="455"/>
      <sheetData sheetId="456"/>
      <sheetData sheetId="457"/>
      <sheetData sheetId="458"/>
      <sheetData sheetId="459"/>
      <sheetData sheetId="460">
        <row r="106">
          <cell r="C106" t="str">
            <v>Hour</v>
          </cell>
        </row>
      </sheetData>
      <sheetData sheetId="461"/>
      <sheetData sheetId="462"/>
      <sheetData sheetId="463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/>
      <sheetData sheetId="532"/>
      <sheetData sheetId="533">
        <row r="106">
          <cell r="C106" t="str">
            <v>Hour</v>
          </cell>
        </row>
      </sheetData>
      <sheetData sheetId="534">
        <row r="106">
          <cell r="C106" t="str">
            <v>Hour</v>
          </cell>
        </row>
      </sheetData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>
        <row r="106">
          <cell r="C106" t="str">
            <v>Hour</v>
          </cell>
        </row>
      </sheetData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>
        <row r="106">
          <cell r="C106" t="str">
            <v>Hour</v>
          </cell>
        </row>
      </sheetData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>
        <row r="106">
          <cell r="C106" t="str">
            <v>Hour</v>
          </cell>
        </row>
      </sheetData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>
        <row r="106">
          <cell r="C106" t="str">
            <v>Hour</v>
          </cell>
        </row>
      </sheetData>
      <sheetData sheetId="831" refreshError="1"/>
      <sheetData sheetId="832">
        <row r="106">
          <cell r="C106" t="str">
            <v>Hour</v>
          </cell>
        </row>
      </sheetData>
      <sheetData sheetId="833">
        <row r="106">
          <cell r="C106" t="str">
            <v>Hour</v>
          </cell>
        </row>
      </sheetData>
      <sheetData sheetId="834" refreshError="1"/>
      <sheetData sheetId="835">
        <row r="106">
          <cell r="C106" t="str">
            <v>Hour</v>
          </cell>
        </row>
      </sheetData>
      <sheetData sheetId="836" refreshError="1"/>
      <sheetData sheetId="837" refreshError="1"/>
      <sheetData sheetId="838">
        <row r="106">
          <cell r="C106" t="str">
            <v>Hour</v>
          </cell>
        </row>
      </sheetData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>
        <row r="106">
          <cell r="C106" t="str">
            <v>Hour</v>
          </cell>
        </row>
      </sheetData>
      <sheetData sheetId="852">
        <row r="106">
          <cell r="C106" t="str">
            <v>Hour</v>
          </cell>
        </row>
      </sheetData>
      <sheetData sheetId="853">
        <row r="106">
          <cell r="C106" t="str">
            <v>Hour</v>
          </cell>
        </row>
      </sheetData>
      <sheetData sheetId="854">
        <row r="106">
          <cell r="C106" t="str">
            <v>Hour</v>
          </cell>
        </row>
      </sheetData>
      <sheetData sheetId="855">
        <row r="106">
          <cell r="C106" t="str">
            <v>Hour</v>
          </cell>
        </row>
      </sheetData>
      <sheetData sheetId="856">
        <row r="106">
          <cell r="C106" t="str">
            <v>Hour</v>
          </cell>
        </row>
      </sheetData>
      <sheetData sheetId="857">
        <row r="106">
          <cell r="C106" t="str">
            <v>Hour</v>
          </cell>
        </row>
      </sheetData>
      <sheetData sheetId="858">
        <row r="106">
          <cell r="C106" t="str">
            <v>Hour</v>
          </cell>
        </row>
      </sheetData>
      <sheetData sheetId="859">
        <row r="106">
          <cell r="C106" t="str">
            <v>Hour</v>
          </cell>
        </row>
      </sheetData>
      <sheetData sheetId="860" refreshError="1"/>
      <sheetData sheetId="861">
        <row r="106">
          <cell r="C106" t="str">
            <v>Hour</v>
          </cell>
        </row>
      </sheetData>
      <sheetData sheetId="862">
        <row r="106">
          <cell r="C106" t="str">
            <v>Hour</v>
          </cell>
        </row>
      </sheetData>
      <sheetData sheetId="863">
        <row r="106">
          <cell r="C106" t="str">
            <v>Hour</v>
          </cell>
        </row>
      </sheetData>
      <sheetData sheetId="864">
        <row r="106">
          <cell r="C106" t="str">
            <v>Hour</v>
          </cell>
        </row>
      </sheetData>
      <sheetData sheetId="865">
        <row r="106">
          <cell r="C106" t="str">
            <v>Hour</v>
          </cell>
        </row>
      </sheetData>
      <sheetData sheetId="866" refreshError="1"/>
      <sheetData sheetId="867">
        <row r="106">
          <cell r="C106" t="str">
            <v>Hour</v>
          </cell>
        </row>
      </sheetData>
      <sheetData sheetId="868">
        <row r="106">
          <cell r="C106" t="str">
            <v>Hour</v>
          </cell>
        </row>
      </sheetData>
      <sheetData sheetId="869">
        <row r="106">
          <cell r="C106" t="str">
            <v>Hour</v>
          </cell>
        </row>
      </sheetData>
      <sheetData sheetId="870">
        <row r="106">
          <cell r="C106" t="str">
            <v>Hour</v>
          </cell>
        </row>
      </sheetData>
      <sheetData sheetId="871">
        <row r="106">
          <cell r="C106" t="str">
            <v>Hour</v>
          </cell>
        </row>
      </sheetData>
      <sheetData sheetId="872">
        <row r="106">
          <cell r="C106" t="str">
            <v>Hour</v>
          </cell>
        </row>
      </sheetData>
      <sheetData sheetId="873">
        <row r="106">
          <cell r="C106" t="str">
            <v>Hour</v>
          </cell>
        </row>
      </sheetData>
      <sheetData sheetId="874" refreshError="1"/>
      <sheetData sheetId="875">
        <row r="106">
          <cell r="C106" t="str">
            <v>Hour</v>
          </cell>
        </row>
      </sheetData>
      <sheetData sheetId="876">
        <row r="106">
          <cell r="C106" t="str">
            <v>Hour</v>
          </cell>
        </row>
      </sheetData>
      <sheetData sheetId="877">
        <row r="106">
          <cell r="C106" t="str">
            <v>Hour</v>
          </cell>
        </row>
      </sheetData>
      <sheetData sheetId="878">
        <row r="106">
          <cell r="C106" t="str">
            <v>Hour</v>
          </cell>
        </row>
      </sheetData>
      <sheetData sheetId="879" refreshError="1"/>
      <sheetData sheetId="880" refreshError="1"/>
      <sheetData sheetId="881">
        <row r="106">
          <cell r="C106" t="str">
            <v>Hour</v>
          </cell>
        </row>
      </sheetData>
      <sheetData sheetId="882">
        <row r="106">
          <cell r="C106" t="str">
            <v>Hour</v>
          </cell>
        </row>
      </sheetData>
      <sheetData sheetId="883">
        <row r="106">
          <cell r="C106" t="str">
            <v>Hour</v>
          </cell>
        </row>
      </sheetData>
      <sheetData sheetId="884">
        <row r="106">
          <cell r="C106" t="str">
            <v>Hour</v>
          </cell>
        </row>
      </sheetData>
      <sheetData sheetId="885">
        <row r="106">
          <cell r="C106" t="str">
            <v>Hour</v>
          </cell>
        </row>
      </sheetData>
      <sheetData sheetId="886">
        <row r="106">
          <cell r="C106" t="str">
            <v>Hour</v>
          </cell>
        </row>
      </sheetData>
      <sheetData sheetId="887">
        <row r="106">
          <cell r="C106" t="str">
            <v>Hour</v>
          </cell>
        </row>
      </sheetData>
      <sheetData sheetId="888">
        <row r="106">
          <cell r="C106" t="str">
            <v>Hour</v>
          </cell>
        </row>
      </sheetData>
      <sheetData sheetId="889">
        <row r="106">
          <cell r="C106" t="str">
            <v>Hour</v>
          </cell>
        </row>
      </sheetData>
      <sheetData sheetId="890">
        <row r="106">
          <cell r="C106" t="str">
            <v>Hour</v>
          </cell>
        </row>
      </sheetData>
      <sheetData sheetId="891">
        <row r="106">
          <cell r="C106" t="str">
            <v>Hour</v>
          </cell>
        </row>
      </sheetData>
      <sheetData sheetId="892">
        <row r="106">
          <cell r="C106" t="str">
            <v>Hour</v>
          </cell>
        </row>
      </sheetData>
      <sheetData sheetId="893">
        <row r="106">
          <cell r="C106" t="str">
            <v>Hour</v>
          </cell>
        </row>
      </sheetData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>
        <row r="106">
          <cell r="C106" t="str">
            <v>Hour</v>
          </cell>
        </row>
      </sheetData>
      <sheetData sheetId="907" refreshError="1"/>
      <sheetData sheetId="908" refreshError="1"/>
      <sheetData sheetId="909">
        <row r="106">
          <cell r="C106" t="str">
            <v>Hour</v>
          </cell>
        </row>
      </sheetData>
      <sheetData sheetId="910" refreshError="1"/>
      <sheetData sheetId="911" refreshError="1"/>
      <sheetData sheetId="912">
        <row r="106">
          <cell r="C106" t="str">
            <v>Hour</v>
          </cell>
        </row>
      </sheetData>
      <sheetData sheetId="913" refreshError="1"/>
      <sheetData sheetId="914" refreshError="1"/>
      <sheetData sheetId="915">
        <row r="106">
          <cell r="C106" t="str">
            <v>Hour</v>
          </cell>
        </row>
      </sheetData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>
        <row r="106">
          <cell r="C106" t="str">
            <v>Hour</v>
          </cell>
        </row>
      </sheetData>
      <sheetData sheetId="936">
        <row r="106">
          <cell r="C106" t="str">
            <v>Hour</v>
          </cell>
        </row>
      </sheetData>
      <sheetData sheetId="937">
        <row r="106">
          <cell r="C106" t="str">
            <v>Hour</v>
          </cell>
        </row>
      </sheetData>
      <sheetData sheetId="938">
        <row r="106">
          <cell r="C106" t="str">
            <v>Hour</v>
          </cell>
        </row>
      </sheetData>
      <sheetData sheetId="939">
        <row r="106">
          <cell r="C106" t="str">
            <v>Hour</v>
          </cell>
        </row>
      </sheetData>
      <sheetData sheetId="940">
        <row r="106">
          <cell r="C106" t="str">
            <v>Hour</v>
          </cell>
        </row>
      </sheetData>
      <sheetData sheetId="941">
        <row r="106">
          <cell r="C106" t="str">
            <v>Hour</v>
          </cell>
        </row>
      </sheetData>
      <sheetData sheetId="942">
        <row r="106">
          <cell r="C106" t="str">
            <v>Hour</v>
          </cell>
        </row>
      </sheetData>
      <sheetData sheetId="943">
        <row r="106">
          <cell r="C106" t="str">
            <v>Hour</v>
          </cell>
        </row>
      </sheetData>
      <sheetData sheetId="944">
        <row r="106">
          <cell r="C106" t="str">
            <v>Hour</v>
          </cell>
        </row>
      </sheetData>
      <sheetData sheetId="945">
        <row r="106">
          <cell r="C106" t="str">
            <v>Hour</v>
          </cell>
        </row>
      </sheetData>
      <sheetData sheetId="946">
        <row r="106">
          <cell r="C106" t="str">
            <v>Hour</v>
          </cell>
        </row>
      </sheetData>
      <sheetData sheetId="947">
        <row r="106">
          <cell r="C106" t="str">
            <v>Hour</v>
          </cell>
        </row>
      </sheetData>
      <sheetData sheetId="948">
        <row r="106">
          <cell r="C106" t="str">
            <v>Hour</v>
          </cell>
        </row>
      </sheetData>
      <sheetData sheetId="949">
        <row r="106">
          <cell r="C106" t="str">
            <v>Hour</v>
          </cell>
        </row>
      </sheetData>
      <sheetData sheetId="950">
        <row r="106">
          <cell r="C106" t="str">
            <v>Hour</v>
          </cell>
        </row>
      </sheetData>
      <sheetData sheetId="951">
        <row r="106">
          <cell r="C106" t="str">
            <v>Hour</v>
          </cell>
        </row>
      </sheetData>
      <sheetData sheetId="952">
        <row r="106">
          <cell r="C106" t="str">
            <v>Hour</v>
          </cell>
        </row>
      </sheetData>
      <sheetData sheetId="953">
        <row r="106">
          <cell r="C106" t="str">
            <v>Hour</v>
          </cell>
        </row>
      </sheetData>
      <sheetData sheetId="954">
        <row r="106">
          <cell r="C106" t="str">
            <v>Hour</v>
          </cell>
        </row>
      </sheetData>
      <sheetData sheetId="955">
        <row r="106">
          <cell r="C106" t="str">
            <v>Hour</v>
          </cell>
        </row>
      </sheetData>
      <sheetData sheetId="956">
        <row r="106">
          <cell r="C106" t="str">
            <v>Hour</v>
          </cell>
        </row>
      </sheetData>
      <sheetData sheetId="957" refreshError="1"/>
      <sheetData sheetId="958">
        <row r="106">
          <cell r="C106" t="str">
            <v>Hour</v>
          </cell>
        </row>
      </sheetData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>
        <row r="106">
          <cell r="C106" t="str">
            <v>Hour</v>
          </cell>
        </row>
      </sheetData>
      <sheetData sheetId="967">
        <row r="106">
          <cell r="C106" t="str">
            <v>Hour</v>
          </cell>
        </row>
      </sheetData>
      <sheetData sheetId="968" refreshError="1"/>
      <sheetData sheetId="969" refreshError="1"/>
      <sheetData sheetId="970">
        <row r="106">
          <cell r="C106" t="str">
            <v>Hour</v>
          </cell>
        </row>
      </sheetData>
      <sheetData sheetId="971">
        <row r="106">
          <cell r="C106" t="str">
            <v>Hour</v>
          </cell>
        </row>
      </sheetData>
      <sheetData sheetId="972">
        <row r="106">
          <cell r="C106" t="str">
            <v>Hour</v>
          </cell>
        </row>
      </sheetData>
      <sheetData sheetId="973">
        <row r="106">
          <cell r="C106" t="str">
            <v>Hour</v>
          </cell>
        </row>
      </sheetData>
      <sheetData sheetId="974">
        <row r="106">
          <cell r="C106" t="str">
            <v>Hour</v>
          </cell>
        </row>
      </sheetData>
      <sheetData sheetId="975">
        <row r="106">
          <cell r="C106" t="str">
            <v>Hour</v>
          </cell>
        </row>
      </sheetData>
      <sheetData sheetId="976">
        <row r="106">
          <cell r="C106" t="str">
            <v>Hour</v>
          </cell>
        </row>
      </sheetData>
      <sheetData sheetId="977">
        <row r="106">
          <cell r="C106" t="str">
            <v>Hour</v>
          </cell>
        </row>
      </sheetData>
      <sheetData sheetId="978">
        <row r="106">
          <cell r="C106" t="str">
            <v>Hour</v>
          </cell>
        </row>
      </sheetData>
      <sheetData sheetId="979">
        <row r="106">
          <cell r="C106" t="str">
            <v>Hour</v>
          </cell>
        </row>
      </sheetData>
      <sheetData sheetId="980">
        <row r="106">
          <cell r="C106" t="str">
            <v>Hour</v>
          </cell>
        </row>
      </sheetData>
      <sheetData sheetId="981">
        <row r="106">
          <cell r="C106" t="str">
            <v>Hour</v>
          </cell>
        </row>
      </sheetData>
      <sheetData sheetId="982">
        <row r="106">
          <cell r="C106" t="str">
            <v>Hour</v>
          </cell>
        </row>
      </sheetData>
      <sheetData sheetId="983">
        <row r="106">
          <cell r="C106" t="str">
            <v>Hour</v>
          </cell>
        </row>
      </sheetData>
      <sheetData sheetId="984">
        <row r="106">
          <cell r="C106" t="str">
            <v>Hour</v>
          </cell>
        </row>
      </sheetData>
      <sheetData sheetId="985">
        <row r="106">
          <cell r="C106" t="str">
            <v>Hour</v>
          </cell>
        </row>
      </sheetData>
      <sheetData sheetId="986">
        <row r="106">
          <cell r="C106" t="str">
            <v>Hour</v>
          </cell>
        </row>
      </sheetData>
      <sheetData sheetId="987">
        <row r="106">
          <cell r="C106" t="str">
            <v>Hour</v>
          </cell>
        </row>
      </sheetData>
      <sheetData sheetId="988">
        <row r="106">
          <cell r="C106" t="str">
            <v>Hour</v>
          </cell>
        </row>
      </sheetData>
      <sheetData sheetId="989">
        <row r="106">
          <cell r="C106" t="str">
            <v>Hour</v>
          </cell>
        </row>
      </sheetData>
      <sheetData sheetId="990">
        <row r="106">
          <cell r="C106" t="str">
            <v>Hour</v>
          </cell>
        </row>
      </sheetData>
      <sheetData sheetId="991">
        <row r="106">
          <cell r="C106" t="str">
            <v>Hour</v>
          </cell>
        </row>
      </sheetData>
      <sheetData sheetId="992">
        <row r="106">
          <cell r="C106" t="str">
            <v>Hour</v>
          </cell>
        </row>
      </sheetData>
      <sheetData sheetId="993">
        <row r="106">
          <cell r="C106" t="str">
            <v>Hour</v>
          </cell>
        </row>
      </sheetData>
      <sheetData sheetId="994">
        <row r="106">
          <cell r="C106" t="str">
            <v>Hour</v>
          </cell>
        </row>
      </sheetData>
      <sheetData sheetId="995">
        <row r="106">
          <cell r="C106" t="str">
            <v>Hour</v>
          </cell>
        </row>
      </sheetData>
      <sheetData sheetId="996">
        <row r="106">
          <cell r="C106" t="str">
            <v>Hour</v>
          </cell>
        </row>
      </sheetData>
      <sheetData sheetId="997">
        <row r="106">
          <cell r="C106" t="str">
            <v>Hour</v>
          </cell>
        </row>
      </sheetData>
      <sheetData sheetId="998">
        <row r="106">
          <cell r="C106" t="str">
            <v>Hour</v>
          </cell>
        </row>
      </sheetData>
      <sheetData sheetId="999">
        <row r="106">
          <cell r="C106" t="str">
            <v>Hour</v>
          </cell>
        </row>
      </sheetData>
      <sheetData sheetId="1000">
        <row r="106">
          <cell r="C106" t="str">
            <v>Hour</v>
          </cell>
        </row>
      </sheetData>
      <sheetData sheetId="1001">
        <row r="106">
          <cell r="C106" t="str">
            <v>Hour</v>
          </cell>
        </row>
      </sheetData>
      <sheetData sheetId="1002">
        <row r="106">
          <cell r="C106" t="str">
            <v>Hour</v>
          </cell>
        </row>
      </sheetData>
      <sheetData sheetId="1003">
        <row r="106">
          <cell r="C106" t="str">
            <v>Hour</v>
          </cell>
        </row>
      </sheetData>
      <sheetData sheetId="1004">
        <row r="106">
          <cell r="C106" t="str">
            <v>Hour</v>
          </cell>
        </row>
      </sheetData>
      <sheetData sheetId="1005">
        <row r="106">
          <cell r="C106" t="str">
            <v>Hour</v>
          </cell>
        </row>
      </sheetData>
      <sheetData sheetId="1006">
        <row r="106">
          <cell r="C106" t="str">
            <v>Hour</v>
          </cell>
        </row>
      </sheetData>
      <sheetData sheetId="1007">
        <row r="106">
          <cell r="C106" t="str">
            <v>Hour</v>
          </cell>
        </row>
      </sheetData>
      <sheetData sheetId="1008">
        <row r="106">
          <cell r="C106" t="str">
            <v>Hour</v>
          </cell>
        </row>
      </sheetData>
      <sheetData sheetId="1009">
        <row r="106">
          <cell r="C106" t="str">
            <v>Hour</v>
          </cell>
        </row>
      </sheetData>
      <sheetData sheetId="1010">
        <row r="106">
          <cell r="C106" t="str">
            <v>Hour</v>
          </cell>
        </row>
      </sheetData>
      <sheetData sheetId="1011">
        <row r="106">
          <cell r="C106" t="str">
            <v>Hour</v>
          </cell>
        </row>
      </sheetData>
      <sheetData sheetId="1012">
        <row r="106">
          <cell r="C106" t="str">
            <v>Hour</v>
          </cell>
        </row>
      </sheetData>
      <sheetData sheetId="1013">
        <row r="106">
          <cell r="C106" t="str">
            <v>Hour</v>
          </cell>
        </row>
      </sheetData>
      <sheetData sheetId="1014">
        <row r="106">
          <cell r="C106" t="str">
            <v>Hour</v>
          </cell>
        </row>
      </sheetData>
      <sheetData sheetId="1015">
        <row r="106">
          <cell r="C106" t="str">
            <v>Hour</v>
          </cell>
        </row>
      </sheetData>
      <sheetData sheetId="1016">
        <row r="106">
          <cell r="C106" t="str">
            <v>Hour</v>
          </cell>
        </row>
      </sheetData>
      <sheetData sheetId="1017">
        <row r="106">
          <cell r="C106" t="str">
            <v>Hour</v>
          </cell>
        </row>
      </sheetData>
      <sheetData sheetId="1018">
        <row r="106">
          <cell r="C106" t="str">
            <v>Hour</v>
          </cell>
        </row>
      </sheetData>
      <sheetData sheetId="1019">
        <row r="106">
          <cell r="C106" t="str">
            <v>Hour</v>
          </cell>
        </row>
      </sheetData>
      <sheetData sheetId="1020">
        <row r="106">
          <cell r="C106" t="str">
            <v>Hour</v>
          </cell>
        </row>
      </sheetData>
      <sheetData sheetId="1021">
        <row r="106">
          <cell r="C106" t="str">
            <v>Hour</v>
          </cell>
        </row>
      </sheetData>
      <sheetData sheetId="1022">
        <row r="106">
          <cell r="C106" t="str">
            <v>Hour</v>
          </cell>
        </row>
      </sheetData>
      <sheetData sheetId="1023">
        <row r="106">
          <cell r="C106" t="str">
            <v>Hour</v>
          </cell>
        </row>
      </sheetData>
      <sheetData sheetId="1024">
        <row r="106">
          <cell r="C106" t="str">
            <v>Hour</v>
          </cell>
        </row>
      </sheetData>
      <sheetData sheetId="1025">
        <row r="106">
          <cell r="C106" t="str">
            <v>Hour</v>
          </cell>
        </row>
      </sheetData>
      <sheetData sheetId="1026">
        <row r="106">
          <cell r="C106" t="str">
            <v>Hour</v>
          </cell>
        </row>
      </sheetData>
      <sheetData sheetId="1027">
        <row r="106">
          <cell r="C106" t="str">
            <v>Hour</v>
          </cell>
        </row>
      </sheetData>
      <sheetData sheetId="1028">
        <row r="106">
          <cell r="C106" t="str">
            <v>Hour</v>
          </cell>
        </row>
      </sheetData>
      <sheetData sheetId="1029">
        <row r="106">
          <cell r="C106" t="str">
            <v>Hour</v>
          </cell>
        </row>
      </sheetData>
      <sheetData sheetId="1030">
        <row r="106">
          <cell r="C106" t="str">
            <v>Hour</v>
          </cell>
        </row>
      </sheetData>
      <sheetData sheetId="1031">
        <row r="106">
          <cell r="C106" t="str">
            <v>Hour</v>
          </cell>
        </row>
      </sheetData>
      <sheetData sheetId="1032">
        <row r="106">
          <cell r="C106" t="str">
            <v>Hour</v>
          </cell>
        </row>
      </sheetData>
      <sheetData sheetId="1033">
        <row r="106">
          <cell r="C106" t="str">
            <v>Hour</v>
          </cell>
        </row>
      </sheetData>
      <sheetData sheetId="1034">
        <row r="106">
          <cell r="C106" t="str">
            <v>Hour</v>
          </cell>
        </row>
      </sheetData>
      <sheetData sheetId="1035">
        <row r="106">
          <cell r="C106" t="str">
            <v>Hour</v>
          </cell>
        </row>
      </sheetData>
      <sheetData sheetId="1036">
        <row r="106">
          <cell r="C106" t="str">
            <v>Hour</v>
          </cell>
        </row>
      </sheetData>
      <sheetData sheetId="1037">
        <row r="106">
          <cell r="C106" t="str">
            <v>Hour</v>
          </cell>
        </row>
      </sheetData>
      <sheetData sheetId="1038">
        <row r="106">
          <cell r="C106" t="str">
            <v>Hour</v>
          </cell>
        </row>
      </sheetData>
      <sheetData sheetId="1039">
        <row r="106">
          <cell r="C106" t="str">
            <v>Hour</v>
          </cell>
        </row>
      </sheetData>
      <sheetData sheetId="1040">
        <row r="106">
          <cell r="C106" t="str">
            <v>Hour</v>
          </cell>
        </row>
      </sheetData>
      <sheetData sheetId="1041">
        <row r="106">
          <cell r="C106" t="str">
            <v>Hour</v>
          </cell>
        </row>
      </sheetData>
      <sheetData sheetId="1042">
        <row r="106">
          <cell r="C106" t="str">
            <v>Hour</v>
          </cell>
        </row>
      </sheetData>
      <sheetData sheetId="1043">
        <row r="106">
          <cell r="C106" t="str">
            <v>Hour</v>
          </cell>
        </row>
      </sheetData>
      <sheetData sheetId="1044">
        <row r="106">
          <cell r="C106" t="str">
            <v>Hour</v>
          </cell>
        </row>
      </sheetData>
      <sheetData sheetId="1045">
        <row r="106">
          <cell r="C106" t="str">
            <v>Hour</v>
          </cell>
        </row>
      </sheetData>
      <sheetData sheetId="1046">
        <row r="106">
          <cell r="C106" t="str">
            <v>Hour</v>
          </cell>
        </row>
      </sheetData>
      <sheetData sheetId="1047">
        <row r="106">
          <cell r="C106" t="str">
            <v>Hour</v>
          </cell>
        </row>
      </sheetData>
      <sheetData sheetId="1048">
        <row r="106">
          <cell r="C106" t="str">
            <v>Hour</v>
          </cell>
        </row>
      </sheetData>
      <sheetData sheetId="1049">
        <row r="106">
          <cell r="C106" t="str">
            <v>Hour</v>
          </cell>
        </row>
      </sheetData>
      <sheetData sheetId="1050">
        <row r="106">
          <cell r="C106" t="str">
            <v>Hour</v>
          </cell>
        </row>
      </sheetData>
      <sheetData sheetId="1051">
        <row r="106">
          <cell r="C106" t="str">
            <v>Hour</v>
          </cell>
        </row>
      </sheetData>
      <sheetData sheetId="1052">
        <row r="106">
          <cell r="C106" t="str">
            <v>Hour</v>
          </cell>
        </row>
      </sheetData>
      <sheetData sheetId="1053">
        <row r="106">
          <cell r="C106" t="str">
            <v>Hour</v>
          </cell>
        </row>
      </sheetData>
      <sheetData sheetId="1054">
        <row r="106">
          <cell r="C106" t="str">
            <v>Hour</v>
          </cell>
        </row>
      </sheetData>
      <sheetData sheetId="1055">
        <row r="106">
          <cell r="C106" t="str">
            <v>Hour</v>
          </cell>
        </row>
      </sheetData>
      <sheetData sheetId="1056">
        <row r="106">
          <cell r="C106" t="str">
            <v>Hour</v>
          </cell>
        </row>
      </sheetData>
      <sheetData sheetId="1057">
        <row r="106">
          <cell r="C106" t="str">
            <v>Hour</v>
          </cell>
        </row>
      </sheetData>
      <sheetData sheetId="1058">
        <row r="106">
          <cell r="C106" t="str">
            <v>Hour</v>
          </cell>
        </row>
      </sheetData>
      <sheetData sheetId="1059">
        <row r="106">
          <cell r="C106" t="str">
            <v>Hour</v>
          </cell>
        </row>
      </sheetData>
      <sheetData sheetId="1060">
        <row r="106">
          <cell r="C106" t="str">
            <v>Hour</v>
          </cell>
        </row>
      </sheetData>
      <sheetData sheetId="1061">
        <row r="106">
          <cell r="C106" t="str">
            <v>Hour</v>
          </cell>
        </row>
      </sheetData>
      <sheetData sheetId="1062">
        <row r="106">
          <cell r="C106" t="str">
            <v>Hour</v>
          </cell>
        </row>
      </sheetData>
      <sheetData sheetId="1063">
        <row r="106">
          <cell r="C106" t="str">
            <v>Hour</v>
          </cell>
        </row>
      </sheetData>
      <sheetData sheetId="1064">
        <row r="106">
          <cell r="C106" t="str">
            <v>Hour</v>
          </cell>
        </row>
      </sheetData>
      <sheetData sheetId="1065">
        <row r="106">
          <cell r="C106" t="str">
            <v>Hour</v>
          </cell>
        </row>
      </sheetData>
      <sheetData sheetId="1066">
        <row r="106">
          <cell r="C106" t="str">
            <v>Hour</v>
          </cell>
        </row>
      </sheetData>
      <sheetData sheetId="1067">
        <row r="106">
          <cell r="C106" t="str">
            <v>Hour</v>
          </cell>
        </row>
      </sheetData>
      <sheetData sheetId="1068">
        <row r="106">
          <cell r="C106" t="str">
            <v>Hour</v>
          </cell>
        </row>
      </sheetData>
      <sheetData sheetId="1069">
        <row r="106">
          <cell r="C106" t="str">
            <v>Hour</v>
          </cell>
        </row>
      </sheetData>
      <sheetData sheetId="1070">
        <row r="106">
          <cell r="C106" t="str">
            <v>Hour</v>
          </cell>
        </row>
      </sheetData>
      <sheetData sheetId="1071">
        <row r="106">
          <cell r="C106" t="str">
            <v>Hour</v>
          </cell>
        </row>
      </sheetData>
      <sheetData sheetId="1072">
        <row r="106">
          <cell r="C106" t="str">
            <v>Hour</v>
          </cell>
        </row>
      </sheetData>
      <sheetData sheetId="1073">
        <row r="106">
          <cell r="C106" t="str">
            <v>Hour</v>
          </cell>
        </row>
      </sheetData>
      <sheetData sheetId="1074">
        <row r="106">
          <cell r="C106" t="str">
            <v>Hour</v>
          </cell>
        </row>
      </sheetData>
      <sheetData sheetId="1075">
        <row r="106">
          <cell r="C106" t="str">
            <v>Hour</v>
          </cell>
        </row>
      </sheetData>
      <sheetData sheetId="1076">
        <row r="106">
          <cell r="C106" t="str">
            <v>Hour</v>
          </cell>
        </row>
      </sheetData>
      <sheetData sheetId="1077">
        <row r="106">
          <cell r="C106" t="str">
            <v>Hour</v>
          </cell>
        </row>
      </sheetData>
      <sheetData sheetId="1078">
        <row r="106">
          <cell r="C106" t="str">
            <v>Hour</v>
          </cell>
        </row>
      </sheetData>
      <sheetData sheetId="1079">
        <row r="106">
          <cell r="C106" t="str">
            <v>Hour</v>
          </cell>
        </row>
      </sheetData>
      <sheetData sheetId="1080">
        <row r="106">
          <cell r="C106" t="str">
            <v>Hour</v>
          </cell>
        </row>
      </sheetData>
      <sheetData sheetId="1081">
        <row r="106">
          <cell r="C106" t="str">
            <v>Hour</v>
          </cell>
        </row>
      </sheetData>
      <sheetData sheetId="1082">
        <row r="106">
          <cell r="C106" t="str">
            <v>Hour</v>
          </cell>
        </row>
      </sheetData>
      <sheetData sheetId="1083">
        <row r="106">
          <cell r="C106" t="str">
            <v>Hour</v>
          </cell>
        </row>
      </sheetData>
      <sheetData sheetId="1084">
        <row r="106">
          <cell r="C106" t="str">
            <v>Hour</v>
          </cell>
        </row>
      </sheetData>
      <sheetData sheetId="1085">
        <row r="106">
          <cell r="C106" t="str">
            <v>Hour</v>
          </cell>
        </row>
      </sheetData>
      <sheetData sheetId="1086">
        <row r="106">
          <cell r="C106" t="str">
            <v>Hour</v>
          </cell>
        </row>
      </sheetData>
      <sheetData sheetId="1087">
        <row r="106">
          <cell r="C106" t="str">
            <v>Hour</v>
          </cell>
        </row>
      </sheetData>
      <sheetData sheetId="1088">
        <row r="106">
          <cell r="C106" t="str">
            <v>Hour</v>
          </cell>
        </row>
      </sheetData>
      <sheetData sheetId="1089">
        <row r="106">
          <cell r="C106" t="str">
            <v>Hour</v>
          </cell>
        </row>
      </sheetData>
      <sheetData sheetId="1090">
        <row r="106">
          <cell r="C106" t="str">
            <v>Hour</v>
          </cell>
        </row>
      </sheetData>
      <sheetData sheetId="1091">
        <row r="106">
          <cell r="C106" t="str">
            <v>Hour</v>
          </cell>
        </row>
      </sheetData>
      <sheetData sheetId="1092">
        <row r="106">
          <cell r="C106" t="str">
            <v>Hour</v>
          </cell>
        </row>
      </sheetData>
      <sheetData sheetId="1093">
        <row r="106">
          <cell r="C106" t="str">
            <v>Hour</v>
          </cell>
        </row>
      </sheetData>
      <sheetData sheetId="1094">
        <row r="106">
          <cell r="C106" t="str">
            <v>Hour</v>
          </cell>
        </row>
      </sheetData>
      <sheetData sheetId="1095">
        <row r="106">
          <cell r="C106" t="str">
            <v>Hour</v>
          </cell>
        </row>
      </sheetData>
      <sheetData sheetId="1096">
        <row r="106">
          <cell r="C106" t="str">
            <v>Hour</v>
          </cell>
        </row>
      </sheetData>
      <sheetData sheetId="1097">
        <row r="106">
          <cell r="C106" t="str">
            <v>Hour</v>
          </cell>
        </row>
      </sheetData>
      <sheetData sheetId="1098">
        <row r="106">
          <cell r="C106" t="str">
            <v>Hour</v>
          </cell>
        </row>
      </sheetData>
      <sheetData sheetId="1099">
        <row r="106">
          <cell r="C106" t="str">
            <v>Hour</v>
          </cell>
        </row>
      </sheetData>
      <sheetData sheetId="1100">
        <row r="106">
          <cell r="C106" t="str">
            <v>Hour</v>
          </cell>
        </row>
      </sheetData>
      <sheetData sheetId="1101">
        <row r="106">
          <cell r="C106" t="str">
            <v>Hour</v>
          </cell>
        </row>
      </sheetData>
      <sheetData sheetId="1102">
        <row r="106">
          <cell r="C106" t="str">
            <v>Hour</v>
          </cell>
        </row>
      </sheetData>
      <sheetData sheetId="1103">
        <row r="106">
          <cell r="C106" t="str">
            <v>Hour</v>
          </cell>
        </row>
      </sheetData>
      <sheetData sheetId="1104">
        <row r="106">
          <cell r="C106" t="str">
            <v>Hour</v>
          </cell>
        </row>
      </sheetData>
      <sheetData sheetId="1105">
        <row r="106">
          <cell r="C106" t="str">
            <v>Hour</v>
          </cell>
        </row>
      </sheetData>
      <sheetData sheetId="1106">
        <row r="106">
          <cell r="C106" t="str">
            <v>Hour</v>
          </cell>
        </row>
      </sheetData>
      <sheetData sheetId="1107">
        <row r="106">
          <cell r="C106" t="str">
            <v>Hour</v>
          </cell>
        </row>
      </sheetData>
      <sheetData sheetId="1108">
        <row r="106">
          <cell r="C106" t="str">
            <v>Hour</v>
          </cell>
        </row>
      </sheetData>
      <sheetData sheetId="1109">
        <row r="106">
          <cell r="C106" t="str">
            <v>Hour</v>
          </cell>
        </row>
      </sheetData>
      <sheetData sheetId="1110">
        <row r="106">
          <cell r="C106" t="str">
            <v>Hour</v>
          </cell>
        </row>
      </sheetData>
      <sheetData sheetId="1111">
        <row r="106">
          <cell r="C106" t="str">
            <v>Hour</v>
          </cell>
        </row>
      </sheetData>
      <sheetData sheetId="1112">
        <row r="106">
          <cell r="C106" t="str">
            <v>Hour</v>
          </cell>
        </row>
      </sheetData>
      <sheetData sheetId="1113">
        <row r="106">
          <cell r="C106" t="str">
            <v>Hour</v>
          </cell>
        </row>
      </sheetData>
      <sheetData sheetId="1114">
        <row r="106">
          <cell r="C106" t="str">
            <v>Hour</v>
          </cell>
        </row>
      </sheetData>
      <sheetData sheetId="1115">
        <row r="106">
          <cell r="C106" t="str">
            <v>Hour</v>
          </cell>
        </row>
      </sheetData>
      <sheetData sheetId="1116">
        <row r="106">
          <cell r="C106" t="str">
            <v>Hour</v>
          </cell>
        </row>
      </sheetData>
      <sheetData sheetId="1117">
        <row r="106">
          <cell r="C106" t="str">
            <v>Hour</v>
          </cell>
        </row>
      </sheetData>
      <sheetData sheetId="1118">
        <row r="106">
          <cell r="C106" t="str">
            <v>Hour</v>
          </cell>
        </row>
      </sheetData>
      <sheetData sheetId="1119">
        <row r="106">
          <cell r="C106" t="str">
            <v>Hour</v>
          </cell>
        </row>
      </sheetData>
      <sheetData sheetId="1120">
        <row r="106">
          <cell r="C106" t="str">
            <v>Hour</v>
          </cell>
        </row>
      </sheetData>
      <sheetData sheetId="1121">
        <row r="106">
          <cell r="C106" t="str">
            <v>Hour</v>
          </cell>
        </row>
      </sheetData>
      <sheetData sheetId="1122">
        <row r="106">
          <cell r="C106" t="str">
            <v>Hour</v>
          </cell>
        </row>
      </sheetData>
      <sheetData sheetId="1123">
        <row r="106">
          <cell r="C106" t="str">
            <v>Hour</v>
          </cell>
        </row>
      </sheetData>
      <sheetData sheetId="1124">
        <row r="106">
          <cell r="C106" t="str">
            <v>Hour</v>
          </cell>
        </row>
      </sheetData>
      <sheetData sheetId="1125">
        <row r="106">
          <cell r="C106" t="str">
            <v>Hour</v>
          </cell>
        </row>
      </sheetData>
      <sheetData sheetId="1126">
        <row r="106">
          <cell r="C106" t="str">
            <v>Hour</v>
          </cell>
        </row>
      </sheetData>
      <sheetData sheetId="1127">
        <row r="106">
          <cell r="C106" t="str">
            <v>Hour</v>
          </cell>
        </row>
      </sheetData>
      <sheetData sheetId="1128">
        <row r="106">
          <cell r="C106" t="str">
            <v>Hour</v>
          </cell>
        </row>
      </sheetData>
      <sheetData sheetId="1129">
        <row r="106">
          <cell r="C106" t="str">
            <v>Hour</v>
          </cell>
        </row>
      </sheetData>
      <sheetData sheetId="1130">
        <row r="106">
          <cell r="C106" t="str">
            <v>Hour</v>
          </cell>
        </row>
      </sheetData>
      <sheetData sheetId="1131">
        <row r="106">
          <cell r="C106" t="str">
            <v>Hour</v>
          </cell>
        </row>
      </sheetData>
      <sheetData sheetId="1132">
        <row r="106">
          <cell r="C106" t="str">
            <v>Hour</v>
          </cell>
        </row>
      </sheetData>
      <sheetData sheetId="1133">
        <row r="106">
          <cell r="C106" t="str">
            <v>Hour</v>
          </cell>
        </row>
      </sheetData>
      <sheetData sheetId="1134">
        <row r="106">
          <cell r="C106" t="str">
            <v>Hour</v>
          </cell>
        </row>
      </sheetData>
      <sheetData sheetId="1135">
        <row r="106">
          <cell r="C106" t="str">
            <v>Hour</v>
          </cell>
        </row>
      </sheetData>
      <sheetData sheetId="1136">
        <row r="106">
          <cell r="C106" t="str">
            <v>Hour</v>
          </cell>
        </row>
      </sheetData>
      <sheetData sheetId="1137">
        <row r="106">
          <cell r="C106" t="str">
            <v>Hour</v>
          </cell>
        </row>
      </sheetData>
      <sheetData sheetId="1138">
        <row r="106">
          <cell r="C106" t="str">
            <v>Hour</v>
          </cell>
        </row>
      </sheetData>
      <sheetData sheetId="1139">
        <row r="106">
          <cell r="C106" t="str">
            <v>Hour</v>
          </cell>
        </row>
      </sheetData>
      <sheetData sheetId="1140">
        <row r="106">
          <cell r="C106" t="str">
            <v>Hour</v>
          </cell>
        </row>
      </sheetData>
      <sheetData sheetId="1141">
        <row r="106">
          <cell r="C106" t="str">
            <v>Hour</v>
          </cell>
        </row>
      </sheetData>
      <sheetData sheetId="1142">
        <row r="106">
          <cell r="C106" t="str">
            <v>Hour</v>
          </cell>
        </row>
      </sheetData>
      <sheetData sheetId="1143">
        <row r="106">
          <cell r="C106" t="str">
            <v>Hour</v>
          </cell>
        </row>
      </sheetData>
      <sheetData sheetId="1144">
        <row r="106">
          <cell r="C106" t="str">
            <v>Hour</v>
          </cell>
        </row>
      </sheetData>
      <sheetData sheetId="1145">
        <row r="106">
          <cell r="C106" t="str">
            <v>Hour</v>
          </cell>
        </row>
      </sheetData>
      <sheetData sheetId="1146">
        <row r="106">
          <cell r="C106" t="str">
            <v>Hour</v>
          </cell>
        </row>
      </sheetData>
      <sheetData sheetId="1147">
        <row r="106">
          <cell r="C106" t="str">
            <v>Hour</v>
          </cell>
        </row>
      </sheetData>
      <sheetData sheetId="1148">
        <row r="106">
          <cell r="C106" t="str">
            <v>Hour</v>
          </cell>
        </row>
      </sheetData>
      <sheetData sheetId="1149">
        <row r="106">
          <cell r="C106" t="str">
            <v>Hour</v>
          </cell>
        </row>
      </sheetData>
      <sheetData sheetId="1150">
        <row r="106">
          <cell r="C106" t="str">
            <v>Hour</v>
          </cell>
        </row>
      </sheetData>
      <sheetData sheetId="1151">
        <row r="106">
          <cell r="C106" t="str">
            <v>Hour</v>
          </cell>
        </row>
      </sheetData>
      <sheetData sheetId="1152">
        <row r="106">
          <cell r="C106" t="str">
            <v>Hour</v>
          </cell>
        </row>
      </sheetData>
      <sheetData sheetId="1153">
        <row r="106">
          <cell r="C106" t="str">
            <v>Hour</v>
          </cell>
        </row>
      </sheetData>
      <sheetData sheetId="1154">
        <row r="106">
          <cell r="C106" t="str">
            <v>Hour</v>
          </cell>
        </row>
      </sheetData>
      <sheetData sheetId="1155">
        <row r="106">
          <cell r="C106" t="str">
            <v>Hour</v>
          </cell>
        </row>
      </sheetData>
      <sheetData sheetId="1156">
        <row r="106">
          <cell r="C106" t="str">
            <v>Hour</v>
          </cell>
        </row>
      </sheetData>
      <sheetData sheetId="1157">
        <row r="106">
          <cell r="C106" t="str">
            <v>Hour</v>
          </cell>
        </row>
      </sheetData>
      <sheetData sheetId="1158">
        <row r="106">
          <cell r="C106" t="str">
            <v>Hour</v>
          </cell>
        </row>
      </sheetData>
      <sheetData sheetId="1159">
        <row r="106">
          <cell r="C106" t="str">
            <v>Hour</v>
          </cell>
        </row>
      </sheetData>
      <sheetData sheetId="1160">
        <row r="106">
          <cell r="C106" t="str">
            <v>Hour</v>
          </cell>
        </row>
      </sheetData>
      <sheetData sheetId="1161">
        <row r="106">
          <cell r="C106" t="str">
            <v>Hour</v>
          </cell>
        </row>
      </sheetData>
      <sheetData sheetId="1162">
        <row r="106">
          <cell r="C106" t="str">
            <v>Hour</v>
          </cell>
        </row>
      </sheetData>
      <sheetData sheetId="1163">
        <row r="106">
          <cell r="C106" t="str">
            <v>Hour</v>
          </cell>
        </row>
      </sheetData>
      <sheetData sheetId="1164">
        <row r="106">
          <cell r="C106" t="str">
            <v>Hour</v>
          </cell>
        </row>
      </sheetData>
      <sheetData sheetId="1165">
        <row r="106">
          <cell r="C106" t="str">
            <v>Hour</v>
          </cell>
        </row>
      </sheetData>
      <sheetData sheetId="1166">
        <row r="106">
          <cell r="C106" t="str">
            <v>Hour</v>
          </cell>
        </row>
      </sheetData>
      <sheetData sheetId="1167">
        <row r="106">
          <cell r="C106" t="str">
            <v>Hour</v>
          </cell>
        </row>
      </sheetData>
      <sheetData sheetId="1168">
        <row r="106">
          <cell r="C106" t="str">
            <v>Hour</v>
          </cell>
        </row>
      </sheetData>
      <sheetData sheetId="1169">
        <row r="106">
          <cell r="C106" t="str">
            <v>Hour</v>
          </cell>
        </row>
      </sheetData>
      <sheetData sheetId="1170">
        <row r="106">
          <cell r="C106" t="str">
            <v>Hour</v>
          </cell>
        </row>
      </sheetData>
      <sheetData sheetId="1171">
        <row r="106">
          <cell r="C106" t="str">
            <v>Hour</v>
          </cell>
        </row>
      </sheetData>
      <sheetData sheetId="1172">
        <row r="106">
          <cell r="C106" t="str">
            <v>Hour</v>
          </cell>
        </row>
      </sheetData>
      <sheetData sheetId="1173">
        <row r="106">
          <cell r="C106" t="str">
            <v>Hour</v>
          </cell>
        </row>
      </sheetData>
      <sheetData sheetId="1174">
        <row r="106">
          <cell r="C106" t="str">
            <v>Hour</v>
          </cell>
        </row>
      </sheetData>
      <sheetData sheetId="1175">
        <row r="106">
          <cell r="C106" t="str">
            <v>Hour</v>
          </cell>
        </row>
      </sheetData>
      <sheetData sheetId="1176">
        <row r="106">
          <cell r="C106" t="str">
            <v>Hour</v>
          </cell>
        </row>
      </sheetData>
      <sheetData sheetId="1177">
        <row r="106">
          <cell r="C106" t="str">
            <v>Hour</v>
          </cell>
        </row>
      </sheetData>
      <sheetData sheetId="1178">
        <row r="106">
          <cell r="C106" t="str">
            <v>Hour</v>
          </cell>
        </row>
      </sheetData>
      <sheetData sheetId="1179">
        <row r="106">
          <cell r="C106" t="str">
            <v>Hour</v>
          </cell>
        </row>
      </sheetData>
      <sheetData sheetId="1180">
        <row r="106">
          <cell r="C106" t="str">
            <v>Hour</v>
          </cell>
        </row>
      </sheetData>
      <sheetData sheetId="1181">
        <row r="106">
          <cell r="C106" t="str">
            <v>Hour</v>
          </cell>
        </row>
      </sheetData>
      <sheetData sheetId="1182">
        <row r="106">
          <cell r="C106" t="str">
            <v>Hour</v>
          </cell>
        </row>
      </sheetData>
      <sheetData sheetId="1183">
        <row r="106">
          <cell r="C106" t="str">
            <v>Hour</v>
          </cell>
        </row>
      </sheetData>
      <sheetData sheetId="1184">
        <row r="106">
          <cell r="C106" t="str">
            <v>Hour</v>
          </cell>
        </row>
      </sheetData>
      <sheetData sheetId="1185">
        <row r="106">
          <cell r="C106" t="str">
            <v>Hour</v>
          </cell>
        </row>
      </sheetData>
      <sheetData sheetId="1186">
        <row r="106">
          <cell r="C106" t="str">
            <v>Hour</v>
          </cell>
        </row>
      </sheetData>
      <sheetData sheetId="1187">
        <row r="106">
          <cell r="C106" t="str">
            <v>Hour</v>
          </cell>
        </row>
      </sheetData>
      <sheetData sheetId="1188">
        <row r="106">
          <cell r="C106" t="str">
            <v>Hour</v>
          </cell>
        </row>
      </sheetData>
      <sheetData sheetId="1189">
        <row r="106">
          <cell r="C106" t="str">
            <v>Hour</v>
          </cell>
        </row>
      </sheetData>
      <sheetData sheetId="1190">
        <row r="106">
          <cell r="C106" t="str">
            <v>Hour</v>
          </cell>
        </row>
      </sheetData>
      <sheetData sheetId="1191">
        <row r="106">
          <cell r="C106" t="str">
            <v>Hour</v>
          </cell>
        </row>
      </sheetData>
      <sheetData sheetId="1192">
        <row r="106">
          <cell r="C106" t="str">
            <v>Hour</v>
          </cell>
        </row>
      </sheetData>
      <sheetData sheetId="1193">
        <row r="106">
          <cell r="C106" t="str">
            <v>Hour</v>
          </cell>
        </row>
      </sheetData>
      <sheetData sheetId="1194">
        <row r="106">
          <cell r="C106" t="str">
            <v>Hour</v>
          </cell>
        </row>
      </sheetData>
      <sheetData sheetId="1195">
        <row r="106">
          <cell r="C106" t="str">
            <v>Hour</v>
          </cell>
        </row>
      </sheetData>
      <sheetData sheetId="1196">
        <row r="106">
          <cell r="C106" t="str">
            <v>Hour</v>
          </cell>
        </row>
      </sheetData>
      <sheetData sheetId="1197">
        <row r="106">
          <cell r="C106" t="str">
            <v>Hour</v>
          </cell>
        </row>
      </sheetData>
      <sheetData sheetId="1198">
        <row r="106">
          <cell r="C106" t="str">
            <v>Hour</v>
          </cell>
        </row>
      </sheetData>
      <sheetData sheetId="1199">
        <row r="106">
          <cell r="C106" t="str">
            <v>Hour</v>
          </cell>
        </row>
      </sheetData>
      <sheetData sheetId="1200">
        <row r="106">
          <cell r="C106" t="str">
            <v>Hour</v>
          </cell>
        </row>
      </sheetData>
      <sheetData sheetId="1201">
        <row r="106">
          <cell r="C106" t="str">
            <v>Hour</v>
          </cell>
        </row>
      </sheetData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>
        <row r="106">
          <cell r="C106" t="str">
            <v>Hour</v>
          </cell>
        </row>
      </sheetData>
      <sheetData sheetId="1284">
        <row r="106">
          <cell r="C106" t="str">
            <v>Hour</v>
          </cell>
        </row>
      </sheetData>
      <sheetData sheetId="1285" refreshError="1"/>
      <sheetData sheetId="1286" refreshError="1"/>
      <sheetData sheetId="1287" refreshError="1"/>
      <sheetData sheetId="1288" refreshError="1"/>
      <sheetData sheetId="1289">
        <row r="106">
          <cell r="C106" t="str">
            <v>Hour</v>
          </cell>
        </row>
      </sheetData>
      <sheetData sheetId="1290" refreshError="1"/>
      <sheetData sheetId="1291" refreshError="1"/>
      <sheetData sheetId="1292" refreshError="1"/>
      <sheetData sheetId="1293">
        <row r="106">
          <cell r="C106" t="str">
            <v>Hour</v>
          </cell>
        </row>
      </sheetData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>
        <row r="106">
          <cell r="C106" t="str">
            <v>Hour</v>
          </cell>
        </row>
      </sheetData>
      <sheetData sheetId="1327">
        <row r="106">
          <cell r="C106" t="str">
            <v>Hour</v>
          </cell>
        </row>
      </sheetData>
      <sheetData sheetId="1328" refreshError="1"/>
      <sheetData sheetId="1329">
        <row r="106">
          <cell r="C106" t="str">
            <v>Hour</v>
          </cell>
        </row>
      </sheetData>
      <sheetData sheetId="1330"/>
      <sheetData sheetId="1331" refreshError="1"/>
      <sheetData sheetId="1332" refreshError="1"/>
      <sheetData sheetId="1333" refreshError="1"/>
      <sheetData sheetId="1334" refreshError="1"/>
      <sheetData sheetId="1335">
        <row r="106">
          <cell r="C106" t="str">
            <v>Hour</v>
          </cell>
        </row>
      </sheetData>
      <sheetData sheetId="1336">
        <row r="106">
          <cell r="C106" t="str">
            <v>Hour</v>
          </cell>
        </row>
      </sheetData>
      <sheetData sheetId="1337">
        <row r="106">
          <cell r="C106" t="str">
            <v>Hour</v>
          </cell>
        </row>
      </sheetData>
      <sheetData sheetId="1338">
        <row r="106">
          <cell r="C106" t="str">
            <v>Hour</v>
          </cell>
        </row>
      </sheetData>
      <sheetData sheetId="1339">
        <row r="106">
          <cell r="C106" t="str">
            <v>Hour</v>
          </cell>
        </row>
      </sheetData>
      <sheetData sheetId="1340">
        <row r="106">
          <cell r="C106" t="str">
            <v>Hour</v>
          </cell>
        </row>
      </sheetData>
      <sheetData sheetId="1341">
        <row r="106">
          <cell r="C106" t="str">
            <v>Hour</v>
          </cell>
        </row>
      </sheetData>
      <sheetData sheetId="1342">
        <row r="106">
          <cell r="C106" t="str">
            <v>Hour</v>
          </cell>
        </row>
      </sheetData>
      <sheetData sheetId="1343">
        <row r="106">
          <cell r="C106" t="str">
            <v>Hour</v>
          </cell>
        </row>
      </sheetData>
      <sheetData sheetId="1344">
        <row r="106">
          <cell r="C106" t="str">
            <v>Hour</v>
          </cell>
        </row>
      </sheetData>
      <sheetData sheetId="1345">
        <row r="106">
          <cell r="C106" t="str">
            <v>Hour</v>
          </cell>
        </row>
      </sheetData>
      <sheetData sheetId="1346">
        <row r="106">
          <cell r="C106" t="str">
            <v>Hour</v>
          </cell>
        </row>
      </sheetData>
      <sheetData sheetId="1347">
        <row r="106">
          <cell r="C106" t="str">
            <v>Hour</v>
          </cell>
        </row>
      </sheetData>
      <sheetData sheetId="1348">
        <row r="106">
          <cell r="C106" t="str">
            <v>Hour</v>
          </cell>
        </row>
      </sheetData>
      <sheetData sheetId="1349">
        <row r="106">
          <cell r="C106" t="str">
            <v>Hour</v>
          </cell>
        </row>
      </sheetData>
      <sheetData sheetId="1350">
        <row r="106">
          <cell r="C106" t="str">
            <v>Hour</v>
          </cell>
        </row>
      </sheetData>
      <sheetData sheetId="1351">
        <row r="106">
          <cell r="C106" t="str">
            <v>Hour</v>
          </cell>
        </row>
      </sheetData>
      <sheetData sheetId="1352">
        <row r="106">
          <cell r="C106" t="str">
            <v>Hour</v>
          </cell>
        </row>
      </sheetData>
      <sheetData sheetId="1353">
        <row r="106">
          <cell r="C106" t="str">
            <v>Hour</v>
          </cell>
        </row>
      </sheetData>
      <sheetData sheetId="1354">
        <row r="106">
          <cell r="C106" t="str">
            <v>Hour</v>
          </cell>
        </row>
      </sheetData>
      <sheetData sheetId="1355">
        <row r="106">
          <cell r="C106" t="str">
            <v>Hour</v>
          </cell>
        </row>
      </sheetData>
      <sheetData sheetId="1356">
        <row r="106">
          <cell r="C106" t="str">
            <v>Hour</v>
          </cell>
        </row>
      </sheetData>
      <sheetData sheetId="1357">
        <row r="106">
          <cell r="C106" t="str">
            <v>Hour</v>
          </cell>
        </row>
      </sheetData>
      <sheetData sheetId="1358">
        <row r="106">
          <cell r="C106" t="str">
            <v>Hour</v>
          </cell>
        </row>
      </sheetData>
      <sheetData sheetId="1359">
        <row r="106">
          <cell r="C106" t="str">
            <v>Hour</v>
          </cell>
        </row>
      </sheetData>
      <sheetData sheetId="1360">
        <row r="106">
          <cell r="C106" t="str">
            <v>Hour</v>
          </cell>
        </row>
      </sheetData>
      <sheetData sheetId="1361">
        <row r="106">
          <cell r="C106" t="str">
            <v>Hour</v>
          </cell>
        </row>
      </sheetData>
      <sheetData sheetId="1362">
        <row r="106">
          <cell r="C106" t="str">
            <v>Hour</v>
          </cell>
        </row>
      </sheetData>
      <sheetData sheetId="1363">
        <row r="106">
          <cell r="C106" t="str">
            <v>Hour</v>
          </cell>
        </row>
      </sheetData>
      <sheetData sheetId="1364">
        <row r="106">
          <cell r="C106" t="str">
            <v>Hour</v>
          </cell>
        </row>
      </sheetData>
      <sheetData sheetId="1365">
        <row r="106">
          <cell r="C106" t="str">
            <v>Hour</v>
          </cell>
        </row>
      </sheetData>
      <sheetData sheetId="1366">
        <row r="106">
          <cell r="C106" t="str">
            <v>Hour</v>
          </cell>
        </row>
      </sheetData>
      <sheetData sheetId="1367">
        <row r="106">
          <cell r="C106" t="str">
            <v>Hour</v>
          </cell>
        </row>
      </sheetData>
      <sheetData sheetId="1368">
        <row r="106">
          <cell r="C106" t="str">
            <v>Hour</v>
          </cell>
        </row>
      </sheetData>
      <sheetData sheetId="1369">
        <row r="106">
          <cell r="C106" t="str">
            <v>Hour</v>
          </cell>
        </row>
      </sheetData>
      <sheetData sheetId="1370">
        <row r="106">
          <cell r="C106" t="str">
            <v>Hour</v>
          </cell>
        </row>
      </sheetData>
      <sheetData sheetId="1371">
        <row r="106">
          <cell r="C106" t="str">
            <v>Hour</v>
          </cell>
        </row>
      </sheetData>
      <sheetData sheetId="1372">
        <row r="106">
          <cell r="C106" t="str">
            <v>Hour</v>
          </cell>
        </row>
      </sheetData>
      <sheetData sheetId="1373">
        <row r="106">
          <cell r="C106" t="str">
            <v>Hour</v>
          </cell>
        </row>
      </sheetData>
      <sheetData sheetId="1374">
        <row r="106">
          <cell r="C106" t="str">
            <v>Hour</v>
          </cell>
        </row>
      </sheetData>
      <sheetData sheetId="1375">
        <row r="106">
          <cell r="C106" t="str">
            <v>Hour</v>
          </cell>
        </row>
      </sheetData>
      <sheetData sheetId="1376">
        <row r="106">
          <cell r="C106" t="str">
            <v>Hour</v>
          </cell>
        </row>
      </sheetData>
      <sheetData sheetId="1377">
        <row r="106">
          <cell r="C106" t="str">
            <v>Hour</v>
          </cell>
        </row>
      </sheetData>
      <sheetData sheetId="1378">
        <row r="106">
          <cell r="C106" t="str">
            <v>Hour</v>
          </cell>
        </row>
      </sheetData>
      <sheetData sheetId="1379">
        <row r="106">
          <cell r="C106" t="str">
            <v>Hour</v>
          </cell>
        </row>
      </sheetData>
      <sheetData sheetId="1380">
        <row r="106">
          <cell r="C106" t="str">
            <v>Hour</v>
          </cell>
        </row>
      </sheetData>
      <sheetData sheetId="1381">
        <row r="106">
          <cell r="C106" t="str">
            <v>Hour</v>
          </cell>
        </row>
      </sheetData>
      <sheetData sheetId="1382">
        <row r="106">
          <cell r="C106" t="str">
            <v>Hour</v>
          </cell>
        </row>
      </sheetData>
      <sheetData sheetId="1383">
        <row r="106">
          <cell r="C106" t="str">
            <v>Hour</v>
          </cell>
        </row>
      </sheetData>
      <sheetData sheetId="1384">
        <row r="106">
          <cell r="C106" t="str">
            <v>Hour</v>
          </cell>
        </row>
      </sheetData>
      <sheetData sheetId="1385">
        <row r="106">
          <cell r="C106" t="str">
            <v>Hour</v>
          </cell>
        </row>
      </sheetData>
      <sheetData sheetId="1386">
        <row r="106">
          <cell r="C106" t="str">
            <v>Hour</v>
          </cell>
        </row>
      </sheetData>
      <sheetData sheetId="1387">
        <row r="106">
          <cell r="C106" t="str">
            <v>Hour</v>
          </cell>
        </row>
      </sheetData>
      <sheetData sheetId="1388">
        <row r="106">
          <cell r="C106" t="str">
            <v>Hour</v>
          </cell>
        </row>
      </sheetData>
      <sheetData sheetId="1389">
        <row r="106">
          <cell r="C106" t="str">
            <v>Hour</v>
          </cell>
        </row>
      </sheetData>
      <sheetData sheetId="1390">
        <row r="106">
          <cell r="C106" t="str">
            <v>Hour</v>
          </cell>
        </row>
      </sheetData>
      <sheetData sheetId="1391">
        <row r="106">
          <cell r="C106" t="str">
            <v>Hour</v>
          </cell>
        </row>
      </sheetData>
      <sheetData sheetId="1392">
        <row r="106">
          <cell r="C106" t="str">
            <v>Hour</v>
          </cell>
        </row>
      </sheetData>
      <sheetData sheetId="1393">
        <row r="106">
          <cell r="C106" t="str">
            <v>Hour</v>
          </cell>
        </row>
      </sheetData>
      <sheetData sheetId="1394">
        <row r="106">
          <cell r="C106" t="str">
            <v>Hour</v>
          </cell>
        </row>
      </sheetData>
      <sheetData sheetId="1395">
        <row r="106">
          <cell r="C106" t="str">
            <v>Hour</v>
          </cell>
        </row>
      </sheetData>
      <sheetData sheetId="1396">
        <row r="106">
          <cell r="C106" t="str">
            <v>Hour</v>
          </cell>
        </row>
      </sheetData>
      <sheetData sheetId="1397">
        <row r="106">
          <cell r="C106" t="str">
            <v>Hour</v>
          </cell>
        </row>
      </sheetData>
      <sheetData sheetId="1398">
        <row r="106">
          <cell r="C106" t="str">
            <v>Hour</v>
          </cell>
        </row>
      </sheetData>
      <sheetData sheetId="1399">
        <row r="106">
          <cell r="C106" t="str">
            <v>Hour</v>
          </cell>
        </row>
      </sheetData>
      <sheetData sheetId="1400">
        <row r="106">
          <cell r="C106" t="str">
            <v>Hour</v>
          </cell>
        </row>
      </sheetData>
      <sheetData sheetId="1401">
        <row r="106">
          <cell r="C106" t="str">
            <v>Hour</v>
          </cell>
        </row>
      </sheetData>
      <sheetData sheetId="1402">
        <row r="106">
          <cell r="C106" t="str">
            <v>Hour</v>
          </cell>
        </row>
      </sheetData>
      <sheetData sheetId="1403">
        <row r="106">
          <cell r="C106" t="str">
            <v>Hour</v>
          </cell>
        </row>
      </sheetData>
      <sheetData sheetId="1404">
        <row r="106">
          <cell r="C106" t="str">
            <v>Hour</v>
          </cell>
        </row>
      </sheetData>
      <sheetData sheetId="1405">
        <row r="106">
          <cell r="C106" t="str">
            <v>Hour</v>
          </cell>
        </row>
      </sheetData>
      <sheetData sheetId="1406">
        <row r="106">
          <cell r="C106" t="str">
            <v>Hour</v>
          </cell>
        </row>
      </sheetData>
      <sheetData sheetId="1407">
        <row r="106">
          <cell r="C106" t="str">
            <v>Hour</v>
          </cell>
        </row>
      </sheetData>
      <sheetData sheetId="1408">
        <row r="106">
          <cell r="C106" t="str">
            <v>Hour</v>
          </cell>
        </row>
      </sheetData>
      <sheetData sheetId="1409">
        <row r="106">
          <cell r="C106" t="str">
            <v>Hour</v>
          </cell>
        </row>
      </sheetData>
      <sheetData sheetId="1410">
        <row r="106">
          <cell r="C106" t="str">
            <v>Hour</v>
          </cell>
        </row>
      </sheetData>
      <sheetData sheetId="1411">
        <row r="106">
          <cell r="C106" t="str">
            <v>Hour</v>
          </cell>
        </row>
      </sheetData>
      <sheetData sheetId="1412">
        <row r="106">
          <cell r="C106" t="str">
            <v>Hour</v>
          </cell>
        </row>
      </sheetData>
      <sheetData sheetId="1413">
        <row r="106">
          <cell r="C106" t="str">
            <v>Hour</v>
          </cell>
        </row>
      </sheetData>
      <sheetData sheetId="1414">
        <row r="106">
          <cell r="C106" t="str">
            <v>Hour</v>
          </cell>
        </row>
      </sheetData>
      <sheetData sheetId="1415">
        <row r="106">
          <cell r="C106" t="str">
            <v>Hour</v>
          </cell>
        </row>
      </sheetData>
      <sheetData sheetId="1416">
        <row r="106">
          <cell r="C106" t="str">
            <v>Hour</v>
          </cell>
        </row>
      </sheetData>
      <sheetData sheetId="1417">
        <row r="106">
          <cell r="C106" t="str">
            <v>Hour</v>
          </cell>
        </row>
      </sheetData>
      <sheetData sheetId="1418">
        <row r="106">
          <cell r="C106" t="str">
            <v>Hour</v>
          </cell>
        </row>
      </sheetData>
      <sheetData sheetId="1419">
        <row r="106">
          <cell r="C106" t="str">
            <v>Hour</v>
          </cell>
        </row>
      </sheetData>
      <sheetData sheetId="1420">
        <row r="106">
          <cell r="C106" t="str">
            <v>Hour</v>
          </cell>
        </row>
      </sheetData>
      <sheetData sheetId="1421">
        <row r="106">
          <cell r="C106" t="str">
            <v>Hour</v>
          </cell>
        </row>
      </sheetData>
      <sheetData sheetId="1422">
        <row r="106">
          <cell r="C106" t="str">
            <v>Hour</v>
          </cell>
        </row>
      </sheetData>
      <sheetData sheetId="1423">
        <row r="106">
          <cell r="C106" t="str">
            <v>Hour</v>
          </cell>
        </row>
      </sheetData>
      <sheetData sheetId="1424">
        <row r="106">
          <cell r="C106" t="str">
            <v>Hour</v>
          </cell>
        </row>
      </sheetData>
      <sheetData sheetId="1425">
        <row r="106">
          <cell r="C106" t="str">
            <v>Hour</v>
          </cell>
        </row>
      </sheetData>
      <sheetData sheetId="1426">
        <row r="106">
          <cell r="C106" t="str">
            <v>Hour</v>
          </cell>
        </row>
      </sheetData>
      <sheetData sheetId="1427">
        <row r="106">
          <cell r="C106" t="str">
            <v>Hour</v>
          </cell>
        </row>
      </sheetData>
      <sheetData sheetId="1428">
        <row r="106">
          <cell r="C106" t="str">
            <v>Hour</v>
          </cell>
        </row>
      </sheetData>
      <sheetData sheetId="1429">
        <row r="106">
          <cell r="C106" t="str">
            <v>Hour</v>
          </cell>
        </row>
      </sheetData>
      <sheetData sheetId="1430">
        <row r="106">
          <cell r="C106" t="str">
            <v>Hour</v>
          </cell>
        </row>
      </sheetData>
      <sheetData sheetId="1431">
        <row r="106">
          <cell r="C106" t="str">
            <v>Hour</v>
          </cell>
        </row>
      </sheetData>
      <sheetData sheetId="1432">
        <row r="106">
          <cell r="C106" t="str">
            <v>Hour</v>
          </cell>
        </row>
      </sheetData>
      <sheetData sheetId="1433">
        <row r="106">
          <cell r="C106" t="str">
            <v>Hour</v>
          </cell>
        </row>
      </sheetData>
      <sheetData sheetId="1434">
        <row r="106">
          <cell r="C106" t="str">
            <v>Hour</v>
          </cell>
        </row>
      </sheetData>
      <sheetData sheetId="1435">
        <row r="106">
          <cell r="C106" t="str">
            <v>Hour</v>
          </cell>
        </row>
      </sheetData>
      <sheetData sheetId="1436">
        <row r="106">
          <cell r="C106" t="str">
            <v>Hour</v>
          </cell>
        </row>
      </sheetData>
      <sheetData sheetId="1437">
        <row r="106">
          <cell r="C106" t="str">
            <v>Hour</v>
          </cell>
        </row>
      </sheetData>
      <sheetData sheetId="1438">
        <row r="106">
          <cell r="C106" t="str">
            <v>Hour</v>
          </cell>
        </row>
      </sheetData>
      <sheetData sheetId="1439">
        <row r="106">
          <cell r="C106" t="str">
            <v>Hour</v>
          </cell>
        </row>
      </sheetData>
      <sheetData sheetId="1440">
        <row r="106">
          <cell r="C106" t="str">
            <v>Hour</v>
          </cell>
        </row>
      </sheetData>
      <sheetData sheetId="1441">
        <row r="106">
          <cell r="C106" t="str">
            <v>Hour</v>
          </cell>
        </row>
      </sheetData>
      <sheetData sheetId="1442">
        <row r="106">
          <cell r="C106" t="str">
            <v>Hour</v>
          </cell>
        </row>
      </sheetData>
      <sheetData sheetId="1443">
        <row r="106">
          <cell r="C106" t="str">
            <v>Hour</v>
          </cell>
        </row>
      </sheetData>
      <sheetData sheetId="1444">
        <row r="106">
          <cell r="C106" t="str">
            <v>Hour</v>
          </cell>
        </row>
      </sheetData>
      <sheetData sheetId="1445">
        <row r="106">
          <cell r="C106" t="str">
            <v>Hour</v>
          </cell>
        </row>
      </sheetData>
      <sheetData sheetId="1446">
        <row r="106">
          <cell r="C106" t="str">
            <v>Hour</v>
          </cell>
        </row>
      </sheetData>
      <sheetData sheetId="1447">
        <row r="106">
          <cell r="C106" t="str">
            <v>Hour</v>
          </cell>
        </row>
      </sheetData>
      <sheetData sheetId="1448">
        <row r="106">
          <cell r="C106" t="str">
            <v>Hour</v>
          </cell>
        </row>
      </sheetData>
      <sheetData sheetId="1449">
        <row r="106">
          <cell r="C106" t="str">
            <v>Hour</v>
          </cell>
        </row>
      </sheetData>
      <sheetData sheetId="1450">
        <row r="106">
          <cell r="C106" t="str">
            <v>Hour</v>
          </cell>
        </row>
      </sheetData>
      <sheetData sheetId="1451">
        <row r="106">
          <cell r="C106" t="str">
            <v>Hour</v>
          </cell>
        </row>
      </sheetData>
      <sheetData sheetId="1452">
        <row r="106">
          <cell r="C106" t="str">
            <v>Hour</v>
          </cell>
        </row>
      </sheetData>
      <sheetData sheetId="1453">
        <row r="106">
          <cell r="C106" t="str">
            <v>Hour</v>
          </cell>
        </row>
      </sheetData>
      <sheetData sheetId="1454">
        <row r="106">
          <cell r="C106" t="str">
            <v>Hour</v>
          </cell>
        </row>
      </sheetData>
      <sheetData sheetId="1455">
        <row r="106">
          <cell r="C106" t="str">
            <v>Hour</v>
          </cell>
        </row>
      </sheetData>
      <sheetData sheetId="1456">
        <row r="106">
          <cell r="C106" t="str">
            <v>Hour</v>
          </cell>
        </row>
      </sheetData>
      <sheetData sheetId="1457">
        <row r="106">
          <cell r="C106" t="str">
            <v>Hour</v>
          </cell>
        </row>
      </sheetData>
      <sheetData sheetId="1458">
        <row r="106">
          <cell r="C106" t="str">
            <v>Hour</v>
          </cell>
        </row>
      </sheetData>
      <sheetData sheetId="1459">
        <row r="106">
          <cell r="C106" t="str">
            <v>Hour</v>
          </cell>
        </row>
      </sheetData>
      <sheetData sheetId="1460">
        <row r="106">
          <cell r="C106" t="str">
            <v>Hour</v>
          </cell>
        </row>
      </sheetData>
      <sheetData sheetId="1461">
        <row r="106">
          <cell r="C106" t="str">
            <v>Hour</v>
          </cell>
        </row>
      </sheetData>
      <sheetData sheetId="1462">
        <row r="106">
          <cell r="C106" t="str">
            <v>Hour</v>
          </cell>
        </row>
      </sheetData>
      <sheetData sheetId="1463">
        <row r="106">
          <cell r="C106" t="str">
            <v>Hour</v>
          </cell>
        </row>
      </sheetData>
      <sheetData sheetId="1464">
        <row r="106">
          <cell r="C106" t="str">
            <v>Hour</v>
          </cell>
        </row>
      </sheetData>
      <sheetData sheetId="1465">
        <row r="106">
          <cell r="C106" t="str">
            <v>Hour</v>
          </cell>
        </row>
      </sheetData>
      <sheetData sheetId="1466">
        <row r="106">
          <cell r="C106" t="str">
            <v>Hour</v>
          </cell>
        </row>
      </sheetData>
      <sheetData sheetId="1467">
        <row r="106">
          <cell r="C106" t="str">
            <v>Hour</v>
          </cell>
        </row>
      </sheetData>
      <sheetData sheetId="1468">
        <row r="106">
          <cell r="C106" t="str">
            <v>Hour</v>
          </cell>
        </row>
      </sheetData>
      <sheetData sheetId="1469">
        <row r="106">
          <cell r="C106" t="str">
            <v>Hour</v>
          </cell>
        </row>
      </sheetData>
      <sheetData sheetId="1470">
        <row r="106">
          <cell r="C106" t="str">
            <v>Hour</v>
          </cell>
        </row>
      </sheetData>
      <sheetData sheetId="1471">
        <row r="106">
          <cell r="C106" t="str">
            <v>Hour</v>
          </cell>
        </row>
      </sheetData>
      <sheetData sheetId="1472">
        <row r="106">
          <cell r="C106" t="str">
            <v>Hour</v>
          </cell>
        </row>
      </sheetData>
      <sheetData sheetId="1473">
        <row r="106">
          <cell r="C106" t="str">
            <v>Hour</v>
          </cell>
        </row>
      </sheetData>
      <sheetData sheetId="1474">
        <row r="106">
          <cell r="C106" t="str">
            <v>Hour</v>
          </cell>
        </row>
      </sheetData>
      <sheetData sheetId="1475">
        <row r="106">
          <cell r="C106" t="str">
            <v>Hour</v>
          </cell>
        </row>
      </sheetData>
      <sheetData sheetId="1476">
        <row r="106">
          <cell r="C106" t="str">
            <v>Hour</v>
          </cell>
        </row>
      </sheetData>
      <sheetData sheetId="1477">
        <row r="106">
          <cell r="C106" t="str">
            <v>Hour</v>
          </cell>
        </row>
      </sheetData>
      <sheetData sheetId="1478">
        <row r="106">
          <cell r="C106" t="str">
            <v>Hour</v>
          </cell>
        </row>
      </sheetData>
      <sheetData sheetId="1479">
        <row r="106">
          <cell r="C106" t="str">
            <v>Hour</v>
          </cell>
        </row>
      </sheetData>
      <sheetData sheetId="1480">
        <row r="106">
          <cell r="C106" t="str">
            <v>Hour</v>
          </cell>
        </row>
      </sheetData>
      <sheetData sheetId="1481">
        <row r="106">
          <cell r="C106" t="str">
            <v>Hour</v>
          </cell>
        </row>
      </sheetData>
      <sheetData sheetId="1482">
        <row r="106">
          <cell r="C106" t="str">
            <v>Hour</v>
          </cell>
        </row>
      </sheetData>
      <sheetData sheetId="1483">
        <row r="106">
          <cell r="C106" t="str">
            <v>Hour</v>
          </cell>
        </row>
      </sheetData>
      <sheetData sheetId="1484">
        <row r="106">
          <cell r="C106" t="str">
            <v>Hour</v>
          </cell>
        </row>
      </sheetData>
      <sheetData sheetId="1485">
        <row r="106">
          <cell r="C106" t="str">
            <v>Hour</v>
          </cell>
        </row>
      </sheetData>
      <sheetData sheetId="1486">
        <row r="106">
          <cell r="C106" t="str">
            <v>Hour</v>
          </cell>
        </row>
      </sheetData>
      <sheetData sheetId="1487">
        <row r="106">
          <cell r="C106" t="str">
            <v>Hour</v>
          </cell>
        </row>
      </sheetData>
      <sheetData sheetId="1488">
        <row r="106">
          <cell r="C106" t="str">
            <v>Hour</v>
          </cell>
        </row>
      </sheetData>
      <sheetData sheetId="1489">
        <row r="106">
          <cell r="C106" t="str">
            <v>Hour</v>
          </cell>
        </row>
      </sheetData>
      <sheetData sheetId="1490">
        <row r="106">
          <cell r="C106" t="str">
            <v>Hour</v>
          </cell>
        </row>
      </sheetData>
      <sheetData sheetId="1491">
        <row r="106">
          <cell r="C106" t="str">
            <v>Hour</v>
          </cell>
        </row>
      </sheetData>
      <sheetData sheetId="1492">
        <row r="106">
          <cell r="C106" t="str">
            <v>Hour</v>
          </cell>
        </row>
      </sheetData>
      <sheetData sheetId="1493">
        <row r="106">
          <cell r="C106" t="str">
            <v>Hour</v>
          </cell>
        </row>
      </sheetData>
      <sheetData sheetId="1494">
        <row r="106">
          <cell r="C106" t="str">
            <v>Hour</v>
          </cell>
        </row>
      </sheetData>
      <sheetData sheetId="1495">
        <row r="106">
          <cell r="C106" t="str">
            <v>Hour</v>
          </cell>
        </row>
      </sheetData>
      <sheetData sheetId="1496">
        <row r="106">
          <cell r="C106" t="str">
            <v>Hour</v>
          </cell>
        </row>
      </sheetData>
      <sheetData sheetId="1497">
        <row r="106">
          <cell r="C106" t="str">
            <v>Hour</v>
          </cell>
        </row>
      </sheetData>
      <sheetData sheetId="1498">
        <row r="106">
          <cell r="C106" t="str">
            <v>Hour</v>
          </cell>
        </row>
      </sheetData>
      <sheetData sheetId="1499">
        <row r="106">
          <cell r="C106" t="str">
            <v>Hour</v>
          </cell>
        </row>
      </sheetData>
      <sheetData sheetId="1500">
        <row r="106">
          <cell r="C106" t="str">
            <v>Hour</v>
          </cell>
        </row>
      </sheetData>
      <sheetData sheetId="1501">
        <row r="106">
          <cell r="C106" t="str">
            <v>Hour</v>
          </cell>
        </row>
      </sheetData>
      <sheetData sheetId="1502">
        <row r="106">
          <cell r="C106" t="str">
            <v>Hour</v>
          </cell>
        </row>
      </sheetData>
      <sheetData sheetId="1503">
        <row r="106">
          <cell r="C106" t="str">
            <v>Hour</v>
          </cell>
        </row>
      </sheetData>
      <sheetData sheetId="1504">
        <row r="106">
          <cell r="C106" t="str">
            <v>Hour</v>
          </cell>
        </row>
      </sheetData>
      <sheetData sheetId="1505">
        <row r="106">
          <cell r="C106" t="str">
            <v>Hour</v>
          </cell>
        </row>
      </sheetData>
      <sheetData sheetId="1506">
        <row r="106">
          <cell r="C106" t="str">
            <v>Hour</v>
          </cell>
        </row>
      </sheetData>
      <sheetData sheetId="1507">
        <row r="106">
          <cell r="C106" t="str">
            <v>Hour</v>
          </cell>
        </row>
      </sheetData>
      <sheetData sheetId="1508">
        <row r="106">
          <cell r="C106" t="str">
            <v>Hour</v>
          </cell>
        </row>
      </sheetData>
      <sheetData sheetId="1509">
        <row r="106">
          <cell r="C106" t="str">
            <v>Hour</v>
          </cell>
        </row>
      </sheetData>
      <sheetData sheetId="1510">
        <row r="106">
          <cell r="C106" t="str">
            <v>Hour</v>
          </cell>
        </row>
      </sheetData>
      <sheetData sheetId="1511">
        <row r="106">
          <cell r="C106" t="str">
            <v>Hour</v>
          </cell>
        </row>
      </sheetData>
      <sheetData sheetId="1512">
        <row r="106">
          <cell r="C106" t="str">
            <v>Hour</v>
          </cell>
        </row>
      </sheetData>
      <sheetData sheetId="1513">
        <row r="106">
          <cell r="C106" t="str">
            <v>Hour</v>
          </cell>
        </row>
      </sheetData>
      <sheetData sheetId="1514">
        <row r="106">
          <cell r="C106" t="str">
            <v>Hour</v>
          </cell>
        </row>
      </sheetData>
      <sheetData sheetId="1515">
        <row r="106">
          <cell r="C106" t="str">
            <v>Hour</v>
          </cell>
        </row>
      </sheetData>
      <sheetData sheetId="1516">
        <row r="106">
          <cell r="C106" t="str">
            <v>Hour</v>
          </cell>
        </row>
      </sheetData>
      <sheetData sheetId="1517">
        <row r="106">
          <cell r="C106" t="str">
            <v>Hour</v>
          </cell>
        </row>
      </sheetData>
      <sheetData sheetId="1518">
        <row r="106">
          <cell r="C106" t="str">
            <v>Hour</v>
          </cell>
        </row>
      </sheetData>
      <sheetData sheetId="1519">
        <row r="106">
          <cell r="C106" t="str">
            <v>Hour</v>
          </cell>
        </row>
      </sheetData>
      <sheetData sheetId="1520">
        <row r="106">
          <cell r="C106" t="str">
            <v>Hour</v>
          </cell>
        </row>
      </sheetData>
      <sheetData sheetId="1521">
        <row r="106">
          <cell r="C106" t="str">
            <v>Hour</v>
          </cell>
        </row>
      </sheetData>
      <sheetData sheetId="1522">
        <row r="106">
          <cell r="C106" t="str">
            <v>Hour</v>
          </cell>
        </row>
      </sheetData>
      <sheetData sheetId="1523">
        <row r="106">
          <cell r="C106" t="str">
            <v>Hour</v>
          </cell>
        </row>
      </sheetData>
      <sheetData sheetId="1524">
        <row r="106">
          <cell r="C106" t="str">
            <v>Hour</v>
          </cell>
        </row>
      </sheetData>
      <sheetData sheetId="1525">
        <row r="106">
          <cell r="C106" t="str">
            <v>Hour</v>
          </cell>
        </row>
      </sheetData>
      <sheetData sheetId="1526">
        <row r="106">
          <cell r="C106" t="str">
            <v>Hour</v>
          </cell>
        </row>
      </sheetData>
      <sheetData sheetId="1527">
        <row r="106">
          <cell r="C106" t="str">
            <v>Hour</v>
          </cell>
        </row>
      </sheetData>
      <sheetData sheetId="1528">
        <row r="106">
          <cell r="C106" t="str">
            <v>Hour</v>
          </cell>
        </row>
      </sheetData>
      <sheetData sheetId="1529">
        <row r="106">
          <cell r="C106" t="str">
            <v>Hour</v>
          </cell>
        </row>
      </sheetData>
      <sheetData sheetId="1530">
        <row r="106">
          <cell r="C106" t="str">
            <v>Hour</v>
          </cell>
        </row>
      </sheetData>
      <sheetData sheetId="1531">
        <row r="106">
          <cell r="C106" t="str">
            <v>Hour</v>
          </cell>
        </row>
      </sheetData>
      <sheetData sheetId="1532">
        <row r="106">
          <cell r="C106" t="str">
            <v>Hour</v>
          </cell>
        </row>
      </sheetData>
      <sheetData sheetId="1533">
        <row r="106">
          <cell r="C106" t="str">
            <v>Hour</v>
          </cell>
        </row>
      </sheetData>
      <sheetData sheetId="1534">
        <row r="106">
          <cell r="C106" t="str">
            <v>Hour</v>
          </cell>
        </row>
      </sheetData>
      <sheetData sheetId="1535">
        <row r="106">
          <cell r="C106" t="str">
            <v>Hour</v>
          </cell>
        </row>
      </sheetData>
      <sheetData sheetId="1536">
        <row r="106">
          <cell r="C106" t="str">
            <v>Hour</v>
          </cell>
        </row>
      </sheetData>
      <sheetData sheetId="1537">
        <row r="106">
          <cell r="C106" t="str">
            <v>Hour</v>
          </cell>
        </row>
      </sheetData>
      <sheetData sheetId="1538">
        <row r="106">
          <cell r="C106" t="str">
            <v>Hour</v>
          </cell>
        </row>
      </sheetData>
      <sheetData sheetId="1539">
        <row r="106">
          <cell r="C106" t="str">
            <v>Hour</v>
          </cell>
        </row>
      </sheetData>
      <sheetData sheetId="1540">
        <row r="106">
          <cell r="C106" t="str">
            <v>Hour</v>
          </cell>
        </row>
      </sheetData>
      <sheetData sheetId="1541">
        <row r="106">
          <cell r="C106" t="str">
            <v>Hour</v>
          </cell>
        </row>
      </sheetData>
      <sheetData sheetId="1542">
        <row r="106">
          <cell r="C106" t="str">
            <v>Hour</v>
          </cell>
        </row>
      </sheetData>
      <sheetData sheetId="1543">
        <row r="106">
          <cell r="C106" t="str">
            <v>Hour</v>
          </cell>
        </row>
      </sheetData>
      <sheetData sheetId="1544">
        <row r="106">
          <cell r="C106" t="str">
            <v>Hour</v>
          </cell>
        </row>
      </sheetData>
      <sheetData sheetId="1545">
        <row r="106">
          <cell r="C106" t="str">
            <v>Hour</v>
          </cell>
        </row>
      </sheetData>
      <sheetData sheetId="1546">
        <row r="106">
          <cell r="C106" t="str">
            <v>Hour</v>
          </cell>
        </row>
      </sheetData>
      <sheetData sheetId="1547">
        <row r="106">
          <cell r="C106" t="str">
            <v>Hour</v>
          </cell>
        </row>
      </sheetData>
      <sheetData sheetId="1548">
        <row r="106">
          <cell r="C106" t="str">
            <v>Hour</v>
          </cell>
        </row>
      </sheetData>
      <sheetData sheetId="1549">
        <row r="106">
          <cell r="C106" t="str">
            <v>Hour</v>
          </cell>
        </row>
      </sheetData>
      <sheetData sheetId="1550">
        <row r="106">
          <cell r="C106" t="str">
            <v>Hour</v>
          </cell>
        </row>
      </sheetData>
      <sheetData sheetId="1551">
        <row r="106">
          <cell r="C106" t="str">
            <v>Hour</v>
          </cell>
        </row>
      </sheetData>
      <sheetData sheetId="1552">
        <row r="106">
          <cell r="C106" t="str">
            <v>Hour</v>
          </cell>
        </row>
      </sheetData>
      <sheetData sheetId="1553">
        <row r="106">
          <cell r="C106" t="str">
            <v>Hour</v>
          </cell>
        </row>
      </sheetData>
      <sheetData sheetId="1554">
        <row r="106">
          <cell r="C106" t="str">
            <v>Hour</v>
          </cell>
        </row>
      </sheetData>
      <sheetData sheetId="1555">
        <row r="106">
          <cell r="C106" t="str">
            <v>Hour</v>
          </cell>
        </row>
      </sheetData>
      <sheetData sheetId="1556">
        <row r="106">
          <cell r="C106" t="str">
            <v>Hour</v>
          </cell>
        </row>
      </sheetData>
      <sheetData sheetId="1557">
        <row r="106">
          <cell r="C106" t="str">
            <v>Hour</v>
          </cell>
        </row>
      </sheetData>
      <sheetData sheetId="1558">
        <row r="106">
          <cell r="C106" t="str">
            <v>Hour</v>
          </cell>
        </row>
      </sheetData>
      <sheetData sheetId="1559">
        <row r="106">
          <cell r="C106" t="str">
            <v>Hour</v>
          </cell>
        </row>
      </sheetData>
      <sheetData sheetId="1560">
        <row r="106">
          <cell r="C106" t="str">
            <v>Hour</v>
          </cell>
        </row>
      </sheetData>
      <sheetData sheetId="1561">
        <row r="106">
          <cell r="C106" t="str">
            <v>Hour</v>
          </cell>
        </row>
      </sheetData>
      <sheetData sheetId="1562">
        <row r="106">
          <cell r="C106" t="str">
            <v>Hour</v>
          </cell>
        </row>
      </sheetData>
      <sheetData sheetId="1563">
        <row r="106">
          <cell r="C106" t="str">
            <v>Hour</v>
          </cell>
        </row>
      </sheetData>
      <sheetData sheetId="1564">
        <row r="106">
          <cell r="C106" t="str">
            <v>Hour</v>
          </cell>
        </row>
      </sheetData>
      <sheetData sheetId="1565">
        <row r="106">
          <cell r="C106" t="str">
            <v>Hour</v>
          </cell>
        </row>
      </sheetData>
      <sheetData sheetId="1566">
        <row r="106">
          <cell r="C106" t="str">
            <v>Hour</v>
          </cell>
        </row>
      </sheetData>
      <sheetData sheetId="1567">
        <row r="106">
          <cell r="C106" t="str">
            <v>Hour</v>
          </cell>
        </row>
      </sheetData>
      <sheetData sheetId="1568">
        <row r="106">
          <cell r="C106" t="str">
            <v>Hour</v>
          </cell>
        </row>
      </sheetData>
      <sheetData sheetId="1569">
        <row r="106">
          <cell r="C106" t="str">
            <v>Hour</v>
          </cell>
        </row>
      </sheetData>
      <sheetData sheetId="1570">
        <row r="106">
          <cell r="C106" t="str">
            <v>Hour</v>
          </cell>
        </row>
      </sheetData>
      <sheetData sheetId="1571">
        <row r="106">
          <cell r="C106" t="str">
            <v>Hour</v>
          </cell>
        </row>
      </sheetData>
      <sheetData sheetId="1572">
        <row r="106">
          <cell r="C106" t="str">
            <v>Hour</v>
          </cell>
        </row>
      </sheetData>
      <sheetData sheetId="1573">
        <row r="106">
          <cell r="C106" t="str">
            <v>Hour</v>
          </cell>
        </row>
      </sheetData>
      <sheetData sheetId="1574">
        <row r="106">
          <cell r="C106" t="str">
            <v>Hour</v>
          </cell>
        </row>
      </sheetData>
      <sheetData sheetId="1575">
        <row r="106">
          <cell r="C106" t="str">
            <v>Hour</v>
          </cell>
        </row>
      </sheetData>
      <sheetData sheetId="1576">
        <row r="106">
          <cell r="C106" t="str">
            <v>Hour</v>
          </cell>
        </row>
      </sheetData>
      <sheetData sheetId="1577">
        <row r="106">
          <cell r="C106" t="str">
            <v>Hour</v>
          </cell>
        </row>
      </sheetData>
      <sheetData sheetId="1578">
        <row r="106">
          <cell r="C106" t="str">
            <v>Hour</v>
          </cell>
        </row>
      </sheetData>
      <sheetData sheetId="1579">
        <row r="106">
          <cell r="C106" t="str">
            <v>Hour</v>
          </cell>
        </row>
      </sheetData>
      <sheetData sheetId="1580">
        <row r="106">
          <cell r="C106" t="str">
            <v>Hour</v>
          </cell>
        </row>
      </sheetData>
      <sheetData sheetId="1581">
        <row r="106">
          <cell r="C106" t="str">
            <v>Hour</v>
          </cell>
        </row>
      </sheetData>
      <sheetData sheetId="1582">
        <row r="106">
          <cell r="C106" t="str">
            <v>Hour</v>
          </cell>
        </row>
      </sheetData>
      <sheetData sheetId="1583">
        <row r="106">
          <cell r="C106" t="str">
            <v>Hour</v>
          </cell>
        </row>
      </sheetData>
      <sheetData sheetId="1584">
        <row r="106">
          <cell r="C106" t="str">
            <v>Hour</v>
          </cell>
        </row>
      </sheetData>
      <sheetData sheetId="1585">
        <row r="106">
          <cell r="C106" t="str">
            <v>Hour</v>
          </cell>
        </row>
      </sheetData>
      <sheetData sheetId="1586">
        <row r="106">
          <cell r="C106" t="str">
            <v>Hour</v>
          </cell>
        </row>
      </sheetData>
      <sheetData sheetId="1587">
        <row r="106">
          <cell r="C106" t="str">
            <v>Hour</v>
          </cell>
        </row>
      </sheetData>
      <sheetData sheetId="1588">
        <row r="106">
          <cell r="C106" t="str">
            <v>Hour</v>
          </cell>
        </row>
      </sheetData>
      <sheetData sheetId="1589">
        <row r="106">
          <cell r="C106" t="str">
            <v>Hour</v>
          </cell>
        </row>
      </sheetData>
      <sheetData sheetId="1590">
        <row r="106">
          <cell r="C106" t="str">
            <v>Hour</v>
          </cell>
        </row>
      </sheetData>
      <sheetData sheetId="1591">
        <row r="106">
          <cell r="C106" t="str">
            <v>Hour</v>
          </cell>
        </row>
      </sheetData>
      <sheetData sheetId="1592">
        <row r="106">
          <cell r="C106" t="str">
            <v>Hour</v>
          </cell>
        </row>
      </sheetData>
      <sheetData sheetId="1593">
        <row r="106">
          <cell r="C106" t="str">
            <v>Hour</v>
          </cell>
        </row>
      </sheetData>
      <sheetData sheetId="1594">
        <row r="106">
          <cell r="C106" t="str">
            <v>Hour</v>
          </cell>
        </row>
      </sheetData>
      <sheetData sheetId="1595">
        <row r="106">
          <cell r="C106" t="str">
            <v>Hour</v>
          </cell>
        </row>
      </sheetData>
      <sheetData sheetId="1596">
        <row r="106">
          <cell r="C106" t="str">
            <v>Hour</v>
          </cell>
        </row>
      </sheetData>
      <sheetData sheetId="1597">
        <row r="106">
          <cell r="C106" t="str">
            <v>Hour</v>
          </cell>
        </row>
      </sheetData>
      <sheetData sheetId="1598">
        <row r="106">
          <cell r="C106" t="str">
            <v>Hour</v>
          </cell>
        </row>
      </sheetData>
      <sheetData sheetId="1599">
        <row r="106">
          <cell r="C106" t="str">
            <v>Hour</v>
          </cell>
        </row>
      </sheetData>
      <sheetData sheetId="1600">
        <row r="106">
          <cell r="C106" t="str">
            <v>Hour</v>
          </cell>
        </row>
      </sheetData>
      <sheetData sheetId="1601">
        <row r="106">
          <cell r="C106" t="str">
            <v>Hour</v>
          </cell>
        </row>
      </sheetData>
      <sheetData sheetId="1602">
        <row r="106">
          <cell r="C106" t="str">
            <v>Hour</v>
          </cell>
        </row>
      </sheetData>
      <sheetData sheetId="1603">
        <row r="106">
          <cell r="C106" t="str">
            <v>Hour</v>
          </cell>
        </row>
      </sheetData>
      <sheetData sheetId="1604">
        <row r="106">
          <cell r="C106" t="str">
            <v>Hour</v>
          </cell>
        </row>
      </sheetData>
      <sheetData sheetId="1605">
        <row r="106">
          <cell r="C106" t="str">
            <v>Hour</v>
          </cell>
        </row>
      </sheetData>
      <sheetData sheetId="1606">
        <row r="106">
          <cell r="C106" t="str">
            <v>Hour</v>
          </cell>
        </row>
      </sheetData>
      <sheetData sheetId="1607">
        <row r="106">
          <cell r="C106" t="str">
            <v>Hour</v>
          </cell>
        </row>
      </sheetData>
      <sheetData sheetId="1608">
        <row r="106">
          <cell r="C106" t="str">
            <v>Hour</v>
          </cell>
        </row>
      </sheetData>
      <sheetData sheetId="1609">
        <row r="106">
          <cell r="C106" t="str">
            <v>Hour</v>
          </cell>
        </row>
      </sheetData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>
        <row r="106">
          <cell r="C106" t="str">
            <v>Hour</v>
          </cell>
        </row>
      </sheetData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>
        <row r="106">
          <cell r="C106" t="str">
            <v>Hour</v>
          </cell>
        </row>
      </sheetData>
      <sheetData sheetId="1743" refreshError="1"/>
      <sheetData sheetId="1744" refreshError="1"/>
      <sheetData sheetId="1745" refreshError="1"/>
      <sheetData sheetId="1746" refreshError="1"/>
      <sheetData sheetId="1747">
        <row r="106">
          <cell r="C106" t="str">
            <v>Hour</v>
          </cell>
        </row>
      </sheetData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>
        <row r="106">
          <cell r="C106" t="str">
            <v>Hour</v>
          </cell>
        </row>
      </sheetData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>
        <row r="106">
          <cell r="C106" t="str">
            <v>Hour</v>
          </cell>
        </row>
      </sheetData>
      <sheetData sheetId="1921" refreshError="1"/>
      <sheetData sheetId="1922">
        <row r="106">
          <cell r="C106" t="str">
            <v>Hour</v>
          </cell>
        </row>
      </sheetData>
      <sheetData sheetId="1923">
        <row r="106">
          <cell r="C106" t="str">
            <v>Hour</v>
          </cell>
        </row>
      </sheetData>
      <sheetData sheetId="1924"/>
      <sheetData sheetId="1925"/>
      <sheetData sheetId="1926"/>
      <sheetData sheetId="1927"/>
      <sheetData sheetId="1928"/>
      <sheetData sheetId="1929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>
        <row r="106">
          <cell r="C106" t="str">
            <v>Hour</v>
          </cell>
        </row>
      </sheetData>
      <sheetData sheetId="1949">
        <row r="106">
          <cell r="C106" t="str">
            <v>Hour</v>
          </cell>
        </row>
      </sheetData>
      <sheetData sheetId="1950">
        <row r="106">
          <cell r="C106" t="str">
            <v>Hour</v>
          </cell>
        </row>
      </sheetData>
      <sheetData sheetId="1951">
        <row r="106">
          <cell r="C106" t="str">
            <v>Hour</v>
          </cell>
        </row>
      </sheetData>
      <sheetData sheetId="1952"/>
      <sheetData sheetId="1953">
        <row r="106">
          <cell r="C106" t="str">
            <v>Hour</v>
          </cell>
        </row>
      </sheetData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>
        <row r="106">
          <cell r="C106" t="str">
            <v>Hour</v>
          </cell>
        </row>
      </sheetData>
      <sheetData sheetId="1961">
        <row r="106">
          <cell r="C106" t="str">
            <v>Hour</v>
          </cell>
        </row>
      </sheetData>
      <sheetData sheetId="1962">
        <row r="106">
          <cell r="C106" t="str">
            <v>Hour</v>
          </cell>
        </row>
      </sheetData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/>
      <sheetData sheetId="1976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>
        <row r="106">
          <cell r="C106" t="str">
            <v>Hour</v>
          </cell>
        </row>
      </sheetData>
      <sheetData sheetId="1988">
        <row r="106">
          <cell r="C106" t="str">
            <v>Hour</v>
          </cell>
        </row>
      </sheetData>
      <sheetData sheetId="1989">
        <row r="106">
          <cell r="C106" t="str">
            <v>Hour</v>
          </cell>
        </row>
      </sheetData>
      <sheetData sheetId="1990">
        <row r="106">
          <cell r="C106" t="str">
            <v>Hour</v>
          </cell>
        </row>
      </sheetData>
      <sheetData sheetId="1991">
        <row r="106">
          <cell r="C106" t="str">
            <v>Hour</v>
          </cell>
        </row>
      </sheetData>
      <sheetData sheetId="1992">
        <row r="106">
          <cell r="C106" t="str">
            <v>Hour</v>
          </cell>
        </row>
      </sheetData>
      <sheetData sheetId="1993">
        <row r="106">
          <cell r="C106" t="str">
            <v>Hour</v>
          </cell>
        </row>
      </sheetData>
      <sheetData sheetId="1994">
        <row r="106">
          <cell r="C106" t="str">
            <v>Hour</v>
          </cell>
        </row>
      </sheetData>
      <sheetData sheetId="1995">
        <row r="106">
          <cell r="C106" t="str">
            <v>Hour</v>
          </cell>
        </row>
      </sheetData>
      <sheetData sheetId="1996">
        <row r="106">
          <cell r="C106" t="str">
            <v>Hour</v>
          </cell>
        </row>
      </sheetData>
      <sheetData sheetId="1997">
        <row r="106">
          <cell r="C106" t="str">
            <v>Hour</v>
          </cell>
        </row>
      </sheetData>
      <sheetData sheetId="1998">
        <row r="106">
          <cell r="C106" t="str">
            <v>Hour</v>
          </cell>
        </row>
      </sheetData>
      <sheetData sheetId="1999">
        <row r="106">
          <cell r="C106" t="str">
            <v>Hour</v>
          </cell>
        </row>
      </sheetData>
      <sheetData sheetId="2000">
        <row r="106">
          <cell r="C106" t="str">
            <v>Hour</v>
          </cell>
        </row>
      </sheetData>
      <sheetData sheetId="2001">
        <row r="106">
          <cell r="C106" t="str">
            <v>Hour</v>
          </cell>
        </row>
      </sheetData>
      <sheetData sheetId="2002">
        <row r="106">
          <cell r="C106" t="str">
            <v>Hour</v>
          </cell>
        </row>
      </sheetData>
      <sheetData sheetId="2003">
        <row r="106">
          <cell r="C106" t="str">
            <v>Hour</v>
          </cell>
        </row>
      </sheetData>
      <sheetData sheetId="2004">
        <row r="106">
          <cell r="C106" t="str">
            <v>Hour</v>
          </cell>
        </row>
      </sheetData>
      <sheetData sheetId="2005">
        <row r="106">
          <cell r="C106" t="str">
            <v>Hour</v>
          </cell>
        </row>
      </sheetData>
      <sheetData sheetId="2006">
        <row r="106">
          <cell r="C106" t="str">
            <v>Hour</v>
          </cell>
        </row>
      </sheetData>
      <sheetData sheetId="2007">
        <row r="106">
          <cell r="C106" t="str">
            <v>Hour</v>
          </cell>
        </row>
      </sheetData>
      <sheetData sheetId="2008">
        <row r="106">
          <cell r="C106" t="str">
            <v>Hour</v>
          </cell>
        </row>
      </sheetData>
      <sheetData sheetId="2009">
        <row r="106">
          <cell r="C106" t="str">
            <v>Hour</v>
          </cell>
        </row>
      </sheetData>
      <sheetData sheetId="2010">
        <row r="106">
          <cell r="C106" t="str">
            <v>Hour</v>
          </cell>
        </row>
      </sheetData>
      <sheetData sheetId="2011">
        <row r="106">
          <cell r="C106" t="str">
            <v>Hour</v>
          </cell>
        </row>
      </sheetData>
      <sheetData sheetId="2012">
        <row r="106">
          <cell r="C106" t="str">
            <v>Hour</v>
          </cell>
        </row>
      </sheetData>
      <sheetData sheetId="2013">
        <row r="106">
          <cell r="C106" t="str">
            <v>Hour</v>
          </cell>
        </row>
      </sheetData>
      <sheetData sheetId="2014">
        <row r="106">
          <cell r="C106" t="str">
            <v>Hour</v>
          </cell>
        </row>
      </sheetData>
      <sheetData sheetId="2015">
        <row r="106">
          <cell r="C106" t="str">
            <v>Hour</v>
          </cell>
        </row>
      </sheetData>
      <sheetData sheetId="2016">
        <row r="106">
          <cell r="C106" t="str">
            <v>Hour</v>
          </cell>
        </row>
      </sheetData>
      <sheetData sheetId="2017">
        <row r="106">
          <cell r="C106" t="str">
            <v>Hour</v>
          </cell>
        </row>
      </sheetData>
      <sheetData sheetId="2018">
        <row r="106">
          <cell r="C106" t="str">
            <v>Hour</v>
          </cell>
        </row>
      </sheetData>
      <sheetData sheetId="2019">
        <row r="106">
          <cell r="C106" t="str">
            <v>Hour</v>
          </cell>
        </row>
      </sheetData>
      <sheetData sheetId="2020">
        <row r="106">
          <cell r="C106" t="str">
            <v>Hour</v>
          </cell>
        </row>
      </sheetData>
      <sheetData sheetId="2021">
        <row r="106">
          <cell r="C106" t="str">
            <v>Hour</v>
          </cell>
        </row>
      </sheetData>
      <sheetData sheetId="2022">
        <row r="106">
          <cell r="C106" t="str">
            <v>Hour</v>
          </cell>
        </row>
      </sheetData>
      <sheetData sheetId="2023">
        <row r="106">
          <cell r="C106" t="str">
            <v>Hour</v>
          </cell>
        </row>
      </sheetData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>
        <row r="106">
          <cell r="C106" t="str">
            <v>Hour</v>
          </cell>
        </row>
      </sheetData>
      <sheetData sheetId="2067">
        <row r="106">
          <cell r="C106" t="str">
            <v>Hour</v>
          </cell>
        </row>
      </sheetData>
      <sheetData sheetId="2068">
        <row r="106">
          <cell r="C106" t="str">
            <v>Hour</v>
          </cell>
        </row>
      </sheetData>
      <sheetData sheetId="2069">
        <row r="106">
          <cell r="C106" t="str">
            <v>Hour</v>
          </cell>
        </row>
      </sheetData>
      <sheetData sheetId="2070">
        <row r="106">
          <cell r="C106" t="str">
            <v>Hour</v>
          </cell>
        </row>
      </sheetData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>
        <row r="106">
          <cell r="C106" t="str">
            <v>Hour</v>
          </cell>
        </row>
      </sheetData>
      <sheetData sheetId="2085">
        <row r="106">
          <cell r="C106" t="str">
            <v>Hour</v>
          </cell>
        </row>
      </sheetData>
      <sheetData sheetId="2086"/>
      <sheetData sheetId="2087">
        <row r="106">
          <cell r="C106" t="str">
            <v>Hour</v>
          </cell>
        </row>
      </sheetData>
      <sheetData sheetId="2088">
        <row r="106">
          <cell r="C106" t="str">
            <v>Hour</v>
          </cell>
        </row>
      </sheetData>
      <sheetData sheetId="2089">
        <row r="106">
          <cell r="C106" t="str">
            <v>Hour</v>
          </cell>
        </row>
      </sheetData>
      <sheetData sheetId="2090">
        <row r="106">
          <cell r="C106" t="str">
            <v>Hour</v>
          </cell>
        </row>
      </sheetData>
      <sheetData sheetId="2091">
        <row r="106">
          <cell r="C106" t="str">
            <v>Hour</v>
          </cell>
        </row>
      </sheetData>
      <sheetData sheetId="2092">
        <row r="106">
          <cell r="C106" t="str">
            <v>Hour</v>
          </cell>
        </row>
      </sheetData>
      <sheetData sheetId="2093">
        <row r="106">
          <cell r="C106" t="str">
            <v>Hour</v>
          </cell>
        </row>
      </sheetData>
      <sheetData sheetId="2094">
        <row r="106">
          <cell r="C106" t="str">
            <v>Hour</v>
          </cell>
        </row>
      </sheetData>
      <sheetData sheetId="2095">
        <row r="106">
          <cell r="C106" t="str">
            <v>Hour</v>
          </cell>
        </row>
      </sheetData>
      <sheetData sheetId="2096">
        <row r="106">
          <cell r="C106" t="str">
            <v>Hour</v>
          </cell>
        </row>
      </sheetData>
      <sheetData sheetId="2097">
        <row r="106">
          <cell r="C106" t="str">
            <v>Hour</v>
          </cell>
        </row>
      </sheetData>
      <sheetData sheetId="2098">
        <row r="106">
          <cell r="C106" t="str">
            <v>Hour</v>
          </cell>
        </row>
      </sheetData>
      <sheetData sheetId="2099">
        <row r="106">
          <cell r="C106" t="str">
            <v>Hour</v>
          </cell>
        </row>
      </sheetData>
      <sheetData sheetId="2100">
        <row r="106">
          <cell r="C106" t="str">
            <v>Hour</v>
          </cell>
        </row>
      </sheetData>
      <sheetData sheetId="2101">
        <row r="106">
          <cell r="C106" t="str">
            <v>Hour</v>
          </cell>
        </row>
      </sheetData>
      <sheetData sheetId="2102">
        <row r="106">
          <cell r="C106" t="str">
            <v>Hour</v>
          </cell>
        </row>
      </sheetData>
      <sheetData sheetId="2103">
        <row r="106">
          <cell r="C106" t="str">
            <v>Hour</v>
          </cell>
        </row>
      </sheetData>
      <sheetData sheetId="2104">
        <row r="106">
          <cell r="C106" t="str">
            <v>Hour</v>
          </cell>
        </row>
      </sheetData>
      <sheetData sheetId="2105">
        <row r="106">
          <cell r="C106" t="str">
            <v>Hour</v>
          </cell>
        </row>
      </sheetData>
      <sheetData sheetId="2106">
        <row r="106">
          <cell r="C106" t="str">
            <v>Hour</v>
          </cell>
        </row>
      </sheetData>
      <sheetData sheetId="2107">
        <row r="106">
          <cell r="C106" t="str">
            <v>Hour</v>
          </cell>
        </row>
      </sheetData>
      <sheetData sheetId="2108">
        <row r="106">
          <cell r="C106" t="str">
            <v>Hour</v>
          </cell>
        </row>
      </sheetData>
      <sheetData sheetId="2109">
        <row r="106">
          <cell r="C106" t="str">
            <v>Hour</v>
          </cell>
        </row>
      </sheetData>
      <sheetData sheetId="2110">
        <row r="106">
          <cell r="C106" t="str">
            <v>Hour</v>
          </cell>
        </row>
      </sheetData>
      <sheetData sheetId="2111">
        <row r="106">
          <cell r="C106" t="str">
            <v>Hour</v>
          </cell>
        </row>
      </sheetData>
      <sheetData sheetId="2112">
        <row r="106">
          <cell r="C106" t="str">
            <v>Hour</v>
          </cell>
        </row>
      </sheetData>
      <sheetData sheetId="2113">
        <row r="106">
          <cell r="C106" t="str">
            <v>Hour</v>
          </cell>
        </row>
      </sheetData>
      <sheetData sheetId="2114">
        <row r="106">
          <cell r="C106" t="str">
            <v>Hour</v>
          </cell>
        </row>
      </sheetData>
      <sheetData sheetId="2115">
        <row r="106">
          <cell r="C106" t="str">
            <v>Hour</v>
          </cell>
        </row>
      </sheetData>
      <sheetData sheetId="2116">
        <row r="106">
          <cell r="C106" t="str">
            <v>Hour</v>
          </cell>
        </row>
      </sheetData>
      <sheetData sheetId="2117">
        <row r="106">
          <cell r="C106" t="str">
            <v>Hour</v>
          </cell>
        </row>
      </sheetData>
      <sheetData sheetId="2118">
        <row r="106">
          <cell r="C106" t="str">
            <v>Hour</v>
          </cell>
        </row>
      </sheetData>
      <sheetData sheetId="2119">
        <row r="106">
          <cell r="C106" t="str">
            <v>Hour</v>
          </cell>
        </row>
      </sheetData>
      <sheetData sheetId="2120">
        <row r="106">
          <cell r="C106" t="str">
            <v>Hour</v>
          </cell>
        </row>
      </sheetData>
      <sheetData sheetId="2121">
        <row r="106">
          <cell r="C106" t="str">
            <v>Hour</v>
          </cell>
        </row>
      </sheetData>
      <sheetData sheetId="2122">
        <row r="106">
          <cell r="C106" t="str">
            <v>Hour</v>
          </cell>
        </row>
      </sheetData>
      <sheetData sheetId="2123">
        <row r="106">
          <cell r="C106" t="str">
            <v>Hour</v>
          </cell>
        </row>
      </sheetData>
      <sheetData sheetId="2124">
        <row r="106">
          <cell r="C106" t="str">
            <v>Hour</v>
          </cell>
        </row>
      </sheetData>
      <sheetData sheetId="2125">
        <row r="106">
          <cell r="C106" t="str">
            <v>Hour</v>
          </cell>
        </row>
      </sheetData>
      <sheetData sheetId="2126">
        <row r="106">
          <cell r="C106" t="str">
            <v>Hour</v>
          </cell>
        </row>
      </sheetData>
      <sheetData sheetId="2127">
        <row r="106">
          <cell r="C106" t="str">
            <v>Hour</v>
          </cell>
        </row>
      </sheetData>
      <sheetData sheetId="2128">
        <row r="106">
          <cell r="C106" t="str">
            <v>Hour</v>
          </cell>
        </row>
      </sheetData>
      <sheetData sheetId="2129">
        <row r="106">
          <cell r="C106" t="str">
            <v>Hour</v>
          </cell>
        </row>
      </sheetData>
      <sheetData sheetId="2130">
        <row r="106">
          <cell r="C106" t="str">
            <v>Hour</v>
          </cell>
        </row>
      </sheetData>
      <sheetData sheetId="2131">
        <row r="106">
          <cell r="C106" t="str">
            <v>Hour</v>
          </cell>
        </row>
      </sheetData>
      <sheetData sheetId="2132">
        <row r="106">
          <cell r="C106" t="str">
            <v>Hour</v>
          </cell>
        </row>
      </sheetData>
      <sheetData sheetId="2133">
        <row r="106">
          <cell r="C106" t="str">
            <v>Hour</v>
          </cell>
        </row>
      </sheetData>
      <sheetData sheetId="2134">
        <row r="106">
          <cell r="C106" t="str">
            <v>Hour</v>
          </cell>
        </row>
      </sheetData>
      <sheetData sheetId="2135">
        <row r="106">
          <cell r="C106" t="str">
            <v>Hour</v>
          </cell>
        </row>
      </sheetData>
      <sheetData sheetId="2136">
        <row r="106">
          <cell r="C106" t="str">
            <v>Hour</v>
          </cell>
        </row>
      </sheetData>
      <sheetData sheetId="2137">
        <row r="106">
          <cell r="C106" t="str">
            <v>Hour</v>
          </cell>
        </row>
      </sheetData>
      <sheetData sheetId="2138">
        <row r="106">
          <cell r="C106" t="str">
            <v>Hour</v>
          </cell>
        </row>
      </sheetData>
      <sheetData sheetId="2139">
        <row r="106">
          <cell r="C106" t="str">
            <v>Hour</v>
          </cell>
        </row>
      </sheetData>
      <sheetData sheetId="2140">
        <row r="106">
          <cell r="C106" t="str">
            <v>Hour</v>
          </cell>
        </row>
      </sheetData>
      <sheetData sheetId="2141">
        <row r="106">
          <cell r="C106" t="str">
            <v>Hour</v>
          </cell>
        </row>
      </sheetData>
      <sheetData sheetId="2142">
        <row r="106">
          <cell r="C106" t="str">
            <v>Hour</v>
          </cell>
        </row>
      </sheetData>
      <sheetData sheetId="2143">
        <row r="106">
          <cell r="C106" t="str">
            <v>Hour</v>
          </cell>
        </row>
      </sheetData>
      <sheetData sheetId="2144">
        <row r="106">
          <cell r="C106" t="str">
            <v>Hour</v>
          </cell>
        </row>
      </sheetData>
      <sheetData sheetId="2145">
        <row r="106">
          <cell r="C106" t="str">
            <v>Hour</v>
          </cell>
        </row>
      </sheetData>
      <sheetData sheetId="2146">
        <row r="106">
          <cell r="C106" t="str">
            <v>Hour</v>
          </cell>
        </row>
      </sheetData>
      <sheetData sheetId="2147">
        <row r="106">
          <cell r="C106" t="str">
            <v>Hour</v>
          </cell>
        </row>
      </sheetData>
      <sheetData sheetId="2148">
        <row r="106">
          <cell r="C106" t="str">
            <v>Hour</v>
          </cell>
        </row>
      </sheetData>
      <sheetData sheetId="2149">
        <row r="106">
          <cell r="C106" t="str">
            <v>Hour</v>
          </cell>
        </row>
      </sheetData>
      <sheetData sheetId="2150">
        <row r="106">
          <cell r="C106" t="str">
            <v>Hour</v>
          </cell>
        </row>
      </sheetData>
      <sheetData sheetId="2151">
        <row r="106">
          <cell r="C106" t="str">
            <v>Hour</v>
          </cell>
        </row>
      </sheetData>
      <sheetData sheetId="2152">
        <row r="106">
          <cell r="C106" t="str">
            <v>Hour</v>
          </cell>
        </row>
      </sheetData>
      <sheetData sheetId="2153">
        <row r="106">
          <cell r="C106" t="str">
            <v>Hour</v>
          </cell>
        </row>
      </sheetData>
      <sheetData sheetId="2154">
        <row r="106">
          <cell r="C106" t="str">
            <v>Hour</v>
          </cell>
        </row>
      </sheetData>
      <sheetData sheetId="2155">
        <row r="106">
          <cell r="C106" t="str">
            <v>Hour</v>
          </cell>
        </row>
      </sheetData>
      <sheetData sheetId="2156">
        <row r="106">
          <cell r="C106" t="str">
            <v>Hour</v>
          </cell>
        </row>
      </sheetData>
      <sheetData sheetId="2157">
        <row r="106">
          <cell r="C106" t="str">
            <v>Hour</v>
          </cell>
        </row>
      </sheetData>
      <sheetData sheetId="2158">
        <row r="106">
          <cell r="C106" t="str">
            <v>Hour</v>
          </cell>
        </row>
      </sheetData>
      <sheetData sheetId="2159">
        <row r="106">
          <cell r="C106" t="str">
            <v>Hour</v>
          </cell>
        </row>
      </sheetData>
      <sheetData sheetId="2160">
        <row r="106">
          <cell r="C106" t="str">
            <v>Hour</v>
          </cell>
        </row>
      </sheetData>
      <sheetData sheetId="2161">
        <row r="106">
          <cell r="C106" t="str">
            <v>Hour</v>
          </cell>
        </row>
      </sheetData>
      <sheetData sheetId="2162">
        <row r="106">
          <cell r="C106" t="str">
            <v>Hour</v>
          </cell>
        </row>
      </sheetData>
      <sheetData sheetId="2163">
        <row r="106">
          <cell r="C106" t="str">
            <v>Hour</v>
          </cell>
        </row>
      </sheetData>
      <sheetData sheetId="2164">
        <row r="106">
          <cell r="C106" t="str">
            <v>Hour</v>
          </cell>
        </row>
      </sheetData>
      <sheetData sheetId="2165">
        <row r="106">
          <cell r="C106" t="str">
            <v>Hour</v>
          </cell>
        </row>
      </sheetData>
      <sheetData sheetId="2166">
        <row r="106">
          <cell r="C106" t="str">
            <v>Hour</v>
          </cell>
        </row>
      </sheetData>
      <sheetData sheetId="2167">
        <row r="106">
          <cell r="C106" t="str">
            <v>Hour</v>
          </cell>
        </row>
      </sheetData>
      <sheetData sheetId="2168">
        <row r="106">
          <cell r="C106" t="str">
            <v>Hour</v>
          </cell>
        </row>
      </sheetData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>
        <row r="106">
          <cell r="C106" t="str">
            <v>Hour</v>
          </cell>
        </row>
      </sheetData>
      <sheetData sheetId="2523"/>
      <sheetData sheetId="2524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/>
      <sheetData sheetId="2572"/>
      <sheetData sheetId="2573"/>
      <sheetData sheetId="2574"/>
      <sheetData sheetId="2575">
        <row r="106">
          <cell r="C106" t="str">
            <v>Hour</v>
          </cell>
        </row>
      </sheetData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>
        <row r="106">
          <cell r="C106" t="str">
            <v>Hour</v>
          </cell>
        </row>
      </sheetData>
      <sheetData sheetId="2662">
        <row r="106">
          <cell r="C106" t="str">
            <v>Hour</v>
          </cell>
        </row>
      </sheetData>
      <sheetData sheetId="2663">
        <row r="106">
          <cell r="C106" t="str">
            <v>Hour</v>
          </cell>
        </row>
      </sheetData>
      <sheetData sheetId="2664">
        <row r="106">
          <cell r="C106" t="str">
            <v>Hour</v>
          </cell>
        </row>
      </sheetData>
      <sheetData sheetId="2665">
        <row r="106">
          <cell r="C106" t="str">
            <v>Hour</v>
          </cell>
        </row>
      </sheetData>
      <sheetData sheetId="2666">
        <row r="106">
          <cell r="C106" t="str">
            <v>Hour</v>
          </cell>
        </row>
      </sheetData>
      <sheetData sheetId="2667">
        <row r="106">
          <cell r="C106" t="str">
            <v>Hour</v>
          </cell>
        </row>
      </sheetData>
      <sheetData sheetId="2668">
        <row r="106">
          <cell r="C106" t="str">
            <v>Hour</v>
          </cell>
        </row>
      </sheetData>
      <sheetData sheetId="2669">
        <row r="106">
          <cell r="C106" t="str">
            <v>Hour</v>
          </cell>
        </row>
      </sheetData>
      <sheetData sheetId="2670">
        <row r="106">
          <cell r="C106" t="str">
            <v>Hour</v>
          </cell>
        </row>
      </sheetData>
      <sheetData sheetId="2671">
        <row r="106">
          <cell r="C106" t="str">
            <v>Hour</v>
          </cell>
        </row>
      </sheetData>
      <sheetData sheetId="2672">
        <row r="106">
          <cell r="C106" t="str">
            <v>Hour</v>
          </cell>
        </row>
      </sheetData>
      <sheetData sheetId="2673">
        <row r="106">
          <cell r="C106" t="str">
            <v>Hour</v>
          </cell>
        </row>
      </sheetData>
      <sheetData sheetId="2674">
        <row r="106">
          <cell r="C106" t="str">
            <v>Hour</v>
          </cell>
        </row>
      </sheetData>
      <sheetData sheetId="2675">
        <row r="106">
          <cell r="C106" t="str">
            <v>Hour</v>
          </cell>
        </row>
      </sheetData>
      <sheetData sheetId="2676">
        <row r="106">
          <cell r="C106" t="str">
            <v>Hour</v>
          </cell>
        </row>
      </sheetData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 refreshError="1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 refreshError="1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 refreshError="1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 refreshError="1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 refreshError="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 refreshError="1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 refreshError="1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 refreshError="1"/>
      <sheetData sheetId="4765" refreshError="1"/>
      <sheetData sheetId="4766" refreshError="1"/>
      <sheetData sheetId="4767" refreshError="1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 refreshError="1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 refreshError="1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 refreshError="1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 refreshError="1"/>
      <sheetData sheetId="4819" refreshError="1"/>
      <sheetData sheetId="4820" refreshError="1"/>
      <sheetData sheetId="4821" refreshError="1"/>
      <sheetData sheetId="4822" refreshError="1"/>
      <sheetData sheetId="4823" refreshError="1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 refreshError="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 refreshError="1"/>
      <sheetData sheetId="4924" refreshError="1"/>
      <sheetData sheetId="4925" refreshError="1"/>
      <sheetData sheetId="4926" refreshError="1"/>
      <sheetData sheetId="4927" refreshError="1"/>
      <sheetData sheetId="4928" refreshError="1"/>
      <sheetData sheetId="4929" refreshError="1"/>
      <sheetData sheetId="4930" refreshError="1"/>
      <sheetData sheetId="4931" refreshError="1"/>
      <sheetData sheetId="4932" refreshError="1"/>
      <sheetData sheetId="4933" refreshError="1"/>
      <sheetData sheetId="4934" refreshError="1"/>
      <sheetData sheetId="4935" refreshError="1"/>
      <sheetData sheetId="4936" refreshError="1"/>
      <sheetData sheetId="4937" refreshError="1"/>
      <sheetData sheetId="4938" refreshError="1"/>
      <sheetData sheetId="4939" refreshError="1"/>
      <sheetData sheetId="4940" refreshError="1"/>
      <sheetData sheetId="4941" refreshError="1"/>
      <sheetData sheetId="4942" refreshError="1"/>
      <sheetData sheetId="4943" refreshError="1"/>
      <sheetData sheetId="4944" refreshError="1"/>
      <sheetData sheetId="4945" refreshError="1"/>
      <sheetData sheetId="4946" refreshError="1"/>
      <sheetData sheetId="4947" refreshError="1"/>
      <sheetData sheetId="4948" refreshError="1"/>
      <sheetData sheetId="4949" refreshError="1"/>
      <sheetData sheetId="4950" refreshError="1"/>
      <sheetData sheetId="4951" refreshError="1"/>
      <sheetData sheetId="4952" refreshError="1"/>
      <sheetData sheetId="4953" refreshError="1"/>
      <sheetData sheetId="4954" refreshError="1"/>
      <sheetData sheetId="4955" refreshError="1"/>
      <sheetData sheetId="4956" refreshError="1"/>
      <sheetData sheetId="4957" refreshError="1"/>
      <sheetData sheetId="4958" refreshError="1"/>
      <sheetData sheetId="4959" refreshError="1"/>
      <sheetData sheetId="4960" refreshError="1"/>
      <sheetData sheetId="4961" refreshError="1"/>
      <sheetData sheetId="4962" refreshError="1"/>
      <sheetData sheetId="4963" refreshError="1"/>
      <sheetData sheetId="4964" refreshError="1"/>
      <sheetData sheetId="4965" refreshError="1"/>
      <sheetData sheetId="4966" refreshError="1"/>
      <sheetData sheetId="4967" refreshError="1"/>
      <sheetData sheetId="4968" refreshError="1"/>
      <sheetData sheetId="4969" refreshError="1"/>
      <sheetData sheetId="4970" refreshError="1"/>
      <sheetData sheetId="4971" refreshError="1"/>
      <sheetData sheetId="4972" refreshError="1"/>
      <sheetData sheetId="4973" refreshError="1"/>
      <sheetData sheetId="4974" refreshError="1"/>
      <sheetData sheetId="4975" refreshError="1"/>
      <sheetData sheetId="4976" refreshError="1"/>
      <sheetData sheetId="4977" refreshError="1"/>
      <sheetData sheetId="4978" refreshError="1"/>
      <sheetData sheetId="4979" refreshError="1"/>
      <sheetData sheetId="4980" refreshError="1"/>
      <sheetData sheetId="4981" refreshError="1"/>
      <sheetData sheetId="4982" refreshError="1"/>
      <sheetData sheetId="4983" refreshError="1"/>
      <sheetData sheetId="4984" refreshError="1"/>
      <sheetData sheetId="4985" refreshError="1"/>
      <sheetData sheetId="4986" refreshError="1"/>
      <sheetData sheetId="4987" refreshError="1"/>
      <sheetData sheetId="4988" refreshError="1"/>
      <sheetData sheetId="4989" refreshError="1"/>
      <sheetData sheetId="4990" refreshError="1"/>
      <sheetData sheetId="4991" refreshError="1"/>
      <sheetData sheetId="4992" refreshError="1"/>
      <sheetData sheetId="4993" refreshError="1"/>
      <sheetData sheetId="4994" refreshError="1"/>
      <sheetData sheetId="4995" refreshError="1"/>
      <sheetData sheetId="4996" refreshError="1"/>
      <sheetData sheetId="4997" refreshError="1"/>
      <sheetData sheetId="4998" refreshError="1"/>
      <sheetData sheetId="4999" refreshError="1"/>
      <sheetData sheetId="5000" refreshError="1"/>
      <sheetData sheetId="5001" refreshError="1"/>
      <sheetData sheetId="5002" refreshError="1"/>
      <sheetData sheetId="5003" refreshError="1"/>
      <sheetData sheetId="5004" refreshError="1"/>
      <sheetData sheetId="5005" refreshError="1"/>
      <sheetData sheetId="5006" refreshError="1"/>
      <sheetData sheetId="5007" refreshError="1"/>
      <sheetData sheetId="5008" refreshError="1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 refreshError="1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 refreshError="1"/>
      <sheetData sheetId="5217" refreshError="1"/>
      <sheetData sheetId="5218" refreshError="1"/>
      <sheetData sheetId="5219" refreshError="1"/>
      <sheetData sheetId="5220" refreshError="1"/>
      <sheetData sheetId="5221" refreshError="1"/>
      <sheetData sheetId="5222" refreshError="1"/>
      <sheetData sheetId="5223" refreshError="1"/>
      <sheetData sheetId="5224" refreshError="1"/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 refreshError="1"/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 refreshError="1"/>
      <sheetData sheetId="5258" refreshError="1"/>
      <sheetData sheetId="5259" refreshError="1"/>
      <sheetData sheetId="5260" refreshError="1"/>
      <sheetData sheetId="5261" refreshError="1"/>
      <sheetData sheetId="5262" refreshError="1"/>
      <sheetData sheetId="5263" refreshError="1"/>
      <sheetData sheetId="5264" refreshError="1"/>
      <sheetData sheetId="5265" refreshError="1"/>
      <sheetData sheetId="5266" refreshError="1"/>
      <sheetData sheetId="5267" refreshError="1"/>
      <sheetData sheetId="5268" refreshError="1"/>
      <sheetData sheetId="5269" refreshError="1"/>
      <sheetData sheetId="5270" refreshError="1"/>
      <sheetData sheetId="5271" refreshError="1"/>
      <sheetData sheetId="5272" refreshError="1"/>
      <sheetData sheetId="5273" refreshError="1"/>
      <sheetData sheetId="5274" refreshError="1"/>
      <sheetData sheetId="5275" refreshError="1"/>
      <sheetData sheetId="5276" refreshError="1"/>
      <sheetData sheetId="5277" refreshError="1"/>
      <sheetData sheetId="5278" refreshError="1"/>
      <sheetData sheetId="5279" refreshError="1"/>
      <sheetData sheetId="5280" refreshError="1"/>
      <sheetData sheetId="5281" refreshError="1"/>
      <sheetData sheetId="5282" refreshError="1"/>
      <sheetData sheetId="5283" refreshError="1"/>
      <sheetData sheetId="5284" refreshError="1"/>
      <sheetData sheetId="5285" refreshError="1"/>
      <sheetData sheetId="5286" refreshError="1"/>
      <sheetData sheetId="5287" refreshError="1"/>
      <sheetData sheetId="5288" refreshError="1"/>
      <sheetData sheetId="5289" refreshError="1"/>
      <sheetData sheetId="5290" refreshError="1"/>
      <sheetData sheetId="5291" refreshError="1"/>
      <sheetData sheetId="5292" refreshError="1"/>
      <sheetData sheetId="5293" refreshError="1"/>
      <sheetData sheetId="5294" refreshError="1"/>
      <sheetData sheetId="5295" refreshError="1"/>
      <sheetData sheetId="5296" refreshError="1"/>
      <sheetData sheetId="5297" refreshError="1"/>
      <sheetData sheetId="5298" refreshError="1"/>
      <sheetData sheetId="5299" refreshError="1"/>
      <sheetData sheetId="5300" refreshError="1"/>
      <sheetData sheetId="5301" refreshError="1"/>
      <sheetData sheetId="5302" refreshError="1"/>
      <sheetData sheetId="5303" refreshError="1"/>
      <sheetData sheetId="5304" refreshError="1"/>
      <sheetData sheetId="5305" refreshError="1"/>
      <sheetData sheetId="5306" refreshError="1"/>
      <sheetData sheetId="5307" refreshError="1"/>
      <sheetData sheetId="5308" refreshError="1"/>
      <sheetData sheetId="5309" refreshError="1"/>
      <sheetData sheetId="5310" refreshError="1"/>
      <sheetData sheetId="5311" refreshError="1"/>
      <sheetData sheetId="5312" refreshError="1"/>
      <sheetData sheetId="5313" refreshError="1"/>
      <sheetData sheetId="5314" refreshError="1"/>
      <sheetData sheetId="5315" refreshError="1"/>
      <sheetData sheetId="5316" refreshError="1"/>
      <sheetData sheetId="5317" refreshError="1"/>
      <sheetData sheetId="5318" refreshError="1"/>
      <sheetData sheetId="5319" refreshError="1"/>
      <sheetData sheetId="5320" refreshError="1"/>
      <sheetData sheetId="5321" refreshError="1"/>
      <sheetData sheetId="5322" refreshError="1"/>
      <sheetData sheetId="5323" refreshError="1"/>
      <sheetData sheetId="5324" refreshError="1"/>
      <sheetData sheetId="5325" refreshError="1"/>
      <sheetData sheetId="5326" refreshError="1"/>
      <sheetData sheetId="5327" refreshError="1"/>
      <sheetData sheetId="5328" refreshError="1"/>
      <sheetData sheetId="5329" refreshError="1"/>
      <sheetData sheetId="5330" refreshError="1"/>
      <sheetData sheetId="5331" refreshError="1"/>
      <sheetData sheetId="5332" refreshError="1"/>
      <sheetData sheetId="5333" refreshError="1"/>
      <sheetData sheetId="5334" refreshError="1"/>
      <sheetData sheetId="5335" refreshError="1"/>
      <sheetData sheetId="5336" refreshError="1"/>
      <sheetData sheetId="5337" refreshError="1"/>
      <sheetData sheetId="5338" refreshError="1"/>
      <sheetData sheetId="5339" refreshError="1"/>
      <sheetData sheetId="5340" refreshError="1"/>
      <sheetData sheetId="5341" refreshError="1"/>
      <sheetData sheetId="5342" refreshError="1"/>
      <sheetData sheetId="5343" refreshError="1"/>
      <sheetData sheetId="5344" refreshError="1"/>
      <sheetData sheetId="5345" refreshError="1"/>
      <sheetData sheetId="5346" refreshError="1"/>
      <sheetData sheetId="5347" refreshError="1"/>
      <sheetData sheetId="5348" refreshError="1"/>
      <sheetData sheetId="5349" refreshError="1"/>
      <sheetData sheetId="5350" refreshError="1"/>
      <sheetData sheetId="5351" refreshError="1"/>
      <sheetData sheetId="5352" refreshError="1"/>
      <sheetData sheetId="5353" refreshError="1"/>
      <sheetData sheetId="5354" refreshError="1"/>
      <sheetData sheetId="5355" refreshError="1"/>
      <sheetData sheetId="5356" refreshError="1"/>
      <sheetData sheetId="5357" refreshError="1"/>
      <sheetData sheetId="5358" refreshError="1"/>
      <sheetData sheetId="5359" refreshError="1"/>
      <sheetData sheetId="5360" refreshError="1"/>
      <sheetData sheetId="5361" refreshError="1"/>
      <sheetData sheetId="5362" refreshError="1"/>
      <sheetData sheetId="5363" refreshError="1"/>
      <sheetData sheetId="5364" refreshError="1"/>
      <sheetData sheetId="5365" refreshError="1"/>
      <sheetData sheetId="5366" refreshError="1"/>
      <sheetData sheetId="5367" refreshError="1"/>
      <sheetData sheetId="5368" refreshError="1"/>
      <sheetData sheetId="5369" refreshError="1"/>
      <sheetData sheetId="5370" refreshError="1"/>
      <sheetData sheetId="5371" refreshError="1"/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 refreshError="1"/>
      <sheetData sheetId="5384" refreshError="1"/>
      <sheetData sheetId="5385" refreshError="1"/>
      <sheetData sheetId="5386" refreshError="1"/>
      <sheetData sheetId="5387" refreshError="1"/>
      <sheetData sheetId="5388" refreshError="1"/>
      <sheetData sheetId="5389" refreshError="1"/>
      <sheetData sheetId="5390" refreshError="1"/>
      <sheetData sheetId="5391" refreshError="1"/>
      <sheetData sheetId="5392" refreshError="1"/>
      <sheetData sheetId="5393" refreshError="1"/>
      <sheetData sheetId="5394" refreshError="1"/>
      <sheetData sheetId="5395" refreshError="1"/>
      <sheetData sheetId="5396" refreshError="1"/>
      <sheetData sheetId="5397" refreshError="1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 refreshError="1"/>
      <sheetData sheetId="5408" refreshError="1"/>
      <sheetData sheetId="5409" refreshError="1"/>
      <sheetData sheetId="5410" refreshError="1"/>
      <sheetData sheetId="5411" refreshError="1"/>
      <sheetData sheetId="5412" refreshError="1"/>
      <sheetData sheetId="5413" refreshError="1"/>
      <sheetData sheetId="5414" refreshError="1"/>
      <sheetData sheetId="5415" refreshError="1"/>
      <sheetData sheetId="5416" refreshError="1"/>
      <sheetData sheetId="5417" refreshError="1"/>
      <sheetData sheetId="5418" refreshError="1"/>
      <sheetData sheetId="5419" refreshError="1"/>
      <sheetData sheetId="5420" refreshError="1"/>
      <sheetData sheetId="5421" refreshError="1"/>
      <sheetData sheetId="5422" refreshError="1"/>
      <sheetData sheetId="5423" refreshError="1"/>
      <sheetData sheetId="5424" refreshError="1"/>
      <sheetData sheetId="5425" refreshError="1"/>
      <sheetData sheetId="5426" refreshError="1"/>
      <sheetData sheetId="5427" refreshError="1"/>
      <sheetData sheetId="5428" refreshError="1"/>
      <sheetData sheetId="5429" refreshError="1"/>
      <sheetData sheetId="5430" refreshError="1"/>
      <sheetData sheetId="5431" refreshError="1"/>
      <sheetData sheetId="5432" refreshError="1"/>
      <sheetData sheetId="5433" refreshError="1"/>
      <sheetData sheetId="5434" refreshError="1"/>
      <sheetData sheetId="5435" refreshError="1"/>
      <sheetData sheetId="5436" refreshError="1"/>
      <sheetData sheetId="5437" refreshError="1"/>
      <sheetData sheetId="5438" refreshError="1"/>
      <sheetData sheetId="5439" refreshError="1"/>
      <sheetData sheetId="5440" refreshError="1"/>
      <sheetData sheetId="5441" refreshError="1"/>
      <sheetData sheetId="5442" refreshError="1"/>
      <sheetData sheetId="5443" refreshError="1"/>
      <sheetData sheetId="5444" refreshError="1"/>
      <sheetData sheetId="5445" refreshError="1"/>
      <sheetData sheetId="5446" refreshError="1"/>
      <sheetData sheetId="5447" refreshError="1"/>
      <sheetData sheetId="5448" refreshError="1"/>
      <sheetData sheetId="5449" refreshError="1"/>
      <sheetData sheetId="5450" refreshError="1"/>
      <sheetData sheetId="5451" refreshError="1"/>
      <sheetData sheetId="5452" refreshError="1"/>
      <sheetData sheetId="5453" refreshError="1"/>
      <sheetData sheetId="5454" refreshError="1"/>
      <sheetData sheetId="5455" refreshError="1"/>
      <sheetData sheetId="5456" refreshError="1"/>
      <sheetData sheetId="5457" refreshError="1"/>
      <sheetData sheetId="5458" refreshError="1"/>
      <sheetData sheetId="5459" refreshError="1"/>
      <sheetData sheetId="5460" refreshError="1"/>
      <sheetData sheetId="5461" refreshError="1"/>
      <sheetData sheetId="5462" refreshError="1"/>
      <sheetData sheetId="5463" refreshError="1"/>
      <sheetData sheetId="5464" refreshError="1"/>
      <sheetData sheetId="5465" refreshError="1"/>
      <sheetData sheetId="5466" refreshError="1"/>
      <sheetData sheetId="5467" refreshError="1"/>
      <sheetData sheetId="5468" refreshError="1"/>
      <sheetData sheetId="5469" refreshError="1"/>
      <sheetData sheetId="5470" refreshError="1"/>
      <sheetData sheetId="5471" refreshError="1"/>
      <sheetData sheetId="5472" refreshError="1"/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 refreshError="1"/>
      <sheetData sheetId="5479" refreshError="1"/>
      <sheetData sheetId="5480" refreshError="1"/>
      <sheetData sheetId="5481" refreshError="1"/>
      <sheetData sheetId="5482" refreshError="1"/>
      <sheetData sheetId="5483" refreshError="1"/>
      <sheetData sheetId="5484" refreshError="1"/>
      <sheetData sheetId="5485" refreshError="1"/>
      <sheetData sheetId="5486" refreshError="1"/>
      <sheetData sheetId="5487" refreshError="1"/>
      <sheetData sheetId="5488" refreshError="1"/>
      <sheetData sheetId="5489" refreshError="1"/>
      <sheetData sheetId="5490" refreshError="1"/>
      <sheetData sheetId="5491" refreshError="1"/>
      <sheetData sheetId="5492" refreshError="1"/>
      <sheetData sheetId="5493" refreshError="1"/>
      <sheetData sheetId="5494" refreshError="1"/>
      <sheetData sheetId="5495" refreshError="1"/>
      <sheetData sheetId="5496" refreshError="1"/>
      <sheetData sheetId="5497" refreshError="1"/>
      <sheetData sheetId="5498" refreshError="1"/>
      <sheetData sheetId="5499" refreshError="1"/>
      <sheetData sheetId="5500" refreshError="1"/>
      <sheetData sheetId="5501" refreshError="1"/>
      <sheetData sheetId="5502" refreshError="1"/>
      <sheetData sheetId="5503" refreshError="1"/>
      <sheetData sheetId="5504" refreshError="1"/>
      <sheetData sheetId="5505" refreshError="1"/>
      <sheetData sheetId="5506" refreshError="1"/>
      <sheetData sheetId="5507" refreshError="1"/>
      <sheetData sheetId="5508" refreshError="1"/>
      <sheetData sheetId="5509" refreshError="1"/>
      <sheetData sheetId="5510" refreshError="1"/>
      <sheetData sheetId="5511" refreshError="1"/>
      <sheetData sheetId="5512" refreshError="1"/>
      <sheetData sheetId="5513" refreshError="1"/>
      <sheetData sheetId="5514" refreshError="1"/>
      <sheetData sheetId="5515" refreshError="1"/>
      <sheetData sheetId="5516" refreshError="1"/>
      <sheetData sheetId="5517" refreshError="1"/>
      <sheetData sheetId="5518" refreshError="1"/>
      <sheetData sheetId="5519" refreshError="1"/>
      <sheetData sheetId="5520" refreshError="1"/>
      <sheetData sheetId="5521" refreshError="1"/>
      <sheetData sheetId="5522" refreshError="1"/>
      <sheetData sheetId="5523" refreshError="1"/>
      <sheetData sheetId="5524" refreshError="1"/>
      <sheetData sheetId="5525" refreshError="1"/>
      <sheetData sheetId="5526" refreshError="1"/>
      <sheetData sheetId="5527" refreshError="1"/>
      <sheetData sheetId="5528" refreshError="1"/>
      <sheetData sheetId="5529" refreshError="1"/>
      <sheetData sheetId="5530" refreshError="1"/>
      <sheetData sheetId="5531" refreshError="1"/>
      <sheetData sheetId="5532" refreshError="1"/>
      <sheetData sheetId="5533" refreshError="1"/>
      <sheetData sheetId="5534" refreshError="1"/>
      <sheetData sheetId="5535" refreshError="1"/>
      <sheetData sheetId="5536" refreshError="1"/>
      <sheetData sheetId="5537" refreshError="1"/>
      <sheetData sheetId="5538" refreshError="1"/>
      <sheetData sheetId="5539" refreshError="1"/>
      <sheetData sheetId="5540" refreshError="1"/>
      <sheetData sheetId="5541" refreshError="1"/>
      <sheetData sheetId="5542" refreshError="1"/>
      <sheetData sheetId="5543" refreshError="1"/>
      <sheetData sheetId="5544" refreshError="1"/>
      <sheetData sheetId="5545" refreshError="1"/>
      <sheetData sheetId="5546" refreshError="1"/>
      <sheetData sheetId="5547" refreshError="1"/>
      <sheetData sheetId="5548" refreshError="1"/>
      <sheetData sheetId="5549" refreshError="1"/>
      <sheetData sheetId="5550" refreshError="1"/>
      <sheetData sheetId="5551" refreshError="1"/>
      <sheetData sheetId="5552" refreshError="1"/>
      <sheetData sheetId="5553" refreshError="1"/>
      <sheetData sheetId="5554" refreshError="1"/>
      <sheetData sheetId="5555" refreshError="1"/>
      <sheetData sheetId="5556" refreshError="1"/>
      <sheetData sheetId="5557" refreshError="1"/>
      <sheetData sheetId="5558" refreshError="1"/>
      <sheetData sheetId="5559" refreshError="1"/>
      <sheetData sheetId="5560" refreshError="1"/>
      <sheetData sheetId="5561" refreshError="1"/>
      <sheetData sheetId="5562" refreshError="1"/>
      <sheetData sheetId="5563" refreshError="1"/>
      <sheetData sheetId="5564" refreshError="1"/>
      <sheetData sheetId="5565" refreshError="1"/>
      <sheetData sheetId="5566" refreshError="1"/>
      <sheetData sheetId="5567" refreshError="1"/>
      <sheetData sheetId="5568" refreshError="1"/>
      <sheetData sheetId="5569" refreshError="1"/>
      <sheetData sheetId="5570" refreshError="1"/>
      <sheetData sheetId="5571" refreshError="1"/>
      <sheetData sheetId="5572" refreshError="1"/>
      <sheetData sheetId="5573" refreshError="1"/>
      <sheetData sheetId="5574" refreshError="1"/>
      <sheetData sheetId="5575" refreshError="1"/>
      <sheetData sheetId="5576" refreshError="1"/>
      <sheetData sheetId="5577" refreshError="1"/>
      <sheetData sheetId="5578" refreshError="1"/>
      <sheetData sheetId="5579" refreshError="1"/>
      <sheetData sheetId="5580" refreshError="1"/>
      <sheetData sheetId="5581" refreshError="1"/>
      <sheetData sheetId="5582" refreshError="1"/>
      <sheetData sheetId="5583" refreshError="1"/>
      <sheetData sheetId="5584" refreshError="1"/>
      <sheetData sheetId="5585" refreshError="1"/>
      <sheetData sheetId="5586" refreshError="1"/>
      <sheetData sheetId="5587" refreshError="1"/>
      <sheetData sheetId="5588" refreshError="1"/>
      <sheetData sheetId="5589" refreshError="1"/>
      <sheetData sheetId="5590" refreshError="1"/>
      <sheetData sheetId="5591" refreshError="1"/>
      <sheetData sheetId="5592" refreshError="1"/>
      <sheetData sheetId="5593" refreshError="1"/>
      <sheetData sheetId="5594" refreshError="1"/>
      <sheetData sheetId="5595" refreshError="1"/>
      <sheetData sheetId="5596" refreshError="1"/>
      <sheetData sheetId="5597" refreshError="1"/>
      <sheetData sheetId="5598" refreshError="1"/>
      <sheetData sheetId="5599" refreshError="1"/>
      <sheetData sheetId="5600" refreshError="1"/>
      <sheetData sheetId="5601" refreshError="1"/>
      <sheetData sheetId="5602" refreshError="1"/>
      <sheetData sheetId="5603" refreshError="1"/>
      <sheetData sheetId="5604" refreshError="1"/>
      <sheetData sheetId="5605" refreshError="1"/>
      <sheetData sheetId="5606" refreshError="1"/>
      <sheetData sheetId="5607" refreshError="1"/>
      <sheetData sheetId="5608" refreshError="1"/>
      <sheetData sheetId="5609" refreshError="1"/>
      <sheetData sheetId="5610" refreshError="1"/>
      <sheetData sheetId="5611" refreshError="1"/>
      <sheetData sheetId="5612" refreshError="1"/>
      <sheetData sheetId="5613" refreshError="1"/>
      <sheetData sheetId="5614" refreshError="1"/>
      <sheetData sheetId="5615" refreshError="1"/>
      <sheetData sheetId="5616" refreshError="1"/>
      <sheetData sheetId="5617" refreshError="1"/>
      <sheetData sheetId="5618" refreshError="1"/>
      <sheetData sheetId="5619" refreshError="1"/>
      <sheetData sheetId="5620" refreshError="1"/>
      <sheetData sheetId="5621" refreshError="1"/>
      <sheetData sheetId="5622" refreshError="1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 refreshError="1"/>
      <sheetData sheetId="5698" refreshError="1"/>
      <sheetData sheetId="5699" refreshError="1"/>
      <sheetData sheetId="5700" refreshError="1"/>
      <sheetData sheetId="5701" refreshError="1"/>
      <sheetData sheetId="5702" refreshError="1"/>
      <sheetData sheetId="5703" refreshError="1"/>
      <sheetData sheetId="5704" refreshError="1"/>
      <sheetData sheetId="5705" refreshError="1"/>
      <sheetData sheetId="5706" refreshError="1"/>
      <sheetData sheetId="5707" refreshError="1"/>
      <sheetData sheetId="5708" refreshError="1"/>
      <sheetData sheetId="5709" refreshError="1"/>
      <sheetData sheetId="5710" refreshError="1"/>
      <sheetData sheetId="5711" refreshError="1"/>
      <sheetData sheetId="5712" refreshError="1"/>
      <sheetData sheetId="5713" refreshError="1"/>
      <sheetData sheetId="5714" refreshError="1"/>
      <sheetData sheetId="5715" refreshError="1"/>
      <sheetData sheetId="5716" refreshError="1"/>
      <sheetData sheetId="5717" refreshError="1"/>
      <sheetData sheetId="5718" refreshError="1"/>
      <sheetData sheetId="5719" refreshError="1"/>
      <sheetData sheetId="5720" refreshError="1"/>
      <sheetData sheetId="5721" refreshError="1"/>
      <sheetData sheetId="5722" refreshError="1"/>
      <sheetData sheetId="5723" refreshError="1"/>
      <sheetData sheetId="5724" refreshError="1"/>
      <sheetData sheetId="5725" refreshError="1"/>
      <sheetData sheetId="5726" refreshError="1"/>
      <sheetData sheetId="5727" refreshError="1"/>
      <sheetData sheetId="5728" refreshError="1"/>
      <sheetData sheetId="5729" refreshError="1"/>
      <sheetData sheetId="5730" refreshError="1"/>
      <sheetData sheetId="5731" refreshError="1"/>
      <sheetData sheetId="5732" refreshError="1"/>
      <sheetData sheetId="5733" refreshError="1"/>
      <sheetData sheetId="5734" refreshError="1"/>
      <sheetData sheetId="5735" refreshError="1"/>
      <sheetData sheetId="5736" refreshError="1"/>
      <sheetData sheetId="5737" refreshError="1"/>
      <sheetData sheetId="5738" refreshError="1"/>
      <sheetData sheetId="5739" refreshError="1"/>
      <sheetData sheetId="5740" refreshError="1"/>
      <sheetData sheetId="5741" refreshError="1"/>
      <sheetData sheetId="5742" refreshError="1"/>
      <sheetData sheetId="5743" refreshError="1"/>
      <sheetData sheetId="5744" refreshError="1"/>
      <sheetData sheetId="5745" refreshError="1"/>
      <sheetData sheetId="5746" refreshError="1"/>
      <sheetData sheetId="5747" refreshError="1"/>
      <sheetData sheetId="5748" refreshError="1"/>
      <sheetData sheetId="5749" refreshError="1"/>
      <sheetData sheetId="5750" refreshError="1"/>
      <sheetData sheetId="5751" refreshError="1"/>
      <sheetData sheetId="5752" refreshError="1"/>
      <sheetData sheetId="5753" refreshError="1"/>
      <sheetData sheetId="5754" refreshError="1"/>
      <sheetData sheetId="5755" refreshError="1"/>
      <sheetData sheetId="5756" refreshError="1"/>
      <sheetData sheetId="5757" refreshError="1"/>
      <sheetData sheetId="5758" refreshError="1"/>
      <sheetData sheetId="5759" refreshError="1"/>
      <sheetData sheetId="5760" refreshError="1"/>
      <sheetData sheetId="5761" refreshError="1"/>
      <sheetData sheetId="5762" refreshError="1"/>
      <sheetData sheetId="5763" refreshError="1"/>
      <sheetData sheetId="5764" refreshError="1"/>
      <sheetData sheetId="5765" refreshError="1"/>
      <sheetData sheetId="5766" refreshError="1"/>
      <sheetData sheetId="5767" refreshError="1"/>
      <sheetData sheetId="5768" refreshError="1"/>
      <sheetData sheetId="5769" refreshError="1"/>
      <sheetData sheetId="5770" refreshError="1"/>
      <sheetData sheetId="5771" refreshError="1"/>
      <sheetData sheetId="5772" refreshError="1"/>
      <sheetData sheetId="5773" refreshError="1"/>
      <sheetData sheetId="5774" refreshError="1"/>
      <sheetData sheetId="5775" refreshError="1"/>
      <sheetData sheetId="5776" refreshError="1"/>
      <sheetData sheetId="5777" refreshError="1"/>
      <sheetData sheetId="5778" refreshError="1"/>
      <sheetData sheetId="5779" refreshError="1"/>
      <sheetData sheetId="5780" refreshError="1"/>
      <sheetData sheetId="5781" refreshError="1"/>
      <sheetData sheetId="5782" refreshError="1"/>
      <sheetData sheetId="5783" refreshError="1"/>
      <sheetData sheetId="5784" refreshError="1"/>
      <sheetData sheetId="5785" refreshError="1"/>
      <sheetData sheetId="5786" refreshError="1"/>
      <sheetData sheetId="5787" refreshError="1"/>
      <sheetData sheetId="5788" refreshError="1"/>
      <sheetData sheetId="5789" refreshError="1"/>
      <sheetData sheetId="5790" refreshError="1"/>
      <sheetData sheetId="5791" refreshError="1"/>
      <sheetData sheetId="5792" refreshError="1"/>
      <sheetData sheetId="5793" refreshError="1"/>
      <sheetData sheetId="5794" refreshError="1"/>
      <sheetData sheetId="5795" refreshError="1"/>
      <sheetData sheetId="5796" refreshError="1"/>
      <sheetData sheetId="5797" refreshError="1"/>
      <sheetData sheetId="5798" refreshError="1"/>
      <sheetData sheetId="5799" refreshError="1"/>
      <sheetData sheetId="5800" refreshError="1"/>
      <sheetData sheetId="5801" refreshError="1"/>
      <sheetData sheetId="5802" refreshError="1"/>
      <sheetData sheetId="5803" refreshError="1"/>
      <sheetData sheetId="5804" refreshError="1"/>
      <sheetData sheetId="5805" refreshError="1"/>
      <sheetData sheetId="5806" refreshError="1"/>
      <sheetData sheetId="5807" refreshError="1"/>
      <sheetData sheetId="5808" refreshError="1"/>
      <sheetData sheetId="5809" refreshError="1"/>
      <sheetData sheetId="5810" refreshError="1"/>
      <sheetData sheetId="5811" refreshError="1"/>
      <sheetData sheetId="5812" refreshError="1"/>
      <sheetData sheetId="5813" refreshError="1"/>
      <sheetData sheetId="5814" refreshError="1"/>
      <sheetData sheetId="5815" refreshError="1"/>
      <sheetData sheetId="5816" refreshError="1"/>
      <sheetData sheetId="5817" refreshError="1"/>
      <sheetData sheetId="5818" refreshError="1"/>
      <sheetData sheetId="5819" refreshError="1"/>
      <sheetData sheetId="5820" refreshError="1"/>
      <sheetData sheetId="5821" refreshError="1"/>
      <sheetData sheetId="5822" refreshError="1"/>
      <sheetData sheetId="5823" refreshError="1"/>
      <sheetData sheetId="5824" refreshError="1"/>
      <sheetData sheetId="5825" refreshError="1"/>
      <sheetData sheetId="5826" refreshError="1"/>
      <sheetData sheetId="5827" refreshError="1"/>
      <sheetData sheetId="5828" refreshError="1"/>
      <sheetData sheetId="5829" refreshError="1"/>
      <sheetData sheetId="5830" refreshError="1"/>
      <sheetData sheetId="5831" refreshError="1"/>
      <sheetData sheetId="5832" refreshError="1"/>
      <sheetData sheetId="5833" refreshError="1"/>
      <sheetData sheetId="5834" refreshError="1"/>
      <sheetData sheetId="5835" refreshError="1"/>
      <sheetData sheetId="5836" refreshError="1"/>
      <sheetData sheetId="5837" refreshError="1"/>
      <sheetData sheetId="5838" refreshError="1"/>
      <sheetData sheetId="5839" refreshError="1"/>
      <sheetData sheetId="5840" refreshError="1"/>
      <sheetData sheetId="5841" refreshError="1"/>
      <sheetData sheetId="5842" refreshError="1"/>
      <sheetData sheetId="5843" refreshError="1"/>
      <sheetData sheetId="5844" refreshError="1"/>
      <sheetData sheetId="5845" refreshError="1"/>
      <sheetData sheetId="5846" refreshError="1"/>
      <sheetData sheetId="5847" refreshError="1"/>
      <sheetData sheetId="5848" refreshError="1"/>
      <sheetData sheetId="5849" refreshError="1"/>
      <sheetData sheetId="5850" refreshError="1"/>
      <sheetData sheetId="5851" refreshError="1"/>
      <sheetData sheetId="5852" refreshError="1"/>
      <sheetData sheetId="5853" refreshError="1"/>
      <sheetData sheetId="5854" refreshError="1"/>
      <sheetData sheetId="5855" refreshError="1"/>
      <sheetData sheetId="5856" refreshError="1"/>
      <sheetData sheetId="5857" refreshError="1"/>
      <sheetData sheetId="5858" refreshError="1"/>
      <sheetData sheetId="5859" refreshError="1"/>
      <sheetData sheetId="5860" refreshError="1"/>
      <sheetData sheetId="5861" refreshError="1"/>
      <sheetData sheetId="5862" refreshError="1"/>
      <sheetData sheetId="5863" refreshError="1"/>
      <sheetData sheetId="5864" refreshError="1"/>
      <sheetData sheetId="5865" refreshError="1"/>
      <sheetData sheetId="5866" refreshError="1"/>
      <sheetData sheetId="5867" refreshError="1"/>
      <sheetData sheetId="5868" refreshError="1"/>
      <sheetData sheetId="5869" refreshError="1"/>
      <sheetData sheetId="5870" refreshError="1"/>
      <sheetData sheetId="5871" refreshError="1"/>
      <sheetData sheetId="5872" refreshError="1"/>
      <sheetData sheetId="5873" refreshError="1"/>
      <sheetData sheetId="5874" refreshError="1"/>
      <sheetData sheetId="5875" refreshError="1"/>
      <sheetData sheetId="5876" refreshError="1"/>
      <sheetData sheetId="5877" refreshError="1"/>
      <sheetData sheetId="5878" refreshError="1"/>
      <sheetData sheetId="5879" refreshError="1"/>
      <sheetData sheetId="5880" refreshError="1"/>
      <sheetData sheetId="5881" refreshError="1"/>
      <sheetData sheetId="5882" refreshError="1"/>
      <sheetData sheetId="5883" refreshError="1"/>
      <sheetData sheetId="5884" refreshError="1"/>
      <sheetData sheetId="5885" refreshError="1"/>
      <sheetData sheetId="5886" refreshError="1"/>
      <sheetData sheetId="5887" refreshError="1"/>
      <sheetData sheetId="5888" refreshError="1"/>
      <sheetData sheetId="5889" refreshError="1"/>
      <sheetData sheetId="5890" refreshError="1"/>
      <sheetData sheetId="5891" refreshError="1"/>
      <sheetData sheetId="5892" refreshError="1"/>
      <sheetData sheetId="5893" refreshError="1"/>
      <sheetData sheetId="5894" refreshError="1"/>
      <sheetData sheetId="5895" refreshError="1"/>
      <sheetData sheetId="5896" refreshError="1"/>
      <sheetData sheetId="5897" refreshError="1"/>
      <sheetData sheetId="5898" refreshError="1"/>
      <sheetData sheetId="5899" refreshError="1"/>
      <sheetData sheetId="5900" refreshError="1"/>
      <sheetData sheetId="5901" refreshError="1"/>
      <sheetData sheetId="5902" refreshError="1"/>
      <sheetData sheetId="5903" refreshError="1"/>
      <sheetData sheetId="5904" refreshError="1"/>
      <sheetData sheetId="5905" refreshError="1"/>
      <sheetData sheetId="5906" refreshError="1"/>
      <sheetData sheetId="5907" refreshError="1"/>
      <sheetData sheetId="5908" refreshError="1"/>
      <sheetData sheetId="5909" refreshError="1"/>
      <sheetData sheetId="5910" refreshError="1"/>
      <sheetData sheetId="5911" refreshError="1"/>
      <sheetData sheetId="5912" refreshError="1"/>
      <sheetData sheetId="5913" refreshError="1"/>
      <sheetData sheetId="5914" refreshError="1"/>
      <sheetData sheetId="5915" refreshError="1"/>
      <sheetData sheetId="5916" refreshError="1"/>
      <sheetData sheetId="5917" refreshError="1"/>
      <sheetData sheetId="5918" refreshError="1"/>
      <sheetData sheetId="5919" refreshError="1"/>
      <sheetData sheetId="5920" refreshError="1"/>
      <sheetData sheetId="5921" refreshError="1"/>
      <sheetData sheetId="5922" refreshError="1"/>
      <sheetData sheetId="5923" refreshError="1"/>
      <sheetData sheetId="5924" refreshError="1"/>
      <sheetData sheetId="5925" refreshError="1"/>
      <sheetData sheetId="5926" refreshError="1"/>
      <sheetData sheetId="5927" refreshError="1"/>
      <sheetData sheetId="5928" refreshError="1"/>
      <sheetData sheetId="5929" refreshError="1"/>
      <sheetData sheetId="5930" refreshError="1"/>
      <sheetData sheetId="5931" refreshError="1"/>
      <sheetData sheetId="5932" refreshError="1"/>
      <sheetData sheetId="5933" refreshError="1"/>
      <sheetData sheetId="5934" refreshError="1"/>
      <sheetData sheetId="5935" refreshError="1"/>
      <sheetData sheetId="5936" refreshError="1"/>
      <sheetData sheetId="5937" refreshError="1"/>
      <sheetData sheetId="5938" refreshError="1"/>
      <sheetData sheetId="5939" refreshError="1"/>
      <sheetData sheetId="5940" refreshError="1"/>
      <sheetData sheetId="5941" refreshError="1"/>
      <sheetData sheetId="5942" refreshError="1"/>
      <sheetData sheetId="5943" refreshError="1"/>
      <sheetData sheetId="5944" refreshError="1"/>
      <sheetData sheetId="5945" refreshError="1"/>
      <sheetData sheetId="5946" refreshError="1"/>
      <sheetData sheetId="5947" refreshError="1"/>
      <sheetData sheetId="5948" refreshError="1"/>
      <sheetData sheetId="5949" refreshError="1"/>
      <sheetData sheetId="5950" refreshError="1"/>
      <sheetData sheetId="5951" refreshError="1"/>
      <sheetData sheetId="5952" refreshError="1"/>
      <sheetData sheetId="5953" refreshError="1"/>
      <sheetData sheetId="5954" refreshError="1"/>
      <sheetData sheetId="5955" refreshError="1"/>
      <sheetData sheetId="5956" refreshError="1"/>
      <sheetData sheetId="5957" refreshError="1"/>
      <sheetData sheetId="5958" refreshError="1"/>
      <sheetData sheetId="5959" refreshError="1"/>
      <sheetData sheetId="5960" refreshError="1"/>
      <sheetData sheetId="5961" refreshError="1"/>
      <sheetData sheetId="5962" refreshError="1"/>
      <sheetData sheetId="5963" refreshError="1"/>
      <sheetData sheetId="5964" refreshError="1"/>
      <sheetData sheetId="5965" refreshError="1"/>
      <sheetData sheetId="5966" refreshError="1"/>
      <sheetData sheetId="5967" refreshError="1"/>
      <sheetData sheetId="5968" refreshError="1"/>
      <sheetData sheetId="5969" refreshError="1"/>
      <sheetData sheetId="5970" refreshError="1"/>
      <sheetData sheetId="5971" refreshError="1"/>
      <sheetData sheetId="5972" refreshError="1"/>
      <sheetData sheetId="5973" refreshError="1"/>
      <sheetData sheetId="5974" refreshError="1"/>
      <sheetData sheetId="5975" refreshError="1"/>
      <sheetData sheetId="5976" refreshError="1"/>
      <sheetData sheetId="5977" refreshError="1"/>
      <sheetData sheetId="5978" refreshError="1"/>
      <sheetData sheetId="5979" refreshError="1"/>
      <sheetData sheetId="5980" refreshError="1"/>
      <sheetData sheetId="5981" refreshError="1"/>
      <sheetData sheetId="5982" refreshError="1"/>
      <sheetData sheetId="5983" refreshError="1"/>
      <sheetData sheetId="5984" refreshError="1"/>
      <sheetData sheetId="5985" refreshError="1"/>
      <sheetData sheetId="5986" refreshError="1"/>
      <sheetData sheetId="5987" refreshError="1"/>
      <sheetData sheetId="5988" refreshError="1"/>
      <sheetData sheetId="5989" refreshError="1"/>
      <sheetData sheetId="5990" refreshError="1"/>
      <sheetData sheetId="5991" refreshError="1"/>
      <sheetData sheetId="5992" refreshError="1"/>
      <sheetData sheetId="5993" refreshError="1"/>
      <sheetData sheetId="5994" refreshError="1"/>
      <sheetData sheetId="5995" refreshError="1"/>
      <sheetData sheetId="5996" refreshError="1"/>
      <sheetData sheetId="5997" refreshError="1"/>
      <sheetData sheetId="5998" refreshError="1"/>
      <sheetData sheetId="5999" refreshError="1"/>
      <sheetData sheetId="6000" refreshError="1"/>
      <sheetData sheetId="6001" refreshError="1"/>
      <sheetData sheetId="6002" refreshError="1"/>
      <sheetData sheetId="6003" refreshError="1"/>
      <sheetData sheetId="6004" refreshError="1"/>
      <sheetData sheetId="6005" refreshError="1"/>
      <sheetData sheetId="6006" refreshError="1"/>
      <sheetData sheetId="6007" refreshError="1"/>
      <sheetData sheetId="6008" refreshError="1"/>
      <sheetData sheetId="6009" refreshError="1"/>
      <sheetData sheetId="6010" refreshError="1"/>
      <sheetData sheetId="6011" refreshError="1"/>
      <sheetData sheetId="6012" refreshError="1"/>
      <sheetData sheetId="6013" refreshError="1"/>
      <sheetData sheetId="6014" refreshError="1"/>
      <sheetData sheetId="6015" refreshError="1"/>
      <sheetData sheetId="6016" refreshError="1"/>
      <sheetData sheetId="6017" refreshError="1"/>
      <sheetData sheetId="6018" refreshError="1"/>
      <sheetData sheetId="6019" refreshError="1"/>
      <sheetData sheetId="6020" refreshError="1"/>
      <sheetData sheetId="6021" refreshError="1"/>
      <sheetData sheetId="6022" refreshError="1"/>
      <sheetData sheetId="6023" refreshError="1"/>
      <sheetData sheetId="6024" refreshError="1"/>
      <sheetData sheetId="6025" refreshError="1"/>
      <sheetData sheetId="6026" refreshError="1"/>
      <sheetData sheetId="6027" refreshError="1"/>
      <sheetData sheetId="6028" refreshError="1"/>
      <sheetData sheetId="6029" refreshError="1"/>
      <sheetData sheetId="6030" refreshError="1"/>
      <sheetData sheetId="6031" refreshError="1"/>
      <sheetData sheetId="6032" refreshError="1"/>
      <sheetData sheetId="6033" refreshError="1"/>
      <sheetData sheetId="6034" refreshError="1"/>
      <sheetData sheetId="6035" refreshError="1"/>
      <sheetData sheetId="6036" refreshError="1"/>
      <sheetData sheetId="6037" refreshError="1"/>
      <sheetData sheetId="6038" refreshError="1"/>
      <sheetData sheetId="6039" refreshError="1"/>
      <sheetData sheetId="6040" refreshError="1"/>
      <sheetData sheetId="6041" refreshError="1"/>
      <sheetData sheetId="6042" refreshError="1"/>
      <sheetData sheetId="6043" refreshError="1"/>
      <sheetData sheetId="6044" refreshError="1"/>
      <sheetData sheetId="6045" refreshError="1"/>
      <sheetData sheetId="6046" refreshError="1"/>
      <sheetData sheetId="6047" refreshError="1"/>
      <sheetData sheetId="6048" refreshError="1"/>
      <sheetData sheetId="6049" refreshError="1"/>
      <sheetData sheetId="6050" refreshError="1"/>
      <sheetData sheetId="6051" refreshError="1"/>
      <sheetData sheetId="6052" refreshError="1"/>
      <sheetData sheetId="6053" refreshError="1"/>
      <sheetData sheetId="6054" refreshError="1"/>
      <sheetData sheetId="6055" refreshError="1"/>
      <sheetData sheetId="6056" refreshError="1"/>
      <sheetData sheetId="6057" refreshError="1"/>
      <sheetData sheetId="6058" refreshError="1"/>
      <sheetData sheetId="6059" refreshError="1"/>
      <sheetData sheetId="6060" refreshError="1"/>
      <sheetData sheetId="6061" refreshError="1"/>
      <sheetData sheetId="6062" refreshError="1"/>
      <sheetData sheetId="6063" refreshError="1"/>
      <sheetData sheetId="6064" refreshError="1"/>
      <sheetData sheetId="6065" refreshError="1"/>
      <sheetData sheetId="6066" refreshError="1"/>
      <sheetData sheetId="6067" refreshError="1"/>
      <sheetData sheetId="6068" refreshError="1"/>
      <sheetData sheetId="6069" refreshError="1"/>
      <sheetData sheetId="6070" refreshError="1"/>
      <sheetData sheetId="6071" refreshError="1"/>
      <sheetData sheetId="6072" refreshError="1"/>
      <sheetData sheetId="6073" refreshError="1"/>
      <sheetData sheetId="6074" refreshError="1"/>
      <sheetData sheetId="6075" refreshError="1"/>
      <sheetData sheetId="6076" refreshError="1"/>
      <sheetData sheetId="6077" refreshError="1"/>
      <sheetData sheetId="6078" refreshError="1"/>
      <sheetData sheetId="6079" refreshError="1"/>
      <sheetData sheetId="6080" refreshError="1"/>
      <sheetData sheetId="6081" refreshError="1"/>
      <sheetData sheetId="6082" refreshError="1"/>
      <sheetData sheetId="6083" refreshError="1"/>
      <sheetData sheetId="6084" refreshError="1"/>
      <sheetData sheetId="6085" refreshError="1"/>
      <sheetData sheetId="6086" refreshError="1"/>
      <sheetData sheetId="6087" refreshError="1"/>
      <sheetData sheetId="6088" refreshError="1"/>
      <sheetData sheetId="6089" refreshError="1"/>
      <sheetData sheetId="6090" refreshError="1"/>
      <sheetData sheetId="6091" refreshError="1"/>
      <sheetData sheetId="6092" refreshError="1"/>
      <sheetData sheetId="6093" refreshError="1"/>
      <sheetData sheetId="6094" refreshError="1"/>
      <sheetData sheetId="6095" refreshError="1"/>
      <sheetData sheetId="6096" refreshError="1"/>
      <sheetData sheetId="6097" refreshError="1"/>
      <sheetData sheetId="6098" refreshError="1"/>
      <sheetData sheetId="6099" refreshError="1"/>
      <sheetData sheetId="6100" refreshError="1"/>
      <sheetData sheetId="6101" refreshError="1"/>
      <sheetData sheetId="6102" refreshError="1"/>
      <sheetData sheetId="6103" refreshError="1"/>
      <sheetData sheetId="6104" refreshError="1"/>
      <sheetData sheetId="6105" refreshError="1"/>
      <sheetData sheetId="6106" refreshError="1"/>
      <sheetData sheetId="6107" refreshError="1"/>
      <sheetData sheetId="6108" refreshError="1"/>
      <sheetData sheetId="6109" refreshError="1"/>
      <sheetData sheetId="6110" refreshError="1"/>
      <sheetData sheetId="6111" refreshError="1"/>
      <sheetData sheetId="6112" refreshError="1"/>
      <sheetData sheetId="6113" refreshError="1"/>
      <sheetData sheetId="6114" refreshError="1"/>
      <sheetData sheetId="6115" refreshError="1"/>
      <sheetData sheetId="6116" refreshError="1"/>
      <sheetData sheetId="6117" refreshError="1"/>
      <sheetData sheetId="6118" refreshError="1"/>
      <sheetData sheetId="6119" refreshError="1"/>
      <sheetData sheetId="6120" refreshError="1"/>
      <sheetData sheetId="6121" refreshError="1"/>
      <sheetData sheetId="6122" refreshError="1"/>
      <sheetData sheetId="6123" refreshError="1"/>
      <sheetData sheetId="6124" refreshError="1"/>
      <sheetData sheetId="6125" refreshError="1"/>
      <sheetData sheetId="6126" refreshError="1"/>
      <sheetData sheetId="6127" refreshError="1"/>
      <sheetData sheetId="6128" refreshError="1"/>
      <sheetData sheetId="6129" refreshError="1"/>
      <sheetData sheetId="6130" refreshError="1"/>
      <sheetData sheetId="6131" refreshError="1"/>
      <sheetData sheetId="6132" refreshError="1"/>
      <sheetData sheetId="6133" refreshError="1"/>
      <sheetData sheetId="6134" refreshError="1"/>
      <sheetData sheetId="6135" refreshError="1"/>
      <sheetData sheetId="6136" refreshError="1"/>
      <sheetData sheetId="6137" refreshError="1"/>
      <sheetData sheetId="6138" refreshError="1"/>
      <sheetData sheetId="6139" refreshError="1"/>
      <sheetData sheetId="6140" refreshError="1"/>
      <sheetData sheetId="6141" refreshError="1"/>
      <sheetData sheetId="6142" refreshError="1"/>
      <sheetData sheetId="6143" refreshError="1"/>
      <sheetData sheetId="6144" refreshError="1"/>
      <sheetData sheetId="6145" refreshError="1"/>
      <sheetData sheetId="6146" refreshError="1"/>
      <sheetData sheetId="6147" refreshError="1"/>
      <sheetData sheetId="6148" refreshError="1"/>
      <sheetData sheetId="6149" refreshError="1"/>
      <sheetData sheetId="6150" refreshError="1"/>
      <sheetData sheetId="6151" refreshError="1"/>
      <sheetData sheetId="6152" refreshError="1"/>
      <sheetData sheetId="6153" refreshError="1"/>
      <sheetData sheetId="6154" refreshError="1"/>
      <sheetData sheetId="6155" refreshError="1"/>
      <sheetData sheetId="6156" refreshError="1"/>
      <sheetData sheetId="6157" refreshError="1"/>
      <sheetData sheetId="6158" refreshError="1"/>
      <sheetData sheetId="6159" refreshError="1"/>
      <sheetData sheetId="6160" refreshError="1"/>
      <sheetData sheetId="6161" refreshError="1"/>
      <sheetData sheetId="6162" refreshError="1"/>
      <sheetData sheetId="6163" refreshError="1"/>
      <sheetData sheetId="6164" refreshError="1"/>
      <sheetData sheetId="6165" refreshError="1"/>
      <sheetData sheetId="6166" refreshError="1"/>
      <sheetData sheetId="6167" refreshError="1"/>
      <sheetData sheetId="6168" refreshError="1"/>
      <sheetData sheetId="6169" refreshError="1"/>
      <sheetData sheetId="6170" refreshError="1"/>
      <sheetData sheetId="6171" refreshError="1"/>
      <sheetData sheetId="6172" refreshError="1"/>
      <sheetData sheetId="6173" refreshError="1"/>
      <sheetData sheetId="6174" refreshError="1"/>
      <sheetData sheetId="6175" refreshError="1"/>
      <sheetData sheetId="6176" refreshError="1"/>
      <sheetData sheetId="6177" refreshError="1"/>
      <sheetData sheetId="6178" refreshError="1"/>
      <sheetData sheetId="6179" refreshError="1"/>
      <sheetData sheetId="6180" refreshError="1"/>
      <sheetData sheetId="6181" refreshError="1"/>
      <sheetData sheetId="6182" refreshError="1"/>
      <sheetData sheetId="6183" refreshError="1"/>
      <sheetData sheetId="6184" refreshError="1"/>
      <sheetData sheetId="6185" refreshError="1"/>
      <sheetData sheetId="6186" refreshError="1"/>
      <sheetData sheetId="6187" refreshError="1"/>
      <sheetData sheetId="6188" refreshError="1"/>
      <sheetData sheetId="6189" refreshError="1"/>
      <sheetData sheetId="6190" refreshError="1"/>
      <sheetData sheetId="6191" refreshError="1"/>
      <sheetData sheetId="6192" refreshError="1"/>
      <sheetData sheetId="6193" refreshError="1"/>
      <sheetData sheetId="6194" refreshError="1"/>
      <sheetData sheetId="6195" refreshError="1"/>
      <sheetData sheetId="6196" refreshError="1"/>
      <sheetData sheetId="6197" refreshError="1"/>
      <sheetData sheetId="6198" refreshError="1"/>
      <sheetData sheetId="6199" refreshError="1"/>
      <sheetData sheetId="6200" refreshError="1"/>
      <sheetData sheetId="6201" refreshError="1"/>
      <sheetData sheetId="6202" refreshError="1"/>
      <sheetData sheetId="6203" refreshError="1"/>
      <sheetData sheetId="6204" refreshError="1"/>
      <sheetData sheetId="6205" refreshError="1"/>
      <sheetData sheetId="6206" refreshError="1"/>
      <sheetData sheetId="6207" refreshError="1"/>
      <sheetData sheetId="6208" refreshError="1"/>
      <sheetData sheetId="6209" refreshError="1"/>
      <sheetData sheetId="6210" refreshError="1"/>
      <sheetData sheetId="6211" refreshError="1"/>
      <sheetData sheetId="6212" refreshError="1"/>
      <sheetData sheetId="6213" refreshError="1"/>
      <sheetData sheetId="6214" refreshError="1"/>
      <sheetData sheetId="6215" refreshError="1"/>
      <sheetData sheetId="6216" refreshError="1"/>
      <sheetData sheetId="6217" refreshError="1"/>
      <sheetData sheetId="6218" refreshError="1"/>
      <sheetData sheetId="6219" refreshError="1"/>
      <sheetData sheetId="6220" refreshError="1"/>
      <sheetData sheetId="6221" refreshError="1"/>
      <sheetData sheetId="6222" refreshError="1"/>
      <sheetData sheetId="6223" refreshError="1"/>
      <sheetData sheetId="6224" refreshError="1"/>
      <sheetData sheetId="6225" refreshError="1"/>
      <sheetData sheetId="6226" refreshError="1"/>
      <sheetData sheetId="6227" refreshError="1"/>
      <sheetData sheetId="6228" refreshError="1"/>
      <sheetData sheetId="6229" refreshError="1"/>
      <sheetData sheetId="6230" refreshError="1"/>
      <sheetData sheetId="6231" refreshError="1"/>
      <sheetData sheetId="6232" refreshError="1"/>
      <sheetData sheetId="6233" refreshError="1"/>
      <sheetData sheetId="6234" refreshError="1"/>
      <sheetData sheetId="6235" refreshError="1"/>
      <sheetData sheetId="6236" refreshError="1"/>
      <sheetData sheetId="6237" refreshError="1"/>
      <sheetData sheetId="6238" refreshError="1"/>
      <sheetData sheetId="6239" refreshError="1"/>
      <sheetData sheetId="6240" refreshError="1"/>
      <sheetData sheetId="6241" refreshError="1"/>
      <sheetData sheetId="6242" refreshError="1"/>
      <sheetData sheetId="6243" refreshError="1"/>
      <sheetData sheetId="6244" refreshError="1"/>
      <sheetData sheetId="6245" refreshError="1"/>
      <sheetData sheetId="6246" refreshError="1"/>
      <sheetData sheetId="6247" refreshError="1"/>
      <sheetData sheetId="6248" refreshError="1"/>
      <sheetData sheetId="6249" refreshError="1"/>
      <sheetData sheetId="6250" refreshError="1"/>
      <sheetData sheetId="6251" refreshError="1"/>
      <sheetData sheetId="6252" refreshError="1"/>
      <sheetData sheetId="6253" refreshError="1"/>
      <sheetData sheetId="6254" refreshError="1"/>
      <sheetData sheetId="6255" refreshError="1"/>
      <sheetData sheetId="6256" refreshError="1"/>
      <sheetData sheetId="6257" refreshError="1"/>
      <sheetData sheetId="6258" refreshError="1"/>
      <sheetData sheetId="6259" refreshError="1"/>
      <sheetData sheetId="6260" refreshError="1"/>
      <sheetData sheetId="6261" refreshError="1"/>
      <sheetData sheetId="6262" refreshError="1"/>
      <sheetData sheetId="6263" refreshError="1"/>
      <sheetData sheetId="6264" refreshError="1"/>
      <sheetData sheetId="6265" refreshError="1"/>
      <sheetData sheetId="6266" refreshError="1"/>
      <sheetData sheetId="6267" refreshError="1"/>
      <sheetData sheetId="6268" refreshError="1"/>
      <sheetData sheetId="6269" refreshError="1"/>
      <sheetData sheetId="6270" refreshError="1"/>
      <sheetData sheetId="6271" refreshError="1"/>
      <sheetData sheetId="6272" refreshError="1"/>
      <sheetData sheetId="6273" refreshError="1"/>
      <sheetData sheetId="6274" refreshError="1"/>
      <sheetData sheetId="6275" refreshError="1"/>
      <sheetData sheetId="6276" refreshError="1"/>
      <sheetData sheetId="6277" refreshError="1"/>
      <sheetData sheetId="6278" refreshError="1"/>
      <sheetData sheetId="6279" refreshError="1"/>
      <sheetData sheetId="6280" refreshError="1"/>
      <sheetData sheetId="6281" refreshError="1"/>
      <sheetData sheetId="6282" refreshError="1"/>
      <sheetData sheetId="6283" refreshError="1"/>
      <sheetData sheetId="6284" refreshError="1"/>
      <sheetData sheetId="6285" refreshError="1"/>
      <sheetData sheetId="6286" refreshError="1"/>
      <sheetData sheetId="6287" refreshError="1"/>
      <sheetData sheetId="6288" refreshError="1"/>
      <sheetData sheetId="6289" refreshError="1"/>
      <sheetData sheetId="6290" refreshError="1"/>
      <sheetData sheetId="6291" refreshError="1"/>
      <sheetData sheetId="6292" refreshError="1"/>
      <sheetData sheetId="6293" refreshError="1"/>
      <sheetData sheetId="6294" refreshError="1"/>
      <sheetData sheetId="6295" refreshError="1"/>
      <sheetData sheetId="6296" refreshError="1"/>
      <sheetData sheetId="6297" refreshError="1"/>
      <sheetData sheetId="6298" refreshError="1"/>
      <sheetData sheetId="6299" refreshError="1"/>
      <sheetData sheetId="6300" refreshError="1"/>
      <sheetData sheetId="6301" refreshError="1"/>
      <sheetData sheetId="6302" refreshError="1"/>
      <sheetData sheetId="6303" refreshError="1"/>
      <sheetData sheetId="6304" refreshError="1"/>
      <sheetData sheetId="6305" refreshError="1"/>
      <sheetData sheetId="6306" refreshError="1"/>
      <sheetData sheetId="6307" refreshError="1"/>
      <sheetData sheetId="6308" refreshError="1"/>
      <sheetData sheetId="6309" refreshError="1"/>
      <sheetData sheetId="6310" refreshError="1"/>
      <sheetData sheetId="6311" refreshError="1"/>
      <sheetData sheetId="6312" refreshError="1"/>
      <sheetData sheetId="6313" refreshError="1"/>
      <sheetData sheetId="6314" refreshError="1"/>
      <sheetData sheetId="6315" refreshError="1"/>
      <sheetData sheetId="6316" refreshError="1"/>
      <sheetData sheetId="6317" refreshError="1"/>
      <sheetData sheetId="6318" refreshError="1"/>
      <sheetData sheetId="6319" refreshError="1"/>
      <sheetData sheetId="6320" refreshError="1"/>
      <sheetData sheetId="6321" refreshError="1"/>
      <sheetData sheetId="6322" refreshError="1"/>
      <sheetData sheetId="6323" refreshError="1"/>
      <sheetData sheetId="6324" refreshError="1"/>
      <sheetData sheetId="6325" refreshError="1"/>
      <sheetData sheetId="6326" refreshError="1"/>
      <sheetData sheetId="6327" refreshError="1"/>
      <sheetData sheetId="6328" refreshError="1"/>
      <sheetData sheetId="6329" refreshError="1"/>
      <sheetData sheetId="6330" refreshError="1"/>
      <sheetData sheetId="6331" refreshError="1"/>
      <sheetData sheetId="6332" refreshError="1"/>
      <sheetData sheetId="6333" refreshError="1"/>
      <sheetData sheetId="6334" refreshError="1"/>
      <sheetData sheetId="6335" refreshError="1"/>
      <sheetData sheetId="6336" refreshError="1"/>
      <sheetData sheetId="6337" refreshError="1"/>
      <sheetData sheetId="6338" refreshError="1"/>
      <sheetData sheetId="6339" refreshError="1"/>
      <sheetData sheetId="6340" refreshError="1"/>
      <sheetData sheetId="6341" refreshError="1"/>
      <sheetData sheetId="6342" refreshError="1"/>
      <sheetData sheetId="6343" refreshError="1"/>
      <sheetData sheetId="6344" refreshError="1"/>
      <sheetData sheetId="6345" refreshError="1"/>
      <sheetData sheetId="6346" refreshError="1"/>
      <sheetData sheetId="6347" refreshError="1"/>
      <sheetData sheetId="6348" refreshError="1"/>
      <sheetData sheetId="6349" refreshError="1"/>
      <sheetData sheetId="6350" refreshError="1"/>
      <sheetData sheetId="6351" refreshError="1"/>
      <sheetData sheetId="6352" refreshError="1"/>
      <sheetData sheetId="6353" refreshError="1"/>
      <sheetData sheetId="6354" refreshError="1"/>
      <sheetData sheetId="6355" refreshError="1"/>
      <sheetData sheetId="6356" refreshError="1"/>
      <sheetData sheetId="6357" refreshError="1"/>
      <sheetData sheetId="6358" refreshError="1"/>
      <sheetData sheetId="6359" refreshError="1"/>
      <sheetData sheetId="6360" refreshError="1"/>
      <sheetData sheetId="6361" refreshError="1"/>
      <sheetData sheetId="6362" refreshError="1"/>
      <sheetData sheetId="6363" refreshError="1"/>
      <sheetData sheetId="6364" refreshError="1"/>
      <sheetData sheetId="6365" refreshError="1"/>
      <sheetData sheetId="6366" refreshError="1"/>
      <sheetData sheetId="6367" refreshError="1"/>
      <sheetData sheetId="6368" refreshError="1"/>
      <sheetData sheetId="6369" refreshError="1"/>
      <sheetData sheetId="6370" refreshError="1"/>
      <sheetData sheetId="6371" refreshError="1"/>
      <sheetData sheetId="6372" refreshError="1"/>
      <sheetData sheetId="6373" refreshError="1"/>
      <sheetData sheetId="6374" refreshError="1"/>
      <sheetData sheetId="6375" refreshError="1"/>
      <sheetData sheetId="6376" refreshError="1"/>
      <sheetData sheetId="6377" refreshError="1"/>
      <sheetData sheetId="6378" refreshError="1"/>
      <sheetData sheetId="6379" refreshError="1"/>
      <sheetData sheetId="6380" refreshError="1"/>
      <sheetData sheetId="6381" refreshError="1"/>
      <sheetData sheetId="6382" refreshError="1"/>
      <sheetData sheetId="6383" refreshError="1"/>
      <sheetData sheetId="6384" refreshError="1"/>
      <sheetData sheetId="6385" refreshError="1"/>
      <sheetData sheetId="6386" refreshError="1"/>
      <sheetData sheetId="6387" refreshError="1"/>
      <sheetData sheetId="6388" refreshError="1"/>
      <sheetData sheetId="6389" refreshError="1"/>
      <sheetData sheetId="6390" refreshError="1"/>
      <sheetData sheetId="6391" refreshError="1"/>
      <sheetData sheetId="6392" refreshError="1"/>
      <sheetData sheetId="6393" refreshError="1"/>
      <sheetData sheetId="6394" refreshError="1"/>
      <sheetData sheetId="6395" refreshError="1"/>
      <sheetData sheetId="6396" refreshError="1"/>
      <sheetData sheetId="6397" refreshError="1"/>
      <sheetData sheetId="6398" refreshError="1"/>
      <sheetData sheetId="6399" refreshError="1"/>
      <sheetData sheetId="6400" refreshError="1"/>
      <sheetData sheetId="6401" refreshError="1"/>
      <sheetData sheetId="6402" refreshError="1"/>
      <sheetData sheetId="6403" refreshError="1"/>
      <sheetData sheetId="6404" refreshError="1"/>
      <sheetData sheetId="6405" refreshError="1"/>
      <sheetData sheetId="6406" refreshError="1"/>
      <sheetData sheetId="6407" refreshError="1"/>
      <sheetData sheetId="6408" refreshError="1"/>
      <sheetData sheetId="6409" refreshError="1"/>
      <sheetData sheetId="6410" refreshError="1"/>
      <sheetData sheetId="6411" refreshError="1"/>
      <sheetData sheetId="6412" refreshError="1"/>
      <sheetData sheetId="6413" refreshError="1"/>
      <sheetData sheetId="6414" refreshError="1"/>
      <sheetData sheetId="6415" refreshError="1"/>
      <sheetData sheetId="6416" refreshError="1"/>
      <sheetData sheetId="6417" refreshError="1"/>
      <sheetData sheetId="6418" refreshError="1"/>
      <sheetData sheetId="6419" refreshError="1"/>
      <sheetData sheetId="6420" refreshError="1"/>
      <sheetData sheetId="6421" refreshError="1"/>
      <sheetData sheetId="6422" refreshError="1"/>
      <sheetData sheetId="6423" refreshError="1"/>
      <sheetData sheetId="6424" refreshError="1"/>
      <sheetData sheetId="6425" refreshError="1"/>
      <sheetData sheetId="6426" refreshError="1"/>
      <sheetData sheetId="6427" refreshError="1"/>
      <sheetData sheetId="6428" refreshError="1"/>
      <sheetData sheetId="6429" refreshError="1"/>
      <sheetData sheetId="6430" refreshError="1"/>
      <sheetData sheetId="6431" refreshError="1"/>
      <sheetData sheetId="6432" refreshError="1"/>
      <sheetData sheetId="6433" refreshError="1"/>
      <sheetData sheetId="6434" refreshError="1"/>
      <sheetData sheetId="6435" refreshError="1"/>
      <sheetData sheetId="6436" refreshError="1"/>
      <sheetData sheetId="6437" refreshError="1"/>
      <sheetData sheetId="6438" refreshError="1"/>
      <sheetData sheetId="6439" refreshError="1"/>
      <sheetData sheetId="6440" refreshError="1"/>
      <sheetData sheetId="6441" refreshError="1"/>
      <sheetData sheetId="6442" refreshError="1"/>
      <sheetData sheetId="6443" refreshError="1"/>
      <sheetData sheetId="6444" refreshError="1"/>
      <sheetData sheetId="6445" refreshError="1"/>
      <sheetData sheetId="6446" refreshError="1"/>
      <sheetData sheetId="6447" refreshError="1"/>
      <sheetData sheetId="6448" refreshError="1"/>
      <sheetData sheetId="6449" refreshError="1"/>
      <sheetData sheetId="6450" refreshError="1"/>
      <sheetData sheetId="6451" refreshError="1"/>
      <sheetData sheetId="6452" refreshError="1"/>
      <sheetData sheetId="6453" refreshError="1"/>
      <sheetData sheetId="6454" refreshError="1"/>
      <sheetData sheetId="6455" refreshError="1"/>
      <sheetData sheetId="6456" refreshError="1"/>
      <sheetData sheetId="6457" refreshError="1"/>
      <sheetData sheetId="6458" refreshError="1"/>
      <sheetData sheetId="6459" refreshError="1"/>
      <sheetData sheetId="6460" refreshError="1"/>
      <sheetData sheetId="6461" refreshError="1"/>
      <sheetData sheetId="6462" refreshError="1"/>
      <sheetData sheetId="6463" refreshError="1"/>
      <sheetData sheetId="6464" refreshError="1"/>
      <sheetData sheetId="6465" refreshError="1"/>
      <sheetData sheetId="6466" refreshError="1"/>
      <sheetData sheetId="6467" refreshError="1"/>
      <sheetData sheetId="6468" refreshError="1"/>
      <sheetData sheetId="6469" refreshError="1"/>
      <sheetData sheetId="6470" refreshError="1"/>
      <sheetData sheetId="6471" refreshError="1"/>
      <sheetData sheetId="6472" refreshError="1"/>
      <sheetData sheetId="6473" refreshError="1"/>
      <sheetData sheetId="6474" refreshError="1"/>
      <sheetData sheetId="6475" refreshError="1"/>
      <sheetData sheetId="6476" refreshError="1"/>
      <sheetData sheetId="6477" refreshError="1"/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 refreshError="1"/>
      <sheetData sheetId="6613" refreshError="1"/>
      <sheetData sheetId="6614" refreshError="1"/>
      <sheetData sheetId="6615" refreshError="1"/>
      <sheetData sheetId="6616" refreshError="1"/>
      <sheetData sheetId="6617" refreshError="1"/>
      <sheetData sheetId="6618" refreshError="1"/>
      <sheetData sheetId="6619" refreshError="1"/>
      <sheetData sheetId="6620" refreshError="1"/>
      <sheetData sheetId="6621" refreshError="1"/>
      <sheetData sheetId="6622" refreshError="1"/>
      <sheetData sheetId="6623" refreshError="1"/>
      <sheetData sheetId="6624" refreshError="1"/>
      <sheetData sheetId="6625" refreshError="1"/>
      <sheetData sheetId="6626" refreshError="1"/>
      <sheetData sheetId="6627" refreshError="1"/>
      <sheetData sheetId="6628" refreshError="1"/>
      <sheetData sheetId="6629" refreshError="1"/>
      <sheetData sheetId="6630" refreshError="1"/>
      <sheetData sheetId="6631" refreshError="1"/>
      <sheetData sheetId="6632" refreshError="1"/>
      <sheetData sheetId="6633" refreshError="1"/>
      <sheetData sheetId="6634" refreshError="1"/>
      <sheetData sheetId="6635" refreshError="1"/>
      <sheetData sheetId="6636" refreshError="1"/>
      <sheetData sheetId="6637" refreshError="1"/>
      <sheetData sheetId="6638" refreshError="1"/>
      <sheetData sheetId="6639" refreshError="1"/>
      <sheetData sheetId="6640" refreshError="1"/>
      <sheetData sheetId="6641" refreshError="1"/>
      <sheetData sheetId="6642" refreshError="1"/>
      <sheetData sheetId="6643" refreshError="1"/>
      <sheetData sheetId="6644" refreshError="1"/>
      <sheetData sheetId="6645" refreshError="1"/>
      <sheetData sheetId="6646" refreshError="1"/>
      <sheetData sheetId="6647" refreshError="1"/>
      <sheetData sheetId="6648" refreshError="1"/>
      <sheetData sheetId="6649" refreshError="1"/>
      <sheetData sheetId="6650" refreshError="1"/>
      <sheetData sheetId="6651" refreshError="1"/>
      <sheetData sheetId="6652" refreshError="1"/>
      <sheetData sheetId="6653" refreshError="1"/>
      <sheetData sheetId="6654" refreshError="1"/>
      <sheetData sheetId="6655" refreshError="1"/>
      <sheetData sheetId="6656" refreshError="1"/>
      <sheetData sheetId="6657" refreshError="1"/>
      <sheetData sheetId="6658" refreshError="1"/>
      <sheetData sheetId="6659" refreshError="1"/>
      <sheetData sheetId="6660" refreshError="1"/>
      <sheetData sheetId="6661" refreshError="1"/>
      <sheetData sheetId="6662" refreshError="1"/>
      <sheetData sheetId="6663" refreshError="1"/>
      <sheetData sheetId="6664" refreshError="1"/>
      <sheetData sheetId="6665" refreshError="1"/>
      <sheetData sheetId="6666" refreshError="1"/>
      <sheetData sheetId="6667" refreshError="1"/>
      <sheetData sheetId="6668" refreshError="1"/>
      <sheetData sheetId="6669" refreshError="1"/>
      <sheetData sheetId="6670" refreshError="1"/>
      <sheetData sheetId="6671" refreshError="1"/>
      <sheetData sheetId="6672" refreshError="1"/>
      <sheetData sheetId="6673" refreshError="1"/>
      <sheetData sheetId="6674" refreshError="1"/>
      <sheetData sheetId="6675" refreshError="1"/>
      <sheetData sheetId="6676" refreshError="1"/>
      <sheetData sheetId="6677" refreshError="1"/>
      <sheetData sheetId="6678" refreshError="1"/>
      <sheetData sheetId="6679" refreshError="1"/>
      <sheetData sheetId="6680" refreshError="1"/>
      <sheetData sheetId="6681" refreshError="1"/>
      <sheetData sheetId="6682" refreshError="1"/>
      <sheetData sheetId="6683" refreshError="1"/>
      <sheetData sheetId="6684" refreshError="1"/>
      <sheetData sheetId="6685" refreshError="1"/>
      <sheetData sheetId="6686" refreshError="1"/>
      <sheetData sheetId="6687" refreshError="1"/>
      <sheetData sheetId="6688" refreshError="1"/>
      <sheetData sheetId="6689" refreshError="1"/>
      <sheetData sheetId="6690" refreshError="1"/>
      <sheetData sheetId="6691" refreshError="1"/>
      <sheetData sheetId="6692" refreshError="1"/>
      <sheetData sheetId="6693" refreshError="1"/>
      <sheetData sheetId="6694" refreshError="1"/>
      <sheetData sheetId="6695" refreshError="1"/>
      <sheetData sheetId="6696" refreshError="1"/>
      <sheetData sheetId="6697" refreshError="1"/>
      <sheetData sheetId="6698" refreshError="1"/>
      <sheetData sheetId="6699" refreshError="1"/>
      <sheetData sheetId="6700" refreshError="1"/>
      <sheetData sheetId="6701" refreshError="1"/>
      <sheetData sheetId="6702" refreshError="1"/>
      <sheetData sheetId="6703" refreshError="1"/>
      <sheetData sheetId="6704" refreshError="1"/>
      <sheetData sheetId="6705" refreshError="1"/>
      <sheetData sheetId="6706" refreshError="1"/>
      <sheetData sheetId="6707" refreshError="1"/>
      <sheetData sheetId="6708" refreshError="1"/>
      <sheetData sheetId="6709" refreshError="1"/>
      <sheetData sheetId="6710" refreshError="1"/>
      <sheetData sheetId="6711" refreshError="1"/>
      <sheetData sheetId="6712" refreshError="1"/>
      <sheetData sheetId="6713" refreshError="1"/>
      <sheetData sheetId="6714" refreshError="1"/>
      <sheetData sheetId="6715" refreshError="1"/>
      <sheetData sheetId="6716" refreshError="1"/>
      <sheetData sheetId="6717" refreshError="1"/>
      <sheetData sheetId="6718" refreshError="1"/>
      <sheetData sheetId="6719" refreshError="1"/>
      <sheetData sheetId="6720" refreshError="1"/>
      <sheetData sheetId="6721" refreshError="1"/>
      <sheetData sheetId="6722" refreshError="1"/>
      <sheetData sheetId="6723" refreshError="1"/>
      <sheetData sheetId="6724" refreshError="1"/>
      <sheetData sheetId="6725" refreshError="1"/>
      <sheetData sheetId="6726" refreshError="1"/>
      <sheetData sheetId="6727" refreshError="1"/>
      <sheetData sheetId="6728" refreshError="1"/>
      <sheetData sheetId="6729" refreshError="1"/>
      <sheetData sheetId="6730" refreshError="1"/>
      <sheetData sheetId="6731" refreshError="1"/>
      <sheetData sheetId="6732" refreshError="1"/>
      <sheetData sheetId="6733" refreshError="1"/>
      <sheetData sheetId="6734" refreshError="1"/>
      <sheetData sheetId="6735" refreshError="1"/>
      <sheetData sheetId="6736" refreshError="1"/>
      <sheetData sheetId="6737" refreshError="1"/>
      <sheetData sheetId="6738" refreshError="1"/>
      <sheetData sheetId="6739" refreshError="1"/>
      <sheetData sheetId="6740" refreshError="1"/>
      <sheetData sheetId="6741" refreshError="1"/>
      <sheetData sheetId="6742" refreshError="1"/>
      <sheetData sheetId="6743" refreshError="1"/>
      <sheetData sheetId="6744" refreshError="1"/>
      <sheetData sheetId="6745" refreshError="1"/>
      <sheetData sheetId="6746" refreshError="1"/>
      <sheetData sheetId="6747" refreshError="1"/>
      <sheetData sheetId="6748" refreshError="1"/>
      <sheetData sheetId="6749" refreshError="1"/>
      <sheetData sheetId="6750" refreshError="1"/>
      <sheetData sheetId="6751" refreshError="1"/>
      <sheetData sheetId="6752" refreshError="1"/>
      <sheetData sheetId="6753" refreshError="1"/>
      <sheetData sheetId="6754" refreshError="1"/>
      <sheetData sheetId="6755" refreshError="1"/>
      <sheetData sheetId="6756" refreshError="1"/>
      <sheetData sheetId="6757" refreshError="1"/>
      <sheetData sheetId="6758" refreshError="1"/>
      <sheetData sheetId="6759" refreshError="1"/>
      <sheetData sheetId="6760" refreshError="1"/>
      <sheetData sheetId="6761" refreshError="1"/>
      <sheetData sheetId="6762" refreshError="1"/>
      <sheetData sheetId="6763" refreshError="1"/>
      <sheetData sheetId="6764" refreshError="1"/>
      <sheetData sheetId="6765" refreshError="1"/>
      <sheetData sheetId="6766" refreshError="1"/>
      <sheetData sheetId="6767" refreshError="1"/>
      <sheetData sheetId="6768" refreshError="1"/>
      <sheetData sheetId="6769" refreshError="1"/>
      <sheetData sheetId="6770" refreshError="1"/>
      <sheetData sheetId="6771" refreshError="1"/>
      <sheetData sheetId="6772" refreshError="1"/>
      <sheetData sheetId="6773" refreshError="1"/>
      <sheetData sheetId="6774" refreshError="1"/>
      <sheetData sheetId="6775" refreshError="1"/>
      <sheetData sheetId="6776" refreshError="1"/>
      <sheetData sheetId="6777" refreshError="1"/>
      <sheetData sheetId="6778" refreshError="1"/>
      <sheetData sheetId="6779" refreshError="1"/>
      <sheetData sheetId="6780" refreshError="1"/>
      <sheetData sheetId="6781" refreshError="1"/>
      <sheetData sheetId="6782" refreshError="1"/>
      <sheetData sheetId="6783" refreshError="1"/>
      <sheetData sheetId="6784" refreshError="1"/>
      <sheetData sheetId="6785" refreshError="1"/>
      <sheetData sheetId="6786" refreshError="1"/>
      <sheetData sheetId="6787" refreshError="1"/>
      <sheetData sheetId="6788" refreshError="1"/>
      <sheetData sheetId="6789" refreshError="1"/>
      <sheetData sheetId="6790" refreshError="1"/>
      <sheetData sheetId="6791" refreshError="1"/>
      <sheetData sheetId="6792" refreshError="1"/>
      <sheetData sheetId="6793" refreshError="1"/>
      <sheetData sheetId="6794" refreshError="1"/>
      <sheetData sheetId="6795" refreshError="1"/>
      <sheetData sheetId="6796" refreshError="1"/>
      <sheetData sheetId="6797" refreshError="1"/>
      <sheetData sheetId="6798" refreshError="1"/>
      <sheetData sheetId="6799" refreshError="1"/>
      <sheetData sheetId="6800" refreshError="1"/>
      <sheetData sheetId="6801" refreshError="1"/>
      <sheetData sheetId="6802" refreshError="1"/>
      <sheetData sheetId="6803" refreshError="1"/>
      <sheetData sheetId="6804" refreshError="1"/>
      <sheetData sheetId="6805" refreshError="1"/>
      <sheetData sheetId="6806" refreshError="1"/>
      <sheetData sheetId="6807" refreshError="1"/>
      <sheetData sheetId="6808" refreshError="1"/>
      <sheetData sheetId="6809" refreshError="1"/>
      <sheetData sheetId="6810" refreshError="1"/>
      <sheetData sheetId="6811" refreshError="1"/>
      <sheetData sheetId="6812" refreshError="1"/>
      <sheetData sheetId="6813" refreshError="1"/>
      <sheetData sheetId="6814" refreshError="1"/>
      <sheetData sheetId="6815" refreshError="1"/>
      <sheetData sheetId="6816" refreshError="1"/>
      <sheetData sheetId="6817" refreshError="1"/>
      <sheetData sheetId="6818" refreshError="1"/>
      <sheetData sheetId="6819" refreshError="1"/>
      <sheetData sheetId="6820" refreshError="1"/>
      <sheetData sheetId="6821" refreshError="1"/>
      <sheetData sheetId="6822" refreshError="1"/>
      <sheetData sheetId="6823" refreshError="1"/>
      <sheetData sheetId="6824" refreshError="1"/>
      <sheetData sheetId="6825" refreshError="1"/>
      <sheetData sheetId="6826" refreshError="1"/>
      <sheetData sheetId="6827" refreshError="1"/>
      <sheetData sheetId="6828" refreshError="1"/>
      <sheetData sheetId="6829" refreshError="1"/>
      <sheetData sheetId="6830" refreshError="1"/>
      <sheetData sheetId="6831" refreshError="1"/>
      <sheetData sheetId="6832" refreshError="1"/>
      <sheetData sheetId="6833" refreshError="1"/>
      <sheetData sheetId="6834" refreshError="1"/>
      <sheetData sheetId="6835" refreshError="1"/>
      <sheetData sheetId="6836" refreshError="1"/>
      <sheetData sheetId="6837" refreshError="1"/>
      <sheetData sheetId="6838" refreshError="1"/>
      <sheetData sheetId="6839" refreshError="1"/>
      <sheetData sheetId="6840" refreshError="1"/>
      <sheetData sheetId="6841" refreshError="1"/>
      <sheetData sheetId="6842" refreshError="1"/>
      <sheetData sheetId="6843" refreshError="1"/>
      <sheetData sheetId="6844" refreshError="1"/>
      <sheetData sheetId="6845" refreshError="1"/>
      <sheetData sheetId="6846" refreshError="1"/>
      <sheetData sheetId="6847" refreshError="1"/>
      <sheetData sheetId="6848" refreshError="1"/>
      <sheetData sheetId="6849" refreshError="1"/>
      <sheetData sheetId="6850" refreshError="1"/>
      <sheetData sheetId="6851" refreshError="1"/>
      <sheetData sheetId="6852" refreshError="1"/>
      <sheetData sheetId="6853" refreshError="1"/>
      <sheetData sheetId="6854" refreshError="1"/>
      <sheetData sheetId="6855" refreshError="1"/>
      <sheetData sheetId="6856" refreshError="1"/>
      <sheetData sheetId="6857" refreshError="1"/>
      <sheetData sheetId="6858" refreshError="1"/>
      <sheetData sheetId="6859" refreshError="1"/>
      <sheetData sheetId="6860" refreshError="1"/>
      <sheetData sheetId="6861" refreshError="1"/>
      <sheetData sheetId="6862" refreshError="1"/>
      <sheetData sheetId="6863" refreshError="1"/>
      <sheetData sheetId="6864" refreshError="1"/>
      <sheetData sheetId="6865" refreshError="1"/>
      <sheetData sheetId="6866" refreshError="1"/>
      <sheetData sheetId="6867" refreshError="1"/>
      <sheetData sheetId="6868" refreshError="1"/>
      <sheetData sheetId="6869" refreshError="1"/>
      <sheetData sheetId="6870" refreshError="1"/>
      <sheetData sheetId="6871" refreshError="1"/>
      <sheetData sheetId="6872" refreshError="1"/>
      <sheetData sheetId="6873" refreshError="1"/>
      <sheetData sheetId="6874" refreshError="1"/>
      <sheetData sheetId="6875" refreshError="1"/>
      <sheetData sheetId="6876" refreshError="1"/>
      <sheetData sheetId="6877" refreshError="1"/>
      <sheetData sheetId="6878" refreshError="1"/>
      <sheetData sheetId="6879" refreshError="1"/>
      <sheetData sheetId="6880" refreshError="1"/>
      <sheetData sheetId="6881" refreshError="1"/>
      <sheetData sheetId="6882" refreshError="1"/>
      <sheetData sheetId="6883" refreshError="1"/>
      <sheetData sheetId="6884" refreshError="1"/>
      <sheetData sheetId="6885" refreshError="1"/>
      <sheetData sheetId="6886" refreshError="1"/>
      <sheetData sheetId="6887" refreshError="1"/>
      <sheetData sheetId="6888" refreshError="1"/>
      <sheetData sheetId="6889" refreshError="1"/>
      <sheetData sheetId="6890" refreshError="1"/>
      <sheetData sheetId="6891" refreshError="1"/>
      <sheetData sheetId="6892" refreshError="1"/>
      <sheetData sheetId="6893" refreshError="1"/>
      <sheetData sheetId="6894" refreshError="1"/>
      <sheetData sheetId="6895" refreshError="1"/>
      <sheetData sheetId="6896" refreshError="1"/>
      <sheetData sheetId="6897" refreshError="1"/>
      <sheetData sheetId="6898" refreshError="1"/>
      <sheetData sheetId="6899" refreshError="1"/>
      <sheetData sheetId="6900" refreshError="1"/>
      <sheetData sheetId="6901" refreshError="1"/>
      <sheetData sheetId="6902" refreshError="1"/>
      <sheetData sheetId="6903" refreshError="1"/>
      <sheetData sheetId="6904" refreshError="1"/>
      <sheetData sheetId="6905" refreshError="1"/>
      <sheetData sheetId="6906" refreshError="1"/>
      <sheetData sheetId="6907" refreshError="1"/>
      <sheetData sheetId="6908" refreshError="1"/>
      <sheetData sheetId="6909" refreshError="1"/>
      <sheetData sheetId="6910" refreshError="1"/>
      <sheetData sheetId="6911" refreshError="1"/>
      <sheetData sheetId="6912" refreshError="1"/>
      <sheetData sheetId="6913" refreshError="1"/>
      <sheetData sheetId="6914" refreshError="1"/>
      <sheetData sheetId="6915" refreshError="1"/>
      <sheetData sheetId="6916" refreshError="1"/>
      <sheetData sheetId="6917" refreshError="1"/>
      <sheetData sheetId="6918" refreshError="1"/>
      <sheetData sheetId="6919" refreshError="1"/>
      <sheetData sheetId="6920" refreshError="1"/>
      <sheetData sheetId="6921" refreshError="1"/>
      <sheetData sheetId="6922" refreshError="1"/>
      <sheetData sheetId="6923" refreshError="1"/>
      <sheetData sheetId="6924" refreshError="1"/>
      <sheetData sheetId="6925" refreshError="1"/>
      <sheetData sheetId="6926" refreshError="1"/>
      <sheetData sheetId="6927" refreshError="1"/>
      <sheetData sheetId="6928" refreshError="1"/>
      <sheetData sheetId="6929" refreshError="1"/>
      <sheetData sheetId="6930" refreshError="1"/>
      <sheetData sheetId="6931" refreshError="1"/>
      <sheetData sheetId="6932" refreshError="1"/>
      <sheetData sheetId="6933" refreshError="1"/>
      <sheetData sheetId="6934" refreshError="1"/>
      <sheetData sheetId="6935" refreshError="1"/>
      <sheetData sheetId="6936" refreshError="1"/>
      <sheetData sheetId="6937" refreshError="1"/>
      <sheetData sheetId="6938" refreshError="1"/>
      <sheetData sheetId="6939" refreshError="1"/>
      <sheetData sheetId="6940" refreshError="1"/>
      <sheetData sheetId="6941" refreshError="1"/>
      <sheetData sheetId="6942" refreshError="1"/>
      <sheetData sheetId="6943" refreshError="1"/>
      <sheetData sheetId="6944" refreshError="1"/>
      <sheetData sheetId="6945" refreshError="1"/>
      <sheetData sheetId="6946" refreshError="1"/>
      <sheetData sheetId="6947" refreshError="1"/>
      <sheetData sheetId="6948" refreshError="1"/>
      <sheetData sheetId="6949" refreshError="1"/>
      <sheetData sheetId="6950" refreshError="1"/>
      <sheetData sheetId="6951" refreshError="1"/>
      <sheetData sheetId="6952" refreshError="1"/>
      <sheetData sheetId="6953" refreshError="1"/>
      <sheetData sheetId="6954" refreshError="1"/>
      <sheetData sheetId="6955" refreshError="1"/>
      <sheetData sheetId="6956" refreshError="1"/>
      <sheetData sheetId="6957" refreshError="1"/>
      <sheetData sheetId="6958" refreshError="1"/>
      <sheetData sheetId="6959" refreshError="1"/>
      <sheetData sheetId="6960" refreshError="1"/>
      <sheetData sheetId="6961" refreshError="1"/>
      <sheetData sheetId="6962" refreshError="1"/>
      <sheetData sheetId="6963" refreshError="1"/>
      <sheetData sheetId="6964" refreshError="1"/>
      <sheetData sheetId="6965" refreshError="1"/>
      <sheetData sheetId="6966" refreshError="1"/>
      <sheetData sheetId="6967" refreshError="1"/>
      <sheetData sheetId="6968" refreshError="1"/>
      <sheetData sheetId="6969" refreshError="1"/>
      <sheetData sheetId="6970" refreshError="1"/>
      <sheetData sheetId="6971" refreshError="1"/>
      <sheetData sheetId="6972" refreshError="1"/>
      <sheetData sheetId="6973" refreshError="1"/>
      <sheetData sheetId="6974" refreshError="1"/>
      <sheetData sheetId="6975" refreshError="1"/>
      <sheetData sheetId="6976" refreshError="1"/>
      <sheetData sheetId="6977" refreshError="1"/>
      <sheetData sheetId="6978" refreshError="1"/>
      <sheetData sheetId="6979" refreshError="1"/>
      <sheetData sheetId="6980" refreshError="1"/>
      <sheetData sheetId="6981" refreshError="1"/>
      <sheetData sheetId="6982" refreshError="1"/>
      <sheetData sheetId="6983" refreshError="1"/>
      <sheetData sheetId="6984" refreshError="1"/>
      <sheetData sheetId="6985" refreshError="1"/>
      <sheetData sheetId="6986" refreshError="1"/>
      <sheetData sheetId="6987" refreshError="1"/>
      <sheetData sheetId="6988" refreshError="1"/>
      <sheetData sheetId="6989" refreshError="1"/>
      <sheetData sheetId="6990" refreshError="1"/>
      <sheetData sheetId="6991" refreshError="1"/>
      <sheetData sheetId="6992" refreshError="1"/>
      <sheetData sheetId="6993" refreshError="1"/>
      <sheetData sheetId="6994" refreshError="1"/>
      <sheetData sheetId="6995" refreshError="1"/>
      <sheetData sheetId="6996" refreshError="1"/>
      <sheetData sheetId="6997" refreshError="1"/>
      <sheetData sheetId="6998" refreshError="1"/>
      <sheetData sheetId="6999" refreshError="1"/>
      <sheetData sheetId="7000" refreshError="1"/>
      <sheetData sheetId="7001" refreshError="1"/>
      <sheetData sheetId="7002" refreshError="1"/>
      <sheetData sheetId="7003" refreshError="1"/>
      <sheetData sheetId="7004" refreshError="1"/>
      <sheetData sheetId="7005" refreshError="1"/>
      <sheetData sheetId="7006" refreshError="1"/>
      <sheetData sheetId="7007" refreshError="1"/>
      <sheetData sheetId="7008" refreshError="1"/>
      <sheetData sheetId="7009" refreshError="1"/>
      <sheetData sheetId="7010" refreshError="1"/>
      <sheetData sheetId="7011" refreshError="1"/>
      <sheetData sheetId="7012" refreshError="1"/>
      <sheetData sheetId="7013" refreshError="1"/>
      <sheetData sheetId="7014" refreshError="1"/>
      <sheetData sheetId="7015" refreshError="1"/>
      <sheetData sheetId="7016" refreshError="1"/>
      <sheetData sheetId="7017" refreshError="1"/>
      <sheetData sheetId="7018" refreshError="1"/>
      <sheetData sheetId="7019" refreshError="1"/>
      <sheetData sheetId="7020" refreshError="1"/>
      <sheetData sheetId="7021" refreshError="1"/>
      <sheetData sheetId="7022" refreshError="1"/>
      <sheetData sheetId="7023" refreshError="1"/>
      <sheetData sheetId="7024" refreshError="1"/>
      <sheetData sheetId="7025" refreshError="1"/>
      <sheetData sheetId="7026" refreshError="1"/>
      <sheetData sheetId="7027" refreshError="1"/>
      <sheetData sheetId="7028" refreshError="1"/>
      <sheetData sheetId="7029" refreshError="1"/>
      <sheetData sheetId="7030" refreshError="1"/>
      <sheetData sheetId="7031" refreshError="1"/>
      <sheetData sheetId="7032" refreshError="1"/>
      <sheetData sheetId="7033" refreshError="1"/>
      <sheetData sheetId="7034" refreshError="1"/>
      <sheetData sheetId="7035" refreshError="1"/>
      <sheetData sheetId="7036" refreshError="1"/>
      <sheetData sheetId="7037" refreshError="1"/>
      <sheetData sheetId="7038" refreshError="1"/>
      <sheetData sheetId="7039" refreshError="1"/>
      <sheetData sheetId="7040" refreshError="1"/>
      <sheetData sheetId="7041" refreshError="1"/>
      <sheetData sheetId="7042" refreshError="1"/>
      <sheetData sheetId="7043" refreshError="1"/>
      <sheetData sheetId="7044" refreshError="1"/>
      <sheetData sheetId="7045" refreshError="1"/>
      <sheetData sheetId="7046" refreshError="1"/>
      <sheetData sheetId="7047" refreshError="1"/>
      <sheetData sheetId="7048" refreshError="1"/>
      <sheetData sheetId="7049" refreshError="1"/>
      <sheetData sheetId="7050" refreshError="1"/>
      <sheetData sheetId="7051" refreshError="1"/>
      <sheetData sheetId="7052" refreshError="1"/>
      <sheetData sheetId="7053" refreshError="1"/>
      <sheetData sheetId="7054" refreshError="1"/>
      <sheetData sheetId="7055" refreshError="1"/>
      <sheetData sheetId="7056" refreshError="1"/>
      <sheetData sheetId="7057" refreshError="1"/>
      <sheetData sheetId="7058" refreshError="1"/>
      <sheetData sheetId="7059" refreshError="1"/>
      <sheetData sheetId="7060" refreshError="1"/>
      <sheetData sheetId="7061" refreshError="1"/>
      <sheetData sheetId="7062" refreshError="1"/>
      <sheetData sheetId="7063" refreshError="1"/>
      <sheetData sheetId="7064" refreshError="1"/>
      <sheetData sheetId="7065" refreshError="1"/>
      <sheetData sheetId="7066" refreshError="1"/>
      <sheetData sheetId="7067" refreshError="1"/>
      <sheetData sheetId="7068" refreshError="1"/>
      <sheetData sheetId="7069" refreshError="1"/>
      <sheetData sheetId="7070" refreshError="1"/>
      <sheetData sheetId="7071" refreshError="1"/>
      <sheetData sheetId="7072" refreshError="1"/>
      <sheetData sheetId="7073" refreshError="1"/>
      <sheetData sheetId="7074" refreshError="1"/>
      <sheetData sheetId="7075" refreshError="1"/>
      <sheetData sheetId="7076" refreshError="1"/>
      <sheetData sheetId="7077" refreshError="1"/>
      <sheetData sheetId="7078" refreshError="1"/>
      <sheetData sheetId="7079" refreshError="1"/>
      <sheetData sheetId="7080" refreshError="1"/>
      <sheetData sheetId="7081" refreshError="1"/>
      <sheetData sheetId="7082" refreshError="1"/>
      <sheetData sheetId="7083" refreshError="1"/>
      <sheetData sheetId="7084" refreshError="1"/>
      <sheetData sheetId="7085" refreshError="1"/>
      <sheetData sheetId="7086" refreshError="1"/>
      <sheetData sheetId="7087" refreshError="1"/>
      <sheetData sheetId="7088" refreshError="1"/>
      <sheetData sheetId="7089" refreshError="1"/>
      <sheetData sheetId="7090" refreshError="1"/>
      <sheetData sheetId="7091" refreshError="1"/>
      <sheetData sheetId="7092" refreshError="1"/>
      <sheetData sheetId="7093" refreshError="1"/>
      <sheetData sheetId="7094" refreshError="1"/>
      <sheetData sheetId="7095" refreshError="1"/>
      <sheetData sheetId="7096" refreshError="1"/>
      <sheetData sheetId="7097" refreshError="1"/>
      <sheetData sheetId="7098" refreshError="1"/>
      <sheetData sheetId="7099" refreshError="1"/>
      <sheetData sheetId="7100" refreshError="1"/>
      <sheetData sheetId="7101" refreshError="1"/>
      <sheetData sheetId="7102" refreshError="1"/>
      <sheetData sheetId="7103" refreshError="1"/>
      <sheetData sheetId="7104" refreshError="1"/>
      <sheetData sheetId="7105" refreshError="1"/>
      <sheetData sheetId="7106" refreshError="1"/>
      <sheetData sheetId="7107" refreshError="1"/>
      <sheetData sheetId="7108" refreshError="1"/>
      <sheetData sheetId="7109" refreshError="1"/>
      <sheetData sheetId="7110" refreshError="1"/>
      <sheetData sheetId="7111" refreshError="1"/>
      <sheetData sheetId="7112" refreshError="1"/>
      <sheetData sheetId="7113" refreshError="1"/>
      <sheetData sheetId="7114" refreshError="1"/>
      <sheetData sheetId="7115" refreshError="1"/>
      <sheetData sheetId="7116" refreshError="1"/>
      <sheetData sheetId="7117" refreshError="1"/>
      <sheetData sheetId="7118" refreshError="1"/>
      <sheetData sheetId="7119" refreshError="1"/>
      <sheetData sheetId="7120" refreshError="1"/>
      <sheetData sheetId="7121" refreshError="1"/>
      <sheetData sheetId="7122" refreshError="1"/>
      <sheetData sheetId="7123" refreshError="1"/>
      <sheetData sheetId="7124" refreshError="1"/>
      <sheetData sheetId="7125" refreshError="1"/>
      <sheetData sheetId="7126" refreshError="1"/>
      <sheetData sheetId="7127" refreshError="1"/>
      <sheetData sheetId="7128" refreshError="1"/>
      <sheetData sheetId="7129" refreshError="1"/>
      <sheetData sheetId="7130" refreshError="1"/>
      <sheetData sheetId="7131" refreshError="1"/>
      <sheetData sheetId="7132" refreshError="1"/>
      <sheetData sheetId="7133" refreshError="1"/>
      <sheetData sheetId="7134" refreshError="1"/>
      <sheetData sheetId="7135" refreshError="1"/>
      <sheetData sheetId="7136" refreshError="1"/>
      <sheetData sheetId="7137" refreshError="1"/>
      <sheetData sheetId="7138" refreshError="1"/>
      <sheetData sheetId="7139" refreshError="1"/>
      <sheetData sheetId="7140" refreshError="1"/>
      <sheetData sheetId="7141" refreshError="1"/>
      <sheetData sheetId="7142" refreshError="1"/>
      <sheetData sheetId="7143" refreshError="1"/>
      <sheetData sheetId="7144" refreshError="1"/>
      <sheetData sheetId="7145" refreshError="1"/>
      <sheetData sheetId="7146" refreshError="1"/>
      <sheetData sheetId="7147" refreshError="1"/>
      <sheetData sheetId="7148" refreshError="1"/>
      <sheetData sheetId="7149" refreshError="1"/>
      <sheetData sheetId="7150" refreshError="1"/>
      <sheetData sheetId="7151" refreshError="1"/>
      <sheetData sheetId="7152" refreshError="1"/>
      <sheetData sheetId="7153" refreshError="1"/>
      <sheetData sheetId="7154" refreshError="1"/>
      <sheetData sheetId="7155" refreshError="1"/>
      <sheetData sheetId="7156" refreshError="1"/>
      <sheetData sheetId="7157" refreshError="1"/>
      <sheetData sheetId="7158" refreshError="1"/>
      <sheetData sheetId="7159" refreshError="1"/>
      <sheetData sheetId="7160" refreshError="1"/>
      <sheetData sheetId="7161" refreshError="1"/>
      <sheetData sheetId="7162" refreshError="1"/>
      <sheetData sheetId="7163" refreshError="1"/>
      <sheetData sheetId="7164" refreshError="1"/>
      <sheetData sheetId="7165" refreshError="1"/>
      <sheetData sheetId="7166" refreshError="1"/>
      <sheetData sheetId="7167" refreshError="1"/>
      <sheetData sheetId="7168" refreshError="1"/>
      <sheetData sheetId="7169" refreshError="1"/>
      <sheetData sheetId="7170" refreshError="1"/>
      <sheetData sheetId="7171" refreshError="1"/>
      <sheetData sheetId="7172" refreshError="1"/>
      <sheetData sheetId="7173" refreshError="1"/>
      <sheetData sheetId="7174" refreshError="1"/>
      <sheetData sheetId="7175" refreshError="1"/>
      <sheetData sheetId="7176" refreshError="1"/>
      <sheetData sheetId="7177" refreshError="1"/>
      <sheetData sheetId="7178" refreshError="1"/>
      <sheetData sheetId="7179" refreshError="1"/>
      <sheetData sheetId="7180" refreshError="1"/>
      <sheetData sheetId="7181" refreshError="1"/>
      <sheetData sheetId="7182" refreshError="1"/>
      <sheetData sheetId="7183" refreshError="1"/>
      <sheetData sheetId="7184" refreshError="1"/>
      <sheetData sheetId="7185" refreshError="1"/>
      <sheetData sheetId="7186" refreshError="1"/>
      <sheetData sheetId="7187" refreshError="1"/>
      <sheetData sheetId="7188" refreshError="1"/>
      <sheetData sheetId="7189" refreshError="1"/>
      <sheetData sheetId="7190" refreshError="1"/>
      <sheetData sheetId="7191" refreshError="1"/>
      <sheetData sheetId="7192" refreshError="1"/>
      <sheetData sheetId="7193" refreshError="1"/>
      <sheetData sheetId="7194" refreshError="1"/>
      <sheetData sheetId="7195" refreshError="1"/>
      <sheetData sheetId="7196" refreshError="1"/>
      <sheetData sheetId="7197" refreshError="1"/>
      <sheetData sheetId="7198" refreshError="1"/>
      <sheetData sheetId="7199" refreshError="1"/>
      <sheetData sheetId="7200" refreshError="1"/>
      <sheetData sheetId="7201" refreshError="1"/>
      <sheetData sheetId="7202" refreshError="1"/>
      <sheetData sheetId="7203" refreshError="1"/>
      <sheetData sheetId="7204" refreshError="1"/>
      <sheetData sheetId="7205" refreshError="1"/>
      <sheetData sheetId="7206" refreshError="1"/>
      <sheetData sheetId="7207" refreshError="1"/>
      <sheetData sheetId="7208" refreshError="1"/>
      <sheetData sheetId="7209" refreshError="1"/>
      <sheetData sheetId="7210" refreshError="1"/>
      <sheetData sheetId="7211" refreshError="1"/>
      <sheetData sheetId="7212" refreshError="1"/>
      <sheetData sheetId="7213" refreshError="1"/>
      <sheetData sheetId="7214" refreshError="1"/>
      <sheetData sheetId="7215" refreshError="1"/>
      <sheetData sheetId="7216" refreshError="1"/>
      <sheetData sheetId="7217" refreshError="1"/>
      <sheetData sheetId="7218" refreshError="1"/>
      <sheetData sheetId="7219" refreshError="1"/>
      <sheetData sheetId="7220" refreshError="1"/>
      <sheetData sheetId="7221" refreshError="1"/>
      <sheetData sheetId="7222" refreshError="1"/>
      <sheetData sheetId="7223" refreshError="1"/>
      <sheetData sheetId="7224" refreshError="1"/>
      <sheetData sheetId="7225" refreshError="1"/>
      <sheetData sheetId="7226" refreshError="1"/>
      <sheetData sheetId="7227" refreshError="1"/>
      <sheetData sheetId="7228" refreshError="1"/>
      <sheetData sheetId="7229" refreshError="1"/>
      <sheetData sheetId="7230" refreshError="1"/>
      <sheetData sheetId="7231" refreshError="1"/>
      <sheetData sheetId="7232" refreshError="1"/>
      <sheetData sheetId="7233" refreshError="1"/>
      <sheetData sheetId="7234" refreshError="1"/>
      <sheetData sheetId="7235" refreshError="1"/>
      <sheetData sheetId="7236" refreshError="1"/>
      <sheetData sheetId="7237" refreshError="1"/>
      <sheetData sheetId="7238" refreshError="1"/>
      <sheetData sheetId="7239" refreshError="1"/>
      <sheetData sheetId="7240" refreshError="1"/>
      <sheetData sheetId="7241" refreshError="1"/>
      <sheetData sheetId="7242" refreshError="1"/>
      <sheetData sheetId="7243" refreshError="1"/>
      <sheetData sheetId="7244" refreshError="1"/>
      <sheetData sheetId="7245" refreshError="1"/>
      <sheetData sheetId="7246" refreshError="1"/>
      <sheetData sheetId="7247" refreshError="1"/>
      <sheetData sheetId="7248" refreshError="1"/>
      <sheetData sheetId="7249" refreshError="1"/>
      <sheetData sheetId="7250" refreshError="1"/>
      <sheetData sheetId="7251" refreshError="1"/>
      <sheetData sheetId="7252" refreshError="1"/>
      <sheetData sheetId="7253" refreshError="1"/>
      <sheetData sheetId="7254" refreshError="1"/>
      <sheetData sheetId="7255" refreshError="1"/>
      <sheetData sheetId="7256" refreshError="1"/>
      <sheetData sheetId="7257" refreshError="1"/>
      <sheetData sheetId="7258" refreshError="1"/>
      <sheetData sheetId="7259" refreshError="1"/>
      <sheetData sheetId="7260" refreshError="1"/>
      <sheetData sheetId="7261" refreshError="1"/>
      <sheetData sheetId="7262" refreshError="1"/>
      <sheetData sheetId="7263" refreshError="1"/>
      <sheetData sheetId="7264" refreshError="1"/>
      <sheetData sheetId="7265" refreshError="1"/>
      <sheetData sheetId="7266" refreshError="1"/>
      <sheetData sheetId="7267" refreshError="1"/>
      <sheetData sheetId="7268" refreshError="1"/>
      <sheetData sheetId="7269" refreshError="1"/>
      <sheetData sheetId="7270" refreshError="1"/>
      <sheetData sheetId="7271" refreshError="1"/>
      <sheetData sheetId="7272" refreshError="1"/>
      <sheetData sheetId="7273" refreshError="1"/>
      <sheetData sheetId="7274" refreshError="1"/>
      <sheetData sheetId="7275" refreshError="1"/>
      <sheetData sheetId="7276" refreshError="1"/>
      <sheetData sheetId="7277" refreshError="1"/>
      <sheetData sheetId="7278" refreshError="1"/>
      <sheetData sheetId="7279" refreshError="1"/>
      <sheetData sheetId="7280" refreshError="1"/>
      <sheetData sheetId="7281" refreshError="1"/>
      <sheetData sheetId="7282" refreshError="1"/>
      <sheetData sheetId="7283" refreshError="1"/>
      <sheetData sheetId="7284" refreshError="1"/>
      <sheetData sheetId="7285" refreshError="1"/>
      <sheetData sheetId="7286" refreshError="1"/>
      <sheetData sheetId="7287" refreshError="1"/>
      <sheetData sheetId="7288" refreshError="1"/>
      <sheetData sheetId="7289" refreshError="1"/>
      <sheetData sheetId="7290" refreshError="1"/>
      <sheetData sheetId="7291" refreshError="1"/>
      <sheetData sheetId="7292" refreshError="1"/>
      <sheetData sheetId="7293" refreshError="1"/>
      <sheetData sheetId="7294" refreshError="1"/>
      <sheetData sheetId="7295" refreshError="1"/>
      <sheetData sheetId="7296" refreshError="1"/>
      <sheetData sheetId="7297" refreshError="1"/>
      <sheetData sheetId="7298" refreshError="1"/>
      <sheetData sheetId="7299" refreshError="1"/>
      <sheetData sheetId="7300" refreshError="1"/>
      <sheetData sheetId="7301" refreshError="1"/>
      <sheetData sheetId="7302" refreshError="1"/>
      <sheetData sheetId="7303" refreshError="1"/>
      <sheetData sheetId="7304" refreshError="1"/>
      <sheetData sheetId="7305" refreshError="1"/>
      <sheetData sheetId="7306" refreshError="1"/>
      <sheetData sheetId="7307" refreshError="1"/>
      <sheetData sheetId="7308" refreshError="1"/>
      <sheetData sheetId="7309" refreshError="1"/>
      <sheetData sheetId="7310" refreshError="1"/>
      <sheetData sheetId="7311" refreshError="1"/>
      <sheetData sheetId="7312" refreshError="1"/>
      <sheetData sheetId="7313" refreshError="1"/>
      <sheetData sheetId="7314" refreshError="1"/>
      <sheetData sheetId="7315" refreshError="1"/>
      <sheetData sheetId="7316" refreshError="1"/>
      <sheetData sheetId="7317" refreshError="1"/>
      <sheetData sheetId="7318" refreshError="1"/>
      <sheetData sheetId="7319" refreshError="1"/>
      <sheetData sheetId="7320" refreshError="1"/>
      <sheetData sheetId="7321" refreshError="1"/>
      <sheetData sheetId="7322" refreshError="1"/>
      <sheetData sheetId="7323" refreshError="1"/>
      <sheetData sheetId="7324" refreshError="1"/>
      <sheetData sheetId="7325" refreshError="1"/>
      <sheetData sheetId="7326" refreshError="1"/>
      <sheetData sheetId="7327" refreshError="1"/>
      <sheetData sheetId="7328" refreshError="1"/>
      <sheetData sheetId="7329" refreshError="1"/>
      <sheetData sheetId="7330" refreshError="1"/>
      <sheetData sheetId="7331" refreshError="1"/>
      <sheetData sheetId="7332" refreshError="1"/>
      <sheetData sheetId="7333" refreshError="1"/>
      <sheetData sheetId="7334" refreshError="1"/>
      <sheetData sheetId="7335" refreshError="1"/>
      <sheetData sheetId="7336" refreshError="1"/>
      <sheetData sheetId="7337" refreshError="1"/>
      <sheetData sheetId="7338" refreshError="1"/>
      <sheetData sheetId="7339" refreshError="1"/>
      <sheetData sheetId="7340" refreshError="1"/>
      <sheetData sheetId="7341" refreshError="1"/>
      <sheetData sheetId="7342" refreshError="1"/>
      <sheetData sheetId="7343" refreshError="1"/>
      <sheetData sheetId="7344" refreshError="1"/>
      <sheetData sheetId="7345" refreshError="1"/>
      <sheetData sheetId="7346" refreshError="1"/>
      <sheetData sheetId="7347" refreshError="1"/>
      <sheetData sheetId="7348" refreshError="1"/>
      <sheetData sheetId="7349" refreshError="1"/>
      <sheetData sheetId="7350" refreshError="1"/>
      <sheetData sheetId="7351" refreshError="1"/>
      <sheetData sheetId="7352" refreshError="1"/>
      <sheetData sheetId="7353" refreshError="1"/>
      <sheetData sheetId="7354" refreshError="1"/>
      <sheetData sheetId="7355" refreshError="1"/>
      <sheetData sheetId="7356" refreshError="1"/>
      <sheetData sheetId="7357" refreshError="1"/>
      <sheetData sheetId="7358" refreshError="1"/>
      <sheetData sheetId="7359" refreshError="1"/>
      <sheetData sheetId="7360" refreshError="1"/>
      <sheetData sheetId="7361" refreshError="1"/>
      <sheetData sheetId="7362" refreshError="1"/>
      <sheetData sheetId="7363" refreshError="1"/>
      <sheetData sheetId="7364" refreshError="1"/>
      <sheetData sheetId="7365" refreshError="1"/>
      <sheetData sheetId="7366" refreshError="1"/>
      <sheetData sheetId="7367" refreshError="1"/>
      <sheetData sheetId="7368" refreshError="1"/>
      <sheetData sheetId="7369" refreshError="1"/>
      <sheetData sheetId="7370" refreshError="1"/>
      <sheetData sheetId="7371" refreshError="1"/>
      <sheetData sheetId="7372" refreshError="1"/>
      <sheetData sheetId="7373" refreshError="1"/>
      <sheetData sheetId="7374" refreshError="1"/>
      <sheetData sheetId="7375" refreshError="1"/>
      <sheetData sheetId="7376" refreshError="1"/>
      <sheetData sheetId="7377" refreshError="1"/>
      <sheetData sheetId="7378" refreshError="1"/>
      <sheetData sheetId="7379" refreshError="1"/>
      <sheetData sheetId="7380" refreshError="1"/>
      <sheetData sheetId="7381" refreshError="1"/>
      <sheetData sheetId="7382" refreshError="1"/>
      <sheetData sheetId="7383" refreshError="1"/>
      <sheetData sheetId="7384" refreshError="1"/>
      <sheetData sheetId="7385" refreshError="1"/>
      <sheetData sheetId="7386" refreshError="1"/>
      <sheetData sheetId="7387" refreshError="1"/>
      <sheetData sheetId="7388" refreshError="1"/>
      <sheetData sheetId="7389" refreshError="1"/>
      <sheetData sheetId="7390" refreshError="1"/>
      <sheetData sheetId="7391" refreshError="1"/>
      <sheetData sheetId="7392" refreshError="1"/>
      <sheetData sheetId="7393" refreshError="1"/>
      <sheetData sheetId="7394" refreshError="1"/>
      <sheetData sheetId="7395" refreshError="1"/>
      <sheetData sheetId="7396" refreshError="1"/>
      <sheetData sheetId="7397" refreshError="1"/>
      <sheetData sheetId="7398" refreshError="1"/>
      <sheetData sheetId="7399" refreshError="1"/>
      <sheetData sheetId="7400" refreshError="1"/>
      <sheetData sheetId="7401" refreshError="1"/>
      <sheetData sheetId="7402" refreshError="1"/>
      <sheetData sheetId="7403" refreshError="1"/>
      <sheetData sheetId="7404" refreshError="1"/>
      <sheetData sheetId="7405" refreshError="1"/>
      <sheetData sheetId="7406" refreshError="1"/>
      <sheetData sheetId="7407" refreshError="1"/>
      <sheetData sheetId="7408" refreshError="1"/>
      <sheetData sheetId="7409" refreshError="1"/>
      <sheetData sheetId="7410" refreshError="1"/>
      <sheetData sheetId="7411" refreshError="1"/>
      <sheetData sheetId="7412" refreshError="1"/>
      <sheetData sheetId="7413" refreshError="1"/>
      <sheetData sheetId="7414" refreshError="1"/>
      <sheetData sheetId="7415" refreshError="1"/>
      <sheetData sheetId="7416" refreshError="1"/>
      <sheetData sheetId="7417" refreshError="1"/>
      <sheetData sheetId="7418" refreshError="1"/>
      <sheetData sheetId="7419" refreshError="1"/>
      <sheetData sheetId="7420" refreshError="1"/>
      <sheetData sheetId="7421" refreshError="1"/>
      <sheetData sheetId="7422" refreshError="1"/>
      <sheetData sheetId="7423" refreshError="1"/>
      <sheetData sheetId="7424" refreshError="1"/>
      <sheetData sheetId="7425" refreshError="1"/>
      <sheetData sheetId="7426" refreshError="1"/>
      <sheetData sheetId="7427" refreshError="1"/>
      <sheetData sheetId="7428" refreshError="1"/>
      <sheetData sheetId="7429" refreshError="1"/>
      <sheetData sheetId="7430" refreshError="1"/>
      <sheetData sheetId="7431" refreshError="1"/>
      <sheetData sheetId="7432" refreshError="1"/>
      <sheetData sheetId="7433" refreshError="1"/>
      <sheetData sheetId="7434" refreshError="1"/>
      <sheetData sheetId="7435" refreshError="1"/>
      <sheetData sheetId="7436" refreshError="1"/>
      <sheetData sheetId="7437" refreshError="1"/>
      <sheetData sheetId="7438" refreshError="1"/>
      <sheetData sheetId="7439" refreshError="1"/>
      <sheetData sheetId="7440" refreshError="1"/>
      <sheetData sheetId="7441" refreshError="1"/>
      <sheetData sheetId="7442" refreshError="1"/>
      <sheetData sheetId="7443" refreshError="1"/>
      <sheetData sheetId="7444" refreshError="1"/>
      <sheetData sheetId="7445" refreshError="1"/>
      <sheetData sheetId="7446" refreshError="1"/>
      <sheetData sheetId="7447" refreshError="1"/>
      <sheetData sheetId="7448" refreshError="1"/>
      <sheetData sheetId="7449" refreshError="1"/>
      <sheetData sheetId="7450" refreshError="1"/>
      <sheetData sheetId="7451" refreshError="1"/>
      <sheetData sheetId="7452" refreshError="1"/>
      <sheetData sheetId="7453" refreshError="1"/>
      <sheetData sheetId="7454" refreshError="1"/>
      <sheetData sheetId="7455" refreshError="1"/>
      <sheetData sheetId="7456" refreshError="1"/>
      <sheetData sheetId="7457" refreshError="1"/>
      <sheetData sheetId="7458" refreshError="1"/>
      <sheetData sheetId="7459" refreshError="1"/>
      <sheetData sheetId="7460" refreshError="1"/>
      <sheetData sheetId="7461" refreshError="1"/>
      <sheetData sheetId="7462" refreshError="1"/>
      <sheetData sheetId="7463" refreshError="1"/>
      <sheetData sheetId="7464" refreshError="1"/>
      <sheetData sheetId="7465" refreshError="1"/>
      <sheetData sheetId="7466" refreshError="1"/>
      <sheetData sheetId="7467" refreshError="1"/>
      <sheetData sheetId="7468" refreshError="1"/>
      <sheetData sheetId="7469" refreshError="1"/>
      <sheetData sheetId="7470" refreshError="1"/>
      <sheetData sheetId="7471" refreshError="1"/>
      <sheetData sheetId="7472" refreshError="1"/>
      <sheetData sheetId="7473" refreshError="1"/>
      <sheetData sheetId="7474" refreshError="1"/>
      <sheetData sheetId="7475" refreshError="1"/>
      <sheetData sheetId="7476" refreshError="1"/>
      <sheetData sheetId="7477" refreshError="1"/>
      <sheetData sheetId="7478" refreshError="1"/>
      <sheetData sheetId="7479" refreshError="1"/>
      <sheetData sheetId="7480" refreshError="1"/>
      <sheetData sheetId="7481" refreshError="1"/>
      <sheetData sheetId="7482" refreshError="1"/>
      <sheetData sheetId="7483" refreshError="1"/>
      <sheetData sheetId="7484" refreshError="1"/>
      <sheetData sheetId="7485" refreshError="1"/>
      <sheetData sheetId="7486" refreshError="1"/>
      <sheetData sheetId="7487" refreshError="1"/>
      <sheetData sheetId="7488" refreshError="1"/>
      <sheetData sheetId="7489" refreshError="1"/>
      <sheetData sheetId="7490" refreshError="1"/>
      <sheetData sheetId="7491" refreshError="1"/>
      <sheetData sheetId="7492" refreshError="1"/>
      <sheetData sheetId="7493" refreshError="1"/>
      <sheetData sheetId="7494" refreshError="1"/>
      <sheetData sheetId="7495" refreshError="1"/>
      <sheetData sheetId="7496" refreshError="1"/>
      <sheetData sheetId="7497" refreshError="1"/>
      <sheetData sheetId="7498" refreshError="1"/>
      <sheetData sheetId="7499" refreshError="1"/>
      <sheetData sheetId="7500" refreshError="1"/>
      <sheetData sheetId="7501" refreshError="1"/>
      <sheetData sheetId="7502" refreshError="1"/>
      <sheetData sheetId="7503" refreshError="1"/>
      <sheetData sheetId="7504" refreshError="1"/>
      <sheetData sheetId="7505" refreshError="1"/>
      <sheetData sheetId="7506" refreshError="1"/>
      <sheetData sheetId="7507" refreshError="1"/>
      <sheetData sheetId="7508" refreshError="1"/>
      <sheetData sheetId="7509" refreshError="1"/>
      <sheetData sheetId="7510" refreshError="1"/>
      <sheetData sheetId="7511" refreshError="1"/>
      <sheetData sheetId="7512" refreshError="1"/>
      <sheetData sheetId="7513" refreshError="1"/>
      <sheetData sheetId="7514" refreshError="1"/>
      <sheetData sheetId="7515" refreshError="1"/>
      <sheetData sheetId="7516" refreshError="1"/>
      <sheetData sheetId="7517" refreshError="1"/>
      <sheetData sheetId="7518" refreshError="1"/>
      <sheetData sheetId="7519" refreshError="1"/>
      <sheetData sheetId="7520" refreshError="1"/>
      <sheetData sheetId="7521" refreshError="1"/>
      <sheetData sheetId="7522" refreshError="1"/>
      <sheetData sheetId="7523" refreshError="1"/>
      <sheetData sheetId="7524" refreshError="1"/>
      <sheetData sheetId="7525" refreshError="1"/>
      <sheetData sheetId="7526" refreshError="1"/>
      <sheetData sheetId="7527" refreshError="1"/>
      <sheetData sheetId="7528" refreshError="1"/>
      <sheetData sheetId="7529" refreshError="1"/>
      <sheetData sheetId="7530" refreshError="1"/>
      <sheetData sheetId="7531" refreshError="1"/>
      <sheetData sheetId="7532" refreshError="1"/>
      <sheetData sheetId="7533" refreshError="1"/>
      <sheetData sheetId="7534" refreshError="1"/>
      <sheetData sheetId="7535" refreshError="1"/>
      <sheetData sheetId="7536" refreshError="1"/>
      <sheetData sheetId="7537" refreshError="1"/>
      <sheetData sheetId="7538" refreshError="1"/>
      <sheetData sheetId="7539" refreshError="1"/>
      <sheetData sheetId="7540" refreshError="1"/>
      <sheetData sheetId="7541" refreshError="1"/>
      <sheetData sheetId="7542" refreshError="1"/>
      <sheetData sheetId="7543" refreshError="1"/>
      <sheetData sheetId="7544" refreshError="1"/>
      <sheetData sheetId="7545" refreshError="1"/>
      <sheetData sheetId="7546" refreshError="1"/>
      <sheetData sheetId="7547" refreshError="1"/>
      <sheetData sheetId="7548" refreshError="1"/>
      <sheetData sheetId="7549" refreshError="1"/>
      <sheetData sheetId="7550" refreshError="1"/>
      <sheetData sheetId="7551" refreshError="1"/>
      <sheetData sheetId="7552" refreshError="1"/>
      <sheetData sheetId="7553" refreshError="1"/>
      <sheetData sheetId="7554" refreshError="1"/>
      <sheetData sheetId="7555" refreshError="1"/>
      <sheetData sheetId="7556" refreshError="1"/>
      <sheetData sheetId="7557" refreshError="1"/>
      <sheetData sheetId="7558" refreshError="1"/>
      <sheetData sheetId="7559" refreshError="1"/>
      <sheetData sheetId="7560" refreshError="1"/>
      <sheetData sheetId="7561" refreshError="1"/>
      <sheetData sheetId="7562" refreshError="1"/>
      <sheetData sheetId="7563" refreshError="1"/>
      <sheetData sheetId="7564" refreshError="1"/>
      <sheetData sheetId="7565" refreshError="1"/>
      <sheetData sheetId="7566" refreshError="1"/>
      <sheetData sheetId="7567" refreshError="1"/>
      <sheetData sheetId="7568" refreshError="1"/>
      <sheetData sheetId="7569" refreshError="1"/>
      <sheetData sheetId="7570" refreshError="1"/>
      <sheetData sheetId="7571" refreshError="1"/>
      <sheetData sheetId="7572" refreshError="1"/>
      <sheetData sheetId="7573" refreshError="1"/>
      <sheetData sheetId="7574" refreshError="1"/>
      <sheetData sheetId="7575" refreshError="1"/>
      <sheetData sheetId="7576" refreshError="1"/>
      <sheetData sheetId="7577" refreshError="1"/>
      <sheetData sheetId="7578" refreshError="1"/>
      <sheetData sheetId="7579" refreshError="1"/>
      <sheetData sheetId="7580" refreshError="1"/>
      <sheetData sheetId="7581" refreshError="1"/>
      <sheetData sheetId="7582" refreshError="1"/>
      <sheetData sheetId="7583" refreshError="1"/>
      <sheetData sheetId="7584" refreshError="1"/>
      <sheetData sheetId="7585" refreshError="1"/>
      <sheetData sheetId="7586" refreshError="1"/>
      <sheetData sheetId="7587" refreshError="1"/>
      <sheetData sheetId="7588" refreshError="1"/>
      <sheetData sheetId="7589" refreshError="1"/>
      <sheetData sheetId="7590" refreshError="1"/>
      <sheetData sheetId="7591" refreshError="1"/>
      <sheetData sheetId="7592" refreshError="1"/>
      <sheetData sheetId="7593" refreshError="1"/>
      <sheetData sheetId="7594" refreshError="1"/>
      <sheetData sheetId="7595" refreshError="1"/>
      <sheetData sheetId="7596" refreshError="1"/>
      <sheetData sheetId="7597" refreshError="1"/>
      <sheetData sheetId="7598" refreshError="1"/>
      <sheetData sheetId="7599" refreshError="1"/>
      <sheetData sheetId="7600" refreshError="1"/>
      <sheetData sheetId="7601" refreshError="1"/>
      <sheetData sheetId="7602" refreshError="1"/>
      <sheetData sheetId="7603" refreshError="1"/>
      <sheetData sheetId="7604" refreshError="1"/>
      <sheetData sheetId="7605" refreshError="1"/>
      <sheetData sheetId="7606" refreshError="1"/>
      <sheetData sheetId="7607" refreshError="1"/>
      <sheetData sheetId="7608" refreshError="1"/>
      <sheetData sheetId="7609" refreshError="1"/>
      <sheetData sheetId="7610" refreshError="1"/>
      <sheetData sheetId="7611" refreshError="1"/>
      <sheetData sheetId="7612" refreshError="1"/>
      <sheetData sheetId="7613" refreshError="1"/>
      <sheetData sheetId="7614" refreshError="1"/>
      <sheetData sheetId="7615" refreshError="1"/>
      <sheetData sheetId="7616" refreshError="1"/>
      <sheetData sheetId="7617" refreshError="1"/>
      <sheetData sheetId="7618" refreshError="1"/>
      <sheetData sheetId="7619" refreshError="1"/>
      <sheetData sheetId="7620" refreshError="1"/>
      <sheetData sheetId="7621" refreshError="1"/>
      <sheetData sheetId="7622" refreshError="1"/>
      <sheetData sheetId="7623" refreshError="1"/>
      <sheetData sheetId="7624" refreshError="1"/>
      <sheetData sheetId="7625" refreshError="1"/>
      <sheetData sheetId="7626" refreshError="1"/>
      <sheetData sheetId="7627" refreshError="1"/>
      <sheetData sheetId="7628" refreshError="1"/>
      <sheetData sheetId="7629" refreshError="1"/>
      <sheetData sheetId="7630" refreshError="1"/>
      <sheetData sheetId="7631" refreshError="1"/>
      <sheetData sheetId="7632" refreshError="1"/>
      <sheetData sheetId="7633" refreshError="1"/>
      <sheetData sheetId="7634" refreshError="1"/>
      <sheetData sheetId="7635" refreshError="1"/>
      <sheetData sheetId="7636" refreshError="1"/>
      <sheetData sheetId="7637" refreshError="1"/>
      <sheetData sheetId="7638" refreshError="1"/>
      <sheetData sheetId="7639" refreshError="1"/>
      <sheetData sheetId="7640" refreshError="1"/>
      <sheetData sheetId="7641" refreshError="1"/>
      <sheetData sheetId="7642" refreshError="1"/>
      <sheetData sheetId="7643" refreshError="1"/>
      <sheetData sheetId="7644" refreshError="1"/>
      <sheetData sheetId="7645" refreshError="1"/>
      <sheetData sheetId="7646" refreshError="1"/>
      <sheetData sheetId="7647" refreshError="1"/>
      <sheetData sheetId="7648" refreshError="1"/>
      <sheetData sheetId="7649" refreshError="1"/>
      <sheetData sheetId="7650" refreshError="1"/>
      <sheetData sheetId="7651" refreshError="1"/>
      <sheetData sheetId="7652" refreshError="1"/>
      <sheetData sheetId="7653" refreshError="1"/>
      <sheetData sheetId="7654" refreshError="1"/>
      <sheetData sheetId="7655" refreshError="1"/>
      <sheetData sheetId="7656" refreshError="1"/>
      <sheetData sheetId="7657" refreshError="1"/>
      <sheetData sheetId="7658" refreshError="1"/>
      <sheetData sheetId="7659" refreshError="1"/>
      <sheetData sheetId="7660" refreshError="1"/>
      <sheetData sheetId="7661" refreshError="1"/>
      <sheetData sheetId="7662" refreshError="1"/>
      <sheetData sheetId="7663" refreshError="1"/>
      <sheetData sheetId="7664" refreshError="1"/>
      <sheetData sheetId="7665" refreshError="1"/>
      <sheetData sheetId="7666" refreshError="1"/>
      <sheetData sheetId="7667" refreshError="1"/>
      <sheetData sheetId="7668" refreshError="1"/>
      <sheetData sheetId="7669" refreshError="1"/>
      <sheetData sheetId="7670" refreshError="1"/>
      <sheetData sheetId="7671" refreshError="1"/>
      <sheetData sheetId="7672" refreshError="1"/>
      <sheetData sheetId="7673" refreshError="1"/>
      <sheetData sheetId="7674" refreshError="1"/>
      <sheetData sheetId="7675" refreshError="1"/>
      <sheetData sheetId="7676" refreshError="1"/>
      <sheetData sheetId="7677" refreshError="1"/>
      <sheetData sheetId="7678" refreshError="1"/>
      <sheetData sheetId="7679" refreshError="1"/>
      <sheetData sheetId="7680" refreshError="1"/>
      <sheetData sheetId="7681" refreshError="1"/>
      <sheetData sheetId="7682" refreshError="1"/>
      <sheetData sheetId="7683" refreshError="1"/>
      <sheetData sheetId="7684" refreshError="1"/>
      <sheetData sheetId="7685" refreshError="1"/>
      <sheetData sheetId="7686" refreshError="1"/>
      <sheetData sheetId="7687" refreshError="1"/>
      <sheetData sheetId="7688" refreshError="1"/>
      <sheetData sheetId="7689" refreshError="1"/>
      <sheetData sheetId="7690" refreshError="1"/>
      <sheetData sheetId="7691" refreshError="1"/>
      <sheetData sheetId="7692" refreshError="1"/>
      <sheetData sheetId="7693" refreshError="1"/>
      <sheetData sheetId="7694" refreshError="1"/>
      <sheetData sheetId="7695" refreshError="1"/>
      <sheetData sheetId="7696" refreshError="1"/>
      <sheetData sheetId="7697" refreshError="1"/>
      <sheetData sheetId="7698" refreshError="1"/>
      <sheetData sheetId="7699" refreshError="1"/>
      <sheetData sheetId="7700" refreshError="1"/>
      <sheetData sheetId="7701" refreshError="1"/>
      <sheetData sheetId="7702" refreshError="1"/>
      <sheetData sheetId="7703" refreshError="1"/>
      <sheetData sheetId="7704" refreshError="1"/>
      <sheetData sheetId="7705" refreshError="1"/>
      <sheetData sheetId="7706" refreshError="1"/>
      <sheetData sheetId="7707" refreshError="1"/>
      <sheetData sheetId="7708" refreshError="1"/>
      <sheetData sheetId="7709" refreshError="1"/>
      <sheetData sheetId="7710" refreshError="1"/>
      <sheetData sheetId="7711" refreshError="1"/>
      <sheetData sheetId="7712" refreshError="1"/>
      <sheetData sheetId="7713" refreshError="1"/>
      <sheetData sheetId="7714" refreshError="1"/>
      <sheetData sheetId="7715" refreshError="1"/>
      <sheetData sheetId="7716" refreshError="1"/>
      <sheetData sheetId="7717" refreshError="1"/>
      <sheetData sheetId="7718" refreshError="1"/>
      <sheetData sheetId="7719" refreshError="1"/>
      <sheetData sheetId="7720" refreshError="1"/>
      <sheetData sheetId="7721" refreshError="1"/>
      <sheetData sheetId="7722" refreshError="1"/>
      <sheetData sheetId="7723" refreshError="1"/>
      <sheetData sheetId="7724" refreshError="1"/>
      <sheetData sheetId="7725" refreshError="1"/>
      <sheetData sheetId="7726" refreshError="1"/>
      <sheetData sheetId="7727" refreshError="1"/>
      <sheetData sheetId="7728" refreshError="1"/>
      <sheetData sheetId="7729" refreshError="1"/>
      <sheetData sheetId="7730" refreshError="1"/>
      <sheetData sheetId="7731" refreshError="1"/>
      <sheetData sheetId="7732" refreshError="1"/>
      <sheetData sheetId="7733" refreshError="1"/>
      <sheetData sheetId="7734" refreshError="1"/>
      <sheetData sheetId="7735" refreshError="1"/>
      <sheetData sheetId="7736" refreshError="1"/>
      <sheetData sheetId="7737" refreshError="1"/>
      <sheetData sheetId="7738" refreshError="1"/>
      <sheetData sheetId="7739" refreshError="1"/>
      <sheetData sheetId="7740" refreshError="1"/>
      <sheetData sheetId="7741" refreshError="1"/>
      <sheetData sheetId="7742" refreshError="1"/>
      <sheetData sheetId="7743" refreshError="1"/>
      <sheetData sheetId="7744" refreshError="1"/>
      <sheetData sheetId="7745" refreshError="1"/>
      <sheetData sheetId="7746" refreshError="1"/>
      <sheetData sheetId="7747" refreshError="1"/>
      <sheetData sheetId="7748" refreshError="1"/>
      <sheetData sheetId="7749" refreshError="1"/>
      <sheetData sheetId="7750" refreshError="1"/>
      <sheetData sheetId="7751" refreshError="1"/>
      <sheetData sheetId="7752" refreshError="1"/>
      <sheetData sheetId="7753" refreshError="1"/>
      <sheetData sheetId="7754" refreshError="1"/>
      <sheetData sheetId="7755" refreshError="1"/>
      <sheetData sheetId="7756" refreshError="1"/>
      <sheetData sheetId="7757" refreshError="1"/>
      <sheetData sheetId="7758" refreshError="1"/>
      <sheetData sheetId="7759" refreshError="1"/>
      <sheetData sheetId="7760" refreshError="1"/>
      <sheetData sheetId="7761" refreshError="1"/>
      <sheetData sheetId="7762" refreshError="1"/>
      <sheetData sheetId="7763" refreshError="1"/>
      <sheetData sheetId="7764" refreshError="1"/>
      <sheetData sheetId="7765" refreshError="1"/>
      <sheetData sheetId="7766" refreshError="1"/>
      <sheetData sheetId="7767" refreshError="1"/>
      <sheetData sheetId="7768" refreshError="1"/>
      <sheetData sheetId="7769" refreshError="1"/>
      <sheetData sheetId="7770" refreshError="1"/>
      <sheetData sheetId="7771" refreshError="1"/>
      <sheetData sheetId="7772" refreshError="1"/>
      <sheetData sheetId="7773" refreshError="1"/>
      <sheetData sheetId="7774" refreshError="1"/>
      <sheetData sheetId="7775" refreshError="1"/>
      <sheetData sheetId="7776" refreshError="1"/>
      <sheetData sheetId="7777" refreshError="1"/>
      <sheetData sheetId="7778" refreshError="1"/>
      <sheetData sheetId="7779" refreshError="1"/>
      <sheetData sheetId="7780" refreshError="1"/>
      <sheetData sheetId="7781" refreshError="1"/>
      <sheetData sheetId="7782" refreshError="1"/>
      <sheetData sheetId="7783" refreshError="1"/>
      <sheetData sheetId="7784" refreshError="1"/>
      <sheetData sheetId="7785" refreshError="1"/>
      <sheetData sheetId="7786" refreshError="1"/>
      <sheetData sheetId="7787" refreshError="1"/>
      <sheetData sheetId="7788" refreshError="1"/>
      <sheetData sheetId="7789" refreshError="1"/>
      <sheetData sheetId="7790" refreshError="1"/>
      <sheetData sheetId="7791" refreshError="1"/>
      <sheetData sheetId="7792" refreshError="1"/>
      <sheetData sheetId="7793" refreshError="1"/>
      <sheetData sheetId="7794" refreshError="1"/>
      <sheetData sheetId="7795" refreshError="1"/>
      <sheetData sheetId="7796" refreshError="1"/>
      <sheetData sheetId="7797" refreshError="1"/>
      <sheetData sheetId="7798" refreshError="1"/>
      <sheetData sheetId="7799" refreshError="1"/>
      <sheetData sheetId="7800" refreshError="1"/>
      <sheetData sheetId="7801" refreshError="1"/>
      <sheetData sheetId="7802" refreshError="1"/>
      <sheetData sheetId="7803" refreshError="1"/>
      <sheetData sheetId="7804" refreshError="1"/>
      <sheetData sheetId="7805" refreshError="1"/>
      <sheetData sheetId="7806" refreshError="1"/>
      <sheetData sheetId="7807" refreshError="1"/>
      <sheetData sheetId="7808" refreshError="1"/>
      <sheetData sheetId="7809" refreshError="1"/>
      <sheetData sheetId="7810" refreshError="1"/>
      <sheetData sheetId="7811" refreshError="1"/>
      <sheetData sheetId="7812" refreshError="1"/>
      <sheetData sheetId="7813" refreshError="1"/>
      <sheetData sheetId="7814" refreshError="1"/>
      <sheetData sheetId="7815" refreshError="1"/>
      <sheetData sheetId="7816" refreshError="1"/>
      <sheetData sheetId="7817" refreshError="1"/>
      <sheetData sheetId="7818" refreshError="1"/>
      <sheetData sheetId="7819" refreshError="1"/>
      <sheetData sheetId="7820" refreshError="1"/>
      <sheetData sheetId="7821" refreshError="1"/>
      <sheetData sheetId="7822" refreshError="1"/>
      <sheetData sheetId="7823" refreshError="1"/>
      <sheetData sheetId="7824" refreshError="1"/>
      <sheetData sheetId="7825" refreshError="1"/>
      <sheetData sheetId="7826" refreshError="1"/>
      <sheetData sheetId="7827" refreshError="1"/>
      <sheetData sheetId="7828" refreshError="1"/>
      <sheetData sheetId="7829" refreshError="1"/>
      <sheetData sheetId="7830" refreshError="1"/>
      <sheetData sheetId="7831" refreshError="1"/>
      <sheetData sheetId="7832" refreshError="1"/>
      <sheetData sheetId="7833" refreshError="1"/>
      <sheetData sheetId="7834" refreshError="1"/>
      <sheetData sheetId="7835" refreshError="1"/>
      <sheetData sheetId="7836" refreshError="1"/>
      <sheetData sheetId="7837" refreshError="1"/>
      <sheetData sheetId="7838" refreshError="1"/>
      <sheetData sheetId="7839" refreshError="1"/>
      <sheetData sheetId="7840" refreshError="1"/>
      <sheetData sheetId="7841" refreshError="1"/>
      <sheetData sheetId="7842" refreshError="1"/>
      <sheetData sheetId="7843" refreshError="1"/>
      <sheetData sheetId="7844" refreshError="1"/>
      <sheetData sheetId="7845" refreshError="1"/>
      <sheetData sheetId="7846" refreshError="1"/>
      <sheetData sheetId="7847" refreshError="1"/>
      <sheetData sheetId="7848" refreshError="1"/>
      <sheetData sheetId="7849" refreshError="1"/>
      <sheetData sheetId="7850" refreshError="1"/>
      <sheetData sheetId="7851" refreshError="1"/>
      <sheetData sheetId="7852" refreshError="1"/>
      <sheetData sheetId="7853" refreshError="1"/>
      <sheetData sheetId="7854" refreshError="1"/>
      <sheetData sheetId="7855" refreshError="1"/>
      <sheetData sheetId="7856" refreshError="1"/>
      <sheetData sheetId="7857" refreshError="1"/>
      <sheetData sheetId="7858" refreshError="1"/>
      <sheetData sheetId="7859" refreshError="1"/>
      <sheetData sheetId="7860" refreshError="1"/>
      <sheetData sheetId="7861" refreshError="1"/>
      <sheetData sheetId="7862" refreshError="1"/>
      <sheetData sheetId="7863" refreshError="1"/>
      <sheetData sheetId="7864" refreshError="1"/>
      <sheetData sheetId="7865" refreshError="1"/>
      <sheetData sheetId="7866" refreshError="1"/>
      <sheetData sheetId="7867" refreshError="1"/>
      <sheetData sheetId="7868" refreshError="1"/>
      <sheetData sheetId="7869" refreshError="1"/>
      <sheetData sheetId="7870" refreshError="1"/>
      <sheetData sheetId="7871" refreshError="1"/>
      <sheetData sheetId="7872" refreshError="1"/>
      <sheetData sheetId="7873" refreshError="1"/>
      <sheetData sheetId="7874" refreshError="1"/>
      <sheetData sheetId="7875" refreshError="1"/>
      <sheetData sheetId="7876" refreshError="1"/>
      <sheetData sheetId="7877" refreshError="1"/>
      <sheetData sheetId="7878" refreshError="1"/>
      <sheetData sheetId="7879" refreshError="1"/>
      <sheetData sheetId="7880" refreshError="1"/>
      <sheetData sheetId="7881" refreshError="1"/>
      <sheetData sheetId="7882" refreshError="1"/>
      <sheetData sheetId="7883" refreshError="1"/>
      <sheetData sheetId="7884" refreshError="1"/>
      <sheetData sheetId="7885" refreshError="1"/>
      <sheetData sheetId="7886" refreshError="1"/>
      <sheetData sheetId="7887" refreshError="1"/>
      <sheetData sheetId="7888" refreshError="1"/>
      <sheetData sheetId="7889" refreshError="1"/>
      <sheetData sheetId="7890" refreshError="1"/>
      <sheetData sheetId="7891" refreshError="1"/>
      <sheetData sheetId="7892" refreshError="1"/>
      <sheetData sheetId="7893" refreshError="1"/>
      <sheetData sheetId="7894" refreshError="1"/>
      <sheetData sheetId="7895" refreshError="1"/>
      <sheetData sheetId="7896" refreshError="1"/>
      <sheetData sheetId="7897" refreshError="1"/>
      <sheetData sheetId="7898" refreshError="1"/>
      <sheetData sheetId="7899" refreshError="1"/>
      <sheetData sheetId="7900" refreshError="1"/>
      <sheetData sheetId="7901" refreshError="1"/>
      <sheetData sheetId="7902" refreshError="1"/>
      <sheetData sheetId="7903" refreshError="1"/>
      <sheetData sheetId="7904" refreshError="1"/>
      <sheetData sheetId="7905" refreshError="1"/>
      <sheetData sheetId="7906" refreshError="1"/>
      <sheetData sheetId="7907" refreshError="1"/>
      <sheetData sheetId="7908" refreshError="1"/>
      <sheetData sheetId="7909" refreshError="1"/>
      <sheetData sheetId="7910" refreshError="1"/>
      <sheetData sheetId="7911" refreshError="1"/>
      <sheetData sheetId="7912" refreshError="1"/>
      <sheetData sheetId="7913" refreshError="1"/>
      <sheetData sheetId="7914" refreshError="1"/>
      <sheetData sheetId="7915" refreshError="1"/>
      <sheetData sheetId="7916" refreshError="1"/>
      <sheetData sheetId="7917" refreshError="1"/>
      <sheetData sheetId="7918" refreshError="1"/>
      <sheetData sheetId="7919" refreshError="1"/>
      <sheetData sheetId="7920" refreshError="1"/>
      <sheetData sheetId="7921" refreshError="1"/>
      <sheetData sheetId="7922" refreshError="1"/>
      <sheetData sheetId="7923" refreshError="1"/>
      <sheetData sheetId="7924" refreshError="1"/>
      <sheetData sheetId="7925" refreshError="1"/>
      <sheetData sheetId="7926" refreshError="1"/>
      <sheetData sheetId="7927" refreshError="1"/>
      <sheetData sheetId="7928" refreshError="1"/>
      <sheetData sheetId="7929" refreshError="1"/>
      <sheetData sheetId="7930" refreshError="1"/>
      <sheetData sheetId="7931" refreshError="1"/>
      <sheetData sheetId="7932" refreshError="1"/>
      <sheetData sheetId="7933" refreshError="1"/>
      <sheetData sheetId="7934" refreshError="1"/>
      <sheetData sheetId="7935" refreshError="1"/>
      <sheetData sheetId="7936" refreshError="1"/>
      <sheetData sheetId="7937" refreshError="1"/>
      <sheetData sheetId="7938" refreshError="1"/>
      <sheetData sheetId="7939" refreshError="1"/>
      <sheetData sheetId="7940" refreshError="1"/>
      <sheetData sheetId="7941" refreshError="1"/>
      <sheetData sheetId="7942" refreshError="1"/>
      <sheetData sheetId="7943" refreshError="1"/>
      <sheetData sheetId="7944" refreshError="1"/>
      <sheetData sheetId="7945" refreshError="1"/>
      <sheetData sheetId="7946" refreshError="1"/>
      <sheetData sheetId="7947" refreshError="1"/>
      <sheetData sheetId="7948" refreshError="1"/>
      <sheetData sheetId="7949" refreshError="1"/>
      <sheetData sheetId="7950" refreshError="1"/>
      <sheetData sheetId="7951" refreshError="1"/>
      <sheetData sheetId="7952" refreshError="1"/>
      <sheetData sheetId="7953" refreshError="1"/>
      <sheetData sheetId="7954" refreshError="1"/>
      <sheetData sheetId="7955" refreshError="1"/>
      <sheetData sheetId="7956" refreshError="1"/>
      <sheetData sheetId="7957" refreshError="1"/>
      <sheetData sheetId="7958" refreshError="1"/>
      <sheetData sheetId="7959" refreshError="1"/>
      <sheetData sheetId="7960" refreshError="1"/>
      <sheetData sheetId="7961" refreshError="1"/>
      <sheetData sheetId="7962" refreshError="1"/>
      <sheetData sheetId="7963" refreshError="1"/>
      <sheetData sheetId="7964" refreshError="1"/>
      <sheetData sheetId="7965" refreshError="1"/>
      <sheetData sheetId="7966" refreshError="1"/>
      <sheetData sheetId="7967" refreshError="1"/>
      <sheetData sheetId="7968" refreshError="1"/>
      <sheetData sheetId="7969" refreshError="1"/>
      <sheetData sheetId="7970" refreshError="1"/>
      <sheetData sheetId="7971" refreshError="1"/>
      <sheetData sheetId="7972" refreshError="1"/>
      <sheetData sheetId="7973" refreshError="1"/>
      <sheetData sheetId="7974" refreshError="1"/>
      <sheetData sheetId="7975" refreshError="1"/>
      <sheetData sheetId="7976" refreshError="1"/>
      <sheetData sheetId="7977" refreshError="1"/>
      <sheetData sheetId="7978" refreshError="1"/>
      <sheetData sheetId="7979" refreshError="1"/>
      <sheetData sheetId="7980" refreshError="1"/>
      <sheetData sheetId="7981" refreshError="1"/>
      <sheetData sheetId="7982" refreshError="1"/>
      <sheetData sheetId="7983" refreshError="1"/>
      <sheetData sheetId="7984" refreshError="1"/>
      <sheetData sheetId="7985" refreshError="1"/>
      <sheetData sheetId="7986" refreshError="1"/>
      <sheetData sheetId="7987" refreshError="1"/>
      <sheetData sheetId="7988" refreshError="1"/>
      <sheetData sheetId="7989" refreshError="1"/>
      <sheetData sheetId="7990" refreshError="1"/>
      <sheetData sheetId="7991" refreshError="1"/>
      <sheetData sheetId="7992" refreshError="1"/>
      <sheetData sheetId="7993" refreshError="1"/>
      <sheetData sheetId="7994" refreshError="1"/>
      <sheetData sheetId="7995" refreshError="1"/>
      <sheetData sheetId="7996" refreshError="1"/>
      <sheetData sheetId="7997" refreshError="1"/>
      <sheetData sheetId="7998" refreshError="1"/>
      <sheetData sheetId="7999" refreshError="1"/>
      <sheetData sheetId="8000" refreshError="1"/>
      <sheetData sheetId="8001" refreshError="1"/>
      <sheetData sheetId="8002" refreshError="1"/>
      <sheetData sheetId="8003" refreshError="1"/>
      <sheetData sheetId="8004" refreshError="1"/>
      <sheetData sheetId="8005" refreshError="1"/>
      <sheetData sheetId="8006" refreshError="1"/>
      <sheetData sheetId="8007" refreshError="1"/>
      <sheetData sheetId="8008" refreshError="1"/>
      <sheetData sheetId="8009" refreshError="1"/>
      <sheetData sheetId="8010" refreshError="1"/>
      <sheetData sheetId="8011" refreshError="1"/>
      <sheetData sheetId="8012" refreshError="1"/>
      <sheetData sheetId="8013" refreshError="1"/>
      <sheetData sheetId="8014" refreshError="1"/>
      <sheetData sheetId="8015" refreshError="1"/>
      <sheetData sheetId="8016" refreshError="1"/>
      <sheetData sheetId="8017" refreshError="1"/>
      <sheetData sheetId="8018" refreshError="1"/>
      <sheetData sheetId="8019" refreshError="1"/>
      <sheetData sheetId="8020" refreshError="1"/>
      <sheetData sheetId="8021" refreshError="1"/>
      <sheetData sheetId="8022" refreshError="1"/>
      <sheetData sheetId="8023" refreshError="1"/>
      <sheetData sheetId="8024" refreshError="1"/>
      <sheetData sheetId="8025" refreshError="1"/>
      <sheetData sheetId="8026" refreshError="1"/>
      <sheetData sheetId="8027" refreshError="1"/>
      <sheetData sheetId="8028" refreshError="1"/>
      <sheetData sheetId="8029" refreshError="1"/>
      <sheetData sheetId="8030" refreshError="1"/>
      <sheetData sheetId="8031" refreshError="1"/>
      <sheetData sheetId="8032" refreshError="1"/>
      <sheetData sheetId="8033" refreshError="1"/>
      <sheetData sheetId="8034" refreshError="1"/>
      <sheetData sheetId="8035" refreshError="1"/>
      <sheetData sheetId="8036" refreshError="1"/>
      <sheetData sheetId="8037" refreshError="1"/>
      <sheetData sheetId="8038" refreshError="1"/>
      <sheetData sheetId="8039" refreshError="1"/>
      <sheetData sheetId="8040" refreshError="1"/>
      <sheetData sheetId="8041" refreshError="1"/>
      <sheetData sheetId="8042" refreshError="1"/>
      <sheetData sheetId="8043" refreshError="1"/>
      <sheetData sheetId="8044" refreshError="1"/>
      <sheetData sheetId="8045" refreshError="1"/>
      <sheetData sheetId="8046" refreshError="1"/>
      <sheetData sheetId="8047" refreshError="1"/>
      <sheetData sheetId="8048" refreshError="1"/>
      <sheetData sheetId="8049" refreshError="1"/>
      <sheetData sheetId="8050" refreshError="1"/>
      <sheetData sheetId="8051" refreshError="1"/>
      <sheetData sheetId="8052" refreshError="1"/>
      <sheetData sheetId="8053" refreshError="1"/>
      <sheetData sheetId="8054" refreshError="1"/>
      <sheetData sheetId="8055" refreshError="1"/>
      <sheetData sheetId="8056" refreshError="1"/>
      <sheetData sheetId="8057" refreshError="1"/>
      <sheetData sheetId="8058" refreshError="1"/>
      <sheetData sheetId="8059" refreshError="1"/>
      <sheetData sheetId="8060" refreshError="1"/>
      <sheetData sheetId="8061" refreshError="1"/>
      <sheetData sheetId="8062" refreshError="1"/>
      <sheetData sheetId="8063" refreshError="1"/>
      <sheetData sheetId="8064" refreshError="1"/>
      <sheetData sheetId="8065" refreshError="1"/>
      <sheetData sheetId="8066" refreshError="1"/>
      <sheetData sheetId="8067" refreshError="1"/>
      <sheetData sheetId="8068" refreshError="1"/>
      <sheetData sheetId="8069" refreshError="1"/>
      <sheetData sheetId="8070" refreshError="1"/>
      <sheetData sheetId="8071" refreshError="1"/>
      <sheetData sheetId="8072" refreshError="1"/>
      <sheetData sheetId="8073" refreshError="1"/>
      <sheetData sheetId="8074" refreshError="1"/>
      <sheetData sheetId="8075" refreshError="1"/>
      <sheetData sheetId="8076" refreshError="1"/>
      <sheetData sheetId="8077" refreshError="1"/>
      <sheetData sheetId="8078" refreshError="1"/>
      <sheetData sheetId="8079" refreshError="1"/>
      <sheetData sheetId="8080" refreshError="1"/>
      <sheetData sheetId="8081" refreshError="1"/>
      <sheetData sheetId="8082" refreshError="1"/>
      <sheetData sheetId="8083" refreshError="1"/>
      <sheetData sheetId="8084" refreshError="1"/>
      <sheetData sheetId="8085" refreshError="1"/>
      <sheetData sheetId="8086" refreshError="1"/>
      <sheetData sheetId="8087" refreshError="1"/>
      <sheetData sheetId="8088" refreshError="1"/>
      <sheetData sheetId="8089" refreshError="1"/>
      <sheetData sheetId="8090" refreshError="1"/>
      <sheetData sheetId="8091" refreshError="1"/>
      <sheetData sheetId="8092" refreshError="1"/>
      <sheetData sheetId="8093" refreshError="1"/>
      <sheetData sheetId="8094" refreshError="1"/>
      <sheetData sheetId="8095" refreshError="1"/>
      <sheetData sheetId="8096" refreshError="1"/>
      <sheetData sheetId="8097" refreshError="1"/>
      <sheetData sheetId="8098" refreshError="1"/>
      <sheetData sheetId="8099" refreshError="1"/>
      <sheetData sheetId="8100" refreshError="1"/>
      <sheetData sheetId="8101" refreshError="1"/>
      <sheetData sheetId="8102" refreshError="1"/>
      <sheetData sheetId="8103" refreshError="1"/>
      <sheetData sheetId="8104" refreshError="1"/>
      <sheetData sheetId="8105" refreshError="1"/>
      <sheetData sheetId="8106" refreshError="1"/>
      <sheetData sheetId="8107" refreshError="1"/>
      <sheetData sheetId="8108" refreshError="1"/>
      <sheetData sheetId="8109" refreshError="1"/>
      <sheetData sheetId="8110" refreshError="1"/>
      <sheetData sheetId="8111" refreshError="1"/>
      <sheetData sheetId="8112" refreshError="1"/>
      <sheetData sheetId="8113" refreshError="1"/>
      <sheetData sheetId="8114" refreshError="1"/>
      <sheetData sheetId="8115" refreshError="1"/>
      <sheetData sheetId="8116" refreshError="1"/>
      <sheetData sheetId="8117" refreshError="1"/>
      <sheetData sheetId="8118" refreshError="1"/>
      <sheetData sheetId="8119" refreshError="1"/>
      <sheetData sheetId="8120" refreshError="1"/>
      <sheetData sheetId="8121" refreshError="1"/>
      <sheetData sheetId="8122" refreshError="1"/>
      <sheetData sheetId="8123" refreshError="1"/>
      <sheetData sheetId="8124" refreshError="1"/>
      <sheetData sheetId="8125" refreshError="1"/>
      <sheetData sheetId="8126" refreshError="1"/>
      <sheetData sheetId="8127" refreshError="1"/>
      <sheetData sheetId="8128" refreshError="1"/>
      <sheetData sheetId="8129" refreshError="1"/>
      <sheetData sheetId="8130" refreshError="1"/>
      <sheetData sheetId="8131" refreshError="1"/>
      <sheetData sheetId="8132" refreshError="1"/>
      <sheetData sheetId="8133" refreshError="1"/>
      <sheetData sheetId="8134" refreshError="1"/>
      <sheetData sheetId="8135" refreshError="1"/>
      <sheetData sheetId="8136" refreshError="1"/>
      <sheetData sheetId="8137" refreshError="1"/>
      <sheetData sheetId="8138" refreshError="1"/>
      <sheetData sheetId="8139" refreshError="1"/>
      <sheetData sheetId="8140" refreshError="1"/>
      <sheetData sheetId="8141" refreshError="1"/>
      <sheetData sheetId="8142" refreshError="1"/>
      <sheetData sheetId="8143" refreshError="1"/>
      <sheetData sheetId="8144" refreshError="1"/>
      <sheetData sheetId="8145" refreshError="1"/>
      <sheetData sheetId="8146" refreshError="1"/>
      <sheetData sheetId="8147" refreshError="1"/>
      <sheetData sheetId="8148" refreshError="1"/>
      <sheetData sheetId="8149" refreshError="1"/>
      <sheetData sheetId="8150" refreshError="1"/>
      <sheetData sheetId="8151" refreshError="1"/>
      <sheetData sheetId="8152" refreshError="1"/>
      <sheetData sheetId="8153" refreshError="1"/>
      <sheetData sheetId="8154" refreshError="1"/>
      <sheetData sheetId="8155" refreshError="1"/>
      <sheetData sheetId="8156" refreshError="1"/>
      <sheetData sheetId="8157" refreshError="1"/>
      <sheetData sheetId="8158" refreshError="1"/>
      <sheetData sheetId="8159" refreshError="1"/>
      <sheetData sheetId="8160" refreshError="1"/>
      <sheetData sheetId="8161" refreshError="1"/>
      <sheetData sheetId="8162" refreshError="1"/>
      <sheetData sheetId="8163" refreshError="1"/>
      <sheetData sheetId="8164" refreshError="1"/>
      <sheetData sheetId="8165" refreshError="1"/>
      <sheetData sheetId="8166" refreshError="1"/>
      <sheetData sheetId="8167" refreshError="1"/>
      <sheetData sheetId="8168" refreshError="1"/>
      <sheetData sheetId="8169" refreshError="1"/>
      <sheetData sheetId="8170" refreshError="1"/>
      <sheetData sheetId="8171" refreshError="1"/>
      <sheetData sheetId="8172" refreshError="1"/>
      <sheetData sheetId="8173" refreshError="1"/>
      <sheetData sheetId="8174" refreshError="1"/>
      <sheetData sheetId="8175" refreshError="1"/>
      <sheetData sheetId="8176" refreshError="1"/>
      <sheetData sheetId="8177" refreshError="1"/>
      <sheetData sheetId="8178" refreshError="1"/>
      <sheetData sheetId="8179" refreshError="1"/>
      <sheetData sheetId="8180" refreshError="1"/>
      <sheetData sheetId="8181" refreshError="1"/>
      <sheetData sheetId="8182" refreshError="1"/>
      <sheetData sheetId="8183" refreshError="1"/>
      <sheetData sheetId="8184" refreshError="1"/>
      <sheetData sheetId="8185" refreshError="1"/>
      <sheetData sheetId="8186" refreshError="1"/>
      <sheetData sheetId="8187" refreshError="1"/>
      <sheetData sheetId="8188" refreshError="1"/>
      <sheetData sheetId="8189" refreshError="1"/>
      <sheetData sheetId="8190" refreshError="1"/>
      <sheetData sheetId="8191" refreshError="1"/>
      <sheetData sheetId="8192" refreshError="1"/>
      <sheetData sheetId="8193" refreshError="1"/>
      <sheetData sheetId="8194" refreshError="1"/>
      <sheetData sheetId="8195" refreshError="1"/>
      <sheetData sheetId="8196" refreshError="1"/>
      <sheetData sheetId="8197" refreshError="1"/>
      <sheetData sheetId="8198" refreshError="1"/>
      <sheetData sheetId="8199" refreshError="1"/>
      <sheetData sheetId="8200" refreshError="1"/>
      <sheetData sheetId="8201" refreshError="1"/>
      <sheetData sheetId="8202" refreshError="1"/>
      <sheetData sheetId="8203" refreshError="1"/>
      <sheetData sheetId="8204" refreshError="1"/>
      <sheetData sheetId="8205" refreshError="1"/>
      <sheetData sheetId="8206" refreshError="1"/>
      <sheetData sheetId="8207" refreshError="1"/>
      <sheetData sheetId="8208" refreshError="1"/>
      <sheetData sheetId="8209" refreshError="1"/>
      <sheetData sheetId="8210" refreshError="1"/>
      <sheetData sheetId="8211" refreshError="1"/>
      <sheetData sheetId="8212" refreshError="1"/>
      <sheetData sheetId="8213" refreshError="1"/>
      <sheetData sheetId="8214" refreshError="1"/>
      <sheetData sheetId="8215" refreshError="1"/>
      <sheetData sheetId="8216" refreshError="1"/>
      <sheetData sheetId="8217" refreshError="1"/>
      <sheetData sheetId="8218" refreshError="1"/>
      <sheetData sheetId="8219" refreshError="1"/>
      <sheetData sheetId="8220" refreshError="1"/>
      <sheetData sheetId="8221" refreshError="1"/>
      <sheetData sheetId="8222" refreshError="1"/>
      <sheetData sheetId="8223" refreshError="1"/>
      <sheetData sheetId="8224" refreshError="1"/>
      <sheetData sheetId="8225" refreshError="1"/>
      <sheetData sheetId="8226" refreshError="1"/>
      <sheetData sheetId="8227" refreshError="1"/>
      <sheetData sheetId="8228" refreshError="1"/>
      <sheetData sheetId="8229" refreshError="1"/>
      <sheetData sheetId="8230" refreshError="1"/>
      <sheetData sheetId="8231" refreshError="1"/>
      <sheetData sheetId="8232" refreshError="1"/>
      <sheetData sheetId="8233" refreshError="1"/>
      <sheetData sheetId="8234" refreshError="1"/>
      <sheetData sheetId="8235" refreshError="1"/>
      <sheetData sheetId="8236" refreshError="1"/>
      <sheetData sheetId="8237" refreshError="1"/>
      <sheetData sheetId="8238" refreshError="1"/>
      <sheetData sheetId="8239" refreshError="1"/>
      <sheetData sheetId="8240" refreshError="1"/>
      <sheetData sheetId="8241" refreshError="1"/>
      <sheetData sheetId="8242" refreshError="1"/>
      <sheetData sheetId="8243" refreshError="1"/>
      <sheetData sheetId="8244" refreshError="1"/>
      <sheetData sheetId="8245" refreshError="1"/>
      <sheetData sheetId="8246" refreshError="1"/>
      <sheetData sheetId="8247" refreshError="1"/>
      <sheetData sheetId="8248" refreshError="1"/>
      <sheetData sheetId="8249" refreshError="1"/>
      <sheetData sheetId="8250" refreshError="1"/>
      <sheetData sheetId="8251" refreshError="1"/>
      <sheetData sheetId="8252" refreshError="1"/>
      <sheetData sheetId="8253" refreshError="1"/>
      <sheetData sheetId="8254" refreshError="1"/>
      <sheetData sheetId="8255" refreshError="1"/>
      <sheetData sheetId="8256" refreshError="1"/>
      <sheetData sheetId="8257" refreshError="1"/>
      <sheetData sheetId="8258" refreshError="1"/>
      <sheetData sheetId="8259" refreshError="1"/>
      <sheetData sheetId="8260" refreshError="1"/>
      <sheetData sheetId="8261" refreshError="1"/>
      <sheetData sheetId="8262" refreshError="1"/>
      <sheetData sheetId="8263" refreshError="1"/>
      <sheetData sheetId="8264" refreshError="1"/>
      <sheetData sheetId="8265" refreshError="1"/>
      <sheetData sheetId="8266" refreshError="1"/>
      <sheetData sheetId="8267" refreshError="1"/>
      <sheetData sheetId="8268" refreshError="1"/>
      <sheetData sheetId="8269" refreshError="1"/>
      <sheetData sheetId="8270" refreshError="1"/>
      <sheetData sheetId="8271" refreshError="1"/>
      <sheetData sheetId="8272" refreshError="1"/>
      <sheetData sheetId="8273" refreshError="1"/>
      <sheetData sheetId="8274" refreshError="1"/>
      <sheetData sheetId="8275" refreshError="1"/>
      <sheetData sheetId="8276" refreshError="1"/>
      <sheetData sheetId="8277" refreshError="1"/>
      <sheetData sheetId="8278" refreshError="1"/>
      <sheetData sheetId="8279" refreshError="1"/>
      <sheetData sheetId="8280" refreshError="1"/>
      <sheetData sheetId="8281" refreshError="1"/>
      <sheetData sheetId="8282" refreshError="1"/>
      <sheetData sheetId="8283" refreshError="1"/>
      <sheetData sheetId="8284" refreshError="1"/>
      <sheetData sheetId="8285" refreshError="1"/>
      <sheetData sheetId="8286" refreshError="1"/>
      <sheetData sheetId="8287" refreshError="1"/>
      <sheetData sheetId="8288" refreshError="1"/>
      <sheetData sheetId="8289" refreshError="1"/>
      <sheetData sheetId="8290" refreshError="1"/>
      <sheetData sheetId="8291" refreshError="1"/>
      <sheetData sheetId="8292" refreshError="1"/>
      <sheetData sheetId="8293" refreshError="1"/>
      <sheetData sheetId="8294" refreshError="1"/>
      <sheetData sheetId="8295" refreshError="1"/>
      <sheetData sheetId="8296" refreshError="1"/>
      <sheetData sheetId="8297" refreshError="1"/>
      <sheetData sheetId="8298" refreshError="1"/>
      <sheetData sheetId="8299" refreshError="1"/>
      <sheetData sheetId="8300" refreshError="1"/>
      <sheetData sheetId="8301" refreshError="1"/>
      <sheetData sheetId="8302" refreshError="1"/>
      <sheetData sheetId="8303" refreshError="1"/>
      <sheetData sheetId="8304" refreshError="1"/>
      <sheetData sheetId="8305" refreshError="1"/>
      <sheetData sheetId="8306" refreshError="1"/>
      <sheetData sheetId="8307" refreshError="1"/>
      <sheetData sheetId="8308" refreshError="1"/>
      <sheetData sheetId="8309" refreshError="1"/>
      <sheetData sheetId="8310" refreshError="1"/>
      <sheetData sheetId="8311" refreshError="1"/>
      <sheetData sheetId="8312" refreshError="1"/>
      <sheetData sheetId="8313" refreshError="1"/>
      <sheetData sheetId="8314" refreshError="1"/>
      <sheetData sheetId="8315" refreshError="1"/>
      <sheetData sheetId="8316" refreshError="1"/>
      <sheetData sheetId="8317" refreshError="1"/>
      <sheetData sheetId="8318" refreshError="1"/>
      <sheetData sheetId="8319" refreshError="1"/>
      <sheetData sheetId="8320" refreshError="1"/>
      <sheetData sheetId="8321" refreshError="1"/>
      <sheetData sheetId="8322" refreshError="1"/>
      <sheetData sheetId="8323" refreshError="1"/>
      <sheetData sheetId="8324" refreshError="1"/>
      <sheetData sheetId="8325" refreshError="1"/>
      <sheetData sheetId="8326" refreshError="1"/>
      <sheetData sheetId="8327" refreshError="1"/>
      <sheetData sheetId="8328" refreshError="1"/>
      <sheetData sheetId="8329" refreshError="1"/>
      <sheetData sheetId="8330" refreshError="1"/>
      <sheetData sheetId="8331" refreshError="1"/>
      <sheetData sheetId="8332" refreshError="1"/>
      <sheetData sheetId="8333" refreshError="1"/>
      <sheetData sheetId="8334" refreshError="1"/>
      <sheetData sheetId="8335" refreshError="1"/>
      <sheetData sheetId="8336" refreshError="1"/>
      <sheetData sheetId="8337" refreshError="1"/>
      <sheetData sheetId="8338" refreshError="1"/>
      <sheetData sheetId="8339" refreshError="1"/>
      <sheetData sheetId="8340" refreshError="1"/>
      <sheetData sheetId="8341" refreshError="1"/>
      <sheetData sheetId="8342" refreshError="1"/>
      <sheetData sheetId="8343" refreshError="1"/>
      <sheetData sheetId="8344" refreshError="1"/>
      <sheetData sheetId="8345" refreshError="1"/>
      <sheetData sheetId="8346" refreshError="1"/>
      <sheetData sheetId="8347" refreshError="1"/>
      <sheetData sheetId="8348" refreshError="1"/>
      <sheetData sheetId="8349" refreshError="1"/>
      <sheetData sheetId="8350" refreshError="1"/>
      <sheetData sheetId="8351" refreshError="1"/>
      <sheetData sheetId="8352" refreshError="1"/>
      <sheetData sheetId="8353" refreshError="1"/>
      <sheetData sheetId="8354" refreshError="1"/>
      <sheetData sheetId="8355" refreshError="1"/>
      <sheetData sheetId="8356" refreshError="1"/>
      <sheetData sheetId="8357" refreshError="1"/>
      <sheetData sheetId="8358" refreshError="1"/>
      <sheetData sheetId="8359" refreshError="1"/>
      <sheetData sheetId="8360" refreshError="1"/>
      <sheetData sheetId="8361" refreshError="1"/>
      <sheetData sheetId="8362" refreshError="1"/>
      <sheetData sheetId="8363" refreshError="1"/>
      <sheetData sheetId="8364" refreshError="1"/>
      <sheetData sheetId="8365" refreshError="1"/>
      <sheetData sheetId="8366" refreshError="1"/>
      <sheetData sheetId="8367" refreshError="1"/>
      <sheetData sheetId="8368" refreshError="1"/>
      <sheetData sheetId="8369" refreshError="1"/>
      <sheetData sheetId="8370" refreshError="1"/>
      <sheetData sheetId="8371" refreshError="1"/>
      <sheetData sheetId="8372" refreshError="1"/>
      <sheetData sheetId="8373" refreshError="1"/>
      <sheetData sheetId="8374" refreshError="1"/>
      <sheetData sheetId="8375" refreshError="1"/>
      <sheetData sheetId="8376" refreshError="1"/>
      <sheetData sheetId="8377" refreshError="1"/>
      <sheetData sheetId="8378" refreshError="1"/>
      <sheetData sheetId="8379" refreshError="1"/>
      <sheetData sheetId="8380" refreshError="1"/>
      <sheetData sheetId="8381" refreshError="1"/>
      <sheetData sheetId="8382" refreshError="1"/>
      <sheetData sheetId="8383" refreshError="1"/>
      <sheetData sheetId="8384" refreshError="1"/>
      <sheetData sheetId="8385" refreshError="1"/>
      <sheetData sheetId="8386" refreshError="1"/>
      <sheetData sheetId="8387" refreshError="1"/>
      <sheetData sheetId="8388" refreshError="1"/>
      <sheetData sheetId="8389" refreshError="1"/>
      <sheetData sheetId="8390" refreshError="1"/>
      <sheetData sheetId="8391" refreshError="1"/>
      <sheetData sheetId="8392" refreshError="1"/>
      <sheetData sheetId="8393" refreshError="1"/>
      <sheetData sheetId="8394" refreshError="1"/>
      <sheetData sheetId="8395" refreshError="1"/>
      <sheetData sheetId="8396" refreshError="1"/>
      <sheetData sheetId="8397" refreshError="1"/>
      <sheetData sheetId="8398" refreshError="1"/>
      <sheetData sheetId="8399" refreshError="1"/>
      <sheetData sheetId="8400" refreshError="1"/>
      <sheetData sheetId="8401" refreshError="1"/>
      <sheetData sheetId="8402" refreshError="1"/>
      <sheetData sheetId="8403" refreshError="1"/>
      <sheetData sheetId="8404" refreshError="1"/>
      <sheetData sheetId="8405" refreshError="1"/>
      <sheetData sheetId="8406" refreshError="1"/>
      <sheetData sheetId="8407" refreshError="1"/>
      <sheetData sheetId="8408" refreshError="1"/>
      <sheetData sheetId="8409" refreshError="1"/>
      <sheetData sheetId="8410" refreshError="1"/>
      <sheetData sheetId="8411" refreshError="1"/>
      <sheetData sheetId="8412" refreshError="1"/>
      <sheetData sheetId="8413" refreshError="1"/>
      <sheetData sheetId="8414" refreshError="1"/>
      <sheetData sheetId="8415" refreshError="1"/>
      <sheetData sheetId="8416" refreshError="1"/>
      <sheetData sheetId="8417" refreshError="1"/>
      <sheetData sheetId="8418" refreshError="1"/>
      <sheetData sheetId="8419" refreshError="1"/>
      <sheetData sheetId="8420" refreshError="1"/>
      <sheetData sheetId="8421" refreshError="1"/>
      <sheetData sheetId="8422" refreshError="1"/>
      <sheetData sheetId="8423" refreshError="1"/>
      <sheetData sheetId="8424" refreshError="1"/>
      <sheetData sheetId="8425" refreshError="1"/>
      <sheetData sheetId="8426" refreshError="1"/>
      <sheetData sheetId="8427" refreshError="1"/>
      <sheetData sheetId="8428" refreshError="1"/>
      <sheetData sheetId="8429" refreshError="1"/>
      <sheetData sheetId="8430" refreshError="1"/>
      <sheetData sheetId="8431" refreshError="1"/>
      <sheetData sheetId="8432" refreshError="1"/>
      <sheetData sheetId="8433" refreshError="1"/>
      <sheetData sheetId="8434" refreshError="1"/>
      <sheetData sheetId="8435" refreshError="1"/>
      <sheetData sheetId="8436" refreshError="1"/>
      <sheetData sheetId="8437" refreshError="1"/>
      <sheetData sheetId="8438" refreshError="1"/>
      <sheetData sheetId="8439" refreshError="1"/>
      <sheetData sheetId="8440" refreshError="1"/>
      <sheetData sheetId="8441" refreshError="1"/>
      <sheetData sheetId="8442" refreshError="1"/>
      <sheetData sheetId="8443" refreshError="1"/>
      <sheetData sheetId="8444" refreshError="1"/>
      <sheetData sheetId="8445" refreshError="1"/>
      <sheetData sheetId="8446" refreshError="1"/>
      <sheetData sheetId="8447" refreshError="1"/>
      <sheetData sheetId="8448" refreshError="1"/>
      <sheetData sheetId="8449" refreshError="1"/>
      <sheetData sheetId="8450" refreshError="1"/>
      <sheetData sheetId="8451" refreshError="1"/>
      <sheetData sheetId="8452" refreshError="1"/>
      <sheetData sheetId="8453" refreshError="1"/>
      <sheetData sheetId="8454" refreshError="1"/>
      <sheetData sheetId="8455" refreshError="1"/>
      <sheetData sheetId="8456" refreshError="1"/>
      <sheetData sheetId="8457" refreshError="1"/>
      <sheetData sheetId="8458" refreshError="1"/>
      <sheetData sheetId="8459" refreshError="1"/>
      <sheetData sheetId="8460" refreshError="1"/>
      <sheetData sheetId="8461" refreshError="1"/>
      <sheetData sheetId="8462" refreshError="1"/>
      <sheetData sheetId="8463" refreshError="1"/>
      <sheetData sheetId="8464" refreshError="1"/>
      <sheetData sheetId="8465" refreshError="1"/>
      <sheetData sheetId="8466" refreshError="1"/>
      <sheetData sheetId="8467" refreshError="1"/>
      <sheetData sheetId="8468" refreshError="1"/>
      <sheetData sheetId="8469" refreshError="1"/>
      <sheetData sheetId="8470" refreshError="1"/>
      <sheetData sheetId="8471" refreshError="1"/>
      <sheetData sheetId="8472" refreshError="1"/>
      <sheetData sheetId="8473" refreshError="1"/>
      <sheetData sheetId="8474" refreshError="1"/>
      <sheetData sheetId="8475" refreshError="1"/>
      <sheetData sheetId="8476" refreshError="1"/>
      <sheetData sheetId="8477" refreshError="1"/>
      <sheetData sheetId="8478" refreshError="1"/>
      <sheetData sheetId="8479" refreshError="1"/>
      <sheetData sheetId="8480" refreshError="1"/>
      <sheetData sheetId="8481" refreshError="1"/>
      <sheetData sheetId="8482" refreshError="1"/>
      <sheetData sheetId="8483" refreshError="1"/>
      <sheetData sheetId="8484" refreshError="1"/>
      <sheetData sheetId="8485" refreshError="1"/>
      <sheetData sheetId="8486" refreshError="1"/>
      <sheetData sheetId="8487" refreshError="1"/>
      <sheetData sheetId="8488" refreshError="1"/>
      <sheetData sheetId="8489" refreshError="1"/>
      <sheetData sheetId="8490" refreshError="1"/>
      <sheetData sheetId="8491" refreshError="1"/>
      <sheetData sheetId="8492" refreshError="1"/>
      <sheetData sheetId="8493" refreshError="1"/>
      <sheetData sheetId="8494" refreshError="1"/>
      <sheetData sheetId="8495" refreshError="1"/>
      <sheetData sheetId="8496" refreshError="1"/>
      <sheetData sheetId="8497" refreshError="1"/>
      <sheetData sheetId="8498" refreshError="1"/>
      <sheetData sheetId="8499" refreshError="1"/>
      <sheetData sheetId="8500" refreshError="1"/>
      <sheetData sheetId="8501" refreshError="1"/>
      <sheetData sheetId="8502" refreshError="1"/>
      <sheetData sheetId="8503" refreshError="1"/>
      <sheetData sheetId="8504" refreshError="1"/>
      <sheetData sheetId="8505" refreshError="1"/>
      <sheetData sheetId="8506" refreshError="1"/>
      <sheetData sheetId="8507" refreshError="1"/>
      <sheetData sheetId="8508" refreshError="1"/>
      <sheetData sheetId="8509" refreshError="1"/>
      <sheetData sheetId="8510" refreshError="1"/>
      <sheetData sheetId="8511" refreshError="1"/>
      <sheetData sheetId="8512" refreshError="1"/>
      <sheetData sheetId="8513" refreshError="1"/>
      <sheetData sheetId="8514" refreshError="1"/>
      <sheetData sheetId="8515" refreshError="1"/>
      <sheetData sheetId="8516" refreshError="1"/>
      <sheetData sheetId="8517" refreshError="1"/>
      <sheetData sheetId="8518" refreshError="1"/>
      <sheetData sheetId="8519" refreshError="1"/>
      <sheetData sheetId="8520" refreshError="1"/>
      <sheetData sheetId="8521" refreshError="1"/>
      <sheetData sheetId="8522" refreshError="1"/>
      <sheetData sheetId="8523" refreshError="1"/>
      <sheetData sheetId="8524" refreshError="1"/>
      <sheetData sheetId="8525" refreshError="1"/>
      <sheetData sheetId="8526" refreshError="1"/>
      <sheetData sheetId="8527" refreshError="1"/>
      <sheetData sheetId="8528" refreshError="1"/>
      <sheetData sheetId="8529" refreshError="1"/>
      <sheetData sheetId="8530" refreshError="1"/>
      <sheetData sheetId="8531" refreshError="1"/>
      <sheetData sheetId="8532" refreshError="1"/>
      <sheetData sheetId="8533" refreshError="1"/>
      <sheetData sheetId="8534" refreshError="1"/>
      <sheetData sheetId="8535" refreshError="1"/>
      <sheetData sheetId="8536" refreshError="1"/>
      <sheetData sheetId="8537" refreshError="1"/>
      <sheetData sheetId="8538" refreshError="1"/>
      <sheetData sheetId="8539" refreshError="1"/>
      <sheetData sheetId="8540" refreshError="1"/>
      <sheetData sheetId="8541" refreshError="1"/>
      <sheetData sheetId="8542" refreshError="1"/>
      <sheetData sheetId="8543" refreshError="1"/>
      <sheetData sheetId="8544" refreshError="1"/>
      <sheetData sheetId="8545" refreshError="1"/>
      <sheetData sheetId="8546" refreshError="1"/>
      <sheetData sheetId="8547" refreshError="1"/>
      <sheetData sheetId="8548" refreshError="1"/>
      <sheetData sheetId="8549">
        <row r="106">
          <cell r="C106" t="str">
            <v>Hour</v>
          </cell>
        </row>
      </sheetData>
      <sheetData sheetId="8550" refreshError="1"/>
      <sheetData sheetId="8551" refreshError="1"/>
      <sheetData sheetId="8552" refreshError="1"/>
      <sheetData sheetId="8553" refreshError="1"/>
      <sheetData sheetId="8554" refreshError="1"/>
      <sheetData sheetId="8555" refreshError="1"/>
      <sheetData sheetId="8556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"/>
      <sheetName val="SP"/>
      <sheetName val="REK"/>
      <sheetName val="BOQ"/>
      <sheetName val="JADWAL"/>
      <sheetName val="ALAT"/>
      <sheetName val="STAF"/>
      <sheetName val="SUB-KON"/>
      <sheetName val="DPU"/>
      <sheetName val="ANA"/>
      <sheetName val="ANA MOB"/>
      <sheetName val="MET BAB-02"/>
      <sheetName val="MET BAB-03"/>
      <sheetName val="MET BAB-05"/>
      <sheetName val="MET BAB-07"/>
      <sheetName val="HSD Upah"/>
      <sheetName val="HSD Bahan"/>
      <sheetName val="HSD Alat"/>
      <sheetName val="ANA ALAT"/>
      <sheetName val="DS"/>
      <sheetName val="PEMBATAS"/>
      <sheetName val="PEMBATAS (2)"/>
      <sheetName val="KEPADA (1)"/>
      <sheetName val="KEPADA (2)"/>
      <sheetName val="KEPADA (3)"/>
      <sheetName val="MOS"/>
      <sheetName val="IND"/>
      <sheetName val="MP"/>
      <sheetName val="METODA-1"/>
      <sheetName val="METODA-2"/>
      <sheetName val="MET BAB-06"/>
      <sheetName val="JADWAL ALAT"/>
      <sheetName val="JADWAL BAHAN"/>
      <sheetName val="KEB BAHAN"/>
      <sheetName val="DATA"/>
      <sheetName val="ANA RUTIN"/>
      <sheetName val="CONFIRM"/>
      <sheetName val="SK"/>
      <sheetName val="LN"/>
      <sheetName val="NON PNS"/>
      <sheetName val="KSO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P"/>
      <sheetName val="Rekap"/>
      <sheetName val="Bq"/>
      <sheetName val="Schdl"/>
      <sheetName val="Ahs_Mob"/>
      <sheetName val="Ahs_Lalin"/>
      <sheetName val="AHS _Master Flow"/>
      <sheetName val="AHS _Bongkar aspal"/>
      <sheetName val="Ahs_ATB"/>
      <sheetName val="Ahs_AC-WC"/>
      <sheetName val="Ahs_Tack Coat"/>
      <sheetName val="Ahs_Lastika"/>
      <sheetName val="Ahs_Genset"/>
      <sheetName val="Ahs_AP"/>
      <sheetName val="Upah dan Bahan"/>
      <sheetName val="MOS"/>
      <sheetName val="Ahs_Sewa Keet"/>
      <sheetName val="Ahs_Dokumentasi"/>
      <sheetName val="Ahs_Sewa kend"/>
      <sheetName val="AHS _Bongkar Beton"/>
      <sheetName val="Urai Bongkar Beton"/>
      <sheetName val="Ahs_Base A"/>
      <sheetName val="Urai_Base A"/>
      <sheetName val="Urai Wire Mesh"/>
      <sheetName val="AHS _Wiremesh"/>
      <sheetName val="Urai _Master Flow K500"/>
      <sheetName val="Ahs_Grout"/>
      <sheetName val="Ahs_Joint sealent "/>
      <sheetName val="Urai Bongkar As"/>
      <sheetName val="Urai  ATB"/>
      <sheetName val="Ahs_AC-BC "/>
      <sheetName val="Urai  AC-BC "/>
      <sheetName val="Urai  AC-WC"/>
      <sheetName val="Urai_Tcoat"/>
      <sheetName val="Urai_Tack Lasti"/>
      <sheetName val="Ahs_sealent Lastika"/>
      <sheetName val="Ahs-Marka_Thrmo"/>
      <sheetName val="Urai  Mrka_Thrmo"/>
      <sheetName val="Ahs-Marka_Thrmo (2)"/>
      <sheetName val="Urai  Mrka_Thrmo (2)"/>
      <sheetName val="Ahs_LPB"/>
      <sheetName val="Urai _LPB"/>
      <sheetName val="Ahs-Pas Batu"/>
      <sheetName val="Urai Pas Batu"/>
      <sheetName val="Ahs-Lab"/>
      <sheetName val="Ahs_Urug TM"/>
      <sheetName val="Urai _Urug TM"/>
      <sheetName val="Ahs_Guide Post"/>
      <sheetName val="Urai _ Guide Post"/>
      <sheetName val="Ahs_Saluran"/>
      <sheetName val="Urai_saluran"/>
      <sheetName val="Ahs_Gal Tanah"/>
      <sheetName val="Urai_Galian Tanah"/>
      <sheetName val="Urai_Rumput"/>
      <sheetName val="Ahs_Rumpu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-DIV2"/>
    </sheetNames>
    <sheetDataSet>
      <sheetData sheetId="0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ECK LIST"/>
      <sheetName val="Rekap"/>
      <sheetName val="bq"/>
      <sheetName val="Upah dan Bahan"/>
      <sheetName val="Schdl (2)"/>
      <sheetName val="AHS Klas A"/>
      <sheetName val="AHS AC"/>
      <sheetName val="AHS ATB"/>
      <sheetName val="AHS K.250"/>
      <sheetName val="Met K250"/>
      <sheetName val="AHS Ps. Batu"/>
      <sheetName val="Met_Pas Batu"/>
      <sheetName val="AHS Cam Minor"/>
      <sheetName val="Met_ Minor"/>
      <sheetName val="On Site_Semen (2)"/>
      <sheetName val="ALAT (2)"/>
      <sheetName val="STAF"/>
      <sheetName val="SUB KON (2)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-DIV3"/>
    </sheetNames>
    <sheetDataSet>
      <sheetData sheetId="0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-DIV4"/>
    </sheetNames>
    <sheetDataSet>
      <sheetData sheetId="0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-DIV5"/>
    </sheetNames>
    <sheetDataSet>
      <sheetData sheetId="0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K.PERSIAP. LAHAN"/>
      <sheetName val="INFRA"/>
      <sheetName val="M-GATE"/>
      <sheetName val="GED.KULIAH-A"/>
      <sheetName val="GED-KULIAH-B"/>
      <sheetName val="ASRAMA"/>
      <sheetName val="KANTIN"/>
      <sheetName val="MEKANIKAL"/>
      <sheetName val="DOSEN TYP. I"/>
      <sheetName val="DOSEN TYP. II"/>
      <sheetName val="RUANG POMPA"/>
      <sheetName val="RUMAH POMPA"/>
      <sheetName val="FIRE HYDRAN"/>
      <sheetName val="KOLAM AIR MANCUR"/>
      <sheetName val="PEK. LUAR"/>
      <sheetName val="COVER"/>
      <sheetName val="Analisa &amp; Upah"/>
      <sheetName val="SUMURAN"/>
      <sheetName val="P.TELAPAK"/>
      <sheetName val="POER"/>
      <sheetName val="TANGGA"/>
      <sheetName val="SLOOF"/>
      <sheetName val="TRENCH"/>
      <sheetName val="KOLOM"/>
      <sheetName val="BALOK"/>
      <sheetName val="PELAT"/>
      <sheetName val="ATAP BAJA"/>
      <sheetName val="LISTPLANG"/>
      <sheetName val="SEPTIKTANG"/>
      <sheetName val="R.POMPA-RESERVOAR"/>
      <sheetName val="ANL-BOXCULVERT"/>
      <sheetName val="AN-KOLAMAIR"/>
      <sheetName val="REKAP"/>
      <sheetName val="TUL. DINDING"/>
      <sheetName val="cut&amp;fill"/>
      <sheetName val="rek-cut&amp;fill"/>
      <sheetName val="Analisa _ Upah"/>
      <sheetName val="AN. TAMPL"/>
      <sheetName val="ah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 refreshError="1"/>
      <sheetData sheetId="38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.Satuan"/>
      <sheetName val="bq"/>
      <sheetName val="BQ-Segmen"/>
      <sheetName val="BQ-BUAS"/>
      <sheetName val="Rumus"/>
      <sheetName val="kapasitas"/>
      <sheetName val="mob. dem"/>
      <sheetName val="siap"/>
      <sheetName val="pek. tanah"/>
      <sheetName val="konstruksi"/>
      <sheetName val="Gorong2"/>
      <sheetName val="B0"/>
      <sheetName val="CBC"/>
      <sheetName val="LPB"/>
      <sheetName val="Urug"/>
      <sheetName val="k. batu kali"/>
      <sheetName val="H_Satuan"/>
      <sheetName val="isian"/>
      <sheetName val="input"/>
      <sheetName val="MAPDC"/>
      <sheetName val="data"/>
      <sheetName val="Rekap"/>
      <sheetName val="SAT"/>
      <sheetName val="K"/>
      <sheetName val="Cover"/>
      <sheetName val="HB "/>
      <sheetName val="Material"/>
      <sheetName val="01A- RAB"/>
      <sheetName val="BAHAN"/>
      <sheetName val="Analisa ME"/>
      <sheetName val="harga bahan"/>
      <sheetName val="rab me (by owner) "/>
      <sheetName val="BQ (by owner)"/>
      <sheetName val="rab me (fisik)"/>
      <sheetName val="Anl.+"/>
      <sheetName val="112-885"/>
      <sheetName val="FLAF&amp;PARTSI"/>
      <sheetName val="DAFTAR HARGA"/>
      <sheetName val="AHS"/>
      <sheetName val="boq"/>
      <sheetName val="harsat"/>
      <sheetName val="Analisa &amp; Upah"/>
      <sheetName val="AN. TAMPL"/>
      <sheetName val="LISTRIK"/>
      <sheetName val="RKP PLUMBING"/>
      <sheetName val="DAF-5"/>
      <sheetName val="NP (4)"/>
      <sheetName val="rab - persiapan &amp; lantai-1"/>
      <sheetName val="analisa"/>
      <sheetName val="3-DIV5"/>
      <sheetName val="DAF-1"/>
      <sheetName val="Bill Of Quantity"/>
      <sheetName val="Analisa 2"/>
      <sheetName val="ANALISA-A"/>
      <sheetName val="Panel,feeder,elek"/>
      <sheetName val="ELEC STIS"/>
      <sheetName val="NP"/>
      <sheetName val="Sheet1"/>
      <sheetName val="REF.ONLY"/>
      <sheetName val="HRG BHN"/>
      <sheetName val="villa"/>
      <sheetName val="NS GD.UGD"/>
      <sheetName val="STD GD.UGD"/>
      <sheetName val="DIV7-BM"/>
      <sheetName val="MAIN BQ"/>
      <sheetName val="Harsat BHN AR,M"/>
      <sheetName val="bhn-upah"/>
      <sheetName val="AC"/>
      <sheetName val="FP"/>
      <sheetName val="PLB"/>
      <sheetName val="NS GD.UTAMA"/>
      <sheetName val="BQ.AC.FAN"/>
      <sheetName val="DAF_1"/>
      <sheetName val="DRUP (ASLI)"/>
      <sheetName val="STR"/>
      <sheetName val="div3"/>
      <sheetName val="HS"/>
      <sheetName val="Concrete"/>
      <sheetName val="Man_Power_Const"/>
      <sheetName val="PC"/>
      <sheetName val="Balok"/>
      <sheetName val="Analis Kusen 1 ESKALASI"/>
      <sheetName val="REQDELTA"/>
      <sheetName val="SITE-E"/>
      <sheetName val="iTEM hARSAT"/>
      <sheetName val="DAF_4"/>
      <sheetName val="Upah+Bahan"/>
      <sheetName val="Upah"/>
      <sheetName val="TOEC"/>
      <sheetName val="Ahs.2"/>
      <sheetName val="Ahs.1"/>
      <sheetName val="KR Luar"/>
      <sheetName val="Supl.X"/>
      <sheetName val="Bag-9Add"/>
      <sheetName val="Bag-1"/>
      <sheetName val="Bag-2"/>
      <sheetName val="SUM"/>
      <sheetName val="BL"/>
      <sheetName val="BasicPrice"/>
      <sheetName val="index"/>
      <sheetName val="Student"/>
      <sheetName val="ahs3"/>
      <sheetName val="DRUP _ASLI_"/>
      <sheetName val="Stden center"/>
      <sheetName val="H_Satuan1"/>
      <sheetName val="mob__dem"/>
      <sheetName val="pek__tanah"/>
      <sheetName val="k__batu_kali"/>
      <sheetName val="meth hsl nego"/>
      <sheetName val="SALURAN"/>
      <sheetName val="box culvert"/>
      <sheetName val="Group"/>
      <sheetName val="Mekanikal"/>
      <sheetName val="REK"/>
      <sheetName val="Faktor"/>
      <sheetName val="SEX"/>
      <sheetName val="Elektrikal"/>
      <sheetName val="L_Mechanical"/>
      <sheetName val="Daftar berat"/>
      <sheetName val="Fin-Bengkel"/>
      <sheetName val="Fin-Showroom"/>
      <sheetName val="Hal_Pagar"/>
      <sheetName val="Str-Bengkel"/>
      <sheetName val="Str-Showroom"/>
      <sheetName val="Dasboard"/>
      <sheetName val="H-Upah"/>
      <sheetName val="_x0000_0_x0000_1_x0000_0_x0000_0_x0000_0_x0000_1_x0000__x0000_6_x0000_0_x0000_¯耀㣋_x0000__x0000__x0000__x0000__x0000__x0001__x0000__x0000_耀ÿ"/>
      <sheetName val="ESCON"/>
      <sheetName val="pricelist"/>
      <sheetName val="Plint_List"/>
      <sheetName val="Luar"/>
      <sheetName val="Pintu Jendela"/>
      <sheetName val="UPH,BHN,ALT"/>
      <sheetName val="A+Supl."/>
      <sheetName val="FAK"/>
      <sheetName val="DC-akses bandara"/>
      <sheetName val="anaUTama"/>
      <sheetName val="anaMob"/>
      <sheetName val="Terbilang"/>
      <sheetName val="Analisa BOW"/>
      <sheetName val="analis"/>
      <sheetName val="ANAL"/>
      <sheetName val="Markup"/>
      <sheetName val="EXTERNAL WORK"/>
      <sheetName val="NP (2)"/>
      <sheetName val="cargo"/>
      <sheetName val="HSD"/>
      <sheetName val="data RSUD KIS"/>
      <sheetName val="Bahan-Upah"/>
      <sheetName val="BAU"/>
      <sheetName val="RAB AR&amp;STR"/>
      <sheetName val="Analisa Satuan"/>
      <sheetName val="1.B"/>
      <sheetName val="BASIC"/>
      <sheetName val="finalisasi"/>
      <sheetName val="NP (3)"/>
      <sheetName val="Analisa Harga Satuan"/>
      <sheetName val="Fin_Bengkel"/>
      <sheetName val="Fin_Showroom"/>
      <sheetName val="Str_Bengkel"/>
      <sheetName val="Str_Showroom"/>
      <sheetName val="BASEMENT"/>
      <sheetName val="Anls"/>
      <sheetName val="ahs_utama"/>
      <sheetName val="arp-3a"/>
      <sheetName val="RKP. TOTAL"/>
      <sheetName val="B.as"/>
      <sheetName val="RAB"/>
      <sheetName val="3-DIV4"/>
      <sheetName val="ANLS_ BETON R. KELAS"/>
      <sheetName val="기준"/>
      <sheetName val="Data Upah"/>
      <sheetName val="AHS - Sipil"/>
      <sheetName val="Unit"/>
      <sheetName val="."/>
      <sheetName val="%"/>
      <sheetName val="3-DIV3"/>
      <sheetName val="rekap mekanikal"/>
      <sheetName val="3-DIV2"/>
      <sheetName val="Satpek"/>
      <sheetName val="ahs1"/>
      <sheetName val="Div10"/>
      <sheetName val="Fill this out first..."/>
      <sheetName val="Mall"/>
      <sheetName val="GLP-DISCOUNT"/>
      <sheetName val="GLP 2001"/>
      <sheetName val="Costos"/>
      <sheetName val="EE-PROP"/>
      <sheetName val="Met_Pas Batu"/>
      <sheetName val="Met_ Minor"/>
      <sheetName val="공정양식"/>
      <sheetName val="QSS"/>
      <sheetName val="@UpahBahan"/>
      <sheetName val="Isolasi Luar Dalam"/>
      <sheetName val="Isolasi Luar"/>
      <sheetName val="BGN PENUNJANG"/>
      <sheetName val="AC_C"/>
      <sheetName val="G_SUMMARY"/>
      <sheetName val="TSS"/>
      <sheetName val="dasar"/>
      <sheetName val="gabungan (2)"/>
      <sheetName val="Analisa_ME"/>
      <sheetName val="harga_bahan"/>
      <sheetName val="rab_me_(by_owner)_"/>
      <sheetName val="BQ_(by_owner)"/>
      <sheetName val="rab_me_(fisik)"/>
      <sheetName val="Analisa_&amp;_Upah"/>
      <sheetName val="AN__TAMPL"/>
      <sheetName val="01A-_RAB"/>
      <sheetName val="REMUNERASISTANDAR"/>
      <sheetName val="TABEL-DETASIR"/>
      <sheetName val="A"/>
      <sheetName val="GFA-20-N"/>
      <sheetName val="an tek NP"/>
      <sheetName val="H_Satuan2"/>
      <sheetName val="mob__dem1"/>
      <sheetName val="pek__tanah1"/>
      <sheetName val="k__batu_kali1"/>
      <sheetName val="NS_GD_UGD"/>
      <sheetName val="STD_GD_UGD"/>
      <sheetName val="NP_(4)"/>
      <sheetName val="Bill_Of_Quantity"/>
      <sheetName val="HB_"/>
      <sheetName val="MAIN_BQ"/>
      <sheetName val="Harsat_BHN_AR,M"/>
      <sheetName val="NS_GD_UTAMA"/>
      <sheetName val="Analisa_2"/>
      <sheetName val="BQ_AC_FAN"/>
      <sheetName val="DRUP_(ASLI)"/>
      <sheetName val="HRG_BHN"/>
      <sheetName val="iTEM_hARSAT"/>
      <sheetName val="gtrinh"/>
      <sheetName val="Bill_2"/>
      <sheetName val="Alat B"/>
      <sheetName val="Bahan B"/>
      <sheetName val="Upah B"/>
      <sheetName val="RAP"/>
      <sheetName val="Sub"/>
      <sheetName val="Analisa Upah &amp; Bahan Plum"/>
      <sheetName val="Tata Udara"/>
      <sheetName val="Plumbing"/>
      <sheetName val=""/>
      <sheetName val="5.Anhas"/>
      <sheetName val="FORMESTIMASI"/>
      <sheetName val="L-Mechanical"/>
      <sheetName val="Harga"/>
      <sheetName val="DAF_3.1"/>
      <sheetName val="DAF_3.11"/>
      <sheetName val="_x0000_0_x0000_1_x0000_0_x0000_0_x0000_0_x0000_1_x0000__x0000_6_x0000_0_x0000_¯??_x0000__x0000__x0000__x0000__x0000__x0001__x0000__x0000_?ÿ"/>
      <sheetName val="_x0000_¯??_x0000__x0000__x0000__x0000__x0000__x0001__x0000__x0000_?ÿ?_x0000_?English_x0000_ENW_x0000_en"/>
      <sheetName val="ANALISA PEK.UMUM"/>
      <sheetName val="ANALISA ALAT BERAT"/>
      <sheetName val="Rincigaji"/>
      <sheetName val="Prod 15-5"/>
      <sheetName val="RINCIAN"/>
      <sheetName val="TBL_BANTU"/>
      <sheetName val="Bill of Qty MEP"/>
      <sheetName val="Galian batu"/>
      <sheetName val="Form A"/>
      <sheetName val="GalianAlatBerat"/>
      <sheetName val="Haulling"/>
      <sheetName val="KONTRAK INDUK BULANAN"/>
      <sheetName val="Analisa RAP"/>
      <sheetName val="Alat"/>
      <sheetName val="Telusur"/>
      <sheetName val="Analisa RAB"/>
      <sheetName val="div-2"/>
      <sheetName val="MAP"/>
      <sheetName val="RKP"/>
      <sheetName val="HRG BAHAN &amp; UPAH okk"/>
      <sheetName val="Analis Kusen okk"/>
      <sheetName val="5-Peralatan"/>
      <sheetName val="?0?1?0?0?0?1??6?0?¯耀㣋?????_x0001_??耀ÿ"/>
      <sheetName val="DIVI3"/>
      <sheetName val="Bill 5 Summary"/>
      <sheetName val="Bill 4 Summary"/>
      <sheetName val="NP-7"/>
      <sheetName val="HSLAIN-LAIN"/>
      <sheetName val="UNIT PRICE"/>
      <sheetName val="Anls teknis"/>
      <sheetName val="Investment Valuation"/>
      <sheetName val="Cabling Data&amp;Power"/>
      <sheetName val="HB_1"/>
      <sheetName val="H_Satuan3"/>
      <sheetName val="mob__dem2"/>
      <sheetName val="pek__tanah2"/>
      <sheetName val="k__batu_kali2"/>
      <sheetName val="HB_2"/>
      <sheetName val="_x005f_x0000_0_x005f_x0000_1_x005f_x0000_0_x005f_x0000_"/>
      <sheetName val="gajiDasar"/>
      <sheetName val="PROD_03_1"/>
      <sheetName val="MARK UP"/>
      <sheetName val="bukan PNS"/>
      <sheetName val="Input monthly capex"/>
      <sheetName val="경비2내역"/>
      <sheetName val="BHN-UPH-ALT"/>
      <sheetName val="_x0000_0_x0000_1_x0000_0_x0000_"/>
      <sheetName val="F ALARM"/>
      <sheetName val="Monitor"/>
      <sheetName val="DRUP__ASLI_"/>
      <sheetName val="Stden_center"/>
      <sheetName val="Analisa Harga"/>
      <sheetName val="SIMPRO(AGST)"/>
      <sheetName val="_0_1_0_0_0_1__6_0_¯耀㣋______x0001___耀ÿ"/>
      <sheetName val="설계조건"/>
      <sheetName val="단면검토"/>
      <sheetName val="Surat"/>
      <sheetName val="GE-1-2"/>
      <sheetName val="Price_List"/>
      <sheetName val="PRICE LIST"/>
      <sheetName val="TT04"/>
      <sheetName val="gvl"/>
      <sheetName val="Agregat Halus &amp; Kasar"/>
      <sheetName val="Data2"/>
      <sheetName val="Blk-Mnl lt.3-lt.atap"/>
      <sheetName val="Klm-Mnl"/>
      <sheetName val="Daf 1"/>
      <sheetName val="Telephone"/>
      <sheetName val="Rek_ELEKT"/>
      <sheetName val="1"/>
      <sheetName val="Teknis"/>
      <sheetName val="BQ. AC"/>
      <sheetName val="rincian per proyek"/>
      <sheetName val="PL"/>
      <sheetName val="rek ME"/>
      <sheetName val="Eng_Hrs"/>
      <sheetName val="6-AGREGAT"/>
      <sheetName val="Perm. Test"/>
      <sheetName val="Hrg Sat"/>
      <sheetName val="hardas"/>
      <sheetName val="HARGA MATERIAL"/>
      <sheetName val="AN-MAJOR"/>
      <sheetName val="An_pdkg"/>
      <sheetName val="ANGGARAN"/>
      <sheetName val="GENERAL"/>
      <sheetName val="Pricing"/>
      <sheetName val="DATAOKT"/>
      <sheetName val="BUSWAY"/>
      <sheetName val="analisa Str"/>
      <sheetName val="610.07A"/>
      <sheetName val="H_Satuan4"/>
      <sheetName val="mob__dem3"/>
      <sheetName val="pek__tanah3"/>
      <sheetName val="k__batu_kali3"/>
      <sheetName val="NP_(4)1"/>
      <sheetName val="Analisa_ME1"/>
      <sheetName val="Analisa_&amp;_Upah1"/>
      <sheetName val="AN__TAMPL1"/>
      <sheetName val="harga_bahan1"/>
      <sheetName val="rab_me_(by_owner)_1"/>
      <sheetName val="BQ_(by_owner)1"/>
      <sheetName val="rab_me_(fisik)1"/>
      <sheetName val="01A-_RAB1"/>
      <sheetName val="HB_3"/>
      <sheetName val="Bill_Of_Quantity1"/>
      <sheetName val="BQ_AC_FAN1"/>
      <sheetName val="DRUP_(ASLI)1"/>
      <sheetName val="NS_GD_UTAMA1"/>
      <sheetName val="Analisa_21"/>
      <sheetName val="HRG_BHN1"/>
      <sheetName val="iTEM_hARSAT1"/>
      <sheetName val="NS_GD_UGD1"/>
      <sheetName val="STD_GD_UGD1"/>
      <sheetName val="_"/>
      <sheetName val="rab_-_persiapan_&amp;_lantai-1"/>
      <sheetName val="box_culvert"/>
      <sheetName val="MAIN_BQ1"/>
      <sheetName val="Harsat_BHN_AR,M1"/>
      <sheetName val="Anl_+"/>
      <sheetName val="Analis_Kusen_1_ESKALASI"/>
      <sheetName val="RKP_PLUMBING"/>
      <sheetName val="ELEC_STIS"/>
      <sheetName val="DAFTAR_HARGA"/>
      <sheetName val="Ahs_2"/>
      <sheetName val="Ahs_1"/>
      <sheetName val="KR_Luar"/>
      <sheetName val="Supl_X"/>
      <sheetName val="REF_ONLY"/>
      <sheetName val="DRUP__ASLI_1"/>
      <sheetName val="Stden_center1"/>
      <sheetName val="meth_hsl_nego"/>
      <sheetName val="1_B"/>
      <sheetName val="NP_(2)"/>
      <sheetName val="data_RSUD_KIS"/>
      <sheetName val="gabungan_(2)"/>
      <sheetName val="Analisa_Harga_Satuan"/>
      <sheetName val="Daftar_berat"/>
      <sheetName val="Data_Upah"/>
      <sheetName val="DC-akses_bandara"/>
      <sheetName val="01000160¯耀㣋耀ÿ"/>
      <sheetName val="Pintu_Jendela"/>
      <sheetName val="rekap_mekanikal"/>
      <sheetName val="GLP_2001"/>
      <sheetName val="Met_Pas_Batu"/>
      <sheetName val="Met__Minor"/>
      <sheetName val="EXTERNAL_WORK"/>
      <sheetName val="Bill_of_Qty_MEP"/>
      <sheetName val="NP_(3)"/>
      <sheetName val="AHS_-_Sipil"/>
      <sheetName val="RAB_AR&amp;STR"/>
      <sheetName val="Analisa_Satuan"/>
      <sheetName val="ANLS__BETON_R__KELAS"/>
      <sheetName val="Fill_this_out_first___"/>
      <sheetName val="Isolasi_Luar_Dalam"/>
      <sheetName val="Isolasi_Luar"/>
      <sheetName val="BGN_PENUNJANG"/>
      <sheetName val="Anls_teknis"/>
      <sheetName val="Analisa_BOW"/>
      <sheetName val="Analisa_RAP"/>
      <sheetName val="Alat_B"/>
      <sheetName val="Bahan_B"/>
      <sheetName val="Upah_B"/>
      <sheetName val="Analisa_RAB"/>
      <sheetName val="Prod_15-5"/>
      <sheetName val="Galian_batu"/>
      <sheetName val="an_tek_NP"/>
      <sheetName val="UNIT_PRICE"/>
      <sheetName val="Form_A"/>
      <sheetName val="Blk-Mnl_lt_3-lt_atap"/>
      <sheetName val="Tata_Udara"/>
      <sheetName val="RKP__TOTAL"/>
      <sheetName val="B_as"/>
      <sheetName val="?0?1?0?0?0?1??6?0?¯耀㣋???????耀ÿ"/>
      <sheetName val="bukan_PNS"/>
      <sheetName val="Input_monthly_capex"/>
      <sheetName val="DAF_3_1"/>
      <sheetName val="DAF_3_11"/>
      <sheetName val="01000160¯???ÿ"/>
      <sheetName val="¯???ÿ??EnglishENWen"/>
      <sheetName val="KONTRAK_INDUK_BULANAN"/>
      <sheetName val="HRG_BAHAN_&amp;_UPAH_okk"/>
      <sheetName val="Analis_Kusen_okk"/>
      <sheetName val="ANALISA_PEK_UMUM"/>
      <sheetName val="Bill_5_Summary"/>
      <sheetName val="Bill_4_Summary"/>
      <sheetName val="Investment_Valuation"/>
      <sheetName val="Cabling_Data&amp;Power"/>
      <sheetName val="MARK_UP"/>
      <sheetName val="010"/>
      <sheetName val="F_ALARM"/>
      <sheetName val="Analisa_Harga"/>
      <sheetName val="_0_1_0_0_0_1__6_0_¯耀㣋_______耀ÿ"/>
      <sheetName val="5_Anhas"/>
      <sheetName val="Analisa_Upah_&amp;_Bahan_Plum"/>
      <sheetName val="BQ__AC"/>
      <sheetName val="rincian_per_proyek"/>
      <sheetName val="A+Supl_"/>
      <sheetName val="rek_ME"/>
      <sheetName val="Agregat_Halus_&amp;_Kasar"/>
      <sheetName val="NSTD"/>
      <sheetName val="STD"/>
      <sheetName val="Informasi"/>
      <sheetName val="p_fb01"/>
      <sheetName val="p_fb02"/>
      <sheetName val="PLINT 3.1.G"/>
      <sheetName val="s_v13"/>
      <sheetName val="s_v14"/>
      <sheetName val="s_v16"/>
      <sheetName val="NS Lanjutan"/>
      <sheetName val="STD Lanjutan"/>
      <sheetName val="Mk Minor"/>
      <sheetName val="?0?1?0?0?0?1??6?0?¯???????_x0001_???ÿ"/>
      <sheetName val="?¯???????_x0001_???ÿ???English?ENW?en"/>
      <sheetName val="Foundation"/>
      <sheetName val="Master Edit"/>
      <sheetName val="pivot1"/>
      <sheetName val="Antek1"/>
      <sheetName val="HARSAT-lain"/>
      <sheetName val="HARSAT-tanah"/>
      <sheetName val="product"/>
      <sheetName val="Pipe"/>
      <sheetName val="Div2"/>
      <sheetName val="RBP- 2"/>
      <sheetName val="OP. ALAT"/>
      <sheetName val="OP. PERJAM"/>
      <sheetName val="B. PERSONIL"/>
      <sheetName val="KAN. LOKAL"/>
      <sheetName val="BAB_5_2_BiaLang"/>
      <sheetName val="BQ.jln"/>
      <sheetName val="BQ.jem"/>
      <sheetName val="bhn FINAL"/>
      <sheetName val="DAFT_HARG_SAT_PEK."/>
      <sheetName val="DAFT_ALAT,UPAH &amp; MAT"/>
      <sheetName val="SAP"/>
      <sheetName val="Urai _Resap pengikat"/>
      <sheetName val="D6 (2)"/>
      <sheetName val="HS-Divisi 3"/>
      <sheetName val="_x005f_x0000_¯___x005f_x0000__x005f_x0000__x005f_x0000_"/>
      <sheetName val="_0_1_0_0_0_1__6_0_¯耀㣋______x000"/>
      <sheetName val="List of Eqp"/>
      <sheetName val="UPA"/>
      <sheetName val="Anl.2s.d4e"/>
      <sheetName val="Admin"/>
      <sheetName val="Rekapitulasi"/>
      <sheetName val="??"/>
      <sheetName val="????"/>
      <sheetName val="NAME"/>
      <sheetName val="Daftar Upah"/>
      <sheetName val="DAF-2"/>
      <sheetName val="01.FA"/>
      <sheetName val="struktur"/>
      <sheetName val="Sat~Bahu"/>
      <sheetName val="Summary"/>
      <sheetName val="Analis Tambahan"/>
      <sheetName val="Analys"/>
      <sheetName val="pelita lapen"/>
      <sheetName val="Appendix 2(SatDas)"/>
      <sheetName val="Bq-Pk-A"/>
      <sheetName val="Rate"/>
      <sheetName val="S-Curve"/>
      <sheetName val="3.1.2a"/>
      <sheetName val="3.1.1a"/>
      <sheetName val="Vibro_Roller"/>
      <sheetName val="SAT-DAS"/>
      <sheetName val="RBP-_2"/>
      <sheetName val="OP__ALAT"/>
      <sheetName val="OP__PERJAM"/>
      <sheetName val="B__PERSONIL"/>
      <sheetName val="KAN__LOKAL"/>
      <sheetName val="NP_(4)2"/>
      <sheetName val="HRG_BHN2"/>
      <sheetName val="Analisa_&amp;_Upah2"/>
      <sheetName val="AN__TAMPL2"/>
      <sheetName val="Bill_Of_Quantity2"/>
      <sheetName val="NS_GD_UGD2"/>
      <sheetName val="STD_GD_UGD2"/>
      <sheetName val="rab_me_(by_owner)_2"/>
      <sheetName val="BQ_(by_owner)2"/>
      <sheetName val="rab_me_(fisik)2"/>
      <sheetName val="Analisa_ME2"/>
      <sheetName val="harga_bahan2"/>
      <sheetName val="MAIN_BQ2"/>
      <sheetName val="Harsat_BHN_AR,M2"/>
      <sheetName val="DRUP_(ASLI)2"/>
      <sheetName val="BQ_AC_FAN2"/>
      <sheetName val="ANLS__BETON_R__KELAS1"/>
      <sheetName val="iTEM_hARSAT2"/>
      <sheetName val="NS_GD_UTAMA2"/>
      <sheetName val="Analisa_22"/>
      <sheetName val="01A-_RAB2"/>
      <sheetName val="RKP_PLUMBING1"/>
      <sheetName val="rab_-_persiapan_&amp;_lantai-11"/>
      <sheetName val="Anl_+1"/>
      <sheetName val="ELEC_STIS1"/>
      <sheetName val="Analis_Kusen_1_ESKALASI1"/>
      <sheetName val="Tata_Udara1"/>
      <sheetName val="DAFTAR_HARGA1"/>
      <sheetName val="Data_Upah1"/>
      <sheetName val="Supl_X1"/>
      <sheetName val="box_culvert1"/>
      <sheetName val="Ahs_21"/>
      <sheetName val="Ahs_11"/>
      <sheetName val="Analisa_Harga_Satuan1"/>
      <sheetName val="_1"/>
      <sheetName val="Daftar_berat1"/>
      <sheetName val="AHS_-_Sipil1"/>
      <sheetName val="EXTERNAL_WORK1"/>
      <sheetName val="data_RSUD_KIS1"/>
      <sheetName val="RAB_AR&amp;STR1"/>
      <sheetName val="NP_(2)1"/>
      <sheetName val="Analisa_Satuan1"/>
      <sheetName val="1_B1"/>
      <sheetName val="Isolasi_Luar_Dalam1"/>
      <sheetName val="Isolasi_Luar1"/>
      <sheetName val="GLP_20011"/>
      <sheetName val="Met_Pas_Batu1"/>
      <sheetName val="Met__Minor1"/>
      <sheetName val="KR_Luar1"/>
      <sheetName val="REF_ONLY1"/>
      <sheetName val="gabungan_(2)1"/>
      <sheetName val="Analisa_BOW1"/>
      <sheetName val="Galian_batu1"/>
      <sheetName val="Fill_this_out_first___1"/>
      <sheetName val="an_tek_NP1"/>
      <sheetName val="Pintu_Jendela1"/>
      <sheetName val="DC-akses_bandara1"/>
      <sheetName val="NP_(3)1"/>
      <sheetName val="rekap_mekanikal1"/>
      <sheetName val="meth_hsl_nego1"/>
      <sheetName val="BGN_PENUNJANG1"/>
      <sheetName val="bukan_PNS1"/>
      <sheetName val="RBP-_21"/>
      <sheetName val="OP__ALAT1"/>
      <sheetName val="OP__PERJAM1"/>
      <sheetName val="B__PERSONIL1"/>
      <sheetName val="KAN__LOKAL1"/>
      <sheetName val="GRAPMARS"/>
      <sheetName val="?0?1?0?0?0?1??6?0?¯耀㣋?????_x000"/>
      <sheetName val="_x005f_x0000_¯??_x005f_x0000__x005f_x0000__x005f_x0000_"/>
      <sheetName val="_x005f_x005f_x005f_x0000_0_x005f_x005f_x005f_x0000_1_x0"/>
      <sheetName val="database"/>
      <sheetName val="GAJI"/>
      <sheetName val="Urai _ Guide Post"/>
      <sheetName val="Urai_Galian Tanah"/>
      <sheetName val="Estimate"/>
      <sheetName val="NP2"/>
      <sheetName val="AHSP"/>
      <sheetName val="RAB 1 PRABUMULIH LEMBAK KM 330+"/>
      <sheetName val="Master 1.0"/>
      <sheetName val="Unit Rate"/>
      <sheetName val="Beton"/>
      <sheetName val="SCH"/>
      <sheetName val="daftar harga satuan"/>
      <sheetName val="c"/>
      <sheetName val="f"/>
      <sheetName val="SPEC"/>
      <sheetName val="Rutin"/>
      <sheetName val="Harga Satuan"/>
      <sheetName val="analisa (2)"/>
      <sheetName val="Rekap Direct Cost"/>
      <sheetName val="Analisa -Baku"/>
      <sheetName val="Man Power"/>
      <sheetName val="ALEK"/>
      <sheetName val="DC-akses_bandara2"/>
      <sheetName val="rab_me_(by_owner)_3"/>
      <sheetName val="BQ_(by_owner)3"/>
      <sheetName val="rab_me_(fisik)3"/>
      <sheetName val="DC-akses_bandara3"/>
      <sheetName val="Analisa_ME3"/>
      <sheetName val="Hua Yang Quarterly"/>
      <sheetName val="An"/>
      <sheetName val="An.2"/>
      <sheetName val="_0_1_0_0_0_1__6_0_¯________x0001____ÿ"/>
      <sheetName val="_¯________x0001____ÿ___English_ENW_en"/>
      <sheetName val="H_Satuan5"/>
      <sheetName val="mob__dem4"/>
      <sheetName val="pek__tanah4"/>
      <sheetName val="k__batu_kali4"/>
      <sheetName val="Analisa_&amp;_Upah3"/>
      <sheetName val="AN__TAMPL3"/>
      <sheetName val="Bill_Of_Quantity3"/>
      <sheetName val="NP_(4)3"/>
      <sheetName val="DRUP__ASLI_2"/>
      <sheetName val="Stden_center2"/>
      <sheetName val="HRG_BHN3"/>
      <sheetName val="DRUP_(ASLI)3"/>
      <sheetName val="NS_GD_UGD3"/>
      <sheetName val="STD_GD_UGD3"/>
      <sheetName val="harga_bahan3"/>
      <sheetName val="MAIN_BQ3"/>
      <sheetName val="Harsat_BHN_AR,M3"/>
      <sheetName val="BQ_AC_FAN3"/>
      <sheetName val="01A-_RAB3"/>
      <sheetName val="Anl_+2"/>
      <sheetName val="iTEM_hARSAT3"/>
      <sheetName val="box_culvert2"/>
      <sheetName val="NS_GD_UTAMA3"/>
      <sheetName val="Analisa_23"/>
      <sheetName val="rab_-_persiapan_&amp;_lantai-12"/>
      <sheetName val="NP_(2)2"/>
      <sheetName val="data_RSUD_KIS2"/>
      <sheetName val="Analis_Kusen_1_ESKALASI2"/>
      <sheetName val="EXTERNAL_WORK2"/>
      <sheetName val="RAB_AR&amp;STR2"/>
      <sheetName val="dil"/>
      <sheetName val="div.2"/>
      <sheetName val="div.3 Tanah"/>
      <sheetName val="div.4 Sirtu"/>
      <sheetName val="div.5"/>
      <sheetName val="div.7 Beton"/>
      <sheetName val="div.8"/>
      <sheetName val="TRNS-C1"/>
      <sheetName val="struktur tdk dipakai"/>
      <sheetName val="BQ-E20-02(Rp)"/>
      <sheetName val="CapExpAppForm"/>
      <sheetName val="Penawaran"/>
      <sheetName val="O&amp;O"/>
      <sheetName val="__"/>
      <sheetName val="____"/>
      <sheetName val="_0_1_0_0_0_1__6_0_¯________x000"/>
      <sheetName val="_¯________x005f_x0001____ÿ___English_"/>
      <sheetName val="?0?1?0?0?0?1??6?0?¯???????_x000"/>
      <sheetName val="?¯???????_x005f_x0001_???ÿ???English?"/>
      <sheetName val="PESANTREN"/>
      <sheetName val="G"/>
      <sheetName val="Curup"/>
      <sheetName val="Prabu"/>
      <sheetName val="On Time"/>
      <sheetName val="BoQA"/>
      <sheetName val="List Material"/>
      <sheetName val="Budget"/>
      <sheetName val="PP"/>
      <sheetName val="AnalAdjust"/>
      <sheetName val="H Satuan Dasar"/>
      <sheetName val="metode"/>
      <sheetName val="an. major"/>
      <sheetName val="PConsCS"/>
      <sheetName val="dia-in"/>
      <sheetName val="Break_down"/>
      <sheetName val="bahan upah"/>
      <sheetName val="Upah Bahan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Data-Masukan"/>
      <sheetName val="S Curve"/>
      <sheetName val="Rekap S Curve (4)"/>
      <sheetName val="Rekap S Curve (3)"/>
      <sheetName val="BOOQ"/>
      <sheetName val="9"/>
      <sheetName val="mc adam"/>
      <sheetName val="ps batu&amp;brjg"/>
      <sheetName val="Rekap Biaya"/>
      <sheetName val="Bill rekap"/>
      <sheetName val="Bill of Qty"/>
      <sheetName val="FINISHING"/>
      <sheetName val="?0?1?0?"/>
      <sheetName val="Bongkar"/>
      <sheetName val="Kuantitas &amp; Harga"/>
      <sheetName val="BQ External"/>
      <sheetName val="EQ_an"/>
      <sheetName val="D &amp; W sizes"/>
      <sheetName val="AC unit"/>
      <sheetName val="EL acc"/>
      <sheetName val="EL lamp"/>
      <sheetName val="EL outlet"/>
      <sheetName val="Chiller acc"/>
      <sheetName val="Pipa PL"/>
      <sheetName val="PK acc"/>
      <sheetName val="PL acc"/>
      <sheetName val="PK valve"/>
      <sheetName val="PL valve"/>
      <sheetName val="AC valve"/>
      <sheetName val="PK pipe"/>
      <sheetName val="EL kabel"/>
      <sheetName val="AC power"/>
      <sheetName val="EL tray"/>
      <sheetName val="PL power"/>
      <sheetName val="PL unit"/>
      <sheetName val="PK unit"/>
      <sheetName val="EL arde"/>
      <sheetName val="DafHrgSatuan"/>
      <sheetName val="CODE"/>
      <sheetName val="Analysis"/>
      <sheetName val="5.1.ELEKTRIKAL-ELEKTRONIK"/>
      <sheetName val="DAF-BAHAN"/>
      <sheetName val="DAF-UPAH"/>
      <sheetName val="DAF-9"/>
      <sheetName val="PileCap"/>
      <sheetName val="An str"/>
      <sheetName val="tifico"/>
      <sheetName val="F1c DATA ADM6"/>
      <sheetName val="Galian 1"/>
      <sheetName val="Hrg"/>
      <sheetName val="DIV 7"/>
      <sheetName val="Kode"/>
      <sheetName val="Hst_mat"/>
      <sheetName val="LAL - PASAR PAGI "/>
      <sheetName val="_x0000_¯___x0000__x0000__x0000_"/>
      <sheetName val="_x005f_x0000_0_x005f_x0000_1_x0"/>
      <sheetName val="_x005f_x0000_¯___x005f_x0000__x"/>
      <sheetName val="_x005f_x005f_x005f_x0000_0_x005"/>
      <sheetName val="Fill this out first___"/>
      <sheetName val="Lead Schedule"/>
      <sheetName val="적용환율"/>
      <sheetName val="Manual"/>
      <sheetName val="List_of_Eqp"/>
      <sheetName val="ANALISA_ALAT_BERAT"/>
      <sheetName val="Anl_2s_d4e"/>
      <sheetName val="bhn_FINAL"/>
      <sheetName val="Mk_Minor"/>
      <sheetName val="Master_Edit"/>
      <sheetName val="HARGA_MATERIAL"/>
      <sheetName val="Rekap_Direct_Cost"/>
      <sheetName val="Analisa_-Baku"/>
      <sheetName val="3_1_2a"/>
      <sheetName val="3_1_1a"/>
      <sheetName val="Urai___Guide_Post"/>
      <sheetName val="Urai_Galian_Tanah"/>
      <sheetName val="Man_Power"/>
      <sheetName val="D6_(2)"/>
      <sheetName val="Lead_Schedule"/>
      <sheetName val="PLINT_3_1_G"/>
      <sheetName val="NS_Lanjutan"/>
      <sheetName val="STD_Lanjutan"/>
      <sheetName val="?0?1?0?0?0?1??6?0?¯??????????ÿ"/>
      <sheetName val="?¯??????????ÿ???English?ENW?en"/>
      <sheetName val="DAFT_HARG_SAT_PEK_"/>
      <sheetName val="DAFT_ALAT,UPAH_&amp;_MAT"/>
      <sheetName val="RKP_PLUMBING2"/>
      <sheetName val="HB_4"/>
      <sheetName val="Supl_X2"/>
      <sheetName val="ELEC_STIS2"/>
      <sheetName val="DAFTAR_HARGA2"/>
      <sheetName val="1_B2"/>
      <sheetName val="Bill_of_Qty_MEP1"/>
      <sheetName val="_2"/>
      <sheetName val="Form_A1"/>
      <sheetName val="Isolasi_Luar_Dalam2"/>
      <sheetName val="Isolasi_Luar2"/>
      <sheetName val="RKP__TOTAL1"/>
      <sheetName val="B_as1"/>
      <sheetName val="KONTRAK_INDUK_BULANAN1"/>
      <sheetName val="5_Anhas1"/>
      <sheetName val="Analisa_Upah_&amp;_Bahan_Plum1"/>
      <sheetName val="Bill_5_Summary1"/>
      <sheetName val="Bill_4_Summary1"/>
      <sheetName val="DAF_3_12"/>
      <sheetName val="DAF_3_111"/>
      <sheetName val="ANALISA_PEK_UMUM1"/>
      <sheetName val="UNIT_PRICE1"/>
      <sheetName val="Anls_teknis1"/>
      <sheetName val="Investment_Valuation1"/>
      <sheetName val="Cabling_Data&amp;Power1"/>
      <sheetName val="Blk-Mnl_lt_3-lt_atap1"/>
      <sheetName val="Alat_B1"/>
      <sheetName val="Bahan_B1"/>
      <sheetName val="Upah_B1"/>
      <sheetName val="BQ__AC1"/>
      <sheetName val="rincian_per_proyek1"/>
      <sheetName val="HRG_BAHAN_&amp;_UPAH_okk1"/>
      <sheetName val="Analis_Kusen_okk1"/>
      <sheetName val="A+Supl_1"/>
      <sheetName val="rek_ME1"/>
      <sheetName val="Input_monthly_capex1"/>
      <sheetName val="Prod_15-51"/>
      <sheetName val="Analisa_RAP1"/>
      <sheetName val="Analisa_RAB1"/>
      <sheetName val="List_of_Eqp1"/>
      <sheetName val="MARK_UP1"/>
      <sheetName val="ANALISA_ALAT_BERAT1"/>
      <sheetName val="Anl_2s_d4e1"/>
      <sheetName val="bhn_FINAL1"/>
      <sheetName val="Mk_Minor1"/>
      <sheetName val="Master_Edit1"/>
      <sheetName val="HARGA_MATERIAL1"/>
      <sheetName val="Rekap_Direct_Cost1"/>
      <sheetName val="Analisa_-Baku1"/>
      <sheetName val="3_1_2a1"/>
      <sheetName val="3_1_1a1"/>
      <sheetName val="Urai___Guide_Post1"/>
      <sheetName val="Urai_Galian_Tanah1"/>
      <sheetName val="F_ALARM1"/>
      <sheetName val="Analisa_Harga1"/>
      <sheetName val="Man_Power1"/>
      <sheetName val="D6_(2)1"/>
      <sheetName val="Lead_Schedule1"/>
      <sheetName val="PLINT_3_1_G1"/>
      <sheetName val="NS_Lanjutan1"/>
      <sheetName val="STD_Lanjutan1"/>
      <sheetName val="DAFT_HARG_SAT_PEK_1"/>
      <sheetName val="DAFT_ALAT,UPAH_&amp;_MAT1"/>
      <sheetName val="calc-2"/>
      <sheetName val="ANALISA-HST"/>
      <sheetName val="Hrg Readymix"/>
      <sheetName val="ANLS MPU"/>
      <sheetName val="a.2"/>
      <sheetName val="Prs"/>
      <sheetName val="prd01-5"/>
      <sheetName val="ANALISA EDIT"/>
      <sheetName val="Sal"/>
      <sheetName val="Harga Satuan Bahan "/>
      <sheetName val="Galian"/>
      <sheetName val="AC-WC"/>
      <sheetName val="Cold Miling"/>
      <sheetName val="Blk-Mnl"/>
      <sheetName val="_x005f_x005f_x005f_x0000_¯___x005f_x005f_x005f_x0000__x"/>
      <sheetName val="_¯________x005f_x005f_x005f_x0001____ÿ___En"/>
      <sheetName val="Analisa_Satuan2"/>
      <sheetName val="Fill_this_out_first___2"/>
      <sheetName val="Ahs_22"/>
      <sheetName val="Ahs_12"/>
      <sheetName val="Analisa_Harga_Satuan2"/>
      <sheetName val="gabungan_(2)2"/>
      <sheetName val="Galian_batu2"/>
      <sheetName val="meth_hsl_nego2"/>
      <sheetName val="REF_ONLY2"/>
      <sheetName val="KR_Luar2"/>
      <sheetName val="GLP_20012"/>
      <sheetName val="Met_Pas_Batu2"/>
      <sheetName val="Met__Minor2"/>
      <sheetName val="Daftar_berat2"/>
      <sheetName val="Data_Upah2"/>
      <sheetName val="Bill_of_Qty_MEP2"/>
      <sheetName val="Pintu_Jendela2"/>
      <sheetName val="rekap_mekanikal2"/>
      <sheetName val="AHS_-_Sipil2"/>
      <sheetName val="ANLS__BETON_R__KELAS2"/>
      <sheetName val="NP_(3)2"/>
      <sheetName val="BGN_PENUNJANG2"/>
      <sheetName val="Analisa_BOW2"/>
      <sheetName val="Form_A2"/>
      <sheetName val="KONTRAK_INDUK_BULANAN2"/>
      <sheetName val="RKP__TOTAL2"/>
      <sheetName val="B_as2"/>
      <sheetName val="Prod_15-52"/>
      <sheetName val="Analisa HSP"/>
      <sheetName val="_x005f_x005f_x005f_x005f_x005f_x005f_x005f_x0000_0_x005"/>
      <sheetName val="_x005f_x005f_x005f_x0000_¯??_x005f_x005f_x005f_x0000__x"/>
      <sheetName val="#REF"/>
      <sheetName val="hs_str"/>
      <sheetName val="Gali_Sal"/>
      <sheetName val="B-PRICE"/>
      <sheetName val="DivVII"/>
      <sheetName val="Data Masukan"/>
      <sheetName val="Fisik 2012"/>
      <sheetName val="Pek. Persiapan"/>
      <sheetName val="Rekap Anl.K"/>
      <sheetName val="Rekap Anl.SNI"/>
      <sheetName val="7"/>
      <sheetName val="ANALHASA"/>
      <sheetName val="BoQ(APBN)"/>
      <sheetName val="INDEKS"/>
      <sheetName val="JABATAN"/>
      <sheetName val="상반기손익차2총괄"/>
      <sheetName val="Hg.Sat"/>
      <sheetName val="PENGADAAN"/>
      <sheetName val="REF HARGA DASAR 2016"/>
      <sheetName val="T. Cs Log P III"/>
      <sheetName val="Har Sat"/>
      <sheetName val="610.05"/>
      <sheetName val="610.06"/>
      <sheetName val="610.07"/>
      <sheetName val="610.08"/>
      <sheetName val="ANTEK"/>
      <sheetName val="610.04"/>
      <sheetName val="MPU. 6-3(4).LastonAC"/>
      <sheetName val="Data Info"/>
      <sheetName val="bahan dan upah"/>
      <sheetName val="MAP2"/>
      <sheetName val="anal-mpu"/>
      <sheetName val="Input T. Schedule"/>
      <sheetName val="Data WI"/>
      <sheetName val="PkRp"/>
      <sheetName val="일위대가목차"/>
      <sheetName val="Rekap Analisa"/>
      <sheetName val="Daftar Upah,Bhn,&amp; alat"/>
      <sheetName val="SDMTA"/>
      <sheetName val="10"/>
      <sheetName val="5"/>
      <sheetName val="_¯________x0001____ÿ___English_"/>
      <sheetName val="01000160¯___ÿ"/>
      <sheetName val="¯___ÿ__EnglishENWen"/>
      <sheetName val="ANL"/>
      <sheetName val="Daf.Biaya sewa alat"/>
      <sheetName val="Urugan Pasir"/>
      <sheetName val="AHS-1"/>
      <sheetName val="TA"/>
      <sheetName val="U&amp;B"/>
      <sheetName val="PO-2"/>
      <sheetName val="Hal.010MUKAMC"/>
      <sheetName val="an.utara"/>
      <sheetName val="civil-work"/>
      <sheetName val="Watertank"/>
      <sheetName val="rekap-ans"/>
      <sheetName val="Analisa K"/>
      <sheetName val="_¯________x005f_x0001____ÿ___En"/>
      <sheetName val="Rek Tot"/>
      <sheetName val="Material&amp;Upah"/>
      <sheetName val="ANAL_P4"/>
      <sheetName val="DATA_2009"/>
      <sheetName val="RWD-02"/>
      <sheetName val="BAHAN (2)"/>
      <sheetName val="7.1(3)"/>
      <sheetName val="DIV.9"/>
      <sheetName val="HARGA DASAR"/>
      <sheetName val="WT-LIST"/>
      <sheetName val="UBA RAB"/>
      <sheetName val="DKH"/>
      <sheetName val="4-Basic Price"/>
      <sheetName val="Sat. Pek."/>
      <sheetName val="Alat (2)"/>
      <sheetName val="Input Data"/>
      <sheetName val="An-2"/>
      <sheetName val="An-4"/>
      <sheetName val="HrgBahan"/>
      <sheetName val="2.2"/>
      <sheetName val="HarAlat"/>
      <sheetName val="ANAL-TRM"/>
      <sheetName val="Peralatan Utama"/>
      <sheetName val="ANAL.BOW"/>
      <sheetName val="har-sat"/>
      <sheetName val="Meto"/>
      <sheetName val="hst  LAMP_1"/>
      <sheetName val="MINAT"/>
      <sheetName val="FRM-00"/>
      <sheetName val="BBM-03"/>
      <sheetName val="Rekap Addendum"/>
      <sheetName val="HSD_Alat"/>
      <sheetName val="ASEM내역"/>
      <sheetName val=" "/>
      <sheetName val="Tray&amp;Ladder"/>
      <sheetName val="Duct"/>
      <sheetName val="Other"/>
      <sheetName val="_x005f_x005f_x005f_x005f_x005f_x005f_x005f_x005f_x005f_x005f_"/>
      <sheetName val="_x005f_x005f_x005f_x005f_x005f_x005f_x005f_x0000_¯??_x0"/>
      <sheetName val="Daf.Dasar Upah&amp;Bahan"/>
      <sheetName val="Assumptions"/>
      <sheetName val="skenario"/>
      <sheetName val="DI.Gadung-1"/>
      <sheetName val="HARGA DSR"/>
      <sheetName val="Abpek"/>
      <sheetName val="SAT.UPAH"/>
      <sheetName val="SAPON"/>
      <sheetName val="BILL"/>
      <sheetName val="Pt"/>
      <sheetName val="mu"/>
      <sheetName val="RANGE"/>
      <sheetName val="Cover1"/>
      <sheetName val="Umum"/>
      <sheetName val="Harga Sat Dasar"/>
      <sheetName val="SUMBER DAYA"/>
      <sheetName val="breakdown"/>
      <sheetName val="PNT"/>
      <sheetName val="HargaSat"/>
      <sheetName val="1.GasAcct"/>
      <sheetName val="ARP-10"/>
      <sheetName val="DIVISI 3"/>
      <sheetName val="Div.7.2"/>
      <sheetName val="Jenjang_Eselon"/>
      <sheetName val="_x0000_¯??_x0000__x0000__x0000_"/>
      <sheetName val="?¯???????_x0001_???ÿ???English?"/>
      <sheetName val="_x0000_0_x0000_1_x0"/>
      <sheetName val="_¯________x0001____ÿ___En"/>
      <sheetName val="_x0000_¯___x0000__x"/>
      <sheetName val="_x005f_x0000_0_x005"/>
      <sheetName val="_x005f_x0000_¯??_x005f_x0000__x"/>
      <sheetName val="_x005f_x005f_x005f_x005f_"/>
      <sheetName val="_x005f_x005f_x005f_x0000_¯??_x0"/>
      <sheetName val="STRUKTUR-1"/>
      <sheetName val="TL"/>
      <sheetName val="Transfer Pump"/>
      <sheetName val="JUMLAHAN TOTAL "/>
      <sheetName val="SDM"/>
      <sheetName val="_x005f"/>
      <sheetName val="DIV 6"/>
      <sheetName val="Parameter"/>
      <sheetName val="Hsat1"/>
      <sheetName val="OwnEq"/>
      <sheetName val="Rekap 1"/>
      <sheetName val="D HARGA"/>
      <sheetName val="RATE&amp;FCTR"/>
      <sheetName val="BoQ Total_lama"/>
      <sheetName val="DashBoard"/>
      <sheetName val="PLANT"/>
      <sheetName val="Engine"/>
      <sheetName val="7.PEK-STRUKTUR"/>
      <sheetName val="Harga Baru"/>
      <sheetName val="BOQ건축"/>
      <sheetName val="RPP01-5"/>
      <sheetName val="DaftarHarga"/>
      <sheetName val="UP_an"/>
      <sheetName val="RAB FULL"/>
      <sheetName val="anal rinci"/>
      <sheetName val="SCHEDULE"/>
      <sheetName val="Luas-Tot"/>
      <sheetName val="Du_lieu"/>
      <sheetName val="EQ"/>
      <sheetName val="TRBP"/>
      <sheetName val="Tariptunda"/>
      <sheetName val="Tanah"/>
      <sheetName val="Exch.rate"/>
      <sheetName val="PRICE"/>
      <sheetName val="JobDetails"/>
      <sheetName val="BAG-III"/>
      <sheetName val="Aspal"/>
      <sheetName val="Main Office"/>
      <sheetName val="MASTER_ANALISA"/>
      <sheetName val="perkerasan rigid"/>
      <sheetName val="Basic Price"/>
      <sheetName val="D7"/>
      <sheetName val="Maleleng"/>
      <sheetName val="ANSAT K'AYI"/>
      <sheetName val="HARGA (2)"/>
      <sheetName val="ANAL ALAT"/>
      <sheetName val="Upah, alat &amp; harsat"/>
      <sheetName val="STA"/>
      <sheetName val="DSN"/>
      <sheetName val="PEK-PERKERASAN"/>
      <sheetName val="PEK ASPAL"/>
      <sheetName val="PEK-STRUKTUR"/>
      <sheetName val="PEK-MINOR"/>
      <sheetName val="B_7"/>
      <sheetName val="B_6"/>
      <sheetName val="3-DIV8"/>
      <sheetName val="FRP-E04-1"/>
      <sheetName val="DIV.1"/>
      <sheetName val="A-ALAT"/>
      <sheetName val="lamp 9"/>
      <sheetName val="ANALALAT"/>
      <sheetName val="Df-Kuan"/>
      <sheetName val="HargaDasar"/>
      <sheetName val="BACK - UP-GALIAN (ALAT)"/>
      <sheetName val="_0_1_0_0_0_1__6_0_¯__________ÿ"/>
      <sheetName val="_¯__________ÿ___English_ENW_en"/>
      <sheetName val="LS_Rutin"/>
      <sheetName val="Cash Flow bulanan"/>
      <sheetName val="3.1 (1) CS"/>
      <sheetName val="AnalisaHS"/>
      <sheetName val="Cash2"/>
      <sheetName val="DAF.HRG"/>
      <sheetName val="FIRE FIGHTING"/>
      <sheetName val="Analisa_&amp;_Upah4"/>
      <sheetName val="AN__TAMPL4"/>
      <sheetName val="Sheet3"/>
      <sheetName val="Gal Sal"/>
      <sheetName val="P2-Px"/>
      <sheetName val="STR(CANCEL)"/>
      <sheetName val="resap"/>
      <sheetName val="besi"/>
      <sheetName val="Rigid25"/>
      <sheetName val="gal biasa"/>
      <sheetName val="Hargamat"/>
      <sheetName val="sheet 2"/>
      <sheetName val="RAB ME"/>
      <sheetName val="Summary Sheets"/>
      <sheetName val="RAB-3"/>
      <sheetName val="BUL"/>
      <sheetName val="note"/>
      <sheetName val="H_Satuan6"/>
      <sheetName val="mob__dem5"/>
      <sheetName val="pek__tanah5"/>
      <sheetName val="k__batu_kali5"/>
      <sheetName val="HB_5"/>
      <sheetName val="01A-_RAB4"/>
      <sheetName val="Analisa_ME4"/>
      <sheetName val="harga_bahan4"/>
      <sheetName val="rab_me_(by_owner)_4"/>
      <sheetName val="BQ_(by_owner)4"/>
      <sheetName val="rab_me_(fisik)4"/>
      <sheetName val="Anl_+3"/>
      <sheetName val="Bill_Of_Quantity4"/>
      <sheetName val="NP_(4)4"/>
      <sheetName val="HRG_BHN4"/>
      <sheetName val="BQ_AC_FAN4"/>
      <sheetName val="DRUP_(ASLI)4"/>
      <sheetName val="MAIN_BQ4"/>
      <sheetName val="Harsat_BHN_AR,M4"/>
      <sheetName val="Analis_Kusen_1_ESKALASI3"/>
      <sheetName val="Analisa_24"/>
      <sheetName val="NS_GD_UGD4"/>
      <sheetName val="STD_GD_UGD4"/>
      <sheetName val="NS_GD_UTAMA4"/>
      <sheetName val="rab_-_persiapan_&amp;_lantai-13"/>
      <sheetName val="RKP_PLUMBING3"/>
      <sheetName val="ELEC_STIS3"/>
      <sheetName val="DAFTAR_HARGA3"/>
      <sheetName val="iTEM_hARSAT4"/>
      <sheetName val="Ahs_23"/>
      <sheetName val="Ahs_13"/>
      <sheetName val="KR_Luar3"/>
      <sheetName val="Supl_X3"/>
      <sheetName val="DRUP__ASLI_3"/>
      <sheetName val="Stden_center3"/>
      <sheetName val="REF_ONLY3"/>
      <sheetName val="Daftar_berat3"/>
      <sheetName val="Pintu_Jendela3"/>
      <sheetName val="meth_hsl_nego3"/>
      <sheetName val="box_culvert3"/>
      <sheetName val="Analisa_Harga_Satuan3"/>
      <sheetName val="Data_Upah3"/>
      <sheetName val="AHS_-_Sipil3"/>
      <sheetName val="EXTERNAL_WORK3"/>
      <sheetName val="data_RSUD_KIS3"/>
      <sheetName val="RAB_AR&amp;STR3"/>
      <sheetName val="NP_(2)3"/>
      <sheetName val="Analisa_Satuan3"/>
      <sheetName val="1_B3"/>
      <sheetName val="ANLS__BETON_R__KELAS3"/>
      <sheetName val="DC-akses_bandara4"/>
      <sheetName val="Fill_this_out_first___3"/>
      <sheetName val="Isolasi_Luar_Dalam3"/>
      <sheetName val="Isolasi_Luar3"/>
      <sheetName val="NP_(3)3"/>
      <sheetName val="GLP_20013"/>
      <sheetName val="Met_Pas_Batu3"/>
      <sheetName val="Met__Minor3"/>
      <sheetName val="_3"/>
      <sheetName val="rekap_mekanikal3"/>
      <sheetName val="BGN_PENUNJANG3"/>
      <sheetName val="Bill_of_Qty_MEP3"/>
      <sheetName val="Form_A3"/>
      <sheetName val="gabungan_(2)3"/>
      <sheetName val="Galian_batu3"/>
      <sheetName val="RKP__TOTAL3"/>
      <sheetName val="B_as3"/>
      <sheetName val="KONTRAK_INDUK_BULANAN3"/>
      <sheetName val="Analisa_BOW3"/>
      <sheetName val="5_Anhas2"/>
      <sheetName val="Tata_Udara2"/>
      <sheetName val="DAF_3_13"/>
      <sheetName val="DAF_3_112"/>
      <sheetName val="ANALISA_PEK_UMUM2"/>
      <sheetName val="UNIT_PRICE2"/>
      <sheetName val="Analisa_Upah_&amp;_Bahan_Plum2"/>
      <sheetName val="Bill_5_Summary2"/>
      <sheetName val="Bill_4_Summary2"/>
      <sheetName val="Anls_teknis2"/>
      <sheetName val="Blk-Mnl_lt_3-lt_atap2"/>
      <sheetName val="Investment_Valuation2"/>
      <sheetName val="Cabling_Data&amp;Power2"/>
      <sheetName val="Alat_B2"/>
      <sheetName val="Bahan_B2"/>
      <sheetName val="Upah_B2"/>
      <sheetName val="an_tek_NP2"/>
      <sheetName val="BQ__AC2"/>
      <sheetName val="rincian_per_proyek2"/>
      <sheetName val="A+Supl_2"/>
      <sheetName val="HRG_BAHAN_&amp;_UPAH_okk2"/>
      <sheetName val="Analis_Kusen_okk2"/>
      <sheetName val="rek_ME2"/>
      <sheetName val="RBP-_22"/>
      <sheetName val="OP__ALAT2"/>
      <sheetName val="OP__PERJAM2"/>
      <sheetName val="B__PERSONIL2"/>
      <sheetName val="KAN__LOKAL2"/>
      <sheetName val="bukan_PNS2"/>
      <sheetName val="Input_monthly_capex2"/>
      <sheetName val="Prod_15-53"/>
      <sheetName val="Analisa_RAP2"/>
      <sheetName val="Analisa_RAB2"/>
      <sheetName val="List_of_Eqp2"/>
      <sheetName val="MARK_UP2"/>
      <sheetName val="ANALISA_ALAT_BERAT2"/>
      <sheetName val="Anl_2s_d4e2"/>
      <sheetName val="bhn_FINAL2"/>
      <sheetName val="Mk_Minor2"/>
      <sheetName val="Master_Edit2"/>
      <sheetName val="HARGA_MATERIAL2"/>
      <sheetName val="Rekap_Direct_Cost2"/>
      <sheetName val="Analisa_-Baku2"/>
      <sheetName val="Urai___Guide_Post2"/>
      <sheetName val="Urai_Galian_Tanah2"/>
      <sheetName val="3_1_2a2"/>
      <sheetName val="3_1_1a2"/>
      <sheetName val="F_ALARM2"/>
      <sheetName val="Analisa_Harga2"/>
      <sheetName val="PLINT_3_1_G2"/>
      <sheetName val="NS_Lanjutan2"/>
      <sheetName val="STD_Lanjutan2"/>
      <sheetName val="D6_(2)2"/>
      <sheetName val="Man_Power2"/>
      <sheetName val="Lead_Schedule2"/>
      <sheetName val="DAFT_HARG_SAT_PEK_2"/>
      <sheetName val="DAFT_ALAT,UPAH_&amp;_MAT2"/>
      <sheetName val="Analis_Tambahan"/>
      <sheetName val="pelita_lapen"/>
      <sheetName val="Daftar_Upah"/>
      <sheetName val="Urai__Resap_pengikat"/>
      <sheetName val="01_FA"/>
      <sheetName val="BQ_jln"/>
      <sheetName val="BQ_jem"/>
      <sheetName val="Appendix_2(SatDas)"/>
      <sheetName val="DIV_7"/>
      <sheetName val="Agregat_Halus_&amp;_Kasar1"/>
      <sheetName val="HS-Divisi_3"/>
      <sheetName val="daftar_harga_satuan"/>
      <sheetName val="analisa_(2)"/>
      <sheetName val="Hua_Yang_Quarterly"/>
      <sheetName val="An_2"/>
      <sheetName val="On_Time"/>
      <sheetName val="List_Material"/>
      <sheetName val="Perm__Test"/>
      <sheetName val="Hrg_Sat"/>
      <sheetName val="F1c_DATA_ADM6"/>
      <sheetName val="Galian_1"/>
      <sheetName val="LAL_-_PASAR_PAGI_"/>
      <sheetName val="Fill_this_out_first___4"/>
      <sheetName val="Master_1_0"/>
      <sheetName val="Rekap_Addendum"/>
      <sheetName val="a_2"/>
      <sheetName val="analisa_Str"/>
      <sheetName val="610_07A"/>
      <sheetName val="Harga_Satuan"/>
      <sheetName val="struktur_tdk_dipakai"/>
      <sheetName val="An_str"/>
      <sheetName val="AC_unit"/>
      <sheetName val="EL_acc"/>
      <sheetName val="EL_lamp"/>
      <sheetName val="EL_outlet"/>
      <sheetName val="Chiller_acc"/>
      <sheetName val="Pipa_PL"/>
      <sheetName val="PK_acc"/>
      <sheetName val="PL_acc"/>
      <sheetName val="PK_valve"/>
      <sheetName val="PL_valve"/>
      <sheetName val="AC_valve"/>
      <sheetName val="PK_pipe"/>
      <sheetName val="EL_kabel"/>
      <sheetName val="AC_power"/>
      <sheetName val="EL_tray"/>
      <sheetName val="PL_power"/>
      <sheetName val="PL_unit"/>
      <sheetName val="PK_unit"/>
      <sheetName val="EL_arde"/>
      <sheetName val="Bill_rekap"/>
      <sheetName val="Bill_of_Qty"/>
      <sheetName val="H_Satuan_Dasar"/>
      <sheetName val="Analisa_HSP"/>
      <sheetName val="_¯__________ÿ___English_"/>
      <sheetName val="1_GasAcct"/>
      <sheetName val="Harga_Sat_Dasar"/>
      <sheetName val="Volume"/>
      <sheetName val="DSP"/>
      <sheetName val="_x005f_x005f_x005f_x0000_¯___x0"/>
      <sheetName val="_¯________x005f_x005f_x00"/>
      <sheetName val="Spek Fin "/>
      <sheetName val="REKAP TOTAL"/>
      <sheetName val="Luas Bangunan"/>
      <sheetName val="Spek ME"/>
      <sheetName val="Arsitektur"/>
      <sheetName val="岩性"/>
      <sheetName val="_x005f_x0000_¯___x0"/>
      <sheetName val="_¯________x00"/>
      <sheetName val="Analisa SNI"/>
      <sheetName val="ANALISA SM"/>
      <sheetName val="Bank"/>
      <sheetName val="Bunga"/>
      <sheetName val="Mark-up"/>
      <sheetName val="COAT&amp;WRAP-QIOT-#3"/>
      <sheetName val="PNT-QUOT-#3"/>
      <sheetName val="625-925"/>
      <sheetName val="125-325"/>
      <sheetName val="GRAND REKAP"/>
      <sheetName val="div7"/>
      <sheetName val="di2"/>
      <sheetName val="div71"/>
      <sheetName val="div4"/>
      <sheetName val="Harga S Dasar"/>
      <sheetName val="ALAT1"/>
      <sheetName val="CHART HB AC - WC"/>
      <sheetName val="Daf-Har-Pening"/>
      <sheetName val="HARGA PEK"/>
      <sheetName val="BQ-Structur"/>
      <sheetName val="Rekap RAP real (2)"/>
      <sheetName val="3 Koef Alat"/>
      <sheetName val="RAB Ekstern"/>
      <sheetName val="D9"/>
      <sheetName val="Legend"/>
      <sheetName val="ANALISA railing"/>
      <sheetName val="NAMES"/>
      <sheetName val="Daftar Harga Upah"/>
      <sheetName val="HARGA SAT"/>
      <sheetName val="LO"/>
      <sheetName val="Prod_Alat"/>
      <sheetName val="DHSD"/>
      <sheetName val="_0_1_0_"/>
      <sheetName val="STR &amp; ARS"/>
      <sheetName val="bahan+upah"/>
      <sheetName val="IPA1"/>
      <sheetName val="bd"/>
      <sheetName val="BRD"/>
      <sheetName val="BANTU"/>
      <sheetName val="terbilang1"/>
      <sheetName val="41,9&amp;36,3"/>
      <sheetName val="HARVEST02"/>
      <sheetName val="REKAP GROSS"/>
      <sheetName val="Mobilindo"/>
      <sheetName val="eq_data"/>
      <sheetName val="NS"/>
      <sheetName val="Rebar"/>
      <sheetName val="Metod TWR"/>
      <sheetName val="대비표"/>
      <sheetName val="351BQMCN"/>
      <sheetName val="Data 3"/>
      <sheetName val="AHS 3"/>
      <sheetName val="BOQ 3"/>
      <sheetName val="Keterangan"/>
      <sheetName val="Anl-II"/>
      <sheetName val="An. Alat"/>
      <sheetName val="Valve PL"/>
      <sheetName val="Peralatan PL"/>
      <sheetName val="402"/>
      <sheetName val="beam"/>
      <sheetName val="KJ 2002"/>
      <sheetName val="Calculation Sheet"/>
      <sheetName val="hsp-STR-ARS"/>
      <sheetName val="analis_abow"/>
      <sheetName val="analis_k100"/>
      <sheetName val="analis_k200"/>
      <sheetName val="analis_k400"/>
      <sheetName val="analis_k500"/>
      <sheetName val="plat_duicker"/>
      <sheetName val="materials"/>
      <sheetName val="BHN"/>
      <sheetName val="RAB 3"/>
      <sheetName val="PT."/>
      <sheetName val="B"/>
      <sheetName val="Analisa.Hourly"/>
      <sheetName val="Rek.Analisa"/>
      <sheetName val="Bahan1"/>
      <sheetName val="Analisa ME UPT"/>
      <sheetName val="D4"/>
      <sheetName val="D6"/>
      <sheetName val="div7.3(1)"/>
      <sheetName val="Harga bahan-1"/>
      <sheetName val="rekap1"/>
      <sheetName val="DETAIL POS 123"/>
      <sheetName val="TYPE-A"/>
      <sheetName val="HrgUpahBahan"/>
      <sheetName val="Bill_Qua"/>
      <sheetName val="M.Pekerjaan"/>
      <sheetName val="ANAL RABP"/>
      <sheetName val="BAHAN &amp; ALAT "/>
      <sheetName val="Harga Bahan &amp; Upah"/>
      <sheetName val="KEBUT BHN"/>
      <sheetName val="NP_MRK"/>
      <sheetName val="Bill 2.1 Basement 41 "/>
      <sheetName val="bahan SNI"/>
      <sheetName val="HB"/>
      <sheetName val="_x005f_x005f_x005f_x005f_x005f_x005f_x005f_x0000_¯___x0"/>
      <sheetName val="ahs (doors-windows)"/>
      <sheetName val="BLM TERBAYAR"/>
      <sheetName val="CS_SS892"/>
      <sheetName val="CS_SS191"/>
      <sheetName val="CS_SS192"/>
      <sheetName val="CS_SS961"/>
      <sheetName val="CS_SS391"/>
      <sheetName val="CS_SS791"/>
      <sheetName val="CS_SS491"/>
      <sheetName val="CS_SS492"/>
      <sheetName val="MVCable"/>
      <sheetName val="COCable"/>
      <sheetName val="URAIAN "/>
      <sheetName val="LS-Rutin"/>
      <sheetName val="갑지"/>
      <sheetName val="NP-6"/>
      <sheetName val="HSUMUM.XLS"/>
      <sheetName val="HSTANAH"/>
      <sheetName val="HSBETON"/>
      <sheetName val="Schedule Daan Mogot"/>
      <sheetName val="Schedule Yasmin"/>
      <sheetName val="Schedule Lingkar Barat"/>
      <sheetName val="DEPR"/>
      <sheetName val="RAB.SEKRETARIAT (1)"/>
      <sheetName val="2div7+1"/>
      <sheetName val="chitimc"/>
      <sheetName val="dongia (2)"/>
      <sheetName val="LKVL-CK-HT-GD1"/>
      <sheetName val="lam-moi"/>
      <sheetName val="THPDMoi  (2)"/>
      <sheetName val="k300 123"/>
      <sheetName val="VLOOK"/>
      <sheetName val="List"/>
      <sheetName val="PB(B)"/>
      <sheetName val="PB_B_"/>
      <sheetName val="TOWN"/>
      <sheetName val="FORM X COST"/>
      <sheetName val="KIB C GEDUNG &amp; BANGUNAN"/>
      <sheetName val="ELEMENT SUM"/>
      <sheetName val="Daftar No MAPPI"/>
      <sheetName val="AN-CH2"/>
      <sheetName val="GS Tanah Kalimas Baru (2)"/>
      <sheetName val="PPC"/>
      <sheetName val="H_S_BAHAN"/>
      <sheetName val="arab"/>
      <sheetName val="giathanh1"/>
      <sheetName val="H. Sat"/>
      <sheetName val="REKAP THPIII"/>
      <sheetName val="Stdiii"/>
      <sheetName val="NStdiii"/>
      <sheetName val="UT&amp;SDiii"/>
      <sheetName val="DAYA PLN"/>
      <sheetName val="bhn,upah,alat"/>
      <sheetName val="Ans Kom Precast"/>
      <sheetName val="BYYALAT"/>
      <sheetName val="Koef"/>
      <sheetName val="forml"/>
      <sheetName val="MING I"/>
      <sheetName val="Bangunan Utama"/>
      <sheetName val="4"/>
      <sheetName val="2"/>
      <sheetName val="PERNYATAAN"/>
      <sheetName val="Drainase"/>
      <sheetName val="analisa 1"/>
      <sheetName val="bialangsung"/>
      <sheetName val="#REF!"/>
      <sheetName val="Param"/>
      <sheetName val="BHN-ALAT"/>
      <sheetName val="MAPP"/>
      <sheetName val="BHN+KMK"/>
      <sheetName val="eval"/>
      <sheetName val="DKH_2"/>
      <sheetName val="Stay Cable-1"/>
      <sheetName val="DKH_1"/>
      <sheetName val="SUB+KMK"/>
      <sheetName val="TNG"/>
      <sheetName val="5.1-5.4(1)-5.4(2)"/>
      <sheetName val="HARGA ALAT"/>
      <sheetName val="2-JTW"/>
      <sheetName val="Factor"/>
      <sheetName val="Currency Rate"/>
      <sheetName val="Conn. Lib"/>
      <sheetName val="DSBDY"/>
      <sheetName val="R1. GREJA KATHOLIK"/>
      <sheetName val="PK-PPK Elektrikal"/>
      <sheetName val="dt6"/>
      <sheetName val="DT9"/>
      <sheetName val="DAFTAR HARGA BAHAN "/>
      <sheetName val="NK"/>
      <sheetName val="SUM_PERS_STRUK"/>
      <sheetName val="bq m&amp;e_r"/>
      <sheetName val="R.A.B."/>
      <sheetName val="H.Sat. Pekerjaan"/>
      <sheetName val="H. Bahan"/>
      <sheetName val="Analisa H.Sat."/>
      <sheetName val="DON GIA"/>
      <sheetName val="CHITIET VL_NC"/>
      <sheetName val="Tiepdia"/>
      <sheetName val="TDTKP"/>
      <sheetName val="TONGKE3p "/>
      <sheetName val="VCV_BE_TONG"/>
      <sheetName val="TNHCHINH"/>
      <sheetName val="Floor"/>
      <sheetName val="BQ-Str"/>
      <sheetName val="Floor finishes"/>
      <sheetName val="harga bahan k"/>
      <sheetName val="MASTER BAHAN ME"/>
      <sheetName val="EK-JAN-2010"/>
      <sheetName val="ANALISA GRS SELATAN"/>
      <sheetName val="8410(Kerb)"/>
      <sheetName val="영업소실적"/>
      <sheetName val="Rekap "/>
      <sheetName val="Transfer Master"/>
      <sheetName val="Transfer"/>
      <sheetName val="K3-Gaji Kontrak"/>
      <sheetName val="Gaji Kontrak"/>
      <sheetName val="K3-Honor"/>
      <sheetName val="Kwitansi Honor"/>
      <sheetName val="All Division by SBU"/>
      <sheetName val="smt"/>
      <sheetName val="anal-drainase,tanah&amp;ps batu"/>
      <sheetName val="anal-beton"/>
      <sheetName val="anal-aspal"/>
      <sheetName val="anal-mos"/>
      <sheetName val="REKAP Prbndingn"/>
      <sheetName val="Konfirm"/>
      <sheetName val="GeneralInfo"/>
      <sheetName val="ETAB 1"/>
      <sheetName val="analis_k600"/>
      <sheetName val="analis_k700"/>
      <sheetName val="Harsat Bahan"/>
      <sheetName val="Harsat Upah"/>
      <sheetName val="Daf-4.5_Final"/>
      <sheetName val="Daftar Harga Material"/>
      <sheetName val="Pek. Pondasi"/>
      <sheetName val="Pek. Dinding"/>
      <sheetName val="Pek. Kayu"/>
      <sheetName val="Pek. Beton"/>
      <sheetName val="Pek. Penutup Atap"/>
      <sheetName val="Pek. Langit-langit"/>
      <sheetName val="Pek. Sanitasi"/>
      <sheetName val="Pek. Besi &amp; Alumunium"/>
      <sheetName val="Pek. Kunci &amp; Kaca"/>
      <sheetName val="Pek. Penutup Lantai &amp; dinding"/>
      <sheetName val="Pek. Pengecatan"/>
      <sheetName val="Prime"/>
      <sheetName val="GalSal"/>
      <sheetName val="RAB VOL"/>
      <sheetName val="Ana. PU"/>
      <sheetName val="compaction"/>
      <sheetName val="Peralatan"/>
      <sheetName val="841"/>
      <sheetName val="811"/>
      <sheetName val="pivot2"/>
      <sheetName val="UnitRate22"/>
      <sheetName val="SD (1)"/>
      <sheetName val="BQ-1"/>
      <sheetName val="Data Umum Penawaran"/>
      <sheetName val="ITB COST"/>
      <sheetName val="costing_ESDV"/>
      <sheetName val="HRG BAHAN _ UPAH okk"/>
      <sheetName val="costing_MOV"/>
      <sheetName val="costing_Press"/>
      <sheetName val="MP3"/>
      <sheetName val="REKAP ELEKTRIKAL"/>
      <sheetName val="DMPU"/>
      <sheetName val="BQ-Tenis"/>
      <sheetName val="Prelim"/>
      <sheetName val="Analisa_&amp;_Upah5"/>
      <sheetName val="AN__TAMPL5"/>
      <sheetName val="SUMBER_DAYA"/>
      <sheetName val="Har_Sat"/>
      <sheetName val="610_05"/>
      <sheetName val="610_06"/>
      <sheetName val="610_07"/>
      <sheetName val="610_08"/>
      <sheetName val="610_04"/>
      <sheetName val="MPU__6-3(4)_LastonAC"/>
      <sheetName val="Data_Info"/>
      <sheetName val="bahan_dan_upah"/>
      <sheetName val="5_1_ELEKTRIKAL-ELEKTRONIK"/>
      <sheetName val="Daftar_Harga_Upah"/>
      <sheetName val="CHART_HB_AC_-_WC"/>
      <sheetName val="Urugan_Pasir"/>
      <sheetName val="Rek_Tot"/>
      <sheetName val="an__major"/>
      <sheetName val="Analisa_K"/>
      <sheetName val="hst__LAMP_1"/>
      <sheetName val="_4"/>
      <sheetName val="S_Curve"/>
      <sheetName val="Rekap_S_Curve_(4)"/>
      <sheetName val="Rekap_S_Curve_(3)"/>
      <sheetName val="Daf_Dasar_Upah&amp;Bahan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Unit_Rate"/>
      <sheetName val="RAB_1_PRABUMULIH_LEMBAK_KM_330+"/>
      <sheetName val="Hal_010MUKAMC"/>
      <sheetName val="BAHAN_(2)"/>
      <sheetName val="ANALISA_railing"/>
      <sheetName val="HARGA_SAT"/>
      <sheetName val="D_&amp;_W_sizes"/>
      <sheetName val="01_x0"/>
      <sheetName val="_¯__________ÿ___En"/>
      <sheetName val="REKAP_GROSS"/>
      <sheetName val="JUMLAHAN_TOTAL_"/>
      <sheetName val="Cold_Miling"/>
      <sheetName val="Data_Masukan"/>
      <sheetName val="Fisik_2012"/>
      <sheetName val="Pek__Persiapan"/>
      <sheetName val="Harga_Satuan_Bahan_"/>
      <sheetName val="ANALISA_EDIT"/>
      <sheetName val="Rekap_Anl_K"/>
      <sheetName val="Rekap_Anl_SNI"/>
      <sheetName val="STR_&amp;_ARS"/>
      <sheetName val="Ana__PU"/>
      <sheetName val="2_2"/>
      <sheetName val="Spek_Fin_"/>
      <sheetName val="REKAP_TOTAL"/>
      <sheetName val="Luas_Bangunan"/>
      <sheetName val="Spek_ME"/>
      <sheetName val="Data_WI"/>
      <sheetName val="Transfer_Pump"/>
      <sheetName val="an_utara"/>
      <sheetName val="div_2"/>
      <sheetName val="div_3_Tanah"/>
      <sheetName val="div_4_Sirtu"/>
      <sheetName val="div_5"/>
      <sheetName val="div_7_Beton"/>
      <sheetName val="div_8"/>
      <sheetName val="Peralatan_Utama"/>
      <sheetName val="ANAL_RABP"/>
      <sheetName val="BAHAN_&amp;_ALAT_"/>
      <sheetName val="Upah_Bahan"/>
      <sheetName val="bahan_upah"/>
      <sheetName val="ANLS_MPU"/>
      <sheetName val="SD_(1)"/>
      <sheetName val="DIVISI_3"/>
      <sheetName val="Div_7_2"/>
      <sheetName val="Data_Umum_Penawaran"/>
      <sheetName val="ITB_COST"/>
      <sheetName val="HRG_BAHAN___UPAH_okk"/>
      <sheetName val="REKAP_ELEKTRIKAL"/>
      <sheetName val="4-Basic_Price"/>
      <sheetName val="HARGA_DSR"/>
      <sheetName val="lamp. 12"/>
      <sheetName val="Lamp-2(Alat)"/>
      <sheetName val="Lamp-2(Bahan)"/>
      <sheetName val="Lamp-2(Upah)"/>
      <sheetName val="Surat2"/>
      <sheetName val="Eval. Arus Kas"/>
      <sheetName val="(8)"/>
      <sheetName val="(9)"/>
      <sheetName val="(2)"/>
      <sheetName val="(1)"/>
      <sheetName val="(3)"/>
      <sheetName val="(4)"/>
      <sheetName val="(10)"/>
      <sheetName val="(5)"/>
      <sheetName val="(7)"/>
      <sheetName val="(6)"/>
      <sheetName val="REKAP DINDING"/>
      <sheetName val="sampul"/>
      <sheetName val="FA"/>
      <sheetName val="SOUND"/>
      <sheetName val="CCTV"/>
      <sheetName val="ACCESS"/>
      <sheetName val="GPON"/>
      <sheetName val="RACK_EC"/>
      <sheetName val="GR_EC"/>
      <sheetName val="SS"/>
      <sheetName val="A.Card"/>
      <sheetName val="TLP"/>
      <sheetName val="TP"/>
      <sheetName val="D.Kamar"/>
      <sheetName val="_x0000_0_x005"/>
      <sheetName val="_x005f_x005f_"/>
      <sheetName val="ENC.14"/>
      <sheetName val="BQ INT"/>
      <sheetName val="UNIT-PRICE"/>
      <sheetName val="Rekap RKDK Maret'17 "/>
      <sheetName val="Uraian Analisa"/>
      <sheetName val="MP-P"/>
      <sheetName val="CH"/>
      <sheetName val="SKEDUL AV-05"/>
      <sheetName val="Anal-1"/>
      <sheetName val="Ans SNI"/>
      <sheetName val="BQ29"/>
      <sheetName val="H_Satuan16"/>
      <sheetName val="mob__dem15"/>
      <sheetName val="pek__tanah15"/>
      <sheetName val="k__batu_kali15"/>
      <sheetName val="rab_me_(by_owner)_15"/>
      <sheetName val="BQ_(by_owner)15"/>
      <sheetName val="rab_me_(fisik)15"/>
      <sheetName val="HB_14"/>
      <sheetName val="Analisa_ME15"/>
      <sheetName val="NS_GD_UGD14"/>
      <sheetName val="STD_GD_UGD14"/>
      <sheetName val="harga_bahan15"/>
      <sheetName val="Analisa_&amp;_Upah15"/>
      <sheetName val="AN__TAMPL15"/>
      <sheetName val="01A-_RAB15"/>
      <sheetName val="rab_-_persiapan_&amp;_lantai-114"/>
      <sheetName val="HRG_BHN14"/>
      <sheetName val="Bill_Of_Quantity14"/>
      <sheetName val="DRUP_(ASLI)14"/>
      <sheetName val="NS_GD_UTAMA14"/>
      <sheetName val="Analis_Kusen_1_ESKALASI14"/>
      <sheetName val="Analisa_214"/>
      <sheetName val="BQ_AC_FAN14"/>
      <sheetName val="iTEM_hARSAT14"/>
      <sheetName val="NP_(4)14"/>
      <sheetName val="Anl_+14"/>
      <sheetName val="ELEC_STIS14"/>
      <sheetName val="RKP_PLUMBING14"/>
      <sheetName val="Supl_X14"/>
      <sheetName val="MAIN_BQ14"/>
      <sheetName val="Harsat_BHN_AR,M14"/>
      <sheetName val="Ahs_214"/>
      <sheetName val="Ahs_114"/>
      <sheetName val="Daftar_berat14"/>
      <sheetName val="Pintu_Jendela14"/>
      <sheetName val="DRUP__ASLI_14"/>
      <sheetName val="Stden_center14"/>
      <sheetName val="DAFTAR_HARGA14"/>
      <sheetName val="KR_Luar14"/>
      <sheetName val="REF_ONLY14"/>
      <sheetName val="meth_hsl_nego14"/>
      <sheetName val="box_culvert14"/>
      <sheetName val="GLP_200114"/>
      <sheetName val="Met_Pas_Batu14"/>
      <sheetName val="Met__Minor14"/>
      <sheetName val="1_B14"/>
      <sheetName val="Analisa_Harga_Satuan14"/>
      <sheetName val="Data_Upah14"/>
      <sheetName val="EXTERNAL_WORK14"/>
      <sheetName val="NP_(2)14"/>
      <sheetName val="data_RSUD_KIS14"/>
      <sheetName val="DC-akses_bandara14"/>
      <sheetName val="Bill_of_Qty_MEP14"/>
      <sheetName val="Alat_B14"/>
      <sheetName val="Bahan_B14"/>
      <sheetName val="Upah_B14"/>
      <sheetName val="Analisa_Upah_&amp;_Bahan_Plum14"/>
      <sheetName val="AHS_-_Sipil14"/>
      <sheetName val="RAB_AR&amp;STR14"/>
      <sheetName val="Analisa_Satuan14"/>
      <sheetName val="ANLS__BETON_R__KELAS14"/>
      <sheetName val="Fill_this_out_first___14"/>
      <sheetName val="Isolasi_Luar_Dalam14"/>
      <sheetName val="Isolasi_Luar14"/>
      <sheetName val="NP_(3)14"/>
      <sheetName val="_14"/>
      <sheetName val="gabungan_(2)14"/>
      <sheetName val="Galian_batu14"/>
      <sheetName val="Form_A14"/>
      <sheetName val="BGN_PENUNJANG14"/>
      <sheetName val="RKP__TOTAL14"/>
      <sheetName val="B_as14"/>
      <sheetName val="KONTRAK_INDUK_BULANAN14"/>
      <sheetName val="Analisa_BOW14"/>
      <sheetName val="H_Satuan8"/>
      <sheetName val="mob__dem7"/>
      <sheetName val="pek__tanah7"/>
      <sheetName val="k__batu_kali7"/>
      <sheetName val="rab_me_(by_owner)_7"/>
      <sheetName val="BQ_(by_owner)7"/>
      <sheetName val="rab_me_(fisik)7"/>
      <sheetName val="HB_6"/>
      <sheetName val="Analisa_ME7"/>
      <sheetName val="NS_GD_UGD6"/>
      <sheetName val="STD_GD_UGD6"/>
      <sheetName val="harga_bahan7"/>
      <sheetName val="Analisa_&amp;_Upah7"/>
      <sheetName val="AN__TAMPL7"/>
      <sheetName val="01A-_RAB7"/>
      <sheetName val="rab_-_persiapan_&amp;_lantai-16"/>
      <sheetName val="HRG_BHN6"/>
      <sheetName val="Bill_Of_Quantity6"/>
      <sheetName val="DRUP_(ASLI)6"/>
      <sheetName val="NS_GD_UTAMA6"/>
      <sheetName val="Analis_Kusen_1_ESKALASI6"/>
      <sheetName val="Analisa_26"/>
      <sheetName val="BQ_AC_FAN6"/>
      <sheetName val="iTEM_hARSAT6"/>
      <sheetName val="NP_(4)6"/>
      <sheetName val="Anl_+6"/>
      <sheetName val="ELEC_STIS6"/>
      <sheetName val="RKP_PLUMBING6"/>
      <sheetName val="Supl_X6"/>
      <sheetName val="MAIN_BQ6"/>
      <sheetName val="Harsat_BHN_AR,M6"/>
      <sheetName val="Ahs_26"/>
      <sheetName val="Ahs_16"/>
      <sheetName val="Daftar_berat6"/>
      <sheetName val="Pintu_Jendela6"/>
      <sheetName val="DRUP__ASLI_6"/>
      <sheetName val="Stden_center6"/>
      <sheetName val="DAFTAR_HARGA6"/>
      <sheetName val="KR_Luar6"/>
      <sheetName val="REF_ONLY6"/>
      <sheetName val="meth_hsl_nego6"/>
      <sheetName val="box_culvert6"/>
      <sheetName val="GLP_20016"/>
      <sheetName val="Met_Pas_Batu6"/>
      <sheetName val="Met__Minor6"/>
      <sheetName val="1_B6"/>
      <sheetName val="Analisa_Harga_Satuan6"/>
      <sheetName val="Data_Upah6"/>
      <sheetName val="EXTERNAL_WORK6"/>
      <sheetName val="NP_(2)6"/>
      <sheetName val="data_RSUD_KIS6"/>
      <sheetName val="DC-akses_bandara6"/>
      <sheetName val="Bill_of_Qty_MEP6"/>
      <sheetName val="Alat_B6"/>
      <sheetName val="Bahan_B6"/>
      <sheetName val="Upah_B6"/>
      <sheetName val="Analisa_Upah_&amp;_Bahan_Plum6"/>
      <sheetName val="AHS_-_Sipil6"/>
      <sheetName val="RAB_AR&amp;STR6"/>
      <sheetName val="Analisa_Satuan6"/>
      <sheetName val="ANLS__BETON_R__KELAS6"/>
      <sheetName val="Fill_this_out_first___6"/>
      <sheetName val="Isolasi_Luar_Dalam6"/>
      <sheetName val="Isolasi_Luar6"/>
      <sheetName val="NP_(3)6"/>
      <sheetName val="_6"/>
      <sheetName val="gabungan_(2)6"/>
      <sheetName val="Galian_batu6"/>
      <sheetName val="Form_A6"/>
      <sheetName val="BGN_PENUNJANG6"/>
      <sheetName val="RKP__TOTAL6"/>
      <sheetName val="B_as6"/>
      <sheetName val="KONTRAK_INDUK_BULANAN6"/>
      <sheetName val="Analisa_BOW6"/>
      <sheetName val="rab_me_(by_owner)_5"/>
      <sheetName val="BQ_(by_owner)5"/>
      <sheetName val="rab_me_(fisik)5"/>
      <sheetName val="Analisa_ME5"/>
      <sheetName val="harga_bahan5"/>
      <sheetName val="01A-_RAB5"/>
      <sheetName val="rab_-_persiapan_&amp;_lantai-14"/>
      <sheetName val="Analis_Kusen_1_ESKALASI4"/>
      <sheetName val="Anl_+4"/>
      <sheetName val="ELEC_STIS4"/>
      <sheetName val="RKP_PLUMBING4"/>
      <sheetName val="Supl_X4"/>
      <sheetName val="Ahs_24"/>
      <sheetName val="Ahs_14"/>
      <sheetName val="Daftar_berat4"/>
      <sheetName val="Pintu_Jendela4"/>
      <sheetName val="DRUP__ASLI_4"/>
      <sheetName val="Stden_center4"/>
      <sheetName val="DAFTAR_HARGA4"/>
      <sheetName val="KR_Luar4"/>
      <sheetName val="REF_ONLY4"/>
      <sheetName val="meth_hsl_nego4"/>
      <sheetName val="box_culvert4"/>
      <sheetName val="GLP_20014"/>
      <sheetName val="Met_Pas_Batu4"/>
      <sheetName val="Met__Minor4"/>
      <sheetName val="1_B4"/>
      <sheetName val="Analisa_Harga_Satuan4"/>
      <sheetName val="Data_Upah4"/>
      <sheetName val="EXTERNAL_WORK4"/>
      <sheetName val="NP_(2)4"/>
      <sheetName val="data_RSUD_KIS4"/>
      <sheetName val="Bill_of_Qty_MEP4"/>
      <sheetName val="Alat_B4"/>
      <sheetName val="Bahan_B4"/>
      <sheetName val="Upah_B4"/>
      <sheetName val="Analisa_Upah_&amp;_Bahan_Plum4"/>
      <sheetName val="AHS_-_Sipil4"/>
      <sheetName val="RAB_AR&amp;STR4"/>
      <sheetName val="Analisa_Satuan4"/>
      <sheetName val="ANLS__BETON_R__KELAS4"/>
      <sheetName val="Isolasi_Luar_Dalam4"/>
      <sheetName val="Isolasi_Luar4"/>
      <sheetName val="NP_(3)4"/>
      <sheetName val="gabungan_(2)4"/>
      <sheetName val="Galian_batu4"/>
      <sheetName val="Form_A4"/>
      <sheetName val="BGN_PENUNJANG4"/>
      <sheetName val="RKP__TOTAL4"/>
      <sheetName val="B_as4"/>
      <sheetName val="KONTRAK_INDUK_BULANAN4"/>
      <sheetName val="Analisa_BOW4"/>
      <sheetName val="Alat_B3"/>
      <sheetName val="Bahan_B3"/>
      <sheetName val="Upah_B3"/>
      <sheetName val="Analisa_Upah_&amp;_Bahan_Plum3"/>
      <sheetName val="H_Satuan7"/>
      <sheetName val="mob__dem6"/>
      <sheetName val="pek__tanah6"/>
      <sheetName val="k__batu_kali6"/>
      <sheetName val="rab_me_(by_owner)_6"/>
      <sheetName val="BQ_(by_owner)6"/>
      <sheetName val="rab_me_(fisik)6"/>
      <sheetName val="Analisa_ME6"/>
      <sheetName val="NS_GD_UGD5"/>
      <sheetName val="STD_GD_UGD5"/>
      <sheetName val="harga_bahan6"/>
      <sheetName val="Analisa_&amp;_Upah6"/>
      <sheetName val="AN__TAMPL6"/>
      <sheetName val="01A-_RAB6"/>
      <sheetName val="rab_-_persiapan_&amp;_lantai-15"/>
      <sheetName val="HRG_BHN5"/>
      <sheetName val="Bill_Of_Quantity5"/>
      <sheetName val="DRUP_(ASLI)5"/>
      <sheetName val="NS_GD_UTAMA5"/>
      <sheetName val="Analis_Kusen_1_ESKALASI5"/>
      <sheetName val="Analisa_25"/>
      <sheetName val="BQ_AC_FAN5"/>
      <sheetName val="iTEM_hARSAT5"/>
      <sheetName val="NP_(4)5"/>
      <sheetName val="Anl_+5"/>
      <sheetName val="ELEC_STIS5"/>
      <sheetName val="RKP_PLUMBING5"/>
      <sheetName val="Supl_X5"/>
      <sheetName val="MAIN_BQ5"/>
      <sheetName val="Harsat_BHN_AR,M5"/>
      <sheetName val="Ahs_25"/>
      <sheetName val="Ahs_15"/>
      <sheetName val="Daftar_berat5"/>
      <sheetName val="Pintu_Jendela5"/>
      <sheetName val="DRUP__ASLI_5"/>
      <sheetName val="Stden_center5"/>
      <sheetName val="DAFTAR_HARGA5"/>
      <sheetName val="KR_Luar5"/>
      <sheetName val="REF_ONLY5"/>
      <sheetName val="meth_hsl_nego5"/>
      <sheetName val="box_culvert5"/>
      <sheetName val="GLP_20015"/>
      <sheetName val="Met_Pas_Batu5"/>
      <sheetName val="Met__Minor5"/>
      <sheetName val="1_B5"/>
      <sheetName val="Analisa_Harga_Satuan5"/>
      <sheetName val="Data_Upah5"/>
      <sheetName val="EXTERNAL_WORK5"/>
      <sheetName val="NP_(2)5"/>
      <sheetName val="data_RSUD_KIS5"/>
      <sheetName val="DC-akses_bandara5"/>
      <sheetName val="Bill_of_Qty_MEP5"/>
      <sheetName val="Alat_B5"/>
      <sheetName val="Bahan_B5"/>
      <sheetName val="Upah_B5"/>
      <sheetName val="Analisa_Upah_&amp;_Bahan_Plum5"/>
      <sheetName val="AHS_-_Sipil5"/>
      <sheetName val="RAB_AR&amp;STR5"/>
      <sheetName val="Analisa_Satuan5"/>
      <sheetName val="ANLS__BETON_R__KELAS5"/>
      <sheetName val="Fill_this_out_first___5"/>
      <sheetName val="Isolasi_Luar_Dalam5"/>
      <sheetName val="Isolasi_Luar5"/>
      <sheetName val="NP_(3)5"/>
      <sheetName val="_5"/>
      <sheetName val="gabungan_(2)5"/>
      <sheetName val="Galian_batu5"/>
      <sheetName val="Form_A5"/>
      <sheetName val="BGN_PENUNJANG5"/>
      <sheetName val="RKP__TOTAL5"/>
      <sheetName val="B_as5"/>
      <sheetName val="KONTRAK_INDUK_BULANAN5"/>
      <sheetName val="Analisa_BOW5"/>
      <sheetName val="H_Satuan9"/>
      <sheetName val="mob__dem8"/>
      <sheetName val="pek__tanah8"/>
      <sheetName val="k__batu_kali8"/>
      <sheetName val="rab_me_(by_owner)_8"/>
      <sheetName val="BQ_(by_owner)8"/>
      <sheetName val="rab_me_(fisik)8"/>
      <sheetName val="HB_7"/>
      <sheetName val="Analisa_ME8"/>
      <sheetName val="NS_GD_UGD7"/>
      <sheetName val="STD_GD_UGD7"/>
      <sheetName val="harga_bahan8"/>
      <sheetName val="Analisa_&amp;_Upah8"/>
      <sheetName val="AN__TAMPL8"/>
      <sheetName val="01A-_RAB8"/>
      <sheetName val="rab_-_persiapan_&amp;_lantai-17"/>
      <sheetName val="HRG_BHN7"/>
      <sheetName val="Bill_Of_Quantity7"/>
      <sheetName val="DRUP_(ASLI)7"/>
      <sheetName val="NS_GD_UTAMA7"/>
      <sheetName val="Analis_Kusen_1_ESKALASI7"/>
      <sheetName val="Analisa_27"/>
      <sheetName val="BQ_AC_FAN7"/>
      <sheetName val="iTEM_hARSAT7"/>
      <sheetName val="NP_(4)7"/>
      <sheetName val="Anl_+7"/>
      <sheetName val="ELEC_STIS7"/>
      <sheetName val="RKP_PLUMBING7"/>
      <sheetName val="Supl_X7"/>
      <sheetName val="MAIN_BQ7"/>
      <sheetName val="Harsat_BHN_AR,M7"/>
      <sheetName val="Ahs_27"/>
      <sheetName val="Ahs_17"/>
      <sheetName val="Daftar_berat7"/>
      <sheetName val="Pintu_Jendela7"/>
      <sheetName val="DRUP__ASLI_7"/>
      <sheetName val="Stden_center7"/>
      <sheetName val="DAFTAR_HARGA7"/>
      <sheetName val="KR_Luar7"/>
      <sheetName val="REF_ONLY7"/>
      <sheetName val="meth_hsl_nego7"/>
      <sheetName val="box_culvert7"/>
      <sheetName val="GLP_20017"/>
      <sheetName val="Met_Pas_Batu7"/>
      <sheetName val="Met__Minor7"/>
      <sheetName val="1_B7"/>
      <sheetName val="Analisa_Harga_Satuan7"/>
      <sheetName val="Data_Upah7"/>
      <sheetName val="EXTERNAL_WORK7"/>
      <sheetName val="NP_(2)7"/>
      <sheetName val="data_RSUD_KIS7"/>
      <sheetName val="DC-akses_bandara7"/>
      <sheetName val="Bill_of_Qty_MEP7"/>
      <sheetName val="Alat_B7"/>
      <sheetName val="Bahan_B7"/>
      <sheetName val="Upah_B7"/>
      <sheetName val="Analisa_Upah_&amp;_Bahan_Plum7"/>
      <sheetName val="AHS_-_Sipil7"/>
      <sheetName val="RAB_AR&amp;STR7"/>
      <sheetName val="Analisa_Satuan7"/>
      <sheetName val="ANLS__BETON_R__KELAS7"/>
      <sheetName val="Fill_this_out_first___7"/>
      <sheetName val="Isolasi_Luar_Dalam7"/>
      <sheetName val="Isolasi_Luar7"/>
      <sheetName val="NP_(3)7"/>
      <sheetName val="_7"/>
      <sheetName val="gabungan_(2)7"/>
      <sheetName val="Galian_batu7"/>
      <sheetName val="Form_A7"/>
      <sheetName val="BGN_PENUNJANG7"/>
      <sheetName val="RKP__TOTAL7"/>
      <sheetName val="B_as7"/>
      <sheetName val="KONTRAK_INDUK_BULANAN7"/>
      <sheetName val="Analisa_BOW7"/>
      <sheetName val="H_Satuan10"/>
      <sheetName val="mob__dem9"/>
      <sheetName val="pek__tanah9"/>
      <sheetName val="k__batu_kali9"/>
      <sheetName val="rab_me_(by_owner)_9"/>
      <sheetName val="BQ_(by_owner)9"/>
      <sheetName val="rab_me_(fisik)9"/>
      <sheetName val="HB_8"/>
      <sheetName val="Analisa_ME9"/>
      <sheetName val="NS_GD_UGD8"/>
      <sheetName val="STD_GD_UGD8"/>
      <sheetName val="harga_bahan9"/>
      <sheetName val="Analisa_&amp;_Upah9"/>
      <sheetName val="AN__TAMPL9"/>
      <sheetName val="01A-_RAB9"/>
      <sheetName val="rab_-_persiapan_&amp;_lantai-18"/>
      <sheetName val="HRG_BHN8"/>
      <sheetName val="Bill_Of_Quantity8"/>
      <sheetName val="DRUP_(ASLI)8"/>
      <sheetName val="NS_GD_UTAMA8"/>
      <sheetName val="Analis_Kusen_1_ESKALASI8"/>
      <sheetName val="Analisa_28"/>
      <sheetName val="BQ_AC_FAN8"/>
      <sheetName val="iTEM_hARSAT8"/>
      <sheetName val="NP_(4)8"/>
      <sheetName val="Anl_+8"/>
      <sheetName val="ELEC_STIS8"/>
      <sheetName val="RKP_PLUMBING8"/>
      <sheetName val="Supl_X8"/>
      <sheetName val="MAIN_BQ8"/>
      <sheetName val="Harsat_BHN_AR,M8"/>
      <sheetName val="Ahs_28"/>
      <sheetName val="Ahs_18"/>
      <sheetName val="Daftar_berat8"/>
      <sheetName val="Pintu_Jendela8"/>
      <sheetName val="DRUP__ASLI_8"/>
      <sheetName val="Stden_center8"/>
      <sheetName val="DAFTAR_HARGA8"/>
      <sheetName val="KR_Luar8"/>
      <sheetName val="REF_ONLY8"/>
      <sheetName val="meth_hsl_nego8"/>
      <sheetName val="box_culvert8"/>
      <sheetName val="GLP_20018"/>
      <sheetName val="Met_Pas_Batu8"/>
      <sheetName val="Met__Minor8"/>
      <sheetName val="1_B8"/>
      <sheetName val="Analisa_Harga_Satuan8"/>
      <sheetName val="Data_Upah8"/>
      <sheetName val="EXTERNAL_WORK8"/>
      <sheetName val="NP_(2)8"/>
      <sheetName val="data_RSUD_KIS8"/>
      <sheetName val="DC-akses_bandara8"/>
      <sheetName val="Bill_of_Qty_MEP8"/>
      <sheetName val="Alat_B8"/>
      <sheetName val="Bahan_B8"/>
      <sheetName val="Upah_B8"/>
      <sheetName val="Analisa_Upah_&amp;_Bahan_Plum8"/>
      <sheetName val="AHS_-_Sipil8"/>
      <sheetName val="RAB_AR&amp;STR8"/>
      <sheetName val="Analisa_Satuan8"/>
      <sheetName val="ANLS__BETON_R__KELAS8"/>
      <sheetName val="Fill_this_out_first___8"/>
      <sheetName val="Isolasi_Luar_Dalam8"/>
      <sheetName val="Isolasi_Luar8"/>
      <sheetName val="NP_(3)8"/>
      <sheetName val="_8"/>
      <sheetName val="gabungan_(2)8"/>
      <sheetName val="Galian_batu8"/>
      <sheetName val="Form_A8"/>
      <sheetName val="BGN_PENUNJANG8"/>
      <sheetName val="RKP__TOTAL8"/>
      <sheetName val="B_as8"/>
      <sheetName val="KONTRAK_INDUK_BULANAN8"/>
      <sheetName val="Analisa_BOW8"/>
      <sheetName val="H_Satuan11"/>
      <sheetName val="mob__dem10"/>
      <sheetName val="pek__tanah10"/>
      <sheetName val="k__batu_kali10"/>
      <sheetName val="rab_me_(by_owner)_10"/>
      <sheetName val="BQ_(by_owner)10"/>
      <sheetName val="rab_me_(fisik)10"/>
      <sheetName val="HB_9"/>
      <sheetName val="Analisa_ME10"/>
      <sheetName val="NS_GD_UGD9"/>
      <sheetName val="STD_GD_UGD9"/>
      <sheetName val="harga_bahan10"/>
      <sheetName val="Analisa_&amp;_Upah10"/>
      <sheetName val="AN__TAMPL10"/>
      <sheetName val="01A-_RAB10"/>
      <sheetName val="rab_-_persiapan_&amp;_lantai-19"/>
      <sheetName val="HRG_BHN9"/>
      <sheetName val="Bill_Of_Quantity9"/>
      <sheetName val="DRUP_(ASLI)9"/>
      <sheetName val="NS_GD_UTAMA9"/>
      <sheetName val="Analis_Kusen_1_ESKALASI9"/>
      <sheetName val="Analisa_29"/>
      <sheetName val="BQ_AC_FAN9"/>
      <sheetName val="iTEM_hARSAT9"/>
      <sheetName val="NP_(4)9"/>
      <sheetName val="Anl_+9"/>
      <sheetName val="ELEC_STIS9"/>
      <sheetName val="RKP_PLUMBING9"/>
      <sheetName val="Supl_X9"/>
      <sheetName val="MAIN_BQ9"/>
      <sheetName val="Harsat_BHN_AR,M9"/>
      <sheetName val="Ahs_29"/>
      <sheetName val="Ahs_19"/>
      <sheetName val="Daftar_berat9"/>
      <sheetName val="Pintu_Jendela9"/>
      <sheetName val="DRUP__ASLI_9"/>
      <sheetName val="Stden_center9"/>
      <sheetName val="DAFTAR_HARGA9"/>
      <sheetName val="KR_Luar9"/>
      <sheetName val="REF_ONLY9"/>
      <sheetName val="meth_hsl_nego9"/>
      <sheetName val="box_culvert9"/>
      <sheetName val="GLP_20019"/>
      <sheetName val="Met_Pas_Batu9"/>
      <sheetName val="Met__Minor9"/>
      <sheetName val="1_B9"/>
      <sheetName val="Analisa_Harga_Satuan9"/>
      <sheetName val="Data_Upah9"/>
      <sheetName val="EXTERNAL_WORK9"/>
      <sheetName val="NP_(2)9"/>
      <sheetName val="data_RSUD_KIS9"/>
      <sheetName val="DC-akses_bandara9"/>
      <sheetName val="Bill_of_Qty_MEP9"/>
      <sheetName val="Alat_B9"/>
      <sheetName val="Bahan_B9"/>
      <sheetName val="Upah_B9"/>
      <sheetName val="Analisa_Upah_&amp;_Bahan_Plum9"/>
      <sheetName val="AHS_-_Sipil9"/>
      <sheetName val="RAB_AR&amp;STR9"/>
      <sheetName val="Analisa_Satuan9"/>
      <sheetName val="ANLS__BETON_R__KELAS9"/>
      <sheetName val="Fill_this_out_first___9"/>
      <sheetName val="Isolasi_Luar_Dalam9"/>
      <sheetName val="Isolasi_Luar9"/>
      <sheetName val="NP_(3)9"/>
      <sheetName val="_9"/>
      <sheetName val="gabungan_(2)9"/>
      <sheetName val="Galian_batu9"/>
      <sheetName val="Form_A9"/>
      <sheetName val="BGN_PENUNJANG9"/>
      <sheetName val="RKP__TOTAL9"/>
      <sheetName val="B_as9"/>
      <sheetName val="KONTRAK_INDUK_BULANAN9"/>
      <sheetName val="Analisa_BOW9"/>
      <sheetName val="H_Satuan12"/>
      <sheetName val="mob__dem11"/>
      <sheetName val="pek__tanah11"/>
      <sheetName val="k__batu_kali11"/>
      <sheetName val="rab_me_(by_owner)_11"/>
      <sheetName val="BQ_(by_owner)11"/>
      <sheetName val="rab_me_(fisik)11"/>
      <sheetName val="HB_10"/>
      <sheetName val="Analisa_ME11"/>
      <sheetName val="NS_GD_UGD10"/>
      <sheetName val="STD_GD_UGD10"/>
      <sheetName val="harga_bahan11"/>
      <sheetName val="Analisa_&amp;_Upah11"/>
      <sheetName val="AN__TAMPL11"/>
      <sheetName val="01A-_RAB11"/>
      <sheetName val="rab_-_persiapan_&amp;_lantai-110"/>
      <sheetName val="HRG_BHN10"/>
      <sheetName val="Bill_Of_Quantity10"/>
      <sheetName val="DRUP_(ASLI)10"/>
      <sheetName val="NS_GD_UTAMA10"/>
      <sheetName val="Analis_Kusen_1_ESKALASI10"/>
      <sheetName val="Analisa_210"/>
      <sheetName val="BQ_AC_FAN10"/>
      <sheetName val="iTEM_hARSAT10"/>
      <sheetName val="NP_(4)10"/>
      <sheetName val="Anl_+10"/>
      <sheetName val="ELEC_STIS10"/>
      <sheetName val="RKP_PLUMBING10"/>
      <sheetName val="Supl_X10"/>
      <sheetName val="MAIN_BQ10"/>
      <sheetName val="Harsat_BHN_AR,M10"/>
      <sheetName val="Ahs_210"/>
      <sheetName val="Ahs_110"/>
      <sheetName val="Daftar_berat10"/>
      <sheetName val="Pintu_Jendela10"/>
      <sheetName val="DRUP__ASLI_10"/>
      <sheetName val="Stden_center10"/>
      <sheetName val="DAFTAR_HARGA10"/>
      <sheetName val="KR_Luar10"/>
      <sheetName val="REF_ONLY10"/>
      <sheetName val="meth_hsl_nego10"/>
      <sheetName val="box_culvert10"/>
      <sheetName val="GLP_200110"/>
      <sheetName val="Met_Pas_Batu10"/>
      <sheetName val="Met__Minor10"/>
      <sheetName val="1_B10"/>
      <sheetName val="Analisa_Harga_Satuan10"/>
      <sheetName val="Data_Upah10"/>
      <sheetName val="EXTERNAL_WORK10"/>
      <sheetName val="NP_(2)10"/>
      <sheetName val="data_RSUD_KIS10"/>
      <sheetName val="DC-akses_bandara10"/>
      <sheetName val="Bill_of_Qty_MEP10"/>
      <sheetName val="Alat_B10"/>
      <sheetName val="Bahan_B10"/>
      <sheetName val="Upah_B10"/>
      <sheetName val="Analisa_Upah_&amp;_Bahan_Plum10"/>
      <sheetName val="AHS_-_Sipil10"/>
      <sheetName val="RAB_AR&amp;STR10"/>
      <sheetName val="Analisa_Satuan10"/>
      <sheetName val="ANLS__BETON_R__KELAS10"/>
      <sheetName val="Fill_this_out_first___10"/>
      <sheetName val="Isolasi_Luar_Dalam10"/>
      <sheetName val="Isolasi_Luar10"/>
      <sheetName val="NP_(3)10"/>
      <sheetName val="_10"/>
      <sheetName val="gabungan_(2)10"/>
      <sheetName val="Galian_batu10"/>
      <sheetName val="Form_A10"/>
      <sheetName val="BGN_PENUNJANG10"/>
      <sheetName val="RKP__TOTAL10"/>
      <sheetName val="B_as10"/>
      <sheetName val="KONTRAK_INDUK_BULANAN10"/>
      <sheetName val="Analisa_BOW10"/>
      <sheetName val="H_Satuan15"/>
      <sheetName val="mob__dem14"/>
      <sheetName val="pek__tanah14"/>
      <sheetName val="k__batu_kali14"/>
      <sheetName val="rab_me_(by_owner)_14"/>
      <sheetName val="BQ_(by_owner)14"/>
      <sheetName val="rab_me_(fisik)14"/>
      <sheetName val="HB_13"/>
      <sheetName val="Analisa_ME14"/>
      <sheetName val="NS_GD_UGD13"/>
      <sheetName val="STD_GD_UGD13"/>
      <sheetName val="harga_bahan14"/>
      <sheetName val="Analisa_&amp;_Upah14"/>
      <sheetName val="AN__TAMPL14"/>
      <sheetName val="01A-_RAB14"/>
      <sheetName val="rab_-_persiapan_&amp;_lantai-113"/>
      <sheetName val="HRG_BHN13"/>
      <sheetName val="Bill_Of_Quantity13"/>
      <sheetName val="DRUP_(ASLI)13"/>
      <sheetName val="NS_GD_UTAMA13"/>
      <sheetName val="Analis_Kusen_1_ESKALASI13"/>
      <sheetName val="Analisa_213"/>
      <sheetName val="BQ_AC_FAN13"/>
      <sheetName val="iTEM_hARSAT13"/>
      <sheetName val="NP_(4)13"/>
      <sheetName val="Anl_+13"/>
      <sheetName val="ELEC_STIS13"/>
      <sheetName val="RKP_PLUMBING13"/>
      <sheetName val="Supl_X13"/>
      <sheetName val="MAIN_BQ13"/>
      <sheetName val="Harsat_BHN_AR,M13"/>
      <sheetName val="Ahs_213"/>
      <sheetName val="Ahs_113"/>
      <sheetName val="Daftar_berat13"/>
      <sheetName val="Pintu_Jendela13"/>
      <sheetName val="DRUP__ASLI_13"/>
      <sheetName val="Stden_center13"/>
      <sheetName val="DAFTAR_HARGA13"/>
      <sheetName val="KR_Luar13"/>
      <sheetName val="REF_ONLY13"/>
      <sheetName val="meth_hsl_nego13"/>
      <sheetName val="box_culvert13"/>
      <sheetName val="GLP_200113"/>
      <sheetName val="Met_Pas_Batu13"/>
      <sheetName val="Met__Minor13"/>
      <sheetName val="1_B13"/>
      <sheetName val="Analisa_Harga_Satuan13"/>
      <sheetName val="Data_Upah13"/>
      <sheetName val="EXTERNAL_WORK13"/>
      <sheetName val="NP_(2)13"/>
      <sheetName val="data_RSUD_KIS13"/>
      <sheetName val="DC-akses_bandara13"/>
      <sheetName val="Bill_of_Qty_MEP13"/>
      <sheetName val="Alat_B13"/>
      <sheetName val="Bahan_B13"/>
      <sheetName val="Upah_B13"/>
      <sheetName val="Analisa_Upah_&amp;_Bahan_Plum13"/>
      <sheetName val="AHS_-_Sipil13"/>
      <sheetName val="RAB_AR&amp;STR13"/>
      <sheetName val="Analisa_Satuan13"/>
      <sheetName val="ANLS__BETON_R__KELAS13"/>
      <sheetName val="Fill_this_out_first___13"/>
      <sheetName val="Isolasi_Luar_Dalam13"/>
      <sheetName val="Isolasi_Luar13"/>
      <sheetName val="NP_(3)13"/>
      <sheetName val="_13"/>
      <sheetName val="gabungan_(2)13"/>
      <sheetName val="Galian_batu13"/>
      <sheetName val="Form_A13"/>
      <sheetName val="BGN_PENUNJANG13"/>
      <sheetName val="RKP__TOTAL13"/>
      <sheetName val="B_as13"/>
      <sheetName val="KONTRAK_INDUK_BULANAN13"/>
      <sheetName val="Analisa_BOW13"/>
      <sheetName val="H_Satuan13"/>
      <sheetName val="mob__dem12"/>
      <sheetName val="pek__tanah12"/>
      <sheetName val="k__batu_kali12"/>
      <sheetName val="rab_me_(by_owner)_12"/>
      <sheetName val="BQ_(by_owner)12"/>
      <sheetName val="rab_me_(fisik)12"/>
      <sheetName val="HB_11"/>
      <sheetName val="Analisa_ME12"/>
      <sheetName val="NS_GD_UGD11"/>
      <sheetName val="STD_GD_UGD11"/>
      <sheetName val="harga_bahan12"/>
      <sheetName val="Analisa_&amp;_Upah12"/>
      <sheetName val="AN__TAMPL12"/>
      <sheetName val="01A-_RAB12"/>
      <sheetName val="rab_-_persiapan_&amp;_lantai-111"/>
      <sheetName val="HRG_BHN11"/>
      <sheetName val="Bill_Of_Quantity11"/>
      <sheetName val="DRUP_(ASLI)11"/>
      <sheetName val="NS_GD_UTAMA11"/>
      <sheetName val="Analis_Kusen_1_ESKALASI11"/>
      <sheetName val="Analisa_211"/>
      <sheetName val="BQ_AC_FAN11"/>
      <sheetName val="iTEM_hARSAT11"/>
      <sheetName val="NP_(4)11"/>
      <sheetName val="Anl_+11"/>
      <sheetName val="ELEC_STIS11"/>
      <sheetName val="RKP_PLUMBING11"/>
      <sheetName val="Supl_X11"/>
      <sheetName val="MAIN_BQ11"/>
      <sheetName val="Harsat_BHN_AR,M11"/>
      <sheetName val="Ahs_211"/>
      <sheetName val="Ahs_111"/>
      <sheetName val="Daftar_berat11"/>
      <sheetName val="Pintu_Jendela11"/>
      <sheetName val="DRUP__ASLI_11"/>
      <sheetName val="Stden_center11"/>
      <sheetName val="DAFTAR_HARGA11"/>
      <sheetName val="KR_Luar11"/>
      <sheetName val="REF_ONLY11"/>
      <sheetName val="meth_hsl_nego11"/>
      <sheetName val="box_culvert11"/>
      <sheetName val="GLP_200111"/>
      <sheetName val="Met_Pas_Batu11"/>
      <sheetName val="Met__Minor11"/>
      <sheetName val="1_B11"/>
      <sheetName val="Analisa_Harga_Satuan11"/>
      <sheetName val="Data_Upah11"/>
      <sheetName val="EXTERNAL_WORK11"/>
      <sheetName val="NP_(2)11"/>
      <sheetName val="data_RSUD_KIS11"/>
      <sheetName val="DC-akses_bandara11"/>
      <sheetName val="Bill_of_Qty_MEP11"/>
      <sheetName val="Alat_B11"/>
      <sheetName val="Bahan_B11"/>
      <sheetName val="Upah_B11"/>
      <sheetName val="Analisa_Upah_&amp;_Bahan_Plum11"/>
      <sheetName val="AHS_-_Sipil11"/>
      <sheetName val="RAB_AR&amp;STR11"/>
      <sheetName val="Analisa_Satuan11"/>
      <sheetName val="ANLS__BETON_R__KELAS11"/>
      <sheetName val="Fill_this_out_first___11"/>
      <sheetName val="Isolasi_Luar_Dalam11"/>
      <sheetName val="Isolasi_Luar11"/>
      <sheetName val="NP_(3)11"/>
      <sheetName val="_11"/>
      <sheetName val="gabungan_(2)11"/>
      <sheetName val="Galian_batu11"/>
      <sheetName val="Form_A11"/>
      <sheetName val="BGN_PENUNJANG11"/>
      <sheetName val="RKP__TOTAL11"/>
      <sheetName val="B_as11"/>
      <sheetName val="KONTRAK_INDUK_BULANAN11"/>
      <sheetName val="Analisa_BOW11"/>
      <sheetName val="H_Satuan14"/>
      <sheetName val="mob__dem13"/>
      <sheetName val="pek__tanah13"/>
      <sheetName val="k__batu_kali13"/>
      <sheetName val="rab_me_(by_owner)_13"/>
      <sheetName val="BQ_(by_owner)13"/>
      <sheetName val="rab_me_(fisik)13"/>
      <sheetName val="HB_12"/>
      <sheetName val="Analisa_ME13"/>
      <sheetName val="NS_GD_UGD12"/>
      <sheetName val="STD_GD_UGD12"/>
      <sheetName val="harga_bahan13"/>
      <sheetName val="Analisa_&amp;_Upah13"/>
      <sheetName val="AN__TAMPL13"/>
      <sheetName val="01A-_RAB13"/>
      <sheetName val="rab_-_persiapan_&amp;_lantai-112"/>
      <sheetName val="HRG_BHN12"/>
      <sheetName val="Bill_Of_Quantity12"/>
      <sheetName val="DRUP_(ASLI)12"/>
      <sheetName val="NS_GD_UTAMA12"/>
      <sheetName val="Analis_Kusen_1_ESKALASI12"/>
      <sheetName val="Analisa_212"/>
      <sheetName val="BQ_AC_FAN12"/>
      <sheetName val="iTEM_hARSAT12"/>
      <sheetName val="NP_(4)12"/>
      <sheetName val="Anl_+12"/>
      <sheetName val="ELEC_STIS12"/>
      <sheetName val="RKP_PLUMBING12"/>
      <sheetName val="Supl_X12"/>
      <sheetName val="MAIN_BQ12"/>
      <sheetName val="Harsat_BHN_AR,M12"/>
      <sheetName val="Ahs_212"/>
      <sheetName val="Ahs_112"/>
      <sheetName val="Daftar_berat12"/>
      <sheetName val="Pintu_Jendela12"/>
      <sheetName val="DRUP__ASLI_12"/>
      <sheetName val="Stden_center12"/>
      <sheetName val="DAFTAR_HARGA12"/>
      <sheetName val="KR_Luar12"/>
      <sheetName val="REF_ONLY12"/>
      <sheetName val="meth_hsl_nego12"/>
      <sheetName val="box_culvert12"/>
      <sheetName val="GLP_200112"/>
      <sheetName val="Met_Pas_Batu12"/>
      <sheetName val="Met__Minor12"/>
      <sheetName val="1_B12"/>
      <sheetName val="Analisa_Harga_Satuan12"/>
      <sheetName val="Data_Upah12"/>
      <sheetName val="EXTERNAL_WORK12"/>
      <sheetName val="NP_(2)12"/>
      <sheetName val="data_RSUD_KIS12"/>
      <sheetName val="DC-akses_bandara12"/>
      <sheetName val="Bill_of_Qty_MEP12"/>
      <sheetName val="Alat_B12"/>
      <sheetName val="Bahan_B12"/>
      <sheetName val="Upah_B12"/>
      <sheetName val="Analisa_Upah_&amp;_Bahan_Plum12"/>
      <sheetName val="AHS_-_Sipil12"/>
      <sheetName val="RAB_AR&amp;STR12"/>
      <sheetName val="Analisa_Satuan12"/>
      <sheetName val="ANLS__BETON_R__KELAS12"/>
      <sheetName val="Fill_this_out_first___12"/>
      <sheetName val="Isolasi_Luar_Dalam12"/>
      <sheetName val="Isolasi_Luar12"/>
      <sheetName val="NP_(3)12"/>
      <sheetName val="_12"/>
      <sheetName val="gabungan_(2)12"/>
      <sheetName val="Galian_batu12"/>
      <sheetName val="Form_A12"/>
      <sheetName val="BGN_PENUNJANG12"/>
      <sheetName val="RKP__TOTAL12"/>
      <sheetName val="B_as12"/>
      <sheetName val="KONTRAK_INDUK_BULANAN12"/>
      <sheetName val="Analisa_BOW12"/>
      <sheetName val="H_Satuan21"/>
      <sheetName val="mob__dem20"/>
      <sheetName val="pek__tanah20"/>
      <sheetName val="k__batu_kali20"/>
      <sheetName val="rab_me_(by_owner)_20"/>
      <sheetName val="BQ_(by_owner)20"/>
      <sheetName val="rab_me_(fisik)20"/>
      <sheetName val="HB_19"/>
      <sheetName val="Analisa_ME20"/>
      <sheetName val="NS_GD_UGD19"/>
      <sheetName val="STD_GD_UGD19"/>
      <sheetName val="harga_bahan20"/>
      <sheetName val="Analisa_&amp;_Upah20"/>
      <sheetName val="AN__TAMPL20"/>
      <sheetName val="01A-_RAB20"/>
      <sheetName val="rab_-_persiapan_&amp;_lantai-119"/>
      <sheetName val="HRG_BHN19"/>
      <sheetName val="Bill_Of_Quantity19"/>
      <sheetName val="DRUP_(ASLI)19"/>
      <sheetName val="NS_GD_UTAMA19"/>
      <sheetName val="Analis_Kusen_1_ESKALASI19"/>
      <sheetName val="Analisa_219"/>
      <sheetName val="BQ_AC_FAN19"/>
      <sheetName val="iTEM_hARSAT19"/>
      <sheetName val="NP_(4)19"/>
      <sheetName val="Anl_+19"/>
      <sheetName val="ELEC_STIS19"/>
      <sheetName val="RKP_PLUMBING19"/>
      <sheetName val="Supl_X19"/>
      <sheetName val="MAIN_BQ19"/>
      <sheetName val="Harsat_BHN_AR,M19"/>
      <sheetName val="Ahs_219"/>
      <sheetName val="Ahs_119"/>
      <sheetName val="Daftar_berat19"/>
      <sheetName val="Pintu_Jendela19"/>
      <sheetName val="DRUP__ASLI_19"/>
      <sheetName val="Stden_center19"/>
      <sheetName val="DAFTAR_HARGA19"/>
      <sheetName val="KR_Luar19"/>
      <sheetName val="REF_ONLY19"/>
      <sheetName val="meth_hsl_nego19"/>
      <sheetName val="box_culvert19"/>
      <sheetName val="GLP_200119"/>
      <sheetName val="Met_Pas_Batu19"/>
      <sheetName val="Met__Minor19"/>
      <sheetName val="1_B19"/>
      <sheetName val="Analisa_Harga_Satuan19"/>
      <sheetName val="Data_Upah19"/>
      <sheetName val="EXTERNAL_WORK19"/>
      <sheetName val="NP_(2)19"/>
      <sheetName val="data_RSUD_KIS19"/>
      <sheetName val="DC-akses_bandara19"/>
      <sheetName val="Bill_of_Qty_MEP19"/>
      <sheetName val="Alat_B19"/>
      <sheetName val="Bahan_B19"/>
      <sheetName val="Upah_B19"/>
      <sheetName val="Analisa_Upah_&amp;_Bahan_Plum19"/>
      <sheetName val="AHS_-_Sipil19"/>
      <sheetName val="RAB_AR&amp;STR19"/>
      <sheetName val="Analisa_Satuan19"/>
      <sheetName val="ANLS__BETON_R__KELAS19"/>
      <sheetName val="Fill_this_out_first___19"/>
      <sheetName val="Isolasi_Luar_Dalam19"/>
      <sheetName val="Isolasi_Luar19"/>
      <sheetName val="NP_(3)19"/>
      <sheetName val="_19"/>
      <sheetName val="gabungan_(2)19"/>
      <sheetName val="Galian_batu19"/>
      <sheetName val="Form_A19"/>
      <sheetName val="BGN_PENUNJANG19"/>
      <sheetName val="RKP__TOTAL19"/>
      <sheetName val="B_as19"/>
      <sheetName val="KONTRAK_INDUK_BULANAN19"/>
      <sheetName val="Analisa_BOW19"/>
      <sheetName val="H_Satuan17"/>
      <sheetName val="mob__dem16"/>
      <sheetName val="pek__tanah16"/>
      <sheetName val="k__batu_kali16"/>
      <sheetName val="rab_me_(by_owner)_16"/>
      <sheetName val="BQ_(by_owner)16"/>
      <sheetName val="rab_me_(fisik)16"/>
      <sheetName val="HB_15"/>
      <sheetName val="Analisa_ME16"/>
      <sheetName val="NS_GD_UGD15"/>
      <sheetName val="STD_GD_UGD15"/>
      <sheetName val="harga_bahan16"/>
      <sheetName val="Analisa_&amp;_Upah16"/>
      <sheetName val="AN__TAMPL16"/>
      <sheetName val="01A-_RAB16"/>
      <sheetName val="rab_-_persiapan_&amp;_lantai-115"/>
      <sheetName val="HRG_BHN15"/>
      <sheetName val="Bill_Of_Quantity15"/>
      <sheetName val="DRUP_(ASLI)15"/>
      <sheetName val="NS_GD_UTAMA15"/>
      <sheetName val="Analis_Kusen_1_ESKALASI15"/>
      <sheetName val="Analisa_215"/>
      <sheetName val="BQ_AC_FAN15"/>
      <sheetName val="iTEM_hARSAT15"/>
      <sheetName val="NP_(4)15"/>
      <sheetName val="Anl_+15"/>
      <sheetName val="ELEC_STIS15"/>
      <sheetName val="RKP_PLUMBING15"/>
      <sheetName val="Supl_X15"/>
      <sheetName val="MAIN_BQ15"/>
      <sheetName val="Harsat_BHN_AR,M15"/>
      <sheetName val="Ahs_215"/>
      <sheetName val="Ahs_115"/>
      <sheetName val="Daftar_berat15"/>
      <sheetName val="Pintu_Jendela15"/>
      <sheetName val="DRUP__ASLI_15"/>
      <sheetName val="Stden_center15"/>
      <sheetName val="DAFTAR_HARGA15"/>
      <sheetName val="KR_Luar15"/>
      <sheetName val="REF_ONLY15"/>
      <sheetName val="meth_hsl_nego15"/>
      <sheetName val="box_culvert15"/>
      <sheetName val="GLP_200115"/>
      <sheetName val="Met_Pas_Batu15"/>
      <sheetName val="Met__Minor15"/>
      <sheetName val="1_B15"/>
      <sheetName val="Analisa_Harga_Satuan15"/>
      <sheetName val="Data_Upah15"/>
      <sheetName val="EXTERNAL_WORK15"/>
      <sheetName val="NP_(2)15"/>
      <sheetName val="data_RSUD_KIS15"/>
      <sheetName val="DC-akses_bandara15"/>
      <sheetName val="Bill_of_Qty_MEP15"/>
      <sheetName val="Alat_B15"/>
      <sheetName val="Bahan_B15"/>
      <sheetName val="Upah_B15"/>
      <sheetName val="Analisa_Upah_&amp;_Bahan_Plum15"/>
      <sheetName val="AHS_-_Sipil15"/>
      <sheetName val="RAB_AR&amp;STR15"/>
      <sheetName val="Analisa_Satuan15"/>
      <sheetName val="ANLS__BETON_R__KELAS15"/>
      <sheetName val="Fill_this_out_first___15"/>
      <sheetName val="Isolasi_Luar_Dalam15"/>
      <sheetName val="Isolasi_Luar15"/>
      <sheetName val="NP_(3)15"/>
      <sheetName val="_15"/>
      <sheetName val="gabungan_(2)15"/>
      <sheetName val="Galian_batu15"/>
      <sheetName val="Form_A15"/>
      <sheetName val="BGN_PENUNJANG15"/>
      <sheetName val="RKP__TOTAL15"/>
      <sheetName val="B_as15"/>
      <sheetName val="KONTRAK_INDUK_BULANAN15"/>
      <sheetName val="Analisa_BOW15"/>
      <sheetName val="H_Satuan18"/>
      <sheetName val="mob__dem17"/>
      <sheetName val="pek__tanah17"/>
      <sheetName val="k__batu_kali17"/>
      <sheetName val="rab_me_(by_owner)_17"/>
      <sheetName val="BQ_(by_owner)17"/>
      <sheetName val="rab_me_(fisik)17"/>
      <sheetName val="HB_16"/>
      <sheetName val="Analisa_ME17"/>
      <sheetName val="NS_GD_UGD16"/>
      <sheetName val="STD_GD_UGD16"/>
      <sheetName val="harga_bahan17"/>
      <sheetName val="Analisa_&amp;_Upah17"/>
      <sheetName val="AN__TAMPL17"/>
      <sheetName val="01A-_RAB17"/>
      <sheetName val="rab_-_persiapan_&amp;_lantai-116"/>
      <sheetName val="HRG_BHN16"/>
      <sheetName val="Bill_Of_Quantity16"/>
      <sheetName val="DRUP_(ASLI)16"/>
      <sheetName val="NS_GD_UTAMA16"/>
      <sheetName val="Analis_Kusen_1_ESKALASI16"/>
      <sheetName val="Analisa_216"/>
      <sheetName val="BQ_AC_FAN16"/>
      <sheetName val="iTEM_hARSAT16"/>
      <sheetName val="NP_(4)16"/>
      <sheetName val="Anl_+16"/>
      <sheetName val="ELEC_STIS16"/>
      <sheetName val="RKP_PLUMBING16"/>
      <sheetName val="Supl_X16"/>
      <sheetName val="MAIN_BQ16"/>
      <sheetName val="Harsat_BHN_AR,M16"/>
      <sheetName val="Ahs_216"/>
      <sheetName val="Ahs_116"/>
      <sheetName val="Daftar_berat16"/>
      <sheetName val="Pintu_Jendela16"/>
      <sheetName val="DRUP__ASLI_16"/>
      <sheetName val="Stden_center16"/>
      <sheetName val="DAFTAR_HARGA16"/>
      <sheetName val="KR_Luar16"/>
      <sheetName val="REF_ONLY16"/>
      <sheetName val="meth_hsl_nego16"/>
      <sheetName val="box_culvert16"/>
      <sheetName val="GLP_200116"/>
      <sheetName val="Met_Pas_Batu16"/>
      <sheetName val="Met__Minor16"/>
      <sheetName val="1_B16"/>
      <sheetName val="Analisa_Harga_Satuan16"/>
      <sheetName val="Data_Upah16"/>
      <sheetName val="EXTERNAL_WORK16"/>
      <sheetName val="NP_(2)16"/>
      <sheetName val="data_RSUD_KIS16"/>
      <sheetName val="DC-akses_bandara16"/>
      <sheetName val="Bill_of_Qty_MEP16"/>
      <sheetName val="Alat_B16"/>
      <sheetName val="Bahan_B16"/>
      <sheetName val="Upah_B16"/>
      <sheetName val="Analisa_Upah_&amp;_Bahan_Plum16"/>
      <sheetName val="AHS_-_Sipil16"/>
      <sheetName val="RAB_AR&amp;STR16"/>
      <sheetName val="Analisa_Satuan16"/>
      <sheetName val="ANLS__BETON_R__KELAS16"/>
      <sheetName val="Fill_this_out_first___16"/>
      <sheetName val="Isolasi_Luar_Dalam16"/>
      <sheetName val="Isolasi_Luar16"/>
      <sheetName val="NP_(3)16"/>
      <sheetName val="_16"/>
      <sheetName val="gabungan_(2)16"/>
      <sheetName val="Galian_batu16"/>
      <sheetName val="Form_A16"/>
      <sheetName val="BGN_PENUNJANG16"/>
      <sheetName val="RKP__TOTAL16"/>
      <sheetName val="B_as16"/>
      <sheetName val="KONTRAK_INDUK_BULANAN16"/>
      <sheetName val="Analisa_BOW16"/>
      <sheetName val="H_Satuan19"/>
      <sheetName val="mob__dem18"/>
      <sheetName val="pek__tanah18"/>
      <sheetName val="k__batu_kali18"/>
      <sheetName val="rab_me_(by_owner)_18"/>
      <sheetName val="BQ_(by_owner)18"/>
      <sheetName val="rab_me_(fisik)18"/>
      <sheetName val="HB_17"/>
      <sheetName val="Analisa_ME18"/>
      <sheetName val="NS_GD_UGD17"/>
      <sheetName val="STD_GD_UGD17"/>
      <sheetName val="harga_bahan18"/>
      <sheetName val="Analisa_&amp;_Upah18"/>
      <sheetName val="AN__TAMPL18"/>
      <sheetName val="01A-_RAB18"/>
      <sheetName val="rab_-_persiapan_&amp;_lantai-117"/>
      <sheetName val="HRG_BHN17"/>
      <sheetName val="Bill_Of_Quantity17"/>
      <sheetName val="DRUP_(ASLI)17"/>
      <sheetName val="NS_GD_UTAMA17"/>
      <sheetName val="Analis_Kusen_1_ESKALASI17"/>
      <sheetName val="Analisa_217"/>
      <sheetName val="BQ_AC_FAN17"/>
      <sheetName val="iTEM_hARSAT17"/>
      <sheetName val="NP_(4)17"/>
      <sheetName val="Anl_+17"/>
      <sheetName val="ELEC_STIS17"/>
      <sheetName val="RKP_PLUMBING17"/>
      <sheetName val="Supl_X17"/>
      <sheetName val="MAIN_BQ17"/>
      <sheetName val="Harsat_BHN_AR,M17"/>
      <sheetName val="Ahs_217"/>
      <sheetName val="Ahs_117"/>
      <sheetName val="Daftar_berat17"/>
      <sheetName val="Pintu_Jendela17"/>
      <sheetName val="DRUP__ASLI_17"/>
      <sheetName val="Stden_center17"/>
      <sheetName val="DAFTAR_HARGA17"/>
      <sheetName val="KR_Luar17"/>
      <sheetName val="REF_ONLY17"/>
      <sheetName val="meth_hsl_nego17"/>
      <sheetName val="box_culvert17"/>
      <sheetName val="GLP_200117"/>
      <sheetName val="Met_Pas_Batu17"/>
      <sheetName val="Met__Minor17"/>
      <sheetName val="1_B17"/>
      <sheetName val="Analisa_Harga_Satuan17"/>
      <sheetName val="Data_Upah17"/>
      <sheetName val="EXTERNAL_WORK17"/>
      <sheetName val="NP_(2)17"/>
      <sheetName val="data_RSUD_KIS17"/>
      <sheetName val="DC-akses_bandara17"/>
      <sheetName val="Bill_of_Qty_MEP17"/>
      <sheetName val="Alat_B17"/>
      <sheetName val="Bahan_B17"/>
      <sheetName val="Upah_B17"/>
      <sheetName val="Analisa_Upah_&amp;_Bahan_Plum17"/>
      <sheetName val="AHS_-_Sipil17"/>
      <sheetName val="RAB_AR&amp;STR17"/>
      <sheetName val="Analisa_Satuan17"/>
      <sheetName val="ANLS__BETON_R__KELAS17"/>
      <sheetName val="Fill_this_out_first___17"/>
      <sheetName val="Isolasi_Luar_Dalam17"/>
      <sheetName val="Isolasi_Luar17"/>
      <sheetName val="NP_(3)17"/>
      <sheetName val="_17"/>
      <sheetName val="gabungan_(2)17"/>
      <sheetName val="Galian_batu17"/>
      <sheetName val="Form_A17"/>
      <sheetName val="BGN_PENUNJANG17"/>
      <sheetName val="RKP__TOTAL17"/>
      <sheetName val="B_as17"/>
      <sheetName val="KONTRAK_INDUK_BULANAN17"/>
      <sheetName val="Analisa_BOW17"/>
      <sheetName val="H_Satuan20"/>
      <sheetName val="mob__dem19"/>
      <sheetName val="pek__tanah19"/>
      <sheetName val="k__batu_kali19"/>
      <sheetName val="rab_me_(by_owner)_19"/>
      <sheetName val="BQ_(by_owner)19"/>
      <sheetName val="rab_me_(fisik)19"/>
      <sheetName val="HB_18"/>
      <sheetName val="Analisa_ME19"/>
      <sheetName val="NS_GD_UGD18"/>
      <sheetName val="STD_GD_UGD18"/>
      <sheetName val="harga_bahan19"/>
      <sheetName val="Analisa_&amp;_Upah19"/>
      <sheetName val="AN__TAMPL19"/>
      <sheetName val="01A-_RAB19"/>
      <sheetName val="rab_-_persiapan_&amp;_lantai-118"/>
      <sheetName val="HRG_BHN18"/>
      <sheetName val="Bill_Of_Quantity18"/>
      <sheetName val="DRUP_(ASLI)18"/>
      <sheetName val="NS_GD_UTAMA18"/>
      <sheetName val="Analis_Kusen_1_ESKALASI18"/>
      <sheetName val="Analisa_218"/>
      <sheetName val="BQ_AC_FAN18"/>
      <sheetName val="iTEM_hARSAT18"/>
      <sheetName val="NP_(4)18"/>
      <sheetName val="Anl_+18"/>
      <sheetName val="ELEC_STIS18"/>
      <sheetName val="RKP_PLUMBING18"/>
      <sheetName val="Supl_X18"/>
      <sheetName val="MAIN_BQ18"/>
      <sheetName val="Harsat_BHN_AR,M18"/>
      <sheetName val="Ahs_218"/>
      <sheetName val="Ahs_118"/>
      <sheetName val="Daftar_berat18"/>
      <sheetName val="Pintu_Jendela18"/>
      <sheetName val="DRUP__ASLI_18"/>
      <sheetName val="Stden_center18"/>
      <sheetName val="DAFTAR_HARGA18"/>
      <sheetName val="KR_Luar18"/>
      <sheetName val="REF_ONLY18"/>
      <sheetName val="meth_hsl_nego18"/>
      <sheetName val="box_culvert18"/>
      <sheetName val="GLP_200118"/>
      <sheetName val="Met_Pas_Batu18"/>
      <sheetName val="Met__Minor18"/>
      <sheetName val="1_B18"/>
      <sheetName val="Analisa_Harga_Satuan18"/>
      <sheetName val="Data_Upah18"/>
      <sheetName val="EXTERNAL_WORK18"/>
      <sheetName val="NP_(2)18"/>
      <sheetName val="data_RSUD_KIS18"/>
      <sheetName val="DC-akses_bandara18"/>
      <sheetName val="Bill_of_Qty_MEP18"/>
      <sheetName val="Alat_B18"/>
      <sheetName val="Bahan_B18"/>
      <sheetName val="Upah_B18"/>
      <sheetName val="Analisa_Upah_&amp;_Bahan_Plum18"/>
      <sheetName val="AHS_-_Sipil18"/>
      <sheetName val="RAB_AR&amp;STR18"/>
      <sheetName val="Analisa_Satuan18"/>
      <sheetName val="ANLS__BETON_R__KELAS18"/>
      <sheetName val="Fill_this_out_first___18"/>
      <sheetName val="Isolasi_Luar_Dalam18"/>
      <sheetName val="Isolasi_Luar18"/>
      <sheetName val="NP_(3)18"/>
      <sheetName val="_18"/>
      <sheetName val="gabungan_(2)18"/>
      <sheetName val="Galian_batu18"/>
      <sheetName val="Form_A18"/>
      <sheetName val="BGN_PENUNJANG18"/>
      <sheetName val="RKP__TOTAL18"/>
      <sheetName val="B_as18"/>
      <sheetName val="KONTRAK_INDUK_BULANAN18"/>
      <sheetName val="Analisa_BOW18"/>
      <sheetName val="H_Satuan22"/>
      <sheetName val="mob__dem21"/>
      <sheetName val="pek__tanah21"/>
      <sheetName val="k__batu_kali21"/>
      <sheetName val="rab_me_(by_owner)_21"/>
      <sheetName val="BQ_(by_owner)21"/>
      <sheetName val="rab_me_(fisik)21"/>
      <sheetName val="HB_20"/>
      <sheetName val="Analisa_ME21"/>
      <sheetName val="NS_GD_UGD20"/>
      <sheetName val="STD_GD_UGD20"/>
      <sheetName val="harga_bahan21"/>
      <sheetName val="Analisa_&amp;_Upah21"/>
      <sheetName val="AN__TAMPL21"/>
      <sheetName val="01A-_RAB21"/>
      <sheetName val="rab_-_persiapan_&amp;_lantai-120"/>
      <sheetName val="HRG_BHN20"/>
      <sheetName val="Bill_Of_Quantity20"/>
      <sheetName val="DRUP_(ASLI)20"/>
      <sheetName val="NS_GD_UTAMA20"/>
      <sheetName val="Analis_Kusen_1_ESKALASI20"/>
      <sheetName val="Analisa_220"/>
      <sheetName val="BQ_AC_FAN20"/>
      <sheetName val="iTEM_hARSAT20"/>
      <sheetName val="NP_(4)20"/>
      <sheetName val="Anl_+20"/>
      <sheetName val="ELEC_STIS20"/>
      <sheetName val="RKP_PLUMBING20"/>
      <sheetName val="Supl_X20"/>
      <sheetName val="MAIN_BQ20"/>
      <sheetName val="Harsat_BHN_AR,M20"/>
      <sheetName val="Ahs_220"/>
      <sheetName val="Ahs_120"/>
      <sheetName val="Daftar_berat20"/>
      <sheetName val="Pintu_Jendela20"/>
      <sheetName val="DRUP__ASLI_20"/>
      <sheetName val="Stden_center20"/>
      <sheetName val="DAFTAR_HARGA20"/>
      <sheetName val="KR_Luar20"/>
      <sheetName val="REF_ONLY20"/>
      <sheetName val="meth_hsl_nego20"/>
      <sheetName val="box_culvert20"/>
      <sheetName val="GLP_200120"/>
      <sheetName val="Met_Pas_Batu20"/>
      <sheetName val="Met__Minor20"/>
      <sheetName val="1_B20"/>
      <sheetName val="Analisa_Harga_Satuan20"/>
      <sheetName val="Data_Upah20"/>
      <sheetName val="EXTERNAL_WORK20"/>
      <sheetName val="NP_(2)20"/>
      <sheetName val="data_RSUD_KIS20"/>
      <sheetName val="DC-akses_bandara20"/>
      <sheetName val="Bill_of_Qty_MEP20"/>
      <sheetName val="Alat_B20"/>
      <sheetName val="Bahan_B20"/>
      <sheetName val="Upah_B20"/>
      <sheetName val="Analisa_Upah_&amp;_Bahan_Plum20"/>
      <sheetName val="AHS_-_Sipil20"/>
      <sheetName val="RAB_AR&amp;STR20"/>
      <sheetName val="Analisa_Satuan20"/>
      <sheetName val="ANLS__BETON_R__KELAS20"/>
      <sheetName val="Fill_this_out_first___20"/>
      <sheetName val="Isolasi_Luar_Dalam20"/>
      <sheetName val="Isolasi_Luar20"/>
      <sheetName val="NP_(3)20"/>
      <sheetName val="_20"/>
      <sheetName val="gabungan_(2)20"/>
      <sheetName val="Galian_batu20"/>
      <sheetName val="Form_A20"/>
      <sheetName val="BGN_PENUNJANG20"/>
      <sheetName val="RKP__TOTAL20"/>
      <sheetName val="B_as20"/>
      <sheetName val="KONTRAK_INDUK_BULANAN20"/>
      <sheetName val="Analisa_BOW20"/>
      <sheetName val="UPAH&amp;BHN"/>
      <sheetName val="rab 4"/>
      <sheetName val="FORMAT"/>
      <sheetName val="Faktor Konversi"/>
      <sheetName val="Menu"/>
      <sheetName val="61004"/>
      <sheetName val="61005"/>
      <sheetName val="61006"/>
      <sheetName val="61007"/>
      <sheetName val="61008"/>
      <sheetName val="MOBILISASI"/>
      <sheetName val="BëN PENƐ_x0000_JANG"/>
      <sheetName val="5-daftar Peralatan"/>
      <sheetName val="LEKAT1"/>
      <sheetName val="abrasi"/>
      <sheetName val="JUDUL"/>
      <sheetName val="Demolation"/>
      <sheetName val="upah-rtjk"/>
      <sheetName val="ANALISA satuan poryek sungai"/>
      <sheetName val="AHS Aspal"/>
      <sheetName val="MATERIAL ANALISA"/>
      <sheetName val="REKA. ANALISA"/>
      <sheetName val="II.3 HSD"/>
      <sheetName val="2.E"/>
      <sheetName val="analisa print"/>
      <sheetName val="Har-sat finish"/>
      <sheetName val="ACTUAL CHECK"/>
      <sheetName val="Vol_dinding"/>
      <sheetName val="BQ_THPII"/>
      <sheetName val="UTYLITAS"/>
      <sheetName val="POLY"/>
      <sheetName val="IRNA B"/>
      <sheetName val="CMU 2"/>
      <sheetName val="Data Kegiatan"/>
      <sheetName val="JM"/>
      <sheetName val="H-Dasar"/>
      <sheetName val="AnalisaSIPIL RIIL"/>
      <sheetName val="Plasteran"/>
      <sheetName val="2. MVAC R1"/>
      <sheetName val="AnaAlat"/>
      <sheetName val="Dip-3"/>
      <sheetName val="Div-6"/>
      <sheetName val="SCTV"/>
      <sheetName val="SCM"/>
      <sheetName val="Total"/>
      <sheetName val="Risalah KOM"/>
      <sheetName val="D-3 (M)"/>
      <sheetName val="D-7 (M)"/>
      <sheetName val="HRG DSR APP"/>
      <sheetName val="Hrgdsrupah"/>
      <sheetName val="BQ25"/>
      <sheetName val="SUMBER"/>
      <sheetName val="Material-mr"/>
      <sheetName val="D8"/>
      <sheetName val="공사금액 내역 (1)"/>
      <sheetName val="bhn "/>
      <sheetName val="BOQ INTERN"/>
      <sheetName val="FORM-VAR"/>
      <sheetName val="Man Power &amp; Comp"/>
      <sheetName val="Contents"/>
      <sheetName val="Rekap. ME"/>
      <sheetName val="Sch1"/>
      <sheetName val="perkerasan_rigid"/>
      <sheetName val="SAT_UPAH"/>
      <sheetName val="HARGA_(2)"/>
      <sheetName val="ANAL_ALAT"/>
      <sheetName val="Upah,_alat_&amp;_harsat"/>
      <sheetName val="An Biaya.Kons (SNI)"/>
      <sheetName val="Daftar Harga Bahan"/>
      <sheetName val="Harga-upah"/>
      <sheetName val="HSUB"/>
      <sheetName val="ANALISA-SNI01"/>
      <sheetName val="paving Blok"/>
      <sheetName val="Rekap Prelim"/>
      <sheetName val="H Sat Jembatan"/>
      <sheetName val="tarip"/>
      <sheetName val="Re 1)"/>
      <sheetName val="Harga Mat "/>
      <sheetName val="Panel"/>
      <sheetName val="k341k612"/>
      <sheetName val="dwa-01"/>
      <sheetName val="REKAP."/>
      <sheetName val="Uba"/>
      <sheetName val="HS ALAT"/>
      <sheetName val="HS UPAH"/>
      <sheetName val="HS BAHAN"/>
      <sheetName val="PRODALAT"/>
      <sheetName val="MATERIAL-UPAH"/>
      <sheetName val="HSBU ANA"/>
      <sheetName val="ANALIS ALAT"/>
      <sheetName val="SNI"/>
      <sheetName val="CONSUMABLES-PRICE"/>
      <sheetName val="BOW"/>
      <sheetName val="HB me"/>
      <sheetName val="COST-SUM"/>
      <sheetName val="Operation Cost "/>
      <sheetName val="Fasilitas Site"/>
      <sheetName val=" HSE Site"/>
      <sheetName val="Sekretariat Site"/>
      <sheetName val="Transport Site"/>
      <sheetName val="KNO"/>
      <sheetName val="Plotting"/>
      <sheetName val="B.T"/>
      <sheetName val="TJ1Q47"/>
      <sheetName val=" Analisa Harga MEP"/>
      <sheetName val="41_9_36_3"/>
      <sheetName val="ana_str"/>
      <sheetName val="anl-b6"/>
      <sheetName val="Controll"/>
      <sheetName val="Supl"/>
      <sheetName val="8"/>
      <sheetName val="Asumsi"/>
      <sheetName val="Marshal"/>
      <sheetName val="S_DAYA"/>
      <sheetName val="EDTL"/>
      <sheetName val="an-satuan"/>
      <sheetName val="AI"/>
      <sheetName val="spesifikasi"/>
      <sheetName val="sudut"/>
      <sheetName val="An_Basic"/>
      <sheetName val="?¯???????_x005f_x005f_x005f_x0001_???ÿ???En"/>
      <sheetName val="RAP1"/>
      <sheetName val="Material ME"/>
      <sheetName val="Jadwal"/>
      <sheetName val="Tanaman"/>
      <sheetName val="B.O.Q"/>
      <sheetName val="May"/>
      <sheetName val="M+MC"/>
      <sheetName val="P&amp;L01-02GR"/>
      <sheetName val="ERECTION"/>
      <sheetName val="BID9697"/>
      <sheetName val="DATAJUNI"/>
      <sheetName val="BID"/>
      <sheetName val="RAB (A) (2)"/>
      <sheetName val="DIV1"/>
      <sheetName val="설계"/>
      <sheetName val="(1)본선수량집계"/>
      <sheetName val="Pay Items"/>
      <sheetName val="Analisa Quarry"/>
      <sheetName val="Bhan"/>
      <sheetName val="DU-5"/>
      <sheetName val="LAP   (4)"/>
      <sheetName val="LAP   (11)"/>
      <sheetName val="Sch-Test"/>
      <sheetName val="DBKoef"/>
      <sheetName val="umu"/>
      <sheetName val="Uraian"/>
      <sheetName val="DATA 2"/>
      <sheetName val="COST"/>
      <sheetName val="sai"/>
      <sheetName val="an. struktur"/>
      <sheetName val="RAW MATERIALS "/>
      <sheetName val="COST-PERSON-J.O."/>
      <sheetName val="RENTAL1"/>
      <sheetName val="HS-BOW"/>
      <sheetName val="Schedule 11a"/>
      <sheetName val="Temporary"/>
      <sheetName val="Septick tank"/>
      <sheetName val="Subkon"/>
      <sheetName val="UnitRatePaket1"/>
      <sheetName val="DATA PROYEK"/>
      <sheetName val="ListAnalisa"/>
      <sheetName val="BëN PENƐ"/>
      <sheetName val="01000160¯耀㣋_x0001_耀ÿ"/>
      <sheetName val="01000160¯??_x0001_?ÿ"/>
      <sheetName val="0_x005"/>
      <sheetName val="BëN PENƐJANG"/>
      <sheetName val="Edit rekap Qtt.Tjg.Gdg-Lmt"/>
      <sheetName val="5-ALAT(1)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BQ ARS"/>
      <sheetName val="prog-mgu"/>
      <sheetName val="HARGA DASAR UPAH DAN BAHAN"/>
      <sheetName val="KH-Q1,Q2,01"/>
      <sheetName val="S.BAHAN"/>
      <sheetName val="S.UPAH"/>
      <sheetName val="SchC"/>
      <sheetName val="SchA"/>
      <sheetName val="SewAlat"/>
      <sheetName val="SchB"/>
      <sheetName val="SchD"/>
      <sheetName val="STD GD.UTAMA"/>
      <sheetName val="Batasan"/>
      <sheetName val="Hsatuan-OK"/>
      <sheetName val="Equipment"/>
      <sheetName val="sch-Eq"/>
      <sheetName val="Waktu"/>
      <sheetName val="Consumable"/>
      <sheetName val="UMUM-PU"/>
      <sheetName val="SPH"/>
      <sheetName val="BJA TULANGAN"/>
      <sheetName val="BAJA"/>
      <sheetName val="K500"/>
      <sheetName val="TC"/>
      <sheetName val="ATB"/>
      <sheetName val="Drn"/>
      <sheetName val="Gali"/>
      <sheetName val="AA"/>
      <sheetName val="BB"/>
      <sheetName val="CTB"/>
      <sheetName val="OP.ALAT"/>
      <sheetName val="oe"/>
      <sheetName val="EVALUASI"/>
      <sheetName val="PERMINTAAN"/>
      <sheetName val="App. 2a-1"/>
      <sheetName val="App. 2a-2"/>
      <sheetName val="SCH alat"/>
      <sheetName val="MOB"/>
      <sheetName val="CIF"/>
      <sheetName val="SCH Mat"/>
      <sheetName val="Daf Bahan"/>
      <sheetName val="Daf Sub"/>
      <sheetName val="Daf MPU"/>
      <sheetName val="Lamp.6a"/>
      <sheetName val="Lamp.6b"/>
      <sheetName val="Basic P"/>
      <sheetName val="Pac.-2"/>
      <sheetName val="List Plant"/>
      <sheetName val="Rekap DBAK"/>
      <sheetName val="ME UMY"/>
      <sheetName val="HSBU "/>
      <sheetName val="beton.jembatan dolago.abutmen."/>
      <sheetName val="Subcont"/>
      <sheetName val="rab-SAPHIR"/>
      <sheetName val="Data Alat"/>
      <sheetName val="daftarbhn"/>
      <sheetName val="HSD Alat"/>
      <sheetName val="HSD Bahan"/>
      <sheetName val="HSD Upah"/>
      <sheetName val="daftar upah,bahan,alat"/>
      <sheetName val="DC"/>
      <sheetName val="RPP01 3"/>
      <sheetName val="Isian Biodata"/>
      <sheetName val="BL (1)"/>
      <sheetName val="pivot"/>
      <sheetName val="Rekap Anl"/>
      <sheetName val="AnMobilisasi"/>
      <sheetName val="Harian"/>
      <sheetName val="LUMPSUM"/>
      <sheetName val="BACK"/>
      <sheetName val="AHSrutin"/>
      <sheetName val="Div5"/>
      <sheetName val="Div6"/>
      <sheetName val="Div8"/>
      <sheetName val="DB"/>
      <sheetName val="ETAB_1"/>
      <sheetName val="Sat__Pek_"/>
      <sheetName val="Alat_(2)"/>
      <sheetName val="Input_Data"/>
      <sheetName val="Analisa_SNI"/>
      <sheetName val="Valve_PL"/>
      <sheetName val="Peralatan_PL"/>
      <sheetName val="Harsat_Bahan"/>
      <sheetName val="Harsat_Upah"/>
      <sheetName val="Daf-4_5_Final"/>
      <sheetName val="7_1(3)"/>
      <sheetName val="BQ_External"/>
      <sheetName val="Kuantitas_&amp;_Harga"/>
      <sheetName val="Rekap_Analisa"/>
      <sheetName val="Hg_Sat"/>
      <sheetName val="Input_T__Schedule"/>
      <sheetName val="Daftar_Harga_Material"/>
      <sheetName val="An.1"/>
      <sheetName val="An.3"/>
      <sheetName val="XL4Test5"/>
      <sheetName val="gALIAN "/>
      <sheetName val="tng pr m"/>
      <sheetName val="DAF-KUANTI"/>
      <sheetName val="lap-bulan"/>
      <sheetName val="Lap-Minggu"/>
      <sheetName val="HARGA SATUAN  "/>
      <sheetName val="rekap. mc2"/>
      <sheetName val="URAIAN ANALIS"/>
      <sheetName val=" hrg bhn"/>
      <sheetName val="DU&amp;B"/>
      <sheetName val="RA"/>
      <sheetName val="D7(1)"/>
      <sheetName val="schbhn"/>
      <sheetName val="schalt"/>
      <sheetName val="schtng"/>
      <sheetName val="SNI UPAH BAHAN"/>
      <sheetName val="U,B"/>
      <sheetName val="D-3"/>
      <sheetName val="Div6_aN"/>
      <sheetName val="Div7_aN"/>
      <sheetName val="Div8_aN"/>
      <sheetName val="UPAH PEKERJA"/>
      <sheetName val="Kuantitas"/>
      <sheetName val="Ans Harga AB"/>
      <sheetName val="Kalender  2014"/>
      <sheetName val="Analisa copy"/>
      <sheetName val="INPUT HARGA"/>
      <sheetName val="Analisis"/>
      <sheetName val="upah bahan "/>
      <sheetName val="div-8"/>
      <sheetName val="SEC-6"/>
      <sheetName val="REFERENCE TABLE"/>
      <sheetName val="Jagorawi"/>
      <sheetName val="Prod15-8"/>
      <sheetName val="BQ-Marga Tiga"/>
      <sheetName val="Bill 2.3"/>
      <sheetName val="Bill 2.5B"/>
      <sheetName val="Bill 2.1"/>
      <sheetName val="H.DASAR"/>
      <sheetName val="B - Norelec"/>
      <sheetName val="Daftar Upah_Material_Alat"/>
      <sheetName val="RAB Rehab BatuMelik"/>
      <sheetName val="UMUR ALAT"/>
      <sheetName val="FAKTOR MODAL CRF"/>
      <sheetName val="Sheet2"/>
      <sheetName val="Gaji Pokok"/>
      <sheetName val="T. Proyek-Jabatan"/>
      <sheetName val="T. Lokasi"/>
      <sheetName val="T. Rumah"/>
      <sheetName val="T. Transport"/>
      <sheetName val="I-KAMAR"/>
      <sheetName val="Abutment"/>
      <sheetName val="BASE"/>
      <sheetName val="RESUM"/>
      <sheetName val="bau-6"/>
      <sheetName val="NP _2_"/>
      <sheetName val="HSATUAN"/>
      <sheetName val="TOTAL UPAH"/>
      <sheetName val="HS-2"/>
      <sheetName val="PRIST LIST"/>
      <sheetName val="D.BOARD"/>
      <sheetName val="SUB &amp; mandor"/>
      <sheetName val="brd2"/>
      <sheetName val="DATA2009"/>
      <sheetName val="Main"/>
      <sheetName val="DATA 2009"/>
      <sheetName val="DATA 2010"/>
      <sheetName val="Kinerja Proyek"/>
      <sheetName val="Target Raker TW III"/>
      <sheetName val="KUB-01(10)"/>
      <sheetName val="PERALATAN PROYEK GOL III A"/>
      <sheetName val="rms remunerasi"/>
      <sheetName val="input data umum"/>
      <sheetName val="HRPar"/>
      <sheetName val="LAMP_2.2"/>
      <sheetName val="RinciBab1_Seksi1"/>
      <sheetName val="grail"/>
      <sheetName val="VOL_1"/>
      <sheetName val="BQ Arsit"/>
      <sheetName val="An HarSatPek"/>
      <sheetName val="Sat Bah &amp; Up"/>
      <sheetName val="Inputs"/>
      <sheetName val="daftar"/>
      <sheetName val="52+425"/>
      <sheetName val="mat&amp;upah"/>
      <sheetName val="Ana"/>
      <sheetName val="Analisa "/>
      <sheetName val="Galian WED"/>
      <sheetName val="SP17"/>
      <sheetName val="Alat (1)"/>
      <sheetName val="ISI1108B"/>
      <sheetName val="PERHITUNGAN"/>
      <sheetName val="AHSbj"/>
      <sheetName val="hsp_STR_ARS"/>
      <sheetName val="LIST ANHARSAT"/>
      <sheetName val="BQ (2)"/>
      <sheetName val="Analisa CK"/>
      <sheetName val="DEF"/>
      <sheetName val="GP-WB"/>
      <sheetName val="telp"/>
      <sheetName val="bearing PDMR1"/>
      <sheetName val="Bearing-1"/>
      <sheetName val="Stay Cable PDMR1"/>
      <sheetName val="Post Tens-1"/>
      <sheetName val="BTN-PS"/>
      <sheetName val="LOKASI RIG Litbang"/>
      <sheetName val="BLOK-BJR"/>
      <sheetName val="TPI"/>
      <sheetName val="jan"/>
      <sheetName val="FEB"/>
      <sheetName val="MAR"/>
      <sheetName val="igp-popno"/>
      <sheetName val="BQTOLTP"/>
      <sheetName val="BOQ EM"/>
      <sheetName val="WBS"/>
      <sheetName val="REKAP HP"/>
      <sheetName val="HrgBahan&amp;Analisa"/>
      <sheetName val="Superstruc"/>
      <sheetName val="PIK_QUO"/>
      <sheetName val="Info"/>
      <sheetName val="AHS - Riel"/>
      <sheetName val="Rekap Bill"/>
      <sheetName val="Cashflow"/>
      <sheetName val="Soil factor"/>
      <sheetName val="BD Div-2 sd 7.6"/>
      <sheetName val="Analisa HS"/>
      <sheetName val="UP MINOR"/>
      <sheetName val="Assumption &amp; Dashboard."/>
      <sheetName val="Lamp-2 (Analisa)"/>
      <sheetName val="K-125"/>
      <sheetName val="_x005f_x0000_¯??_x0"/>
      <sheetName val="Investment_Valuation3"/>
      <sheetName val="Cabling_Data&amp;Power3"/>
      <sheetName val="bhn_FINAL3"/>
      <sheetName val="Input_monthly_capex3"/>
      <sheetName val="bukan_PNS3"/>
      <sheetName val="rekap_mekanikal4"/>
      <sheetName val="5_Anhas3"/>
      <sheetName val="Tata_Udara3"/>
      <sheetName val="DAF_3_14"/>
      <sheetName val="DAF_3_113"/>
      <sheetName val="ANALISA_PEK_UMUM3"/>
      <sheetName val="an_tek_NP3"/>
      <sheetName val="Bill_5_Summary3"/>
      <sheetName val="Bill_4_Summary3"/>
      <sheetName val="UNIT_PRICE3"/>
      <sheetName val="Anls_teknis3"/>
      <sheetName val="HRG_BAHAN_&amp;_UPAH_okk3"/>
      <sheetName val="Analis_Kusen_okk3"/>
      <sheetName val="PLINT_3_1_G3"/>
      <sheetName val="A+Supl_3"/>
      <sheetName val="NS_Lanjutan3"/>
      <sheetName val="STD_Lanjutan3"/>
      <sheetName val="Mk_Minor3"/>
      <sheetName val="ANALISA_ALAT_BERAT3"/>
      <sheetName val="Prod_15-54"/>
      <sheetName val="On_Time1"/>
      <sheetName val="MARK_UP3"/>
      <sheetName val="Hua_Yang_Quarterly1"/>
      <sheetName val="An_21"/>
      <sheetName val="Analis_Tambahan1"/>
      <sheetName val="pelita_lapen1"/>
      <sheetName val="Man_Power3"/>
      <sheetName val="struktur_tdk_dipakai1"/>
      <sheetName val="Analisa_RAP3"/>
      <sheetName val="Analisa_RAB3"/>
      <sheetName val="F_ALARM3"/>
      <sheetName val="D6_(2)3"/>
      <sheetName val="DAFT_HARG_SAT_PEK_3"/>
      <sheetName val="DAFT_ALAT,UPAH_&amp;_MAT3"/>
      <sheetName val="Daftar_Upah1"/>
      <sheetName val="01_FA1"/>
      <sheetName val="Master_Edit3"/>
      <sheetName val="List_Material1"/>
      <sheetName val="Harga_Satuan1"/>
      <sheetName val="Blk-Mnl_lt_3-lt_atap3"/>
      <sheetName val="Urai__Resap_pengikat1"/>
      <sheetName val="analisa_(2)1"/>
      <sheetName val="An_str1"/>
      <sheetName val="RBP-_23"/>
      <sheetName val="OP__ALAT3"/>
      <sheetName val="OP__PERJAM3"/>
      <sheetName val="B__PERSONIL3"/>
      <sheetName val="KAN__LOKAL3"/>
      <sheetName val="AC_unit1"/>
      <sheetName val="EL_acc1"/>
      <sheetName val="EL_lamp1"/>
      <sheetName val="EL_outlet1"/>
      <sheetName val="Chiller_acc1"/>
      <sheetName val="Pipa_PL1"/>
      <sheetName val="PK_acc1"/>
      <sheetName val="PL_acc1"/>
      <sheetName val="PK_valve1"/>
      <sheetName val="PL_valve1"/>
      <sheetName val="AC_valve1"/>
      <sheetName val="PK_pipe1"/>
      <sheetName val="EL_kabel1"/>
      <sheetName val="AC_power1"/>
      <sheetName val="EL_tray1"/>
      <sheetName val="PL_power1"/>
      <sheetName val="PL_unit1"/>
      <sheetName val="PK_unit1"/>
      <sheetName val="EL_arde1"/>
      <sheetName val="BQ__AC3"/>
      <sheetName val="rincian_per_proyek3"/>
      <sheetName val="rek_ME3"/>
      <sheetName val="HARGA_MATERIAL3"/>
      <sheetName val="Rekap_Direct_Cost3"/>
      <sheetName val="Analisa_-Baku3"/>
      <sheetName val="BQ_jln1"/>
      <sheetName val="BQ_jem1"/>
      <sheetName val="Analisa_Harga3"/>
      <sheetName val="Agregat_Halus_&amp;_Kasar2"/>
      <sheetName val="HS-Divisi_31"/>
      <sheetName val="Perm__Test1"/>
      <sheetName val="Hrg_Sat1"/>
      <sheetName val="Appendix_2(SatDas)1"/>
      <sheetName val="List_of_Eqp3"/>
      <sheetName val="Anl_2s_d4e3"/>
      <sheetName val="Urai___Guide_Post3"/>
      <sheetName val="Urai_Galian_Tanah3"/>
      <sheetName val="Bill_rekap1"/>
      <sheetName val="Bill_of_Qty1"/>
      <sheetName val="5_1_ELEKTRIKAL-ELEKTRONIK1"/>
      <sheetName val="hst__LAMP_11"/>
      <sheetName val="H_Satuan_Dasar1"/>
      <sheetName val="Master_1_01"/>
      <sheetName val="3_1_2a3"/>
      <sheetName val="3_1_1a3"/>
      <sheetName val="Daf_Dasar_Upah&amp;Bahan1"/>
      <sheetName val="Lead_Schedule3"/>
      <sheetName val="daftar_harga_satuan1"/>
      <sheetName val="REKAP_GROSS1"/>
      <sheetName val="BAHAN_(2)1"/>
      <sheetName val="Unit_Rate1"/>
      <sheetName val="S_Curve1"/>
      <sheetName val="Rekap_S_Curve_(4)1"/>
      <sheetName val="Rekap_S_Curve_(3)1"/>
      <sheetName val="Harga_Satuan_Bahan_1"/>
      <sheetName val="Cold_Miling1"/>
      <sheetName val="HARGA_DSR1"/>
      <sheetName val="ETAB_11"/>
      <sheetName val="Spek_Fin_1"/>
      <sheetName val="REKAP_TOTAL1"/>
      <sheetName val="Luas_Bangunan1"/>
      <sheetName val="Spek_ME1"/>
      <sheetName val="Rek_Tot1"/>
      <sheetName val="JUMLAHAN_TOTAL_1"/>
      <sheetName val="2_21"/>
      <sheetName val="Analisa_HSP1"/>
      <sheetName val="Sat__Pek_1"/>
      <sheetName val="Alat_(2)1"/>
      <sheetName val="Input_Data1"/>
      <sheetName val="4-Basic_Price1"/>
      <sheetName val="Urugan_Pasir1"/>
      <sheetName val="F1c_DATA_ADM61"/>
      <sheetName val="Galian_11"/>
      <sheetName val="RAB_1_PRABUMULIH_LEMBAK_KM_330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Hal_010MUKAMC1"/>
      <sheetName val="DIV_71"/>
      <sheetName val="LAL_-_PASAR_PAGI_1"/>
      <sheetName val="ANALISA_EDIT1"/>
      <sheetName val="D_&amp;_W_sizes1"/>
      <sheetName val="Analisa_SNI1"/>
      <sheetName val="Valve_PL1"/>
      <sheetName val="Peralatan_PL1"/>
      <sheetName val="a_21"/>
      <sheetName val="analisa_Str1"/>
      <sheetName val="610_07A1"/>
      <sheetName val="Data_WI1"/>
      <sheetName val="Harsat_Bahan1"/>
      <sheetName val="Harsat_Upah1"/>
      <sheetName val="an__major1"/>
      <sheetName val="Upah_Bahan1"/>
      <sheetName val="bahan_upah1"/>
      <sheetName val="div_21"/>
      <sheetName val="div_3_Tanah1"/>
      <sheetName val="div_4_Sirtu1"/>
      <sheetName val="div_51"/>
      <sheetName val="div_7_Beton1"/>
      <sheetName val="div_81"/>
      <sheetName val="Daf-4_5_Final1"/>
      <sheetName val="Har_Sat1"/>
      <sheetName val="610_051"/>
      <sheetName val="610_061"/>
      <sheetName val="610_071"/>
      <sheetName val="610_081"/>
      <sheetName val="610_041"/>
      <sheetName val="MPU__6-3(4)_LastonAC1"/>
      <sheetName val="Data_Info1"/>
      <sheetName val="bahan_dan_upah1"/>
      <sheetName val="7_1(3)1"/>
      <sheetName val="BQ_External1"/>
      <sheetName val="Kuantitas_&amp;_Harga1"/>
      <sheetName val="Rekap_Analisa1"/>
      <sheetName val="Hg_Sat1"/>
      <sheetName val="Input_T__Schedule1"/>
      <sheetName val="Daftar_Harga_Material1"/>
      <sheetName val="Perhit.Alat"/>
      <sheetName val="dia.pipe"/>
      <sheetName val="Order"/>
      <sheetName val="Schedule OK Status"/>
      <sheetName val="list Dps"/>
      <sheetName val="Sanur"/>
      <sheetName val="list Sanur"/>
      <sheetName val="BILL No. 1"/>
      <sheetName val="Eva Schedule 1"/>
      <sheetName val="Schedule Pabrikasi"/>
      <sheetName val="div62"/>
      <sheetName val="_x005f_x005f_x005F"/>
      <sheetName val="Sat-Rap"/>
      <sheetName val="BNISP"/>
      <sheetName val="Brdw"/>
      <sheetName val="Peralatan (2)"/>
      <sheetName val="Penjumlahan"/>
      <sheetName val="DAFTAR ISI"/>
      <sheetName val="nc-m"/>
      <sheetName val="rkpm 2003"/>
      <sheetName val="Daftar Kuantitas dan Harga"/>
      <sheetName val="A.Div 2"/>
      <sheetName val="A.Div7"/>
      <sheetName val="kalibrasi-Tank"/>
      <sheetName val="TE TS FA LAN MATV"/>
      <sheetName val="S_Suramadu"/>
      <sheetName val="SOP"/>
      <sheetName val="Progress"/>
      <sheetName val="amtek"/>
      <sheetName val="ANALISA-1"/>
      <sheetName val="ANALISA-2"/>
      <sheetName val="Det Str BT"/>
      <sheetName val="Analisa Galian Tanah Struktur"/>
      <sheetName val="Antek Divisi 3"/>
      <sheetName val="STD A OK"/>
      <sheetName val="NON STD A OK"/>
      <sheetName val="NON STD ME"/>
      <sheetName val="STND B"/>
      <sheetName val="NON STD B "/>
      <sheetName val="STD C"/>
      <sheetName val="STD ME"/>
      <sheetName val="SILICATE"/>
      <sheetName val="GearMotor"/>
      <sheetName val="Ubas"/>
      <sheetName val="Marketing"/>
      <sheetName val="envp"/>
      <sheetName val="DafIsi"/>
      <sheetName val="FoB "/>
      <sheetName val="SK"/>
      <sheetName val="hitungan"/>
      <sheetName val="pintuair"/>
      <sheetName val="BU"/>
      <sheetName val="schalat"/>
      <sheetName val="butalat"/>
      <sheetName val="schman"/>
      <sheetName val="butman"/>
      <sheetName val="schmat"/>
      <sheetName val="butmat"/>
      <sheetName val="subK"/>
      <sheetName val="subK (2)"/>
      <sheetName val="fcmc0"/>
      <sheetName val="fcmob"/>
      <sheetName val="fcgal"/>
      <sheetName val="fctimb"/>
      <sheetName val="fcbronj"/>
      <sheetName val="SUM-VOL"/>
      <sheetName val="ALT-1"/>
      <sheetName val="MAT-1"/>
      <sheetName val="UPH-1"/>
      <sheetName val="Mk Sub Grade"/>
      <sheetName val="JAD-PEL"/>
      <sheetName val="d-kwantitas"/>
      <sheetName val="Up &amp; bhn"/>
      <sheetName val="Formulir 7.6"/>
      <sheetName val="boq-indonesia"/>
      <sheetName val="Upah "/>
      <sheetName val="?¯__???"/>
      <sheetName val="_x005f_x005f_x005f_x005F_x005f_x0000_0_x005"/>
      <sheetName val="_x005f_x005f_x005f_x005F_x005f_x005f_x005f_x005f_"/>
      <sheetName val="_x005f_x005f_x005f_x005F_x005f_x0000_¯??_x0"/>
      <sheetName val="CM DIV7"/>
      <sheetName val="B Land Development"/>
      <sheetName val="C-1 FACTORY"/>
      <sheetName val="C-2 NON-HEAT PROC."/>
      <sheetName val="C-3 HEAT PROC."/>
      <sheetName val="C-4 GUARDHOUSE"/>
      <sheetName val="C-5 RWT"/>
      <sheetName val="C-6 WWT"/>
      <sheetName val="C-7 EXTERNAL "/>
      <sheetName val="7.1 PUMP ROOM(Breakdown)"/>
      <sheetName val="7.2 GARBAGE ROOM(Breakdown)"/>
      <sheetName val="SUM BUDGET"/>
      <sheetName val="Budget sheet"/>
      <sheetName val="General2"/>
      <sheetName val="MTa"/>
      <sheetName val="Gal Str 0-2m"/>
      <sheetName val="MT_an"/>
      <sheetName val="Overhead"/>
      <sheetName val="UPAHBAHAN"/>
      <sheetName val="BL Temp"/>
      <sheetName val="BL Modif"/>
      <sheetName val="SD"/>
      <sheetName val="Bill 2.4."/>
      <sheetName val="諸経費"/>
      <sheetName val="清水計算営業税率関連"/>
      <sheetName val="PE-F-37 Rev 00 Paym.GBP"/>
      <sheetName val="概総括1"/>
      <sheetName val="Anal. Alat"/>
      <sheetName val="antek12a-13"/>
      <sheetName val="Hrg.Sat"/>
      <sheetName val="Gia"/>
      <sheetName val="CONTRIBUSI"/>
      <sheetName val="Olah"/>
      <sheetName val="anal rab"/>
      <sheetName val="RAB alternatif (2) mendekati ok"/>
      <sheetName val="bill qty"/>
      <sheetName val="Telephone &amp; KSO Rev"/>
      <sheetName val="Cover (sh 1)"/>
      <sheetName val="Units"/>
      <sheetName val="Instructions"/>
      <sheetName val="BINA GRAFINDO"/>
      <sheetName val="BINA MITRA "/>
      <sheetName val="DAOUD MATULA"/>
      <sheetName val="MAHRUM NISA"/>
      <sheetName val="PURWANTO"/>
      <sheetName val="RISMAN"/>
      <sheetName val="RUDI SAIFIN"/>
      <sheetName val="SUCOFINDO"/>
      <sheetName val="Rekap_Addendum1"/>
      <sheetName val="1_GasAcct1"/>
      <sheetName val="Harga_Sat_Dasar1"/>
      <sheetName val="SUMBER_DAYA1"/>
      <sheetName val="DIVISI_31"/>
      <sheetName val="Div_7_21"/>
      <sheetName val="sheet_2"/>
      <sheetName val="RAB_ME"/>
      <sheetName val="Summary_Sheets"/>
      <sheetName val="Data_Masukan1"/>
      <sheetName val="Fisik_20121"/>
      <sheetName val="Pek__Persiapan1"/>
      <sheetName val="Rekap_Anl_K1"/>
      <sheetName val="Rekap_Anl_SNI1"/>
      <sheetName val="PEK_ASPAL"/>
      <sheetName val="Rekap_"/>
      <sheetName val="Transfer_Master"/>
      <sheetName val="K3-Gaji_Kontrak"/>
      <sheetName val="Gaji_Kontrak"/>
      <sheetName val="Kwitansi_Honor"/>
      <sheetName val="All_Division_by_SBU"/>
      <sheetName val="Daftar_Upah,Bhn,&amp;_alat"/>
      <sheetName val="BoQ_Total_lama"/>
      <sheetName val="Rekap_1"/>
      <sheetName val="D_HARGA"/>
      <sheetName val="7_PEK-STRUKTUR"/>
      <sheetName val="Harga_Baru"/>
      <sheetName val="DIV_6"/>
      <sheetName val="DIV_9"/>
      <sheetName val="HARGA_DASAR"/>
      <sheetName val="RAB_FULL"/>
      <sheetName val="anal_rinci"/>
      <sheetName val="UBA_RAB"/>
      <sheetName val="Exch_rate"/>
      <sheetName val="Analisa_K1"/>
      <sheetName val="Daf_Biaya_sewa_alat"/>
      <sheetName val="an_utara1"/>
      <sheetName val="Peralatan_Utama1"/>
      <sheetName val="ANAL_BOW"/>
      <sheetName val="DI_Gadung-1"/>
      <sheetName val="?¯??????????ÿ???English?"/>
      <sheetName val="Gal_Sal"/>
      <sheetName val="mc_adam"/>
      <sheetName val="ps_batu&amp;brjg"/>
      <sheetName val="Rekap_Biaya"/>
      <sheetName val="T__Cs_Log_P_III"/>
      <sheetName val="gal_biasa"/>
      <sheetName val="ANLS_MPU1"/>
      <sheetName val="REKAP_DINDING"/>
      <sheetName val="CHART_HB_AC_-_WC1"/>
      <sheetName val="ANALISA_railing1"/>
      <sheetName val="Stay_Cable-1"/>
      <sheetName val="BQ_Arsit"/>
      <sheetName val="An_HarSatPek"/>
      <sheetName val="Sat_Bah_&amp;_Up"/>
      <sheetName val="Data_Umum_Penawaran1"/>
      <sheetName val="ITB_COST1"/>
      <sheetName val="HRG_BAHAN___UPAH_okk1"/>
      <sheetName val="REKAP_ELEKTRIKAL1"/>
      <sheetName val="Daftar_Harga_Upah1"/>
      <sheetName val="HARGA_SAT1"/>
      <sheetName val="STR_&amp;_ARS1"/>
      <sheetName val="Ana__PU1"/>
      <sheetName val="Transfer_Pump1"/>
      <sheetName val="ANAL_RABP1"/>
      <sheetName val="BAHAN_&amp;_ALAT_1"/>
      <sheetName val="SD_(1)1"/>
      <sheetName val="Gaji_Pokok"/>
      <sheetName val="T__Proyek-Jabatan"/>
      <sheetName val="T__Lokasi"/>
      <sheetName val="T__Rumah"/>
      <sheetName val="T__Transport"/>
      <sheetName val="5_1-5_4(1)-5_4(2)"/>
      <sheetName val="anal-drainase,tanah&amp;ps_batu"/>
      <sheetName val="REKAP_Prbndingn"/>
      <sheetName val="AnalisaSIPIL_RIIL"/>
      <sheetName val="KJ_2002"/>
      <sheetName val="Calculation_Sheet"/>
      <sheetName val="ANALISA_SM"/>
      <sheetName val="BLM_TERBAYAR"/>
      <sheetName val="HARGA_ALAT"/>
      <sheetName val="REF_HARGA_DASAR_2016"/>
      <sheetName val="NP__2_"/>
      <sheetName val="Hrg_Readymix"/>
      <sheetName val="H_Sat_Jembatan"/>
      <sheetName val="S_BAHAN"/>
      <sheetName val="S_UPAH"/>
      <sheetName val="Re_1)"/>
      <sheetName val="Harga_Mat_"/>
      <sheetName val="AHS_-_Riel"/>
      <sheetName val="lamp__12"/>
      <sheetName val="Eval__Arus_Kas"/>
      <sheetName val="Rekap_Bill"/>
      <sheetName val="H_Sat__Pekerjaan"/>
      <sheetName val="H__Bahan"/>
      <sheetName val="Analisa_H_Sat_"/>
      <sheetName val="DON_GIA"/>
      <sheetName val="CHITIET_VL_NC"/>
      <sheetName val="TONGKE3p_"/>
      <sheetName val="analisa_1"/>
      <sheetName val="Metod_TWR"/>
      <sheetName val="GRAND_REKAP"/>
      <sheetName val="Harga_S_Dasar"/>
      <sheetName val="HARGA_PEK"/>
      <sheetName val="Rekap_RAP_real_(2)"/>
      <sheetName val="3_Koef_Alat"/>
      <sheetName val="3_1_(1)_CS"/>
      <sheetName val="RAB_VOL"/>
      <sheetName val="Cash_Flow_bulanan"/>
      <sheetName val="PK-PPK_Elektrikal"/>
      <sheetName val="DATA_PROYEK"/>
      <sheetName val="Rekap_Prelim"/>
      <sheetName val="Main_Office"/>
      <sheetName val="DATA_2"/>
      <sheetName val="an__struktur"/>
      <sheetName val="RAW_MATERIALS_"/>
      <sheetName val="COST-PERSON-J_O_"/>
      <sheetName val="BACK_-_UP-GALIAN_(ALAT)"/>
      <sheetName val="Schedule_11a"/>
      <sheetName val="Septick_tank"/>
      <sheetName val="Currency_Rate"/>
      <sheetName val="Conn__Lib"/>
      <sheetName val="Analisa_ME_UPT"/>
      <sheetName val="TOTAL_UPAH"/>
      <sheetName val="PRIST_LIST"/>
      <sheetName val="D_BOARD"/>
      <sheetName val="SUB_&amp;_mandor"/>
      <sheetName val="DATA_20091"/>
      <sheetName val="DATA_2010"/>
      <sheetName val="Kinerja_Proyek"/>
      <sheetName val="Target_Raker_TW_III"/>
      <sheetName val="DAF_HRG"/>
      <sheetName val="FIRE_FIGHTING"/>
      <sheetName val="Man_Power_&amp;_Comp"/>
      <sheetName val="B_T"/>
      <sheetName val="REFERENCE_TABLE"/>
      <sheetName val="SKEDUL_AV-05"/>
      <sheetName val="DAFTAR_HARGA_BAHAN_"/>
      <sheetName val="Data_3"/>
      <sheetName val="AHS_3"/>
      <sheetName val="BOQ_3"/>
      <sheetName val="ANSAT_K'AYI"/>
      <sheetName val="Basic_Price"/>
      <sheetName val="DIV_1"/>
      <sheetName val="lamp_9"/>
      <sheetName val="PERALATAN_PROYEK_GOL_III_A"/>
      <sheetName val="rms_remunerasi"/>
      <sheetName val="input_data_umum"/>
      <sheetName val="LAMP_2_2"/>
      <sheetName val="Hargasatuan"/>
      <sheetName val="hsat-SD"/>
      <sheetName val="BoQ C4"/>
      <sheetName val="Perhitungan RAB"/>
      <sheetName val="rek det 1-3"/>
      <sheetName val="BEKISTING"/>
      <sheetName val="Ranges"/>
      <sheetName val="OFF"/>
      <sheetName val="FURN"/>
      <sheetName val="COMP"/>
      <sheetName val="J"/>
      <sheetName val="7.공정표"/>
      <sheetName val="Gal tanah"/>
      <sheetName val="REKAP-ANALISA"/>
      <sheetName val="Investment_Valuation4"/>
      <sheetName val="Cabling_Data&amp;Power4"/>
      <sheetName val="bhn_FINAL4"/>
      <sheetName val="Input_monthly_capex4"/>
      <sheetName val="bukan_PNS4"/>
      <sheetName val="rekap_mekanikal5"/>
      <sheetName val="5_Anhas4"/>
      <sheetName val="Tata_Udara4"/>
      <sheetName val="DAF_3_15"/>
      <sheetName val="DAF_3_114"/>
      <sheetName val="ANALISA_PEK_UMUM4"/>
      <sheetName val="an_tek_NP4"/>
      <sheetName val="Bill_5_Summary4"/>
      <sheetName val="Bill_4_Summary4"/>
      <sheetName val="UNIT_PRICE4"/>
      <sheetName val="Anls_teknis4"/>
      <sheetName val="HRG_BAHAN_&amp;_UPAH_okk4"/>
      <sheetName val="Analis_Kusen_okk4"/>
      <sheetName val="PLINT_3_1_G4"/>
      <sheetName val="A+Supl_4"/>
      <sheetName val="NS_Lanjutan4"/>
      <sheetName val="STD_Lanjutan4"/>
      <sheetName val="Mk_Minor4"/>
      <sheetName val="ANALISA_ALAT_BERAT4"/>
      <sheetName val="Prod_15-55"/>
      <sheetName val="On_Time2"/>
      <sheetName val="MARK_UP4"/>
      <sheetName val="Hua_Yang_Quarterly2"/>
      <sheetName val="An_22"/>
      <sheetName val="Analis_Tambahan2"/>
      <sheetName val="pelita_lapen2"/>
      <sheetName val="Man_Power4"/>
      <sheetName val="struktur_tdk_dipakai2"/>
      <sheetName val="Analisa_RAP4"/>
      <sheetName val="Analisa_RAB4"/>
      <sheetName val="F_ALARM4"/>
      <sheetName val="D6_(2)4"/>
      <sheetName val="DAFT_HARG_SAT_PEK_4"/>
      <sheetName val="DAFT_ALAT,UPAH_&amp;_MAT4"/>
      <sheetName val="Daftar_Upah2"/>
      <sheetName val="01_FA2"/>
      <sheetName val="Master_Edit4"/>
      <sheetName val="List_Material2"/>
      <sheetName val="Harga_Satuan2"/>
      <sheetName val="Blk-Mnl_lt_3-lt_atap4"/>
      <sheetName val="Urai__Resap_pengikat2"/>
      <sheetName val="analisa_(2)2"/>
      <sheetName val="An_str2"/>
      <sheetName val="RBP-_24"/>
      <sheetName val="OP__ALAT4"/>
      <sheetName val="OP__PERJAM4"/>
      <sheetName val="B__PERSONIL4"/>
      <sheetName val="KAN__LOKAL4"/>
      <sheetName val="AC_unit2"/>
      <sheetName val="EL_acc2"/>
      <sheetName val="EL_lamp2"/>
      <sheetName val="EL_outlet2"/>
      <sheetName val="Chiller_acc2"/>
      <sheetName val="Pipa_PL2"/>
      <sheetName val="PK_acc2"/>
      <sheetName val="PL_acc2"/>
      <sheetName val="PK_valve2"/>
      <sheetName val="PL_valve2"/>
      <sheetName val="AC_valve2"/>
      <sheetName val="PK_pipe2"/>
      <sheetName val="EL_kabel2"/>
      <sheetName val="AC_power2"/>
      <sheetName val="EL_tray2"/>
      <sheetName val="PL_power2"/>
      <sheetName val="PL_unit2"/>
      <sheetName val="PK_unit2"/>
      <sheetName val="EL_arde2"/>
      <sheetName val="BQ__AC4"/>
      <sheetName val="rincian_per_proyek4"/>
      <sheetName val="rek_ME4"/>
      <sheetName val="HARGA_MATERIAL4"/>
      <sheetName val="Rekap_Direct_Cost4"/>
      <sheetName val="Analisa_-Baku4"/>
      <sheetName val="BQ_jln2"/>
      <sheetName val="BQ_jem2"/>
      <sheetName val="Analisa_Harga4"/>
      <sheetName val="Agregat_Halus_&amp;_Kasar3"/>
      <sheetName val="HS-Divisi_32"/>
      <sheetName val="Perm__Test2"/>
      <sheetName val="Hrg_Sat2"/>
      <sheetName val="Appendix_2(SatDas)2"/>
      <sheetName val="List_of_Eqp4"/>
      <sheetName val="Anl_2s_d4e4"/>
      <sheetName val="Urai___Guide_Post4"/>
      <sheetName val="Urai_Galian_Tanah4"/>
      <sheetName val="Bill_rekap2"/>
      <sheetName val="Bill_of_Qty2"/>
      <sheetName val="5_1_ELEKTRIKAL-ELEKTRONIK2"/>
      <sheetName val="hst__LAMP_12"/>
      <sheetName val="H_Satuan_Dasar2"/>
      <sheetName val="Master_1_02"/>
      <sheetName val="3_1_2a4"/>
      <sheetName val="3_1_1a4"/>
      <sheetName val="Daf_Dasar_Upah&amp;Bahan2"/>
      <sheetName val="Lead_Schedule4"/>
      <sheetName val="daftar_harga_satuan2"/>
      <sheetName val="REKAP_GROSS2"/>
      <sheetName val="BAHAN_(2)2"/>
      <sheetName val="Unit_Rate2"/>
      <sheetName val="S_Curve2"/>
      <sheetName val="Rekap_S_Curve_(4)2"/>
      <sheetName val="Rekap_S_Curve_(3)2"/>
      <sheetName val="Harga_Satuan_Bahan_2"/>
      <sheetName val="Cold_Miling2"/>
      <sheetName val="HARGA_DSR2"/>
      <sheetName val="ETAB_12"/>
      <sheetName val="Spek_Fin_2"/>
      <sheetName val="REKAP_TOTAL2"/>
      <sheetName val="Luas_Bangunan2"/>
      <sheetName val="Spek_ME2"/>
      <sheetName val="Rek_Tot2"/>
      <sheetName val="JUMLAHAN_TOTAL_2"/>
      <sheetName val="2_22"/>
      <sheetName val="Analisa_HSP2"/>
      <sheetName val="Sat__Pek_2"/>
      <sheetName val="Alat_(2)2"/>
      <sheetName val="Input_Data2"/>
      <sheetName val="4-Basic_Price2"/>
      <sheetName val="Urugan_Pasir2"/>
      <sheetName val="F1c_DATA_ADM62"/>
      <sheetName val="Galian_12"/>
      <sheetName val="RAB_1_PRABUMULIH_LEMBAK_KM_3302"/>
      <sheetName val="GRAND_REKAPITULASI2"/>
      <sheetName val="RAB_G_ADM__PUSAT_(1)2"/>
      <sheetName val="RAB_R__GENSET_&amp;_PANEL_(10)_2"/>
      <sheetName val="RAB_R__DNS__PENGLL_T_54_(11_A_2"/>
      <sheetName val="RAB_R__DNS__PENGLL_T_54_(11_B_2"/>
      <sheetName val="RAB_R__DNS__PENGLL_T_54_(11_C_2"/>
      <sheetName val="RAB_R__DNS__PENGLL_T_70_(12_A_2"/>
      <sheetName val="RAB_R__DNS__PENGLL_T_70_(12_B_2"/>
      <sheetName val="RAB_R__DNS__PENGLL_T_70_(12_C_2"/>
      <sheetName val="RAB_SPORT_CLUB_(14)2"/>
      <sheetName val="RAB_MASJID_&amp;_T_WUDLU_(15)2"/>
      <sheetName val="RAB_LOUNDRY_&amp;_WORKSHOP_(16)2"/>
      <sheetName val="RAB_MINIMARKET_&amp;_KANTIN_(17_)2"/>
      <sheetName val="RAB_RMH__PENJAGA_(18)2"/>
      <sheetName val="RAB_POS_JAGA_(19__A_)2"/>
      <sheetName val="RAB_POS_JAGA_(19__B_)2"/>
      <sheetName val="RAB_R__POMPA_(20)2"/>
      <sheetName val="RAB_R__KELAS_(2_A)2"/>
      <sheetName val="RAB_R__KELAS_(2_B)2"/>
      <sheetName val="RAB_AULA_UTAMA_(5)2"/>
      <sheetName val="RAB_AULA_SEDANG_(6)2"/>
      <sheetName val="RAB_ASRAMA_(7__B_)2"/>
      <sheetName val="RAB_ASRAMA_(7__C_)2"/>
      <sheetName val="RAB_ASRAMA_(7__D_)2"/>
      <sheetName val="RAB_R__MAKAN_(8)2"/>
      <sheetName val="RAB_GUEST_HOUSE_(9__A_)2"/>
      <sheetName val="RAB_GUEST_HOUSE_(9__B_)2"/>
      <sheetName val="Hal_010MUKAMC2"/>
      <sheetName val="DIV_72"/>
      <sheetName val="LAL_-_PASAR_PAGI_2"/>
      <sheetName val="ANALISA_EDIT2"/>
      <sheetName val="D_&amp;_W_sizes2"/>
      <sheetName val="Analisa_SNI2"/>
      <sheetName val="Valve_PL2"/>
      <sheetName val="Peralatan_PL2"/>
      <sheetName val="a_22"/>
      <sheetName val="analisa_Str2"/>
      <sheetName val="610_07A2"/>
      <sheetName val="Data_WI2"/>
      <sheetName val="Harsat_Bahan2"/>
      <sheetName val="Harsat_Upah2"/>
      <sheetName val="an__major2"/>
      <sheetName val="Upah_Bahan2"/>
      <sheetName val="bahan_upah2"/>
      <sheetName val="div_22"/>
      <sheetName val="div_3_Tanah2"/>
      <sheetName val="div_4_Sirtu2"/>
      <sheetName val="div_52"/>
      <sheetName val="div_7_Beton2"/>
      <sheetName val="div_82"/>
      <sheetName val="Daf-4_5_Final2"/>
      <sheetName val="Har_Sat2"/>
      <sheetName val="610_052"/>
      <sheetName val="610_062"/>
      <sheetName val="610_072"/>
      <sheetName val="610_082"/>
      <sheetName val="610_042"/>
      <sheetName val="MPU__6-3(4)_LastonAC2"/>
      <sheetName val="Data_Info2"/>
      <sheetName val="bahan_dan_upah2"/>
      <sheetName val="7_1(3)2"/>
      <sheetName val="BQ_External2"/>
      <sheetName val="Kuantitas_&amp;_Harga2"/>
      <sheetName val="Rekap_Analisa2"/>
      <sheetName val="Hg_Sat2"/>
      <sheetName val="Input_T__Schedule2"/>
      <sheetName val="Daftar_Harga_Material2"/>
      <sheetName val="An_1"/>
      <sheetName val="An_3"/>
      <sheetName val="BOQ_EM"/>
      <sheetName val="BOQ_INTERN"/>
      <sheetName val="RAB_Ekstern"/>
      <sheetName val="Perhit_Alat"/>
      <sheetName val="dia_pipe"/>
      <sheetName val="STD_GD_UTAMA"/>
      <sheetName val="list_Dps"/>
      <sheetName val="list_Sanur"/>
      <sheetName val="BILL_No__1"/>
      <sheetName val="Eva_Schedule_1"/>
      <sheetName val="Schedule_Pabrikasi"/>
      <sheetName val="ACTUAL_CHECK"/>
      <sheetName val="B_O_Q"/>
      <sheetName val="RAB_(A)_(2)"/>
      <sheetName val="Pay_Items"/>
      <sheetName val="An_Biaya_Kons_(SNI)"/>
      <sheetName val="Daftar_Harga_Bahan"/>
      <sheetName val="공사금액_내역_(1)"/>
      <sheetName val="bhn_"/>
      <sheetName val="Schedule_OK_Status"/>
      <sheetName val="RAB_SEKRETARIAT_(1)"/>
      <sheetName val="Investment_Valuation5"/>
      <sheetName val="Cabling_Data&amp;Power5"/>
      <sheetName val="Input_monthly_capex5"/>
      <sheetName val="bukan_PNS5"/>
      <sheetName val="bhn_FINAL5"/>
      <sheetName val="rekap_mekanikal6"/>
      <sheetName val="5_Anhas5"/>
      <sheetName val="Tata_Udara5"/>
      <sheetName val="DAF_3_16"/>
      <sheetName val="DAF_3_115"/>
      <sheetName val="ANALISA_PEK_UMUM5"/>
      <sheetName val="an_tek_NP5"/>
      <sheetName val="Anls_teknis5"/>
      <sheetName val="Mk_Minor5"/>
      <sheetName val="MARK_UP5"/>
      <sheetName val="Master_Edit5"/>
      <sheetName val="Bill_5_Summary5"/>
      <sheetName val="Bill_4_Summary5"/>
      <sheetName val="UNIT_PRICE5"/>
      <sheetName val="HRG_BAHAN_&amp;_UPAH_okk5"/>
      <sheetName val="Analis_Kusen_okk5"/>
      <sheetName val="PLINT_3_1_G5"/>
      <sheetName val="A+Supl_5"/>
      <sheetName val="NS_Lanjutan5"/>
      <sheetName val="STD_Lanjutan5"/>
      <sheetName val="ANALISA_ALAT_BERAT5"/>
      <sheetName val="Prod_15-56"/>
      <sheetName val="List_Material3"/>
      <sheetName val="Hua_Yang_Quarterly3"/>
      <sheetName val="An_23"/>
      <sheetName val="Analis_Tambahan3"/>
      <sheetName val="pelita_lapen3"/>
      <sheetName val="On_Time3"/>
      <sheetName val="Harga_Satuan3"/>
      <sheetName val="Man_Power5"/>
      <sheetName val="struktur_tdk_dipakai3"/>
      <sheetName val="Analisa_RAP5"/>
      <sheetName val="Analisa_RAB5"/>
      <sheetName val="F_ALARM5"/>
      <sheetName val="D6_(2)5"/>
      <sheetName val="DAFT_HARG_SAT_PEK_5"/>
      <sheetName val="DAFT_ALAT,UPAH_&amp;_MAT5"/>
      <sheetName val="Daftar_Upah3"/>
      <sheetName val="01_FA3"/>
      <sheetName val="RBP-_25"/>
      <sheetName val="OP__ALAT5"/>
      <sheetName val="OP__PERJAM5"/>
      <sheetName val="B__PERSONIL5"/>
      <sheetName val="KAN__LOKAL5"/>
      <sheetName val="Blk-Mnl_lt_3-lt_atap5"/>
      <sheetName val="Urai__Resap_pengikat3"/>
      <sheetName val="analisa_(2)3"/>
      <sheetName val="An_str3"/>
      <sheetName val="AC_unit3"/>
      <sheetName val="EL_acc3"/>
      <sheetName val="EL_lamp3"/>
      <sheetName val="EL_outlet3"/>
      <sheetName val="Chiller_acc3"/>
      <sheetName val="Pipa_PL3"/>
      <sheetName val="PK_acc3"/>
      <sheetName val="PL_acc3"/>
      <sheetName val="PK_valve3"/>
      <sheetName val="PL_valve3"/>
      <sheetName val="AC_valve3"/>
      <sheetName val="PK_pipe3"/>
      <sheetName val="EL_kabel3"/>
      <sheetName val="AC_power3"/>
      <sheetName val="EL_tray3"/>
      <sheetName val="PL_power3"/>
      <sheetName val="PL_unit3"/>
      <sheetName val="PK_unit3"/>
      <sheetName val="EL_arde3"/>
      <sheetName val="BQ__AC5"/>
      <sheetName val="rincian_per_proyek5"/>
      <sheetName val="rek_ME5"/>
      <sheetName val="HARGA_MATERIAL5"/>
      <sheetName val="Rekap_Direct_Cost5"/>
      <sheetName val="Analisa_-Baku5"/>
      <sheetName val="BQ_jln3"/>
      <sheetName val="BQ_jem3"/>
      <sheetName val="Analisa_Harga5"/>
      <sheetName val="Agregat_Halus_&amp;_Kasar4"/>
      <sheetName val="HS-Divisi_33"/>
      <sheetName val="Perm__Test3"/>
      <sheetName val="Hrg_Sat3"/>
      <sheetName val="Daf_Dasar_Upah&amp;Bahan3"/>
      <sheetName val="3_1_2a5"/>
      <sheetName val="3_1_1a5"/>
      <sheetName val="Anl_2s_d4e5"/>
      <sheetName val="List_of_Eqp5"/>
      <sheetName val="Urai___Guide_Post5"/>
      <sheetName val="Urai_Galian_Tanah5"/>
      <sheetName val="Lead_Schedule5"/>
      <sheetName val="Master_1_03"/>
      <sheetName val="Appendix_2(SatDas)3"/>
      <sheetName val="Bill_rekap3"/>
      <sheetName val="Bill_of_Qty3"/>
      <sheetName val="5_1_ELEKTRIKAL-ELEKTRONIK3"/>
      <sheetName val="hst__LAMP_13"/>
      <sheetName val="daftar_harga_satuan3"/>
      <sheetName val="H_Satuan_Dasar3"/>
      <sheetName val="BAHAN_(2)3"/>
      <sheetName val="Unit_Rate3"/>
      <sheetName val="S_Curve3"/>
      <sheetName val="Rekap_S_Curve_(4)3"/>
      <sheetName val="Rekap_S_Curve_(3)3"/>
      <sheetName val="REKAP_GROSS3"/>
      <sheetName val="Harga_Satuan_Bahan_3"/>
      <sheetName val="Cold_Miling3"/>
      <sheetName val="HARGA_DSR3"/>
      <sheetName val="ETAB_13"/>
      <sheetName val="Spek_Fin_3"/>
      <sheetName val="REKAP_TOTAL3"/>
      <sheetName val="Luas_Bangunan3"/>
      <sheetName val="Spek_ME3"/>
      <sheetName val="Rek_Tot3"/>
      <sheetName val="JUMLAHAN_TOTAL_3"/>
      <sheetName val="2_23"/>
      <sheetName val="Analisa_HSP3"/>
      <sheetName val="Sat__Pek_3"/>
      <sheetName val="Alat_(2)3"/>
      <sheetName val="Input_Data3"/>
      <sheetName val="4-Basic_Price3"/>
      <sheetName val="Urugan_Pasir3"/>
      <sheetName val="F1c_DATA_ADM63"/>
      <sheetName val="Galian_13"/>
      <sheetName val="RAB_1_PRABUMULIH_LEMBAK_KM_3303"/>
      <sheetName val="GRAND_REKAPITULASI3"/>
      <sheetName val="RAB_G_ADM__PUSAT_(1)3"/>
      <sheetName val="RAB_R__GENSET_&amp;_PANEL_(10)_3"/>
      <sheetName val="RAB_R__DNS__PENGLL_T_54_(11_A_3"/>
      <sheetName val="RAB_R__DNS__PENGLL_T_54_(11_B_3"/>
      <sheetName val="RAB_R__DNS__PENGLL_T_54_(11_C_3"/>
      <sheetName val="RAB_R__DNS__PENGLL_T_70_(12_A_3"/>
      <sheetName val="RAB_R__DNS__PENGLL_T_70_(12_B_3"/>
      <sheetName val="RAB_R__DNS__PENGLL_T_70_(12_C_3"/>
      <sheetName val="RAB_SPORT_CLUB_(14)3"/>
      <sheetName val="RAB_MASJID_&amp;_T_WUDLU_(15)3"/>
      <sheetName val="RAB_LOUNDRY_&amp;_WORKSHOP_(16)3"/>
      <sheetName val="RAB_MINIMARKET_&amp;_KANTIN_(17_)3"/>
      <sheetName val="RAB_RMH__PENJAGA_(18)3"/>
      <sheetName val="RAB_POS_JAGA_(19__A_)3"/>
      <sheetName val="RAB_POS_JAGA_(19__B_)3"/>
      <sheetName val="RAB_R__POMPA_(20)3"/>
      <sheetName val="RAB_R__KELAS_(2_A)3"/>
      <sheetName val="RAB_R__KELAS_(2_B)3"/>
      <sheetName val="RAB_AULA_UTAMA_(5)3"/>
      <sheetName val="RAB_AULA_SEDANG_(6)3"/>
      <sheetName val="RAB_ASRAMA_(7__B_)3"/>
      <sheetName val="RAB_ASRAMA_(7__C_)3"/>
      <sheetName val="RAB_ASRAMA_(7__D_)3"/>
      <sheetName val="RAB_R__MAKAN_(8)3"/>
      <sheetName val="RAB_GUEST_HOUSE_(9__A_)3"/>
      <sheetName val="RAB_GUEST_HOUSE_(9__B_)3"/>
      <sheetName val="Hal_010MUKAMC3"/>
      <sheetName val="DIV_73"/>
      <sheetName val="LAL_-_PASAR_PAGI_3"/>
      <sheetName val="ANALISA_EDIT3"/>
      <sheetName val="Analisa_SNI3"/>
      <sheetName val="Valve_PL3"/>
      <sheetName val="Peralatan_PL3"/>
      <sheetName val="an__major3"/>
      <sheetName val="Upah_Bahan3"/>
      <sheetName val="div_23"/>
      <sheetName val="div_3_Tanah3"/>
      <sheetName val="div_4_Sirtu3"/>
      <sheetName val="div_53"/>
      <sheetName val="div_7_Beton3"/>
      <sheetName val="div_83"/>
      <sheetName val="D_&amp;_W_sizes3"/>
      <sheetName val="a_23"/>
      <sheetName val="analisa_Str3"/>
      <sheetName val="610_07A3"/>
      <sheetName val="Data_WI3"/>
      <sheetName val="Harsat_Bahan3"/>
      <sheetName val="Harsat_Upah3"/>
      <sheetName val="bahan_upah3"/>
      <sheetName val="Daf-4_5_Final3"/>
      <sheetName val="Har_Sat3"/>
      <sheetName val="610_053"/>
      <sheetName val="610_063"/>
      <sheetName val="610_073"/>
      <sheetName val="610_083"/>
      <sheetName val="610_043"/>
      <sheetName val="MPU__6-3(4)_LastonAC3"/>
      <sheetName val="Data_Info3"/>
      <sheetName val="bahan_dan_upah3"/>
      <sheetName val="7_1(3)3"/>
      <sheetName val="BQ_External3"/>
      <sheetName val="Kuantitas_&amp;_Harga3"/>
      <sheetName val="Rekap_Analisa3"/>
      <sheetName val="Hg_Sat3"/>
      <sheetName val="Input_T__Schedule3"/>
      <sheetName val="Daftar_Upah,Bhn,&amp;_alat1"/>
      <sheetName val="BoQ_Total_lama1"/>
      <sheetName val="Rekap_11"/>
      <sheetName val="D_HARGA1"/>
      <sheetName val="ANAL_BOW1"/>
      <sheetName val="Daf_Biaya_sewa_alat1"/>
      <sheetName val="Rekap_Addendum2"/>
      <sheetName val="DI_Gadung-11"/>
      <sheetName val="SAT_UPAH1"/>
      <sheetName val="Harga_Sat_Dasar2"/>
      <sheetName val="1_GasAcct2"/>
      <sheetName val="BLM_TERBAYAR1"/>
      <sheetName val="Daftar_Harga_Material3"/>
      <sheetName val="Hrg_Readymix1"/>
      <sheetName val="Metod_TWR1"/>
      <sheetName val="PEK_ASPAL1"/>
      <sheetName val="REF_HARGA_DASAR_20161"/>
      <sheetName val="DIV_61"/>
      <sheetName val="HARGA_PEK1"/>
      <sheetName val="Rekap_RAP_real_(2)1"/>
      <sheetName val="3_Koef_Alat1"/>
      <sheetName val="GRAND_REKAP1"/>
      <sheetName val="Harga_S_Dasar1"/>
      <sheetName val="RAB_FULL1"/>
      <sheetName val="anal_rinci1"/>
      <sheetName val="DIV_91"/>
      <sheetName val="HARGA_DASAR1"/>
      <sheetName val="Stay_Cable-11"/>
      <sheetName val="UBA_RAB1"/>
      <sheetName val="REKAP_Prbndingn1"/>
      <sheetName val="STD_GD_UTAMA1"/>
      <sheetName val="7_PEK-STRUKTUR1"/>
      <sheetName val="Harga_Baru1"/>
      <sheetName val="Exch_rate1"/>
      <sheetName val="H_Sat__Pekerjaan1"/>
      <sheetName val="H__Bahan1"/>
      <sheetName val="Analisa_H_Sat_1"/>
      <sheetName val="DON_GIA1"/>
      <sheetName val="CHITIET_VL_NC1"/>
      <sheetName val="TONGKE3p_1"/>
      <sheetName val="BOQ_INTERN1"/>
      <sheetName val="Analisa_ME_UPT1"/>
      <sheetName val="gal_biasa1"/>
      <sheetName val="An_11"/>
      <sheetName val="An_31"/>
      <sheetName val="Rekap_Prelim1"/>
      <sheetName val="BOQ_EM1"/>
      <sheetName val="mc_adam1"/>
      <sheetName val="ps_batu&amp;brjg1"/>
      <sheetName val="RAB_Ekstern1"/>
      <sheetName val="Gal_Sal1"/>
      <sheetName val="Rekap_Biaya1"/>
      <sheetName val="T__Cs_Log_P_III1"/>
      <sheetName val="3_1_(1)_CS1"/>
      <sheetName val="KJ_20021"/>
      <sheetName val="Calculation_Sheet1"/>
      <sheetName val="ANALISA_SM1"/>
      <sheetName val="sheet_21"/>
      <sheetName val="RAB_ME1"/>
      <sheetName val="Summary_Sheets1"/>
      <sheetName val="perkerasan_rigid1"/>
      <sheetName val="Perhit_Alat1"/>
      <sheetName val="Basic_Price1"/>
      <sheetName val="ANSAT_K'AYI1"/>
      <sheetName val="HARGA_(2)1"/>
      <sheetName val="ANAL_ALAT1"/>
      <sheetName val="Upah,_alat_&amp;_harsat1"/>
      <sheetName val="DIV_11"/>
      <sheetName val="lamp_91"/>
      <sheetName val="list_Dps1"/>
      <sheetName val="list_Sanur1"/>
      <sheetName val="BILL_No__11"/>
      <sheetName val="Eva_Schedule_11"/>
      <sheetName val="Schedule_Pabrikasi1"/>
      <sheetName val="dia_pipe1"/>
      <sheetName val="ACTUAL_CHECK1"/>
      <sheetName val="5_1-5_4(1)-5_4(2)1"/>
      <sheetName val="anal-drainase,tanah&amp;ps_batu1"/>
      <sheetName val="RAB_VOL1"/>
      <sheetName val="B_O_Q1"/>
      <sheetName val="FIRE_FIGHTING1"/>
      <sheetName val="RAB_(A)_(2)1"/>
      <sheetName val="Pay_Items1"/>
      <sheetName val="Rekap_2"/>
      <sheetName val="Transfer_Master1"/>
      <sheetName val="K3-Gaji_Kontrak1"/>
      <sheetName val="Gaji_Kontrak1"/>
      <sheetName val="Kwitansi_Honor1"/>
      <sheetName val="All_Division_by_SBU1"/>
      <sheetName val="An_Biaya_Kons_(SNI)1"/>
      <sheetName val="Daftar_Harga_Bahan1"/>
      <sheetName val="공사금액_내역_(1)1"/>
      <sheetName val="bhn_1"/>
      <sheetName val="H_Sat_Jembatan1"/>
      <sheetName val="S_BAHAN1"/>
      <sheetName val="S_UPAH1"/>
      <sheetName val="Re_1)1"/>
      <sheetName val="Harga_Mat_1"/>
      <sheetName val="Schedule_OK_Status1"/>
      <sheetName val="Currency_Rate1"/>
      <sheetName val="Conn__Lib1"/>
      <sheetName val="HARGA_ALAT1"/>
      <sheetName val="RAB_SEKRETARIAT_(1)1"/>
      <sheetName val="analisa_11"/>
      <sheetName val="ENC_14"/>
      <sheetName val="KEBUT_BHN"/>
      <sheetName val="Bill_2_1_Basement_41_"/>
      <sheetName val="bahan_SNI"/>
      <sheetName val="MING_I"/>
      <sheetName val="Bangunan_Utama"/>
      <sheetName val="Floor_finishes"/>
      <sheetName val="R_A_B_"/>
      <sheetName val="R1__GREJA_KATHOLIK"/>
      <sheetName val="Cvr"/>
      <sheetName val="H-SAT"/>
      <sheetName val="3"/>
      <sheetName val="An.Q"/>
      <sheetName val="B.Dsr"/>
      <sheetName val="ALAT BM"/>
      <sheetName val="MATAUANG"/>
      <sheetName val="IPL_SCHEDULE"/>
      <sheetName val="bhn_upah"/>
      <sheetName val="HS-Ban"/>
      <sheetName val="BQ-SRT"/>
      <sheetName val="DivVI"/>
      <sheetName val="Master Schedule"/>
      <sheetName val="Anl. Struktur"/>
      <sheetName val="PAGE 1 "/>
      <sheetName val="Connections"/>
      <sheetName val="DWTables"/>
      <sheetName val="B.U.A"/>
      <sheetName val="Material&amp;Alat"/>
      <sheetName val="GASATAGG.XLS"/>
      <sheetName val="ANALISA  besing"/>
      <sheetName val="Prosentase"/>
      <sheetName val="Termin"/>
      <sheetName val="5-ALAT slury"/>
      <sheetName val="인사자료총집계"/>
      <sheetName val="alm"/>
      <sheetName val="HPP"/>
      <sheetName val="CH-RANC"/>
      <sheetName val="BERAT TUL."/>
      <sheetName val="PERHITUNGAN LUMPSUM"/>
      <sheetName val="HARGA DASAR PIPA "/>
      <sheetName val="HARGA DASAR ACCESORIES"/>
      <sheetName val="ongkos_kirim"/>
      <sheetName val="PASANGPIPA"/>
      <sheetName val="CAB 2"/>
      <sheetName val="Data Pendukung"/>
      <sheetName val="Analisa-Harga"/>
      <sheetName val="analis_alat"/>
      <sheetName val="Divisi1"/>
      <sheetName val="sat-jadi"/>
      <sheetName val="UPAH DAN BAHAN"/>
      <sheetName val="ANL-E"/>
      <sheetName val="Bhn-Lokal"/>
      <sheetName val="koef-beton"/>
      <sheetName val="coeff"/>
      <sheetName val="Cable 150kV Ref."/>
      <sheetName val="FISIK RAB 2000"/>
      <sheetName val="bahan-mos"/>
      <sheetName val="Fees and GC's Manloader"/>
      <sheetName val="Shell &amp; Core"/>
      <sheetName val="rap rinci"/>
      <sheetName val="Koefisien"/>
      <sheetName val="ANALISA TENDER"/>
      <sheetName val="REKAP.VOLUME"/>
      <sheetName val="RAB-D-22.4"/>
      <sheetName val="Quantity"/>
      <sheetName val="daf-3(OK)"/>
      <sheetName val="daf-7(OK)"/>
      <sheetName val="Macro1"/>
      <sheetName val="97 사업추정(WEKI)"/>
      <sheetName val="Investment_Valuation6"/>
      <sheetName val="Cabling_Data&amp;Power6"/>
      <sheetName val="Input_monthly_capex6"/>
      <sheetName val="bukan_PNS6"/>
      <sheetName val="bhn_FINAL6"/>
      <sheetName val="rekap_mekanikal7"/>
      <sheetName val="5_Anhas6"/>
      <sheetName val="Tata_Udara6"/>
      <sheetName val="DAF_3_17"/>
      <sheetName val="DAF_3_116"/>
      <sheetName val="ANALISA_PEK_UMUM6"/>
      <sheetName val="an_tek_NP6"/>
      <sheetName val="Anls_teknis6"/>
      <sheetName val="Mk_Minor6"/>
      <sheetName val="MARK_UP6"/>
      <sheetName val="Master_Edit6"/>
      <sheetName val="Bill_5_Summary6"/>
      <sheetName val="Bill_4_Summary6"/>
      <sheetName val="UNIT_PRICE6"/>
      <sheetName val="HRG_BAHAN_&amp;_UPAH_okk6"/>
      <sheetName val="Analis_Kusen_okk6"/>
      <sheetName val="PLINT_3_1_G6"/>
      <sheetName val="A+Supl_6"/>
      <sheetName val="NS_Lanjutan6"/>
      <sheetName val="STD_Lanjutan6"/>
      <sheetName val="ANALISA_ALAT_BERAT6"/>
      <sheetName val="Prod_15-57"/>
      <sheetName val="List_Material4"/>
      <sheetName val="Hua_Yang_Quarterly4"/>
      <sheetName val="An_24"/>
      <sheetName val="Analis_Tambahan4"/>
      <sheetName val="pelita_lapen4"/>
      <sheetName val="On_Time4"/>
      <sheetName val="Harga_Satuan4"/>
      <sheetName val="Man_Power6"/>
      <sheetName val="struktur_tdk_dipakai4"/>
      <sheetName val="Analisa_RAP6"/>
      <sheetName val="Analisa_RAB6"/>
      <sheetName val="F_ALARM6"/>
      <sheetName val="D6_(2)6"/>
      <sheetName val="DAFT_HARG_SAT_PEK_6"/>
      <sheetName val="DAFT_ALAT,UPAH_&amp;_MAT6"/>
      <sheetName val="Daftar_Upah4"/>
      <sheetName val="01_FA4"/>
      <sheetName val="RBP-_26"/>
      <sheetName val="OP__ALAT6"/>
      <sheetName val="OP__PERJAM6"/>
      <sheetName val="B__PERSONIL6"/>
      <sheetName val="KAN__LOKAL6"/>
      <sheetName val="Blk-Mnl_lt_3-lt_atap6"/>
      <sheetName val="Urai__Resap_pengikat4"/>
      <sheetName val="analisa_(2)4"/>
      <sheetName val="An_str4"/>
      <sheetName val="AC_unit4"/>
      <sheetName val="EL_acc4"/>
      <sheetName val="EL_lamp4"/>
      <sheetName val="EL_outlet4"/>
      <sheetName val="Chiller_acc4"/>
      <sheetName val="Pipa_PL4"/>
      <sheetName val="PK_acc4"/>
      <sheetName val="PL_acc4"/>
      <sheetName val="PK_valve4"/>
      <sheetName val="PL_valve4"/>
      <sheetName val="AC_valve4"/>
      <sheetName val="PK_pipe4"/>
      <sheetName val="EL_kabel4"/>
      <sheetName val="AC_power4"/>
      <sheetName val="EL_tray4"/>
      <sheetName val="PL_power4"/>
      <sheetName val="PL_unit4"/>
      <sheetName val="PK_unit4"/>
      <sheetName val="EL_arde4"/>
      <sheetName val="BQ__AC6"/>
      <sheetName val="rincian_per_proyek6"/>
      <sheetName val="rek_ME6"/>
      <sheetName val="HARGA_MATERIAL6"/>
      <sheetName val="Rekap_Direct_Cost6"/>
      <sheetName val="Analisa_-Baku6"/>
      <sheetName val="BQ_jln4"/>
      <sheetName val="BQ_jem4"/>
      <sheetName val="Analisa_Harga6"/>
      <sheetName val="Agregat_Halus_&amp;_Kasar5"/>
      <sheetName val="HS-Divisi_34"/>
      <sheetName val="Perm__Test4"/>
      <sheetName val="Hrg_Sat4"/>
      <sheetName val="Daf_Dasar_Upah&amp;Bahan4"/>
      <sheetName val="3_1_2a6"/>
      <sheetName val="3_1_1a6"/>
      <sheetName val="Anl_2s_d4e6"/>
      <sheetName val="List_of_Eqp6"/>
      <sheetName val="Urai___Guide_Post6"/>
      <sheetName val="Urai_Galian_Tanah6"/>
      <sheetName val="Lead_Schedule6"/>
      <sheetName val="Master_1_04"/>
      <sheetName val="Appendix_2(SatDas)4"/>
      <sheetName val="Bill_rekap4"/>
      <sheetName val="Bill_of_Qty4"/>
      <sheetName val="5_1_ELEKTRIKAL-ELEKTRONIK4"/>
      <sheetName val="hst__LAMP_14"/>
      <sheetName val="daftar_harga_satuan4"/>
      <sheetName val="H_Satuan_Dasar4"/>
      <sheetName val="BAHAN_(2)4"/>
      <sheetName val="Unit_Rate4"/>
      <sheetName val="Faktor_Konversi"/>
      <sheetName val="bq_m&amp;e_r"/>
      <sheetName val="Analisa_Hourly"/>
      <sheetName val="Rek_Analisa"/>
      <sheetName val="PENGU"/>
      <sheetName val="D3"/>
      <sheetName val="P&amp;L"/>
      <sheetName val="GLdownload"/>
      <sheetName val="BackUp-Payment Exs"/>
      <sheetName val="Dft Isi PQ 1"/>
      <sheetName val="SHAREHOLDERS"/>
      <sheetName val="Cashflow_ref"/>
      <sheetName val="TAGIHAN"/>
      <sheetName val="hasat"/>
      <sheetName val="MasterSheet"/>
      <sheetName val="Sales Rental"/>
      <sheetName val="HR Detail"/>
      <sheetName val="extern"/>
      <sheetName val="BASIC-PRICE"/>
      <sheetName val="STOK MAT"/>
      <sheetName val="Monthly"/>
      <sheetName val="HD BAHAN"/>
      <sheetName val="BOQ CONTRACT WK"/>
      <sheetName val="DIV.3"/>
      <sheetName val="Assetdb"/>
      <sheetName val="AssetPar"/>
      <sheetName val="Sales Parameter"/>
      <sheetName val="BQ-IABK"/>
      <sheetName val="BS Assumptions"/>
      <sheetName val="Table Array"/>
      <sheetName val="adj"/>
      <sheetName val="Traffic(2a)"/>
      <sheetName val="Tambahan anal"/>
      <sheetName val="Monthly Budget Summary"/>
      <sheetName val="EPS"/>
      <sheetName val="trans"/>
      <sheetName val="P-2"/>
      <sheetName val="P-5"/>
      <sheetName val="ABSEN"/>
      <sheetName val="UPAH_B_KAS"/>
      <sheetName val="UPAH_B_KAS _2_"/>
      <sheetName val="T_TANGAN"/>
      <sheetName val="RPP01 6"/>
      <sheetName val="AnAlat"/>
      <sheetName val="MAP 18.12.17"/>
      <sheetName val="DbCost"/>
      <sheetName val="AUG02"/>
      <sheetName val="agregat abc"/>
      <sheetName val="PER HARI"/>
      <sheetName val="HDasar"/>
      <sheetName val="Schedule(S-Curve)"/>
      <sheetName val="Bill 4.1"/>
      <sheetName val="ANALISA-SNI"/>
      <sheetName val="HPP_20_"/>
      <sheetName val="hrg-dsr"/>
      <sheetName val="Market"/>
      <sheetName val="PEMBANTAIAN"/>
      <sheetName val="BAHAN~"/>
      <sheetName val="DAFTAR ANALYSA"/>
      <sheetName val="Lamp. Bahan"/>
      <sheetName val="?¯???????_x005f_x0001_???ÿ???En"/>
      <sheetName val="8LT 12"/>
      <sheetName val="Analisa Upah _ Bahan Plum"/>
      <sheetName val="pel  rut bahu jln mat"/>
      <sheetName val="Hrg-Das"/>
      <sheetName val="MB"/>
      <sheetName val="Sched-Ex"/>
      <sheetName val="Analisa Teknik"/>
      <sheetName val="Cipinang"/>
      <sheetName val="Bek_Sloof"/>
      <sheetName val="Gradasi wc2"/>
      <sheetName val="Check"/>
      <sheetName val="TERBIL prog 2017"/>
      <sheetName val="HARGA SATUAN 1 (2)"/>
      <sheetName val="metode.rutin"/>
      <sheetName val="ANALIS2"/>
      <sheetName val="NP7"/>
      <sheetName val="rab_usulan cco"/>
      <sheetName val="usulan cco2 ok"/>
      <sheetName val="TIME"/>
      <sheetName val="NC-CM"/>
      <sheetName val="SCEDHULLE"/>
      <sheetName val="rab g. menara pengawas"/>
      <sheetName val="_¯________x005f_x005f_x005f_x005f_x005f_x005f_x00"/>
      <sheetName val="An Biaya Kons.Pek.Kayu &amp; Atap"/>
      <sheetName val="jadw"/>
      <sheetName val="Tambahan Biaro"/>
      <sheetName val="MET"/>
      <sheetName val="간접비 총괄표"/>
      <sheetName val="SoCF (contract)"/>
      <sheetName val="SoCF"/>
      <sheetName val="MC_Q"/>
      <sheetName val="TS_Q"/>
      <sheetName val="311"/>
      <sheetName val="BQJlnWH3"/>
      <sheetName val="_x005f_x005f_x005f_x005F_x005f_x005f_"/>
      <sheetName val="data-1"/>
      <sheetName val="surat penawaran"/>
      <sheetName val="Divisi 8"/>
      <sheetName val="ANL K"/>
      <sheetName val="Penwrn"/>
      <sheetName val="Scd_RAB"/>
      <sheetName val="analisabudget"/>
      <sheetName val="REK ADD"/>
      <sheetName val="BQ22"/>
      <sheetName val="BQ23"/>
      <sheetName val="SAT-BHN"/>
      <sheetName val="Item Baru"/>
      <sheetName val="Data.Kontrak"/>
      <sheetName val="Keb. Bhn, alt, tenaga"/>
      <sheetName val="RAB-SPL2"/>
      <sheetName val="hitung"/>
      <sheetName val="NP (6)"/>
      <sheetName val="2-asi-00"/>
      <sheetName val="BQ-Marga_Tiga"/>
      <sheetName val="Bill_2_3"/>
      <sheetName val="Bill_2_5B"/>
      <sheetName val="Bill_2_1"/>
      <sheetName val="rab gerbang"/>
      <sheetName val="DAFTAR BAHAN DAN UPAH"/>
      <sheetName val="alat - 2"/>
      <sheetName val="upah dan bahan "/>
      <sheetName val="info umum"/>
      <sheetName val="HRG AGRGT"/>
      <sheetName val="hrga dasar"/>
      <sheetName val="_0_1_0_0_0_1__6_0_____________2"/>
      <sheetName val="_0_1_0_0_0_1__6_0_____________3"/>
      <sheetName val="BQ-Arun"/>
      <sheetName val="GCi"/>
      <sheetName val="税金"/>
      <sheetName val="雑"/>
      <sheetName val="ﾄﾚ"/>
      <sheetName val="ﾎﾞﾝﾄﾞ"/>
      <sheetName val="検査"/>
      <sheetName val="派遣費"/>
      <sheetName val="想定価格"/>
      <sheetName val="4SM00369 &amp; 4SM00370 "/>
      <sheetName val="UshDeb00"/>
      <sheetName val="L_23"/>
      <sheetName val="Cover_sheet"/>
      <sheetName val="PHU 05"/>
      <sheetName val="8410_Kerb_"/>
      <sheetName val="MOBILI"/>
      <sheetName val="Sens"/>
      <sheetName val="Mkt"/>
      <sheetName val="Trf"/>
      <sheetName val="DA_List"/>
      <sheetName val="NDA_List"/>
      <sheetName val="HITUNG-HPP,25"/>
      <sheetName val="&lt;&lt; Bantuan &gt;&gt;"/>
      <sheetName val="PAK4"/>
      <sheetName val="Mesin"/>
      <sheetName val="PAL 2012"/>
      <sheetName val="BPPT"/>
      <sheetName val="Voucher"/>
      <sheetName val="4-formulir harga bahan"/>
      <sheetName val="5-ALAT (2)"/>
      <sheetName val="Analisa K3"/>
      <sheetName val="Additional"/>
      <sheetName val="Lalu Lintas"/>
      <sheetName val="Jembatan Sementara"/>
      <sheetName val="Agg A"/>
      <sheetName val="4-Basic Price (untuk survei)"/>
      <sheetName val="Agg C"/>
      <sheetName val="D2"/>
      <sheetName val="D5"/>
      <sheetName val="D8(1)"/>
      <sheetName val="DISCLAIMER"/>
      <sheetName val="H-Dasar-Bahan"/>
      <sheetName val="I_KAMAR"/>
      <sheetName val="Sheet5"/>
      <sheetName val="satuan"/>
      <sheetName val="JUNI"/>
      <sheetName val="Project_P"/>
      <sheetName val="RinciBab1"/>
      <sheetName val="AN.EI.5"/>
      <sheetName val="Agg Halus &amp; Kasar"/>
      <sheetName val="Aggr"/>
      <sheetName val="Tie Beam GN"/>
      <sheetName val="Tangga GN"/>
      <sheetName val="HDS"/>
      <sheetName val="Basic Price - ALL"/>
      <sheetName val=" BoQ Green Field option 1"/>
      <sheetName val="Input Harga Produk Upah Pekerja"/>
      <sheetName val="Hrg Pipa"/>
      <sheetName val="Kontrol"/>
      <sheetName val="Harga Bahan2012"/>
      <sheetName val="A~H"/>
      <sheetName val="DATA1"/>
      <sheetName val="BAHAN - UPAH"/>
      <sheetName val="Skedjul-Pelaksanaan"/>
      <sheetName val="BACK_-_UP-GALIAN_(ALAT)1"/>
      <sheetName val="Basic_Price2"/>
      <sheetName val="BACK_-_UP-GALIAN_(ALAT)2"/>
      <sheetName val="HARGA_SATUAN__"/>
      <sheetName val="Harga Bahan &amp; Upah "/>
      <sheetName val="w7"/>
      <sheetName val="Als Struk"/>
      <sheetName val="HSD-Cetak"/>
      <sheetName val="Basic_Price3"/>
      <sheetName val="SAT_UPAH2"/>
      <sheetName val="HARGA_(2)2"/>
      <sheetName val="ANAL_ALAT2"/>
      <sheetName val="Upah,_alat_&amp;_harsat2"/>
      <sheetName val="perkerasan_rigid2"/>
      <sheetName val="BACK_-_UP-GALIAN_(ALAT)3"/>
      <sheetName val="HARGA_SATUAN__1"/>
      <sheetName val="analisa_(2)5"/>
      <sheetName val="HARGA_DSR5"/>
      <sheetName val="Basic_Price5"/>
      <sheetName val="an__major5"/>
      <sheetName val="Upah_Bahan5"/>
      <sheetName val="Har_Sat4"/>
      <sheetName val="610_054"/>
      <sheetName val="610_064"/>
      <sheetName val="610_074"/>
      <sheetName val="610_084"/>
      <sheetName val="610_044"/>
      <sheetName val="MPU__6-3(4)_LastonAC4"/>
      <sheetName val="Data_Info4"/>
      <sheetName val="bahan_dan_upah4"/>
      <sheetName val="analisa_Str4"/>
      <sheetName val="610_07A4"/>
      <sheetName val="a_24"/>
      <sheetName val="SAT_UPAH4"/>
      <sheetName val="Analisa_HSP4"/>
      <sheetName val="HARGA_(2)4"/>
      <sheetName val="ANAL_ALAT4"/>
      <sheetName val="Upah,_alat_&amp;_harsat4"/>
      <sheetName val="perkerasan_rigid4"/>
      <sheetName val="BACK_-_UP-GALIAN_(ALAT)5"/>
      <sheetName val="DIV_74"/>
      <sheetName val="F1c_DATA_ADM64"/>
      <sheetName val="Galian_14"/>
      <sheetName val="LAL_-_PASAR_PAGI_4"/>
      <sheetName val="SUMBER_DAYA3"/>
      <sheetName val="Harga_Sat_Dasar4"/>
      <sheetName val="Data_Masukan3"/>
      <sheetName val="Fisik_20123"/>
      <sheetName val="Pek__Persiapan3"/>
      <sheetName val="Rekap_Anl_K3"/>
      <sheetName val="Rekap_Anl_SNI3"/>
      <sheetName val="CHART_HB_AC_-_WC3"/>
      <sheetName val="Analisa_K3"/>
      <sheetName val="ANALISA_railing3"/>
      <sheetName val="Daftar_Harga_Upah3"/>
      <sheetName val="HARGA_SAT3"/>
      <sheetName val="STR_&amp;_ARS3"/>
      <sheetName val="HARGA_PEK3"/>
      <sheetName val="Rekap_RAP_real_(2)3"/>
      <sheetName val="3_Koef_Alat3"/>
      <sheetName val="Hrg_Readymix3"/>
      <sheetName val="Daf_Biaya_sewa_alat3"/>
      <sheetName val="an_utara3"/>
      <sheetName val="Rekap_Biaya3"/>
      <sheetName val="mc_adam3"/>
      <sheetName val="ps_batu&amp;brjg3"/>
      <sheetName val="T__Cs_Log_P_III3"/>
      <sheetName val="RAB_FULL3"/>
      <sheetName val="anal_rinci3"/>
      <sheetName val="DIV_93"/>
      <sheetName val="HARGA_DASAR3"/>
      <sheetName val="Stay_Cable-13"/>
      <sheetName val="ANAL_RABP3"/>
      <sheetName val="BAHAN_&amp;_ALAT_3"/>
      <sheetName val="Transfer_Pump3"/>
      <sheetName val="Peralatan_Utama3"/>
      <sheetName val="ANLS_MPU3"/>
      <sheetName val="Ana__PU3"/>
      <sheetName val="SD_(1)3"/>
      <sheetName val="Rekap_Addendum4"/>
      <sheetName val="1_GasAcct4"/>
      <sheetName val="DIVISI_33"/>
      <sheetName val="Harga_S_Dasar3"/>
      <sheetName val="Gal_Sal3"/>
      <sheetName val="gal_biasa3"/>
      <sheetName val="Div_7_23"/>
      <sheetName val="sheet_23"/>
      <sheetName val="RAB_ME3"/>
      <sheetName val="Summary_Sheets3"/>
      <sheetName val="BoQ_Total_lama3"/>
      <sheetName val="Daftar_Upah,Bhn,&amp;_alat3"/>
      <sheetName val="HARGA_SATUAN__3"/>
      <sheetName val="HARGA_DSR4"/>
      <sheetName val="Basic_Price4"/>
      <sheetName val="an__major4"/>
      <sheetName val="Upah_Bahan4"/>
      <sheetName val="SAT_UPAH3"/>
      <sheetName val="HARGA_(2)3"/>
      <sheetName val="ANAL_ALAT3"/>
      <sheetName val="Upah,_alat_&amp;_harsat3"/>
      <sheetName val="perkerasan_rigid3"/>
      <sheetName val="BACK_-_UP-GALIAN_(ALAT)4"/>
      <sheetName val="SUMBER_DAYA2"/>
      <sheetName val="Harga_Sat_Dasar3"/>
      <sheetName val="Data_Masukan2"/>
      <sheetName val="Fisik_20122"/>
      <sheetName val="Pek__Persiapan2"/>
      <sheetName val="Rekap_Anl_K2"/>
      <sheetName val="Rekap_Anl_SNI2"/>
      <sheetName val="CHART_HB_AC_-_WC2"/>
      <sheetName val="Analisa_K2"/>
      <sheetName val="ANALISA_railing2"/>
      <sheetName val="Daftar_Harga_Upah2"/>
      <sheetName val="HARGA_SAT2"/>
      <sheetName val="STR_&amp;_ARS2"/>
      <sheetName val="HARGA_PEK2"/>
      <sheetName val="Rekap_RAP_real_(2)2"/>
      <sheetName val="3_Koef_Alat2"/>
      <sheetName val="Hrg_Readymix2"/>
      <sheetName val="Daf_Biaya_sewa_alat2"/>
      <sheetName val="an_utara2"/>
      <sheetName val="Rekap_Biaya2"/>
      <sheetName val="mc_adam2"/>
      <sheetName val="ps_batu&amp;brjg2"/>
      <sheetName val="T__Cs_Log_P_III2"/>
      <sheetName val="RAB_FULL2"/>
      <sheetName val="anal_rinci2"/>
      <sheetName val="DIV_92"/>
      <sheetName val="HARGA_DASAR2"/>
      <sheetName val="Stay_Cable-12"/>
      <sheetName val="ANAL_RABP2"/>
      <sheetName val="BAHAN_&amp;_ALAT_2"/>
      <sheetName val="Transfer_Pump2"/>
      <sheetName val="Peralatan_Utama2"/>
      <sheetName val="ANLS_MPU2"/>
      <sheetName val="Ana__PU2"/>
      <sheetName val="SD_(1)2"/>
      <sheetName val="Rekap_Addendum3"/>
      <sheetName val="1_GasAcct3"/>
      <sheetName val="DIVISI_32"/>
      <sheetName val="Harga_S_Dasar2"/>
      <sheetName val="Gal_Sal2"/>
      <sheetName val="gal_biasa2"/>
      <sheetName val="Div_7_22"/>
      <sheetName val="sheet_22"/>
      <sheetName val="RAB_ME2"/>
      <sheetName val="Summary_Sheets2"/>
      <sheetName val="BoQ_Total_lama2"/>
      <sheetName val="Daftar_Upah,Bhn,&amp;_alat2"/>
      <sheetName val="HARGA_SATUAN__2"/>
      <sheetName val="MARK_UP7"/>
      <sheetName val="rekap_mekanikal8"/>
      <sheetName val="Analisa_RAP7"/>
      <sheetName val="Analisa_RAB7"/>
      <sheetName val="analisa_(2)6"/>
      <sheetName val="Tata_Udara7"/>
      <sheetName val="HRG_BAHAN_&amp;_UPAH_okk7"/>
      <sheetName val="Analis_Kusen_okk7"/>
      <sheetName val="bukan_PNS7"/>
      <sheetName val="DAF_3_18"/>
      <sheetName val="DAF_3_117"/>
      <sheetName val="ANALISA_PEK_UMUM7"/>
      <sheetName val="Bill_5_Summary7"/>
      <sheetName val="Bill_4_Summary7"/>
      <sheetName val="UNIT_PRICE7"/>
      <sheetName val="Anls_teknis7"/>
      <sheetName val="Investment_Valuation7"/>
      <sheetName val="Cabling_Data&amp;Power7"/>
      <sheetName val="Prod_15-58"/>
      <sheetName val="HARGA_DSR6"/>
      <sheetName val="an_tek_NP7"/>
      <sheetName val="Basic_Price6"/>
      <sheetName val="A+Supl_7"/>
      <sheetName val="an__major6"/>
      <sheetName val="Upah_Bahan6"/>
      <sheetName val="PLINT_3_1_G7"/>
      <sheetName val="NS_Lanjutan7"/>
      <sheetName val="STD_Lanjutan7"/>
      <sheetName val="5_Anhas7"/>
      <sheetName val="Mk_Minor7"/>
      <sheetName val="Input_monthly_capex7"/>
      <sheetName val="H_Satuan_Dasar5"/>
      <sheetName val="Blk-Mnl_lt_3-lt_atap7"/>
      <sheetName val="BQ__AC7"/>
      <sheetName val="rincian_per_proyek7"/>
      <sheetName val="rek_ME7"/>
      <sheetName val="F_ALARM7"/>
      <sheetName val="Analisa_Harga7"/>
      <sheetName val="ANALISA_ALAT_BERAT7"/>
      <sheetName val="Agregat_Halus_&amp;_Kasar6"/>
      <sheetName val="D6_(2)7"/>
      <sheetName val="Urai__Resap_pengikat5"/>
      <sheetName val="RBP-_27"/>
      <sheetName val="OP__ALAT7"/>
      <sheetName val="OP__PERJAM7"/>
      <sheetName val="B__PERSONIL7"/>
      <sheetName val="KAN__LOKAL7"/>
      <sheetName val="HS-Divisi_35"/>
      <sheetName val="Perm__Test5"/>
      <sheetName val="Hrg_Sat5"/>
      <sheetName val="HARGA_MATERIAL7"/>
      <sheetName val="Har_Sat5"/>
      <sheetName val="610_055"/>
      <sheetName val="610_065"/>
      <sheetName val="610_075"/>
      <sheetName val="610_085"/>
      <sheetName val="610_045"/>
      <sheetName val="MPU__6-3(4)_LastonAC5"/>
      <sheetName val="Data_Info5"/>
      <sheetName val="bahan_dan_upah5"/>
      <sheetName val="analisa_Str5"/>
      <sheetName val="610_07A5"/>
      <sheetName val="DAFT_HARG_SAT_PEK_7"/>
      <sheetName val="DAFT_ALAT,UPAH_&amp;_MAT7"/>
      <sheetName val="Daftar_Upah5"/>
      <sheetName val="Analis_Tambahan5"/>
      <sheetName val="pelita_lapen5"/>
      <sheetName val="bhn_FINAL7"/>
      <sheetName val="BQ_jln5"/>
      <sheetName val="BQ_jem5"/>
      <sheetName val="Hua_Yang_Quarterly5"/>
      <sheetName val="An_25"/>
      <sheetName val="a_25"/>
      <sheetName val="daftar_harga_satuan5"/>
      <sheetName val="List_of_Eqp7"/>
      <sheetName val="Anl_2s_d4e7"/>
      <sheetName val="Master_Edit7"/>
      <sheetName val="SAT_UPAH5"/>
      <sheetName val="Analisa_HSP5"/>
      <sheetName val="HARGA_(2)5"/>
      <sheetName val="HARGA_SATUAN5"/>
      <sheetName val="ANAL_ALAT5"/>
      <sheetName val="Upah,_alat_&amp;_harsat5"/>
      <sheetName val="01_FA5"/>
      <sheetName val="struktur_tdk_dipakai5"/>
      <sheetName val="Rekap_Direct_Cost7"/>
      <sheetName val="Analisa_-Baku7"/>
      <sheetName val="AC_unit5"/>
      <sheetName val="EL_acc5"/>
      <sheetName val="EL_lamp5"/>
      <sheetName val="EL_outlet5"/>
      <sheetName val="Chiller_acc5"/>
      <sheetName val="Pipa_PL5"/>
      <sheetName val="PK_acc5"/>
      <sheetName val="PL_acc5"/>
      <sheetName val="PK_valve5"/>
      <sheetName val="PL_valve5"/>
      <sheetName val="AC_valve5"/>
      <sheetName val="PK_pipe5"/>
      <sheetName val="EL_kabel5"/>
      <sheetName val="AC_power5"/>
      <sheetName val="EL_tray5"/>
      <sheetName val="PL_power5"/>
      <sheetName val="PL_unit5"/>
      <sheetName val="PK_unit5"/>
      <sheetName val="EL_arde5"/>
      <sheetName val="Master_1_05"/>
      <sheetName val="S_Curve4"/>
      <sheetName val="Rekap_S_Curve_(4)4"/>
      <sheetName val="Rekap_S_Curve_(3)4"/>
      <sheetName val="Appendix_2(SatDas)5"/>
      <sheetName val="Urai___Guide_Post7"/>
      <sheetName val="Urai_Galian_Tanah7"/>
      <sheetName val="3_1_2a7"/>
      <sheetName val="3_1_1a7"/>
      <sheetName val="perkerasan_rigid5"/>
      <sheetName val="div_24"/>
      <sheetName val="div_3_Tanah4"/>
      <sheetName val="div_4_Sirtu4"/>
      <sheetName val="div_54"/>
      <sheetName val="div_7_Beton4"/>
      <sheetName val="div_84"/>
      <sheetName val="BACK_-_UP-GALIAN_(ALAT)6"/>
      <sheetName val="DIV_75"/>
      <sheetName val="Man_Power7"/>
      <sheetName val="Lead_Schedule7"/>
      <sheetName val="F1c_DATA_ADM65"/>
      <sheetName val="Galian_15"/>
      <sheetName val="LAL_-_PASAR_PAGI_5"/>
      <sheetName val="SUMBER_DAYA4"/>
      <sheetName val="Harga_Sat_Dasar5"/>
      <sheetName val="Urugan_Pasir4"/>
      <sheetName val="Rek_Tot4"/>
      <sheetName val="Bill_rekap5"/>
      <sheetName val="Bill_of_Qty5"/>
      <sheetName val="On_Time5"/>
      <sheetName val="List_Material5"/>
      <sheetName val="An_str5"/>
      <sheetName val="Harga_Satuan_Bahan_4"/>
      <sheetName val="Cold_Miling4"/>
      <sheetName val="Data_Masukan4"/>
      <sheetName val="Fisik_20124"/>
      <sheetName val="Pek__Persiapan4"/>
      <sheetName val="Rekap_Anl_K4"/>
      <sheetName val="Rekap_Anl_SNI4"/>
      <sheetName val="GRAND_REKAPITULASI4"/>
      <sheetName val="RAB_G_ADM__PUSAT_(1)4"/>
      <sheetName val="RAB_R__GENSET_&amp;_PANEL_(10)_4"/>
      <sheetName val="RAB_R__DNS__PENGLL_T_54_(11_A_4"/>
      <sheetName val="RAB_R__DNS__PENGLL_T_54_(11_B_4"/>
      <sheetName val="RAB_R__DNS__PENGLL_T_54_(11_C_4"/>
      <sheetName val="RAB_R__DNS__PENGLL_T_70_(12_A_4"/>
      <sheetName val="RAB_R__DNS__PENGLL_T_70_(12_B_4"/>
      <sheetName val="RAB_R__DNS__PENGLL_T_70_(12_C_4"/>
      <sheetName val="RAB_SPORT_CLUB_(14)4"/>
      <sheetName val="RAB_MASJID_&amp;_T_WUDLU_(15)4"/>
      <sheetName val="RAB_LOUNDRY_&amp;_WORKSHOP_(16)4"/>
      <sheetName val="RAB_MINIMARKET_&amp;_KANTIN_(17_)4"/>
      <sheetName val="RAB_RMH__PENJAGA_(18)4"/>
      <sheetName val="RAB_POS_JAGA_(19__A_)4"/>
      <sheetName val="RAB_POS_JAGA_(19__B_)4"/>
      <sheetName val="RAB_R__POMPA_(20)4"/>
      <sheetName val="RAB_R__KELAS_(2_A)4"/>
      <sheetName val="RAB_R__KELAS_(2_B)4"/>
      <sheetName val="RAB_AULA_UTAMA_(5)4"/>
      <sheetName val="RAB_AULA_SEDANG_(6)4"/>
      <sheetName val="RAB_ASRAMA_(7__B_)4"/>
      <sheetName val="RAB_ASRAMA_(7__C_)4"/>
      <sheetName val="RAB_ASRAMA_(7__D_)4"/>
      <sheetName val="RAB_R__MAKAN_(8)4"/>
      <sheetName val="RAB_GUEST_HOUSE_(9__A_)4"/>
      <sheetName val="RAB_GUEST_HOUSE_(9__B_)4"/>
      <sheetName val="RAB_1_PRABUMULIH_LEMBAK_KM_3304"/>
      <sheetName val="CHART_HB_AC_-_WC4"/>
      <sheetName val="Analisa_K4"/>
      <sheetName val="ANALISA_railing4"/>
      <sheetName val="Daftar_Harga_Upah4"/>
      <sheetName val="HARGA_SAT4"/>
      <sheetName val="D_&amp;_W_sizes4"/>
      <sheetName val="STR_&amp;_ARS4"/>
      <sheetName val="HARGA_PEK4"/>
      <sheetName val="Rekap_RAP_real_(2)4"/>
      <sheetName val="3_Koef_Alat4"/>
      <sheetName val="Hrg_Readymix4"/>
      <sheetName val="JUMLAHAN_TOTAL_4"/>
      <sheetName val="Hal_010MUKAMC4"/>
      <sheetName val="ANALISA_EDIT4"/>
      <sheetName val="Hg_Sat4"/>
      <sheetName val="Input_T__Schedule4"/>
      <sheetName val="Data_WI4"/>
      <sheetName val="BQ_External4"/>
      <sheetName val="Daf_Biaya_sewa_alat4"/>
      <sheetName val="an_utara4"/>
      <sheetName val="Kuantitas_&amp;_Harga4"/>
      <sheetName val="Rekap_Biaya4"/>
      <sheetName val="REKAP_GROSS4"/>
      <sheetName val="mc_adam4"/>
      <sheetName val="ps_batu&amp;brjg4"/>
      <sheetName val="T__Cs_Log_P_III4"/>
      <sheetName val="RAB_FULL4"/>
      <sheetName val="anal_rinci4"/>
      <sheetName val="DIV_94"/>
      <sheetName val="HARGA_DASAR4"/>
      <sheetName val="Stay_Cable-14"/>
      <sheetName val="Rekap_Analisa4"/>
      <sheetName val="ANAL_RABP4"/>
      <sheetName val="BAHAN_&amp;_ALAT_4"/>
      <sheetName val="Transfer_Pump4"/>
      <sheetName val="Peralatan_Utama4"/>
      <sheetName val="2_24"/>
      <sheetName val="Spek_Fin_4"/>
      <sheetName val="REKAP_TOTAL4"/>
      <sheetName val="Luas_Bangunan4"/>
      <sheetName val="Spek_ME4"/>
      <sheetName val="bahan_upah4"/>
      <sheetName val="ANLS_MPU4"/>
      <sheetName val="Ana__PU4"/>
      <sheetName val="SD_(1)4"/>
      <sheetName val="Rekap_Addendum5"/>
      <sheetName val="1_GasAcct5"/>
      <sheetName val="DIVISI_34"/>
      <sheetName val="4-Basic_Price4"/>
      <sheetName val="Sat__Pek_4"/>
      <sheetName val="Alat_(2)4"/>
      <sheetName val="Input_Data4"/>
      <sheetName val="Harga_S_Dasar4"/>
      <sheetName val="Gal_Sal4"/>
      <sheetName val="gal_biasa4"/>
      <sheetName val="Div_7_24"/>
      <sheetName val="sheet_24"/>
      <sheetName val="RAB_ME4"/>
      <sheetName val="Summary_Sheets4"/>
      <sheetName val="BoQ_Total_lama4"/>
      <sheetName val="Daftar_Upah,Bhn,&amp;_alat4"/>
      <sheetName val="HARGA_SATUAN__4"/>
      <sheetName val="MARK_UP8"/>
      <sheetName val="rekap_mekanikal9"/>
      <sheetName val="Analisa_RAP8"/>
      <sheetName val="Analisa_RAB8"/>
      <sheetName val="analisa_(2)7"/>
      <sheetName val="Tata_Udara8"/>
      <sheetName val="HRG_BAHAN_&amp;_UPAH_okk8"/>
      <sheetName val="Analis_Kusen_okk8"/>
      <sheetName val="bukan_PNS8"/>
      <sheetName val="DAF_3_19"/>
      <sheetName val="DAF_3_118"/>
      <sheetName val="ANALISA_PEK_UMUM8"/>
      <sheetName val="Bill_5_Summary8"/>
      <sheetName val="Bill_4_Summary8"/>
      <sheetName val="UNIT_PRICE8"/>
      <sheetName val="Anls_teknis8"/>
      <sheetName val="Investment_Valuation8"/>
      <sheetName val="Cabling_Data&amp;Power8"/>
      <sheetName val="Prod_15-59"/>
      <sheetName val="HARGA_DSR7"/>
      <sheetName val="an_tek_NP8"/>
      <sheetName val="Basic_Price7"/>
      <sheetName val="A+Supl_8"/>
      <sheetName val="an__major7"/>
      <sheetName val="Upah_Bahan7"/>
      <sheetName val="PLINT_3_1_G8"/>
      <sheetName val="NS_Lanjutan8"/>
      <sheetName val="STD_Lanjutan8"/>
      <sheetName val="5_Anhas8"/>
      <sheetName val="Mk_Minor8"/>
      <sheetName val="Input_monthly_capex8"/>
      <sheetName val="H_Satuan_Dasar6"/>
      <sheetName val="Blk-Mnl_lt_3-lt_atap8"/>
      <sheetName val="BQ__AC8"/>
      <sheetName val="rincian_per_proyek8"/>
      <sheetName val="rek_ME8"/>
      <sheetName val="F_ALARM8"/>
      <sheetName val="Analisa_Harga8"/>
      <sheetName val="ANALISA_ALAT_BERAT8"/>
      <sheetName val="Agregat_Halus_&amp;_Kasar7"/>
      <sheetName val="D6_(2)8"/>
      <sheetName val="Urai__Resap_pengikat6"/>
      <sheetName val="RBP-_28"/>
      <sheetName val="OP__ALAT8"/>
      <sheetName val="OP__PERJAM8"/>
      <sheetName val="B__PERSONIL8"/>
      <sheetName val="KAN__LOKAL8"/>
      <sheetName val="HS-Divisi_36"/>
      <sheetName val="Perm__Test6"/>
      <sheetName val="Hrg_Sat6"/>
      <sheetName val="HARGA_MATERIAL8"/>
      <sheetName val="Har_Sat6"/>
      <sheetName val="610_056"/>
      <sheetName val="610_066"/>
      <sheetName val="610_076"/>
      <sheetName val="610_086"/>
      <sheetName val="610_046"/>
      <sheetName val="MPU__6-3(4)_LastonAC6"/>
      <sheetName val="Data_Info6"/>
      <sheetName val="bahan_dan_upah6"/>
      <sheetName val="analisa_Str6"/>
      <sheetName val="610_07A6"/>
      <sheetName val="DAFT_HARG_SAT_PEK_8"/>
      <sheetName val="DAFT_ALAT,UPAH_&amp;_MAT8"/>
      <sheetName val="Daftar_Upah6"/>
      <sheetName val="Analis_Tambahan6"/>
      <sheetName val="pelita_lapen6"/>
      <sheetName val="bhn_FINAL8"/>
      <sheetName val="BQ_jln6"/>
      <sheetName val="BQ_jem6"/>
      <sheetName val="Hua_Yang_Quarterly6"/>
      <sheetName val="An_26"/>
      <sheetName val="a_26"/>
      <sheetName val="daftar_harga_satuan6"/>
      <sheetName val="List_of_Eqp8"/>
      <sheetName val="Anl_2s_d4e8"/>
      <sheetName val="Master_Edit8"/>
      <sheetName val="SAT_UPAH6"/>
      <sheetName val="Analisa_HSP6"/>
      <sheetName val="HARGA_(2)6"/>
      <sheetName val="HARGA_SATUAN6"/>
      <sheetName val="ANAL_ALAT6"/>
      <sheetName val="Upah,_alat_&amp;_harsat6"/>
      <sheetName val="01_FA6"/>
      <sheetName val="hst__LAMP_15"/>
      <sheetName val="struktur_tdk_dipakai6"/>
      <sheetName val="Rekap_Direct_Cost8"/>
      <sheetName val="Analisa_-Baku8"/>
      <sheetName val="AC_unit6"/>
      <sheetName val="EL_acc6"/>
      <sheetName val="EL_lamp6"/>
      <sheetName val="EL_outlet6"/>
      <sheetName val="Chiller_acc6"/>
      <sheetName val="Pipa_PL6"/>
      <sheetName val="PK_acc6"/>
      <sheetName val="PL_acc6"/>
      <sheetName val="PK_valve6"/>
      <sheetName val="PL_valve6"/>
      <sheetName val="AC_valve6"/>
      <sheetName val="PK_pipe6"/>
      <sheetName val="EL_kabel6"/>
      <sheetName val="AC_power6"/>
      <sheetName val="EL_tray6"/>
      <sheetName val="PL_power6"/>
      <sheetName val="PL_unit6"/>
      <sheetName val="PK_unit6"/>
      <sheetName val="EL_arde6"/>
      <sheetName val="Master_1_06"/>
      <sheetName val="S_Curve5"/>
      <sheetName val="Rekap_S_Curve_(4)5"/>
      <sheetName val="Rekap_S_Curve_(3)5"/>
      <sheetName val="Appendix_2(SatDas)6"/>
      <sheetName val="Urai___Guide_Post8"/>
      <sheetName val="Urai_Galian_Tanah8"/>
      <sheetName val="3_1_2a8"/>
      <sheetName val="3_1_1a8"/>
      <sheetName val="perkerasan_rigid6"/>
      <sheetName val="div_25"/>
      <sheetName val="div_3_Tanah5"/>
      <sheetName val="div_4_Sirtu5"/>
      <sheetName val="div_55"/>
      <sheetName val="div_7_Beton5"/>
      <sheetName val="div_85"/>
      <sheetName val="BACK_-_UP-GALIAN_(ALAT)7"/>
      <sheetName val="DIV_76"/>
      <sheetName val="Man_Power8"/>
      <sheetName val="Lead_Schedule8"/>
      <sheetName val="F1c_DATA_ADM66"/>
      <sheetName val="Galian_16"/>
      <sheetName val="LAL_-_PASAR_PAGI_6"/>
      <sheetName val="SUMBER_DAYA5"/>
      <sheetName val="Harga_Sat_Dasar6"/>
      <sheetName val="Urugan_Pasir5"/>
      <sheetName val="Rek_Tot5"/>
      <sheetName val="Bill_rekap6"/>
      <sheetName val="Bill_of_Qty6"/>
      <sheetName val="5_1_ELEKTRIKAL-ELEKTRONIK5"/>
      <sheetName val="On_Time6"/>
      <sheetName val="List_Material6"/>
      <sheetName val="An_str6"/>
      <sheetName val="Harga_Satuan_Bahan_5"/>
      <sheetName val="Cold_Miling5"/>
      <sheetName val="Data_Masukan5"/>
      <sheetName val="Fisik_20125"/>
      <sheetName val="Pek__Persiapan5"/>
      <sheetName val="Rekap_Anl_K5"/>
      <sheetName val="Rekap_Anl_SNI5"/>
      <sheetName val="GRAND_REKAPITULASI5"/>
      <sheetName val="RAB_G_ADM__PUSAT_(1)5"/>
      <sheetName val="RAB_R__GENSET_&amp;_PANEL_(10)_5"/>
      <sheetName val="RAB_R__DNS__PENGLL_T_54_(11_A_5"/>
      <sheetName val="RAB_R__DNS__PENGLL_T_54_(11_B_5"/>
      <sheetName val="RAB_R__DNS__PENGLL_T_54_(11_C_5"/>
      <sheetName val="RAB_R__DNS__PENGLL_T_70_(12_A_5"/>
      <sheetName val="RAB_R__DNS__PENGLL_T_70_(12_B_5"/>
      <sheetName val="RAB_R__DNS__PENGLL_T_70_(12_C_5"/>
      <sheetName val="RAB_SPORT_CLUB_(14)5"/>
      <sheetName val="RAB_MASJID_&amp;_T_WUDLU_(15)5"/>
      <sheetName val="RAB_LOUNDRY_&amp;_WORKSHOP_(16)5"/>
      <sheetName val="RAB_MINIMARKET_&amp;_KANTIN_(17_)5"/>
      <sheetName val="RAB_RMH__PENJAGA_(18)5"/>
      <sheetName val="RAB_POS_JAGA_(19__A_)5"/>
      <sheetName val="RAB_POS_JAGA_(19__B_)5"/>
      <sheetName val="RAB_R__POMPA_(20)5"/>
      <sheetName val="RAB_R__KELAS_(2_A)5"/>
      <sheetName val="RAB_R__KELAS_(2_B)5"/>
      <sheetName val="RAB_AULA_UTAMA_(5)5"/>
      <sheetName val="RAB_AULA_SEDANG_(6)5"/>
      <sheetName val="RAB_ASRAMA_(7__B_)5"/>
      <sheetName val="RAB_ASRAMA_(7__C_)5"/>
      <sheetName val="RAB_ASRAMA_(7__D_)5"/>
      <sheetName val="RAB_R__MAKAN_(8)5"/>
      <sheetName val="RAB_GUEST_HOUSE_(9__A_)5"/>
      <sheetName val="RAB_GUEST_HOUSE_(9__B_)5"/>
      <sheetName val="RAB_1_PRABUMULIH_LEMBAK_KM_3305"/>
      <sheetName val="Unit_Rate5"/>
      <sheetName val="Daf_Dasar_Upah&amp;Bahan5"/>
      <sheetName val="CHART_HB_AC_-_WC5"/>
      <sheetName val="Analisa_K5"/>
      <sheetName val="BAHAN_(2)5"/>
      <sheetName val="ANALISA_railing5"/>
      <sheetName val="Daftar_Harga_Upah5"/>
      <sheetName val="HARGA_SAT5"/>
      <sheetName val="D_&amp;_W_sizes5"/>
      <sheetName val="STR_&amp;_ARS5"/>
      <sheetName val="HARGA_PEK5"/>
      <sheetName val="Rekap_RAP_real_(2)5"/>
      <sheetName val="3_Koef_Alat5"/>
      <sheetName val="Hrg_Readymix5"/>
      <sheetName val="JUMLAHAN_TOTAL_5"/>
      <sheetName val="Hal_010MUKAMC5"/>
      <sheetName val="ANALISA_EDIT5"/>
      <sheetName val="Hg_Sat5"/>
      <sheetName val="Input_T__Schedule5"/>
      <sheetName val="Data_WI5"/>
      <sheetName val="BQ_External5"/>
      <sheetName val="Daf_Biaya_sewa_alat5"/>
      <sheetName val="an_utara5"/>
      <sheetName val="Kuantitas_&amp;_Harga5"/>
      <sheetName val="Rekap_Biaya5"/>
      <sheetName val="REKAP_GROSS5"/>
      <sheetName val="mc_adam5"/>
      <sheetName val="ps_batu&amp;brjg5"/>
      <sheetName val="T__Cs_Log_P_III5"/>
      <sheetName val="RAB_FULL5"/>
      <sheetName val="anal_rinci5"/>
      <sheetName val="DIV_95"/>
      <sheetName val="HARGA_DASAR5"/>
      <sheetName val="Stay_Cable-15"/>
      <sheetName val="Rekap_Analisa5"/>
      <sheetName val="ANAL_RABP5"/>
      <sheetName val="BAHAN_&amp;_ALAT_5"/>
      <sheetName val="Transfer_Pump5"/>
      <sheetName val="Peralatan_Utama5"/>
      <sheetName val="2_25"/>
      <sheetName val="Spek_Fin_5"/>
      <sheetName val="REKAP_TOTAL5"/>
      <sheetName val="Luas_Bangunan5"/>
      <sheetName val="Spek_ME5"/>
      <sheetName val="bahan_upah5"/>
      <sheetName val="ANLS_MPU5"/>
      <sheetName val="Ana__PU5"/>
      <sheetName val="SD_(1)5"/>
      <sheetName val="Rekap_Addendum6"/>
      <sheetName val="1_GasAcct6"/>
      <sheetName val="DIVISI_35"/>
      <sheetName val="4-Basic_Price5"/>
      <sheetName val="Sat__Pek_5"/>
      <sheetName val="Alat_(2)5"/>
      <sheetName val="Input_Data5"/>
      <sheetName val="Harga_S_Dasar5"/>
      <sheetName val="Gal_Sal5"/>
      <sheetName val="gal_biasa5"/>
      <sheetName val="Div_7_25"/>
      <sheetName val="sheet_25"/>
      <sheetName val="RAB_ME5"/>
      <sheetName val="Summary_Sheets5"/>
      <sheetName val="BoQ_Total_lama5"/>
      <sheetName val="Daftar_Upah,Bhn,&amp;_alat5"/>
      <sheetName val="HARGA_SATUAN__5"/>
      <sheetName val="MARK_UP9"/>
      <sheetName val="rekap_mekanikal10"/>
      <sheetName val="Analisa_RAP9"/>
      <sheetName val="Analisa_RAB9"/>
      <sheetName val="analisa_(2)8"/>
      <sheetName val="Tata_Udara9"/>
      <sheetName val="HRG_BAHAN_&amp;_UPAH_okk9"/>
      <sheetName val="Analis_Kusen_okk9"/>
      <sheetName val="bukan_PNS9"/>
      <sheetName val="DAF_3_110"/>
      <sheetName val="DAF_3_119"/>
      <sheetName val="ANALISA_PEK_UMUM9"/>
      <sheetName val="Bill_5_Summary9"/>
      <sheetName val="Bill_4_Summary9"/>
      <sheetName val="UNIT_PRICE9"/>
      <sheetName val="Anls_teknis9"/>
      <sheetName val="Investment_Valuation9"/>
      <sheetName val="Cabling_Data&amp;Power9"/>
      <sheetName val="Prod_15-510"/>
      <sheetName val="HARGA_DSR8"/>
      <sheetName val="an_tek_NP9"/>
      <sheetName val="Basic_Price8"/>
      <sheetName val="A+Supl_9"/>
      <sheetName val="an__major8"/>
      <sheetName val="Upah_Bahan8"/>
      <sheetName val="PLINT_3_1_G9"/>
      <sheetName val="NS_Lanjutan9"/>
      <sheetName val="STD_Lanjutan9"/>
      <sheetName val="5_Anhas9"/>
      <sheetName val="Mk_Minor9"/>
      <sheetName val="Input_monthly_capex9"/>
      <sheetName val="H_Satuan_Dasar7"/>
      <sheetName val="Blk-Mnl_lt_3-lt_atap9"/>
      <sheetName val="BQ__AC9"/>
      <sheetName val="rincian_per_proyek9"/>
      <sheetName val="rek_ME9"/>
      <sheetName val="F_ALARM9"/>
      <sheetName val="Analisa_Harga9"/>
      <sheetName val="ANALISA_ALAT_BERAT9"/>
      <sheetName val="Agregat_Halus_&amp;_Kasar8"/>
      <sheetName val="D6_(2)9"/>
      <sheetName val="Urai__Resap_pengikat7"/>
      <sheetName val="RBP-_29"/>
      <sheetName val="OP__ALAT9"/>
      <sheetName val="OP__PERJAM9"/>
      <sheetName val="B__PERSONIL9"/>
      <sheetName val="KAN__LOKAL9"/>
      <sheetName val="HS-Divisi_37"/>
      <sheetName val="Perm__Test7"/>
      <sheetName val="Hrg_Sat7"/>
      <sheetName val="HARGA_MATERIAL9"/>
      <sheetName val="Har_Sat7"/>
      <sheetName val="610_057"/>
      <sheetName val="610_067"/>
      <sheetName val="610_077"/>
      <sheetName val="610_087"/>
      <sheetName val="610_047"/>
      <sheetName val="MPU__6-3(4)_LastonAC7"/>
      <sheetName val="Data_Info7"/>
      <sheetName val="bahan_dan_upah7"/>
      <sheetName val="analisa_Str7"/>
      <sheetName val="610_07A7"/>
      <sheetName val="DAFT_HARG_SAT_PEK_9"/>
      <sheetName val="DAFT_ALAT,UPAH_&amp;_MAT9"/>
      <sheetName val="Daftar_Upah7"/>
      <sheetName val="Analis_Tambahan7"/>
      <sheetName val="pelita_lapen7"/>
      <sheetName val="bhn_FINAL9"/>
      <sheetName val="BQ_jln7"/>
      <sheetName val="BQ_jem7"/>
      <sheetName val="Hua_Yang_Quarterly7"/>
      <sheetName val="An_27"/>
      <sheetName val="a_27"/>
      <sheetName val="daftar_harga_satuan7"/>
      <sheetName val="List_of_Eqp9"/>
      <sheetName val="Anl_2s_d4e9"/>
      <sheetName val="Master_Edit9"/>
      <sheetName val="SAT_UPAH7"/>
      <sheetName val="Analisa_HSP7"/>
      <sheetName val="HARGA_(2)7"/>
      <sheetName val="HARGA_SATUAN7"/>
      <sheetName val="ANAL_ALAT7"/>
      <sheetName val="Upah,_alat_&amp;_harsat7"/>
      <sheetName val="01_FA7"/>
      <sheetName val="hst__LAMP_16"/>
      <sheetName val="struktur_tdk_dipakai7"/>
      <sheetName val="Rekap_Direct_Cost9"/>
      <sheetName val="Analisa_-Baku9"/>
      <sheetName val="AC_unit7"/>
      <sheetName val="EL_acc7"/>
      <sheetName val="EL_lamp7"/>
      <sheetName val="EL_outlet7"/>
      <sheetName val="Chiller_acc7"/>
      <sheetName val="Pipa_PL7"/>
      <sheetName val="PK_acc7"/>
      <sheetName val="PL_acc7"/>
      <sheetName val="PK_valve7"/>
      <sheetName val="PL_valve7"/>
      <sheetName val="AC_valve7"/>
      <sheetName val="PK_pipe7"/>
      <sheetName val="EL_kabel7"/>
      <sheetName val="AC_power7"/>
      <sheetName val="EL_tray7"/>
      <sheetName val="PL_power7"/>
      <sheetName val="PL_unit7"/>
      <sheetName val="PK_unit7"/>
      <sheetName val="EL_arde7"/>
      <sheetName val="Master_1_07"/>
      <sheetName val="S_Curve6"/>
      <sheetName val="Rekap_S_Curve_(4)6"/>
      <sheetName val="Rekap_S_Curve_(3)6"/>
      <sheetName val="Appendix_2(SatDas)7"/>
      <sheetName val="Urai___Guide_Post9"/>
      <sheetName val="Urai_Galian_Tanah9"/>
      <sheetName val="3_1_2a9"/>
      <sheetName val="3_1_1a9"/>
      <sheetName val="perkerasan_rigid7"/>
      <sheetName val="div_26"/>
      <sheetName val="div_3_Tanah6"/>
      <sheetName val="div_4_Sirtu6"/>
      <sheetName val="div_56"/>
      <sheetName val="div_7_Beton6"/>
      <sheetName val="div_86"/>
      <sheetName val="BACK_-_UP-GALIAN_(ALAT)8"/>
      <sheetName val="DIV_77"/>
      <sheetName val="Man_Power9"/>
      <sheetName val="Lead_Schedule9"/>
      <sheetName val="F1c_DATA_ADM67"/>
      <sheetName val="Galian_17"/>
      <sheetName val="LAL_-_PASAR_PAGI_7"/>
      <sheetName val="SUMBER_DAYA6"/>
      <sheetName val="Harga_Sat_Dasar7"/>
      <sheetName val="Urugan_Pasir6"/>
      <sheetName val="Rek_Tot6"/>
      <sheetName val="Bill_rekap7"/>
      <sheetName val="Bill_of_Qty7"/>
      <sheetName val="5_1_ELEKTRIKAL-ELEKTRONIK6"/>
      <sheetName val="On_Time7"/>
      <sheetName val="List_Material7"/>
      <sheetName val="An_str7"/>
      <sheetName val="Harga_Satuan_Bahan_6"/>
      <sheetName val="Cold_Miling6"/>
      <sheetName val="Data_Masukan6"/>
      <sheetName val="Fisik_20126"/>
      <sheetName val="Pek__Persiapan6"/>
      <sheetName val="Rekap_Anl_K6"/>
      <sheetName val="Rekap_Anl_SNI6"/>
      <sheetName val="GRAND_REKAPITULASI6"/>
      <sheetName val="RAB_G_ADM__PUSAT_(1)6"/>
      <sheetName val="RAB_R__GENSET_&amp;_PANEL_(10)_6"/>
      <sheetName val="RAB_R__DNS__PENGLL_T_54_(11_A_6"/>
      <sheetName val="RAB_R__DNS__PENGLL_T_54_(11_B_6"/>
      <sheetName val="RAB_R__DNS__PENGLL_T_54_(11_C_6"/>
      <sheetName val="RAB_R__DNS__PENGLL_T_70_(12_A_6"/>
      <sheetName val="RAB_R__DNS__PENGLL_T_70_(12_B_6"/>
      <sheetName val="RAB_R__DNS__PENGLL_T_70_(12_C_6"/>
      <sheetName val="RAB_SPORT_CLUB_(14)6"/>
      <sheetName val="RAB_MASJID_&amp;_T_WUDLU_(15)6"/>
      <sheetName val="RAB_LOUNDRY_&amp;_WORKSHOP_(16)6"/>
      <sheetName val="RAB_MINIMARKET_&amp;_KANTIN_(17_)6"/>
      <sheetName val="RAB_RMH__PENJAGA_(18)6"/>
      <sheetName val="RAB_POS_JAGA_(19__A_)6"/>
      <sheetName val="RAB_POS_JAGA_(19__B_)6"/>
      <sheetName val="RAB_R__POMPA_(20)6"/>
      <sheetName val="RAB_R__KELAS_(2_A)6"/>
      <sheetName val="RAB_R__KELAS_(2_B)6"/>
      <sheetName val="RAB_AULA_UTAMA_(5)6"/>
      <sheetName val="RAB_AULA_SEDANG_(6)6"/>
      <sheetName val="RAB_ASRAMA_(7__B_)6"/>
      <sheetName val="RAB_ASRAMA_(7__C_)6"/>
      <sheetName val="RAB_ASRAMA_(7__D_)6"/>
      <sheetName val="RAB_R__MAKAN_(8)6"/>
      <sheetName val="RAB_GUEST_HOUSE_(9__A_)6"/>
      <sheetName val="RAB_GUEST_HOUSE_(9__B_)6"/>
      <sheetName val="RAB_1_PRABUMULIH_LEMBAK_KM_3306"/>
      <sheetName val="Unit_Rate6"/>
      <sheetName val="Daf_Dasar_Upah&amp;Bahan6"/>
      <sheetName val="CHART_HB_AC_-_WC6"/>
      <sheetName val="Analisa_K6"/>
      <sheetName val="BAHAN_(2)6"/>
      <sheetName val="ANALISA_railing6"/>
      <sheetName val="Daftar_Harga_Upah6"/>
      <sheetName val="HARGA_SAT6"/>
      <sheetName val="D_&amp;_W_sizes6"/>
      <sheetName val="STR_&amp;_ARS6"/>
      <sheetName val="HARGA_PEK6"/>
      <sheetName val="Rekap_RAP_real_(2)6"/>
      <sheetName val="3_Koef_Alat6"/>
      <sheetName val="Hrg_Readymix6"/>
      <sheetName val="JUMLAHAN_TOTAL_6"/>
      <sheetName val="Hal_010MUKAMC6"/>
      <sheetName val="ANALISA_EDIT6"/>
      <sheetName val="Hg_Sat6"/>
      <sheetName val="Input_T__Schedule6"/>
      <sheetName val="Data_WI6"/>
      <sheetName val="BQ_External6"/>
      <sheetName val="Daf_Biaya_sewa_alat6"/>
      <sheetName val="an_utara6"/>
      <sheetName val="Kuantitas_&amp;_Harga6"/>
      <sheetName val="Rekap_Biaya6"/>
      <sheetName val="REKAP_GROSS6"/>
      <sheetName val="mc_adam6"/>
      <sheetName val="ps_batu&amp;brjg6"/>
      <sheetName val="T__Cs_Log_P_III6"/>
      <sheetName val="RAB_FULL6"/>
      <sheetName val="anal_rinci6"/>
      <sheetName val="DIV_96"/>
      <sheetName val="HARGA_DASAR6"/>
      <sheetName val="Stay_Cable-16"/>
      <sheetName val="Rekap_Analisa6"/>
      <sheetName val="ANAL_RABP6"/>
      <sheetName val="BAHAN_&amp;_ALAT_6"/>
      <sheetName val="Transfer_Pump6"/>
      <sheetName val="Peralatan_Utama6"/>
      <sheetName val="2_26"/>
      <sheetName val="Spek_Fin_6"/>
      <sheetName val="REKAP_TOTAL6"/>
      <sheetName val="Luas_Bangunan6"/>
      <sheetName val="Spek_ME6"/>
      <sheetName val="bahan_upah6"/>
      <sheetName val="ANLS_MPU6"/>
      <sheetName val="Ana__PU6"/>
      <sheetName val="SD_(1)6"/>
      <sheetName val="Rekap_Addendum7"/>
      <sheetName val="1_GasAcct7"/>
      <sheetName val="DIVISI_36"/>
      <sheetName val="4-Basic_Price6"/>
      <sheetName val="Sat__Pek_6"/>
      <sheetName val="Alat_(2)6"/>
      <sheetName val="Input_Data6"/>
      <sheetName val="Harga_S_Dasar6"/>
      <sheetName val="Gal_Sal6"/>
      <sheetName val="gal_biasa6"/>
      <sheetName val="Div_7_26"/>
      <sheetName val="sheet_26"/>
      <sheetName val="RAB_ME6"/>
      <sheetName val="Summary_Sheets6"/>
      <sheetName val="BoQ_Total_lama6"/>
      <sheetName val="Daftar_Upah,Bhn,&amp;_alat6"/>
      <sheetName val="HARGA_SATUAN__6"/>
      <sheetName val="PRICE_LIST1"/>
      <sheetName val="MARK_UP10"/>
      <sheetName val="rekap_mekanikal11"/>
      <sheetName val="Analisa_RAP10"/>
      <sheetName val="Analisa_RAB10"/>
      <sheetName val="analisa_(2)9"/>
      <sheetName val="Tata_Udara10"/>
      <sheetName val="HRG_BAHAN_&amp;_UPAH_okk10"/>
      <sheetName val="Analis_Kusen_okk10"/>
      <sheetName val="bukan_PNS10"/>
      <sheetName val="DAF_3_120"/>
      <sheetName val="DAF_3_1110"/>
      <sheetName val="ANALISA_PEK_UMUM10"/>
      <sheetName val="Bill_5_Summary10"/>
      <sheetName val="Bill_4_Summary10"/>
      <sheetName val="UNIT_PRICE10"/>
      <sheetName val="Anls_teknis10"/>
      <sheetName val="Investment_Valuation10"/>
      <sheetName val="Cabling_Data&amp;Power10"/>
      <sheetName val="Prod_15-511"/>
      <sheetName val="HARGA_DSR9"/>
      <sheetName val="an_tek_NP10"/>
      <sheetName val="Basic_Price9"/>
      <sheetName val="A+Supl_10"/>
      <sheetName val="an__major9"/>
      <sheetName val="Upah_Bahan9"/>
      <sheetName val="PLINT_3_1_G10"/>
      <sheetName val="NS_Lanjutan10"/>
      <sheetName val="STD_Lanjutan10"/>
      <sheetName val="5_Anhas10"/>
      <sheetName val="Mk_Minor10"/>
      <sheetName val="Input_monthly_capex10"/>
      <sheetName val="H_Satuan_Dasar8"/>
      <sheetName val="Blk-Mnl_lt_3-lt_atap10"/>
      <sheetName val="BQ__AC10"/>
      <sheetName val="rincian_per_proyek10"/>
      <sheetName val="rek_ME10"/>
      <sheetName val="F_ALARM10"/>
      <sheetName val="Analisa_Harga10"/>
      <sheetName val="ANALISA_ALAT_BERAT10"/>
      <sheetName val="Agregat_Halus_&amp;_Kasar9"/>
      <sheetName val="D6_(2)10"/>
      <sheetName val="Urai__Resap_pengikat8"/>
      <sheetName val="RBP-_210"/>
      <sheetName val="OP__ALAT10"/>
      <sheetName val="OP__PERJAM10"/>
      <sheetName val="B__PERSONIL10"/>
      <sheetName val="KAN__LOKAL10"/>
      <sheetName val="HS-Divisi_38"/>
      <sheetName val="Perm__Test8"/>
      <sheetName val="Hrg_Sat8"/>
      <sheetName val="HARGA_MATERIAL10"/>
      <sheetName val="Har_Sat8"/>
      <sheetName val="610_058"/>
      <sheetName val="610_068"/>
      <sheetName val="610_078"/>
      <sheetName val="610_088"/>
      <sheetName val="610_048"/>
      <sheetName val="MPU__6-3(4)_LastonAC8"/>
      <sheetName val="Data_Info8"/>
      <sheetName val="bahan_dan_upah8"/>
      <sheetName val="analisa_Str8"/>
      <sheetName val="610_07A8"/>
      <sheetName val="DAFT_HARG_SAT_PEK_10"/>
      <sheetName val="DAFT_ALAT,UPAH_&amp;_MAT10"/>
      <sheetName val="Daftar_Upah8"/>
      <sheetName val="Analis_Tambahan8"/>
      <sheetName val="pelita_lapen8"/>
      <sheetName val="bhn_FINAL10"/>
      <sheetName val="BQ_jln8"/>
      <sheetName val="BQ_jem8"/>
      <sheetName val="Hua_Yang_Quarterly8"/>
      <sheetName val="An_28"/>
      <sheetName val="a_28"/>
      <sheetName val="daftar_harga_satuan8"/>
      <sheetName val="List_of_Eqp10"/>
      <sheetName val="Anl_2s_d4e10"/>
      <sheetName val="Master_Edit10"/>
      <sheetName val="SAT_UPAH8"/>
      <sheetName val="Analisa_HSP8"/>
      <sheetName val="HARGA_(2)8"/>
      <sheetName val="HARGA_SATUAN8"/>
      <sheetName val="ANAL_ALAT8"/>
      <sheetName val="Upah,_alat_&amp;_harsat8"/>
      <sheetName val="01_FA8"/>
      <sheetName val="hst__LAMP_17"/>
      <sheetName val="struktur_tdk_dipakai8"/>
      <sheetName val="Rekap_Direct_Cost10"/>
      <sheetName val="Analisa_-Baku10"/>
      <sheetName val="AC_unit8"/>
      <sheetName val="EL_acc8"/>
      <sheetName val="EL_lamp8"/>
      <sheetName val="EL_outlet8"/>
      <sheetName val="Chiller_acc8"/>
      <sheetName val="Pipa_PL8"/>
      <sheetName val="PK_acc8"/>
      <sheetName val="PL_acc8"/>
      <sheetName val="PK_valve8"/>
      <sheetName val="PL_valve8"/>
      <sheetName val="AC_valve8"/>
      <sheetName val="PK_pipe8"/>
      <sheetName val="EL_kabel8"/>
      <sheetName val="AC_power8"/>
      <sheetName val="EL_tray8"/>
      <sheetName val="PL_power8"/>
      <sheetName val="PL_unit8"/>
      <sheetName val="PK_unit8"/>
      <sheetName val="EL_arde8"/>
      <sheetName val="Master_1_08"/>
      <sheetName val="S_Curve7"/>
      <sheetName val="Rekap_S_Curve_(4)7"/>
      <sheetName val="Rekap_S_Curve_(3)7"/>
      <sheetName val="Appendix_2(SatDas)8"/>
      <sheetName val="Urai___Guide_Post10"/>
      <sheetName val="Urai_Galian_Tanah10"/>
      <sheetName val="3_1_2a10"/>
      <sheetName val="3_1_1a10"/>
      <sheetName val="perkerasan_rigid8"/>
      <sheetName val="div_27"/>
      <sheetName val="div_3_Tanah7"/>
      <sheetName val="div_4_Sirtu7"/>
      <sheetName val="div_57"/>
      <sheetName val="div_7_Beton7"/>
      <sheetName val="div_87"/>
      <sheetName val="BACK_-_UP-GALIAN_(ALAT)9"/>
      <sheetName val="DIV_78"/>
      <sheetName val="Man_Power10"/>
      <sheetName val="Lead_Schedule10"/>
      <sheetName val="F1c_DATA_ADM68"/>
      <sheetName val="Galian_18"/>
      <sheetName val="LAL_-_PASAR_PAGI_8"/>
      <sheetName val="SUMBER_DAYA7"/>
      <sheetName val="Harga_Sat_Dasar8"/>
      <sheetName val="Urugan_Pasir7"/>
      <sheetName val="Rek_Tot7"/>
      <sheetName val="Bill_rekap8"/>
      <sheetName val="Bill_of_Qty8"/>
      <sheetName val="5_1_ELEKTRIKAL-ELEKTRONIK7"/>
      <sheetName val="On_Time8"/>
      <sheetName val="List_Material8"/>
      <sheetName val="An_str8"/>
      <sheetName val="Harga_Satuan_Bahan_7"/>
      <sheetName val="Cold_Miling7"/>
      <sheetName val="Data_Masukan7"/>
      <sheetName val="Fisik_20127"/>
      <sheetName val="Pek__Persiapan7"/>
      <sheetName val="Rekap_Anl_K7"/>
      <sheetName val="Rekap_Anl_SNI7"/>
      <sheetName val="GRAND_REKAPITULASI7"/>
      <sheetName val="RAB_G_ADM__PUSAT_(1)7"/>
      <sheetName val="RAB_R__GENSET_&amp;_PANEL_(10)_7"/>
      <sheetName val="RAB_R__DNS__PENGLL_T_54_(11_A_7"/>
      <sheetName val="RAB_R__DNS__PENGLL_T_54_(11_B_7"/>
      <sheetName val="RAB_R__DNS__PENGLL_T_54_(11_C_7"/>
      <sheetName val="RAB_R__DNS__PENGLL_T_70_(12_A_7"/>
      <sheetName val="RAB_R__DNS__PENGLL_T_70_(12_B_7"/>
      <sheetName val="RAB_R__DNS__PENGLL_T_70_(12_C_7"/>
      <sheetName val="RAB_SPORT_CLUB_(14)7"/>
      <sheetName val="RAB_MASJID_&amp;_T_WUDLU_(15)7"/>
      <sheetName val="RAB_LOUNDRY_&amp;_WORKSHOP_(16)7"/>
      <sheetName val="RAB_MINIMARKET_&amp;_KANTIN_(17_)7"/>
      <sheetName val="RAB_RMH__PENJAGA_(18)7"/>
      <sheetName val="RAB_POS_JAGA_(19__A_)7"/>
      <sheetName val="RAB_POS_JAGA_(19__B_)7"/>
      <sheetName val="RAB_R__POMPA_(20)7"/>
      <sheetName val="RAB_R__KELAS_(2_A)7"/>
      <sheetName val="RAB_R__KELAS_(2_B)7"/>
      <sheetName val="RAB_AULA_UTAMA_(5)7"/>
      <sheetName val="RAB_AULA_SEDANG_(6)7"/>
      <sheetName val="RAB_ASRAMA_(7__B_)7"/>
      <sheetName val="RAB_ASRAMA_(7__C_)7"/>
      <sheetName val="RAB_ASRAMA_(7__D_)7"/>
      <sheetName val="RAB_R__MAKAN_(8)7"/>
      <sheetName val="RAB_GUEST_HOUSE_(9__A_)7"/>
      <sheetName val="RAB_GUEST_HOUSE_(9__B_)7"/>
      <sheetName val="RAB_1_PRABUMULIH_LEMBAK_KM_3307"/>
      <sheetName val="Unit_Rate7"/>
      <sheetName val="Daf_Dasar_Upah&amp;Bahan7"/>
      <sheetName val="CHART_HB_AC_-_WC7"/>
      <sheetName val="Analisa_K7"/>
      <sheetName val="BAHAN_(2)7"/>
      <sheetName val="ANALISA_railing7"/>
      <sheetName val="Daftar_Harga_Upah7"/>
      <sheetName val="HARGA_SAT7"/>
      <sheetName val="D_&amp;_W_sizes7"/>
      <sheetName val="STR_&amp;_ARS7"/>
      <sheetName val="HARGA_PEK7"/>
      <sheetName val="Rekap_RAP_real_(2)7"/>
      <sheetName val="3_Koef_Alat7"/>
      <sheetName val="Hrg_Readymix7"/>
      <sheetName val="JUMLAHAN_TOTAL_7"/>
      <sheetName val="Hal_010MUKAMC7"/>
      <sheetName val="ANALISA_EDIT7"/>
      <sheetName val="Hg_Sat7"/>
      <sheetName val="Input_T__Schedule7"/>
      <sheetName val="Data_WI7"/>
      <sheetName val="BQ_External7"/>
      <sheetName val="Daf_Biaya_sewa_alat7"/>
      <sheetName val="an_utara7"/>
      <sheetName val="Kuantitas_&amp;_Harga7"/>
      <sheetName val="Rekap_Biaya7"/>
      <sheetName val="REKAP_GROSS7"/>
      <sheetName val="mc_adam7"/>
      <sheetName val="ps_batu&amp;brjg7"/>
      <sheetName val="T__Cs_Log_P_III7"/>
      <sheetName val="RAB_FULL7"/>
      <sheetName val="anal_rinci7"/>
      <sheetName val="DIV_97"/>
      <sheetName val="HARGA_DASAR7"/>
      <sheetName val="Stay_Cable-17"/>
      <sheetName val="Rekap_Analisa7"/>
      <sheetName val="ANAL_RABP7"/>
      <sheetName val="BAHAN_&amp;_ALAT_7"/>
      <sheetName val="Transfer_Pump7"/>
      <sheetName val="Peralatan_Utama7"/>
      <sheetName val="2_27"/>
      <sheetName val="Spek_Fin_7"/>
      <sheetName val="REKAP_TOTAL7"/>
      <sheetName val="Luas_Bangunan7"/>
      <sheetName val="Spek_ME7"/>
      <sheetName val="bahan_upah7"/>
      <sheetName val="ANLS_MPU7"/>
      <sheetName val="Ana__PU7"/>
      <sheetName val="SD_(1)7"/>
      <sheetName val="Rekap_Addendum8"/>
      <sheetName val="1_GasAcct8"/>
      <sheetName val="DIVISI_37"/>
      <sheetName val="4-Basic_Price7"/>
      <sheetName val="Sat__Pek_7"/>
      <sheetName val="Alat_(2)7"/>
      <sheetName val="Input_Data7"/>
      <sheetName val="Harga_S_Dasar7"/>
      <sheetName val="Gal_Sal7"/>
      <sheetName val="gal_biasa7"/>
      <sheetName val="Div_7_27"/>
      <sheetName val="sheet_27"/>
      <sheetName val="RAB_ME7"/>
      <sheetName val="Summary_Sheets7"/>
      <sheetName val="BoQ_Total_lama7"/>
      <sheetName val="Daftar_Upah,Bhn,&amp;_alat7"/>
      <sheetName val="HARGA_SATUAN__7"/>
      <sheetName val="Sat Das"/>
      <sheetName val="Upah-Bahan"/>
      <sheetName val="AGGREGAT"/>
      <sheetName val="REKAP ANGGARAN"/>
      <sheetName val="Kalibrasi"/>
      <sheetName val="Suhu"/>
      <sheetName val="Jenis Kontrak"/>
      <sheetName val="Output"/>
      <sheetName val="Provinsi"/>
      <sheetName val="Tematik"/>
      <sheetName val="DIVI7"/>
      <sheetName val="An H.Sat Pek.Ut"/>
      <sheetName val="TS"/>
      <sheetName val="Harga Satuan Upah dan Bahan"/>
      <sheetName val="RAB "/>
      <sheetName val="Rkp B. UP"/>
      <sheetName val="Rekap HSP"/>
      <sheetName val="ALS3"/>
      <sheetName val="Form 4 &amp; 4-A"/>
      <sheetName val="Form 4 _ 4_A"/>
      <sheetName val="Harga "/>
      <sheetName val="DHS AC"/>
      <sheetName val="I-ME"/>
      <sheetName val="Inputdata"/>
      <sheetName val="material "/>
      <sheetName val="an. harga sipil"/>
      <sheetName val="RESOURCE MODEL"/>
      <sheetName val="GEOL"/>
      <sheetName val="Public Area"/>
      <sheetName val="RAB2"/>
      <sheetName val="rangk-lisa"/>
      <sheetName val="lam2c"/>
      <sheetName val="RINC FIN T4  _3_"/>
      <sheetName val="RINC FIN T4  _2_"/>
      <sheetName val="Sat_Bahu"/>
      <sheetName val="alat,bahan,sub"/>
      <sheetName val="_x005f_x0000_0_x005f_x0000_1_x005f_x0000_0_x000_2"/>
      <sheetName val="Harga Utk MEMPAWAH"/>
      <sheetName val="NP-10"/>
      <sheetName val="upah-fu"/>
      <sheetName val="EK-JAN-08"/>
      <sheetName val="Janti"/>
      <sheetName val="Pemel jemb"/>
      <sheetName val="Pemel kondisi"/>
      <sheetName val="Pkm Pram"/>
      <sheetName val="Pemel rutin"/>
      <sheetName val="Gabungan"/>
      <sheetName val="Resume Longsecment"/>
      <sheetName val="Temp Pakem"/>
      <sheetName val="SCHE"/>
      <sheetName val="Scedule"/>
      <sheetName val="divII"/>
      <sheetName val="PENGU (2)"/>
      <sheetName val="urain teknis"/>
      <sheetName val="Rek Analisa Pek"/>
      <sheetName val="Anal-2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RekapBOQ"/>
      <sheetName val="AN SAT"/>
      <sheetName val="har_sat_R"/>
      <sheetName val="HSPK"/>
      <sheetName val="sliprt"/>
      <sheetName val="bidang"/>
      <sheetName val="satker"/>
      <sheetName val="Uph&amp;bhn"/>
      <sheetName val="Pek.persiapan"/>
      <sheetName val="D _ W sizes"/>
      <sheetName val="plat jbt"/>
      <sheetName val="Time Schedule"/>
      <sheetName val="Bill No.1"/>
      <sheetName val="BQNSC"/>
      <sheetName val="Analisa  (2)"/>
      <sheetName val="COA"/>
      <sheetName val="O"/>
      <sheetName val="MATERIAL_ANALISA"/>
      <sheetName val="div7_3(1)"/>
      <sheetName val="An__Alat"/>
      <sheetName val="Form_4_&amp;_4-A"/>
      <sheetName val="Harga_bahan-1"/>
      <sheetName val="DETAIL_POS_123"/>
      <sheetName val="Bill_2_1_Basement_41_1"/>
      <sheetName val="KEBUT_BHN1"/>
      <sheetName val="bahan_SNI1"/>
      <sheetName val="DAF_HRG1"/>
      <sheetName val="MING_I1"/>
      <sheetName val="Bangunan_Utama1"/>
      <sheetName val="Floor_finishes1"/>
      <sheetName val="MATERIAL_ANALISA1"/>
      <sheetName val="div7_3(1)1"/>
      <sheetName val="Analisa_Hourly1"/>
      <sheetName val="Rek_Analisa1"/>
      <sheetName val="Cash_Flow_bulanan1"/>
      <sheetName val="An__Alat1"/>
      <sheetName val="Form_4_&amp;_4-A1"/>
      <sheetName val="Harga_bahan-11"/>
      <sheetName val="DETAIL_POS_1231"/>
      <sheetName val="Main_Office1"/>
      <sheetName val="Data_Alat"/>
      <sheetName val="M_Pekerjaan"/>
      <sheetName val="Harga_Bahan_&amp;_Upah"/>
      <sheetName val="ahs_(doors-windows)"/>
      <sheetName val="URAIAN_"/>
      <sheetName val="HSUMUM_XLS"/>
      <sheetName val="Schedule_Daan_Mogot"/>
      <sheetName val="Schedule_Yasmin"/>
      <sheetName val="Schedule_Lingkar_Barat"/>
      <sheetName val="dongia_(2)"/>
      <sheetName val="THPDMoi__(2)"/>
      <sheetName val="k300_123"/>
      <sheetName val="FORM_X_COST"/>
      <sheetName val="KIB_C_GEDUNG_&amp;_BANGUNAN"/>
      <sheetName val="ELEMENT_SUM"/>
      <sheetName val="Daftar_No_MAPPI"/>
      <sheetName val="GS_Tanah_Kalimas_Baru_(2)"/>
      <sheetName val="H__Sat"/>
      <sheetName val="REKAP_THPIII"/>
      <sheetName val="DAYA_PLN"/>
      <sheetName val="Ans_Kom_Precast"/>
      <sheetName val="Peralatan_(2)"/>
      <sheetName val="IRNA_B"/>
      <sheetName val="CMU_2"/>
      <sheetName val="Data_Kegiatan"/>
      <sheetName val="HARGA_DASAR_UPAH_DAN_BAHAN"/>
      <sheetName val="material_"/>
      <sheetName val="B_Land_Development"/>
      <sheetName val="C-1_FACTORY"/>
      <sheetName val="C-2_NON-HEAT_PROC_"/>
      <sheetName val="C-3_HEAT_PROC_"/>
      <sheetName val="C-4_GUARDHOUSE"/>
      <sheetName val="C-5_RWT"/>
      <sheetName val="C-6_WWT"/>
      <sheetName val="C-7_EXTERNAL_"/>
      <sheetName val="7_1_PUMP_ROOM(Breakdown)"/>
      <sheetName val="7_2_GARBAGE_ROOM(Breakdown)"/>
      <sheetName val="SUM_BUDGET"/>
      <sheetName val="Budget_sheet"/>
      <sheetName val="BQ_INT"/>
      <sheetName val="_BoQ_Green_Field_option_1"/>
      <sheetName val="Input_Harga_Produk_Upah_Pekerja"/>
      <sheetName val="HK Effektif &amp; Rate Upah"/>
      <sheetName val="Harga Spare Part"/>
      <sheetName val="¯??_x"/>
      <sheetName val="¯___x0"/>
      <sheetName val="ANALISA ALAT-1"/>
      <sheetName val="Upah,Bahan,Alat"/>
      <sheetName val="Basic Price Upah (mirror)"/>
      <sheetName val="Analisa Alat(2)"/>
      <sheetName val="AHS-D1(2)"/>
      <sheetName val="MK-D1(2)"/>
      <sheetName val="Daftar Customer"/>
      <sheetName val="sektor"/>
      <sheetName val="Rencana Pemberian Kredit"/>
      <sheetName val="Hsatbahan"/>
      <sheetName val="KBL"/>
      <sheetName val="Bill of Quantities"/>
      <sheetName val="Analisa Alat"/>
      <sheetName val="LAPORAN KARYA"/>
      <sheetName val="PERFORMANCE"/>
      <sheetName val="PTKP"/>
      <sheetName val="WF "/>
      <sheetName val="BIIL ASLI"/>
      <sheetName val="sort2"/>
      <sheetName val="Caison"/>
      <sheetName val="SCHEDULE "/>
      <sheetName val="Alat Berat"/>
      <sheetName val="ocean voyage"/>
      <sheetName val="MPB-01"/>
      <sheetName val="RESUME"/>
      <sheetName val="Rkp(1)"/>
      <sheetName val="Bulanan"/>
      <sheetName val="S-2 PLERET"/>
      <sheetName val="ALAT-1"/>
      <sheetName val="PO2 ok"/>
      <sheetName val="PAD-F"/>
      <sheetName val="6"/>
      <sheetName val="Nop_05"/>
      <sheetName val="Rates"/>
      <sheetName val="11.1(10)"/>
      <sheetName val="2.3 (3)"/>
      <sheetName val="anls space frame"/>
      <sheetName val="1. h.sat-bbm"/>
      <sheetName val="ANA KSN PNT KAYU"/>
      <sheetName val="HS_TRG"/>
      <sheetName val="DETAIL"/>
      <sheetName val="JSiar"/>
      <sheetName val="Analisa BCT"/>
      <sheetName val="cogs"/>
      <sheetName val="DATA BLOK"/>
      <sheetName val="PERSIAPAN"/>
      <sheetName val="UTILITAS"/>
      <sheetName val="datasheet"/>
      <sheetName val="Application"/>
      <sheetName val="DDB"/>
      <sheetName val="Price "/>
      <sheetName val="Daf.Harga"/>
      <sheetName val="SCED"/>
      <sheetName val="Lamp BAP"/>
      <sheetName val="B D_AHS6"/>
      <sheetName val="Report"/>
      <sheetName val="Definitions"/>
      <sheetName val="Hotel Stats"/>
      <sheetName val="MUA"/>
      <sheetName val="H.SAT"/>
      <sheetName val="6b"/>
      <sheetName val="3a"/>
      <sheetName val="HGB DUMAI"/>
      <sheetName val="H_Satuan23"/>
      <sheetName val="mob__dem22"/>
      <sheetName val="pek__tanah22"/>
      <sheetName val="k__batu_kali22"/>
      <sheetName val="NS_GD_UGD21"/>
      <sheetName val="STD_GD_UGD21"/>
      <sheetName val="rab_me_(by_owner)_22"/>
      <sheetName val="BQ_(by_owner)22"/>
      <sheetName val="rab_me_(fisik)22"/>
      <sheetName val="NP_(4)21"/>
      <sheetName val="Analisa_&amp;_Upah22"/>
      <sheetName val="AN__TAMPL22"/>
      <sheetName val="Bill_Of_Quantity21"/>
      <sheetName val="HB_21"/>
      <sheetName val="Analisa_ME22"/>
      <sheetName val="harga_bahan22"/>
      <sheetName val="MAIN_BQ21"/>
      <sheetName val="Harsat_BHN_AR,M21"/>
      <sheetName val="NS_GD_UTAMA21"/>
      <sheetName val="Analisa_221"/>
      <sheetName val="BQ_AC_FAN21"/>
      <sheetName val="DRUP_(ASLI)21"/>
      <sheetName val="REF_ONLY21"/>
      <sheetName val="Analis_Kusen_1_ESKALASI21"/>
      <sheetName val="HRG_BHN21"/>
      <sheetName val="iTEM_hARSAT21"/>
      <sheetName val="01A-_RAB22"/>
      <sheetName val="DRUP__ASLI_21"/>
      <sheetName val="Stden_center21"/>
      <sheetName val="rab_-_persiapan_&amp;_lantai-121"/>
      <sheetName val="Anl_+21"/>
      <sheetName val="ELEC_STIS21"/>
      <sheetName val="RKP_PLUMBING21"/>
      <sheetName val="Supl_X21"/>
      <sheetName val="DAFTAR_HARGA21"/>
      <sheetName val="1_B21"/>
      <sheetName val="EXTERNAL_WORK21"/>
      <sheetName val="Daftar_berat21"/>
      <sheetName val="Ahs_221"/>
      <sheetName val="Ahs_121"/>
      <sheetName val="Analisa_Harga_Satuan21"/>
      <sheetName val="Data_Upah21"/>
      <sheetName val="AHS_-_Sipil21"/>
      <sheetName val="box_culvert21"/>
      <sheetName val="data_RSUD_KIS21"/>
      <sheetName val="RAB_AR&amp;STR21"/>
      <sheetName val="NP_(2)21"/>
      <sheetName val="Analisa_Satuan21"/>
      <sheetName val="ANLS__BETON_R__KELAS21"/>
      <sheetName val="Pintu_Jendela21"/>
      <sheetName val="DC-akses_bandara21"/>
      <sheetName val="Fill_this_out_first___21"/>
      <sheetName val="Isolasi_Luar_Dalam21"/>
      <sheetName val="Isolasi_Luar21"/>
      <sheetName val="KR_Luar21"/>
      <sheetName val="NP_(3)21"/>
      <sheetName val="_21"/>
      <sheetName val="meth_hsl_nego21"/>
      <sheetName val="GLP_200121"/>
      <sheetName val="Met_Pas_Batu21"/>
      <sheetName val="Met__Minor21"/>
      <sheetName val="BGN_PENUNJANG21"/>
      <sheetName val="RKP__TOTAL21"/>
      <sheetName val="B_as21"/>
      <sheetName val="Analisa_BOW21"/>
      <sheetName val="Form_A21"/>
      <sheetName val="Bill_of_Qty_MEP21"/>
      <sheetName val="gabungan_(2)21"/>
      <sheetName val="Galian_batu21"/>
      <sheetName val="Analisa_Upah_&amp;_Bahan_Plum21"/>
      <sheetName val="KONTRAK_INDUK_BULANAN21"/>
      <sheetName val="Alat_B21"/>
      <sheetName val="Bahan_B21"/>
      <sheetName val="Upah_B21"/>
      <sheetName val="Fill_this_out_first___22"/>
      <sheetName val="_22"/>
      <sheetName val="AHS_Aspal"/>
      <sheetName val="paving_Blok"/>
      <sheetName val="Pek__Pondasi"/>
      <sheetName val="Pek__Dinding"/>
      <sheetName val="Pek__Kayu"/>
      <sheetName val="Pek__Beton"/>
      <sheetName val="Pek__Penutup_Atap"/>
      <sheetName val="Pek__Langit-langit"/>
      <sheetName val="Pek__Sanitasi"/>
      <sheetName val="Pek__Besi_&amp;_Alumunium"/>
      <sheetName val="Pek__Kunci_&amp;_Kaca"/>
      <sheetName val="Pek__Penutup_Lantai_&amp;_dinding"/>
      <sheetName val="Pek__Pengecatan"/>
      <sheetName val="A_Card"/>
      <sheetName val="D_Kamar"/>
      <sheetName val="Rekap_RKDK_Maret'17_"/>
      <sheetName val="Uraian_Analisa"/>
      <sheetName val="Ans_SNI"/>
      <sheetName val="Risalah_KOM"/>
      <sheetName val="D-3_(M)"/>
      <sheetName val="D-7_(M)"/>
      <sheetName val="HRG_DSR_APP"/>
      <sheetName val="2__MVAC_R1"/>
      <sheetName val="Material_ME"/>
      <sheetName val="HS_ALAT"/>
      <sheetName val="HS_UPAH"/>
      <sheetName val="HS_BAHAN"/>
      <sheetName val="HSBU_ANA"/>
      <sheetName val="HB_me"/>
      <sheetName val="UP_MINOR"/>
      <sheetName val="RAB_3"/>
      <sheetName val="PT_"/>
      <sheetName val="rab_4"/>
      <sheetName val="BJA_TULANGAN"/>
      <sheetName val="OP_ALAT"/>
      <sheetName val="App__2a-1"/>
      <sheetName val="App__2a-2"/>
      <sheetName val="SCH_alat"/>
      <sheetName val="SCH_Mat"/>
      <sheetName val="Daf_Bahan"/>
      <sheetName val="Daf_Sub"/>
      <sheetName val="Daf_MPU"/>
      <sheetName val="Lamp_6a"/>
      <sheetName val="Lamp_6b"/>
      <sheetName val="Basic_P"/>
      <sheetName val="Pac_-2"/>
      <sheetName val="List_Plant"/>
      <sheetName val="Rekap_DBAK"/>
      <sheetName val="ME_UMY"/>
      <sheetName val="HSBU_"/>
      <sheetName val="beton_jembatan_dolago_abutmen_"/>
      <sheetName val="HSD_Alat1"/>
      <sheetName val="HSD_Bahan"/>
      <sheetName val="HSD_Upah"/>
      <sheetName val="daftar_upah,bahan,alat"/>
      <sheetName val="RPP01_3"/>
      <sheetName val="Isian_Biodata"/>
      <sheetName val="BL_(1)"/>
      <sheetName val="Rekap_Anl"/>
      <sheetName val="Analisa_HS"/>
      <sheetName val="BD_Div-2_sd_7_6"/>
      <sheetName val="Soil_factor"/>
      <sheetName val="Assumption_&amp;_Dashboard_"/>
      <sheetName val="Lamp-2_(Analisa)"/>
      <sheetName val="DAFTAR_ISI"/>
      <sheetName val="BQ_ARS"/>
      <sheetName val="rkpm_2003"/>
      <sheetName val="Daftar_Kuantitas_dan_Harga"/>
      <sheetName val="A_Div_2"/>
      <sheetName val="A_Div7"/>
      <sheetName val="FoB_"/>
      <sheetName val="subK_(2)"/>
      <sheetName val="Mk_Sub_Grade"/>
      <sheetName val="Up_&amp;_bhn"/>
      <sheetName val="Formulir_7_6"/>
      <sheetName val="Upah_"/>
      <sheetName val="ANALISA_satuan_poryek_sungai"/>
      <sheetName val="Analisa_Quarry"/>
      <sheetName val="CM_DIV7"/>
      <sheetName val="RAB_alternatif_(2)_mendekati_ok"/>
      <sheetName val="ALAT_BM"/>
      <sheetName val="LAP___(4)"/>
      <sheetName val="LAP___(11)"/>
      <sheetName val="Gal_Str_0-2m"/>
      <sheetName val="BL_Temp"/>
      <sheetName val="BL_Modif"/>
      <sheetName val="harga_bahan_k"/>
      <sheetName val="ANALISA_GRS_SELATAN"/>
      <sheetName val="MASTER_BAHAN_ME"/>
      <sheetName val="Bill_2_4_"/>
      <sheetName val="PE-F-37_Rev_00_Paym_GBP"/>
      <sheetName val="Anal__Alat"/>
      <sheetName val="anal_rab"/>
      <sheetName val="anal_hs"/>
      <sheetName val="BAG_2"/>
      <sheetName val="A H S P"/>
      <sheetName val="LAB me"/>
      <sheetName val="Anls K"/>
      <sheetName val="UPAH&amp;Bahan"/>
      <sheetName val="Plat"/>
      <sheetName val="Informasi Quary"/>
      <sheetName val="URUTAN BUKA"/>
      <sheetName val="K-2007"/>
      <sheetName val="TIE-INS"/>
      <sheetName val="12CGOU"/>
      <sheetName val="data-2"/>
      <sheetName val="AnPipa &amp; Acc"/>
      <sheetName val="AnSipil"/>
      <sheetName val="Rekap Analisa1"/>
      <sheetName val="AnTes &amp; Cuci pipa"/>
      <sheetName val="HARSAT-lhn"/>
      <sheetName val="Kerja"/>
      <sheetName val="time schedulle"/>
      <sheetName val="Sheet1 (2)"/>
      <sheetName val="Mtd_Pelak"/>
      <sheetName val="an-k"/>
      <sheetName val="HST"/>
      <sheetName val="analpp"/>
      <sheetName val="bhnpp"/>
      <sheetName val="An Biaya"/>
      <sheetName val="D"/>
      <sheetName val="bilangan"/>
      <sheetName val="D.UPH&amp;PEK"/>
      <sheetName val="Analis harga"/>
      <sheetName val="BP"/>
      <sheetName val="LABA RUGI"/>
      <sheetName val="TENAGA"/>
      <sheetName val="HOURS Sheet pengisian data"/>
      <sheetName val="TABLE"/>
      <sheetName val="22"/>
      <sheetName val="L3 An H Sat Mob"/>
      <sheetName val="1.Neo_pbersih-lap"/>
      <sheetName val="Data PJ"/>
      <sheetName val="harga upah"/>
      <sheetName val="Kebut. Alat"/>
      <sheetName val="Kebut. Bahan"/>
      <sheetName val="Data Keu"/>
      <sheetName val="CekList"/>
      <sheetName val="REKAP RAP"/>
      <sheetName val="Biodata LTM Group"/>
      <sheetName val="PO2"/>
      <sheetName val="HSP 2017"/>
      <sheetName val="ANALIS K"/>
      <sheetName val="BahanAnalisa"/>
      <sheetName val="Bh &amp; Uph"/>
      <sheetName val="Bahan&amp;Upah"/>
      <sheetName val="REAL KEU"/>
      <sheetName val="DHSBU"/>
      <sheetName val="Lamp-4 Sat-Das"/>
      <sheetName val="Mess"/>
      <sheetName val="An. Quarry"/>
      <sheetName val="FORMA2A2"/>
      <sheetName val="FORMB2"/>
      <sheetName val="Harga Satuan (T.P.)"/>
      <sheetName val="Analisa HSP (T.P.)"/>
      <sheetName val="harga dasar T-M-A"/>
      <sheetName val="2.Risiko Tupoksi"/>
      <sheetName val="K.Lokal"/>
      <sheetName val="HSPekerja"/>
      <sheetName val="HSAlat"/>
      <sheetName val="UPH"/>
      <sheetName val="DASH"/>
      <sheetName val="UP-BHN-ALT"/>
      <sheetName val="EVAL-ANAL"/>
      <sheetName val="029Cikeas00"/>
      <sheetName val="idx-03"/>
      <sheetName val="HargaBahan"/>
      <sheetName val="AnalisaSIPIL_RIIL1"/>
      <sheetName val="DATA_21"/>
      <sheetName val="an__struktur1"/>
      <sheetName val="RAW_MATERIALS_1"/>
      <sheetName val="COST-PERSON-J_O_1"/>
      <sheetName val="DATA_PROYEK1"/>
      <sheetName val="Man_Power_&amp;_Comp1"/>
      <sheetName val="DAFTAR_HARGA_BAHAN_1"/>
      <sheetName val="SKEDUL_AV-051"/>
      <sheetName val="PRIST_LIST1"/>
      <sheetName val="D_BOARD1"/>
      <sheetName val="SUB_&amp;_mandor1"/>
      <sheetName val="TOTAL_UPAH1"/>
      <sheetName val="Data_31"/>
      <sheetName val="AHS_31"/>
      <sheetName val="BOQ_31"/>
      <sheetName val="DATA_20092"/>
      <sheetName val="DATA_20101"/>
      <sheetName val="Kinerja_Proyek1"/>
      <sheetName val="Target_Raker_TW_III1"/>
      <sheetName val="B_T1"/>
      <sheetName val="REFERENCE_TABLE1"/>
      <sheetName val="PERALATAN_PROYEK_GOL_III_A1"/>
      <sheetName val="rms_remunerasi1"/>
      <sheetName val="input_data_umum1"/>
      <sheetName val="LAMP_2_21"/>
      <sheetName val="Data_Umum_Penawaran2"/>
      <sheetName val="ITB_COST2"/>
      <sheetName val="HRG_BAHAN___UPAH_okk2"/>
      <sheetName val="REKAP_ELEKTRIKAL2"/>
      <sheetName val="REKAP_DINDING1"/>
      <sheetName val="NP__2_1"/>
      <sheetName val="Schedule_11a1"/>
      <sheetName val="Septick_tank1"/>
      <sheetName val="lamp__121"/>
      <sheetName val="Eval__Arus_Kas1"/>
      <sheetName val="PK-PPK_Elektrikal1"/>
      <sheetName val="BQ_Arsit1"/>
      <sheetName val="An_HarSatPek1"/>
      <sheetName val="Sat_Bah_&amp;_Up1"/>
      <sheetName val="Gaji_Pokok1"/>
      <sheetName val="T__Proyek-Jabatan1"/>
      <sheetName val="T__Lokasi1"/>
      <sheetName val="T__Rumah1"/>
      <sheetName val="T__Transport1"/>
      <sheetName val="bearing_PDMR1"/>
      <sheetName val="Stay_Cable_PDMR1"/>
      <sheetName val="Post_Tens-1"/>
      <sheetName val="LOKASI_RIG_Litbang"/>
      <sheetName val="BackUp-Payment_Exs"/>
      <sheetName val="H_DASAR"/>
      <sheetName val="REKAP_HP"/>
      <sheetName val="Rekap_Bill1"/>
      <sheetName val="AHS_-_Riel1"/>
      <sheetName val="bill_qty"/>
      <sheetName val="Telephone_&amp;_KSO_Rev"/>
      <sheetName val="REKA__ANALISA"/>
      <sheetName val="II_3_HSD"/>
      <sheetName val="Dft_Isi_PQ_1"/>
      <sheetName val="STOK_MAT"/>
      <sheetName val="HD_BAHAN"/>
      <sheetName val="BOQ_CONTRACT_WK"/>
      <sheetName val="HR_Detail"/>
      <sheetName val="Sales_Parameter"/>
      <sheetName val="BS_Assumptions"/>
      <sheetName val="Table_Array"/>
      <sheetName val="UPAH_B_KAS__2_"/>
      <sheetName val="Sales_Rental"/>
      <sheetName val="DIV_3"/>
      <sheetName val="RPP01_6"/>
      <sheetName val="BERAT_TUL_"/>
      <sheetName val="Cable_150kV_Ref_"/>
      <sheetName val="agregat_abc"/>
      <sheetName val="R A B"/>
      <sheetName val="Tambahan_anal"/>
      <sheetName val="Monthly_Budget_Summary"/>
      <sheetName val="Master_Schedule"/>
      <sheetName val="MAP_18_12_17"/>
      <sheetName val="PER_HARI"/>
      <sheetName val="H_Satuan24"/>
      <sheetName val="mob__dem23"/>
      <sheetName val="pek__tanah23"/>
      <sheetName val="k__batu_kali23"/>
      <sheetName val="NP_(4)22"/>
      <sheetName val="Analisa_ME23"/>
      <sheetName val="Analisa_&amp;_Upah23"/>
      <sheetName val="AN__TAMPL23"/>
      <sheetName val="harga_bahan23"/>
      <sheetName val="rab_me_(by_owner)_23"/>
      <sheetName val="BQ_(by_owner)23"/>
      <sheetName val="rab_me_(fisik)23"/>
      <sheetName val="01A-_RAB23"/>
      <sheetName val="HB_22"/>
      <sheetName val="Bill_Of_Quantity22"/>
      <sheetName val="BQ_AC_FAN22"/>
      <sheetName val="DRUP_(ASLI)22"/>
      <sheetName val="NS_GD_UTAMA22"/>
      <sheetName val="Analisa_222"/>
      <sheetName val="HRG_BHN22"/>
      <sheetName val="iTEM_hARSAT22"/>
      <sheetName val="NS_GD_UGD22"/>
      <sheetName val="STD_GD_UGD22"/>
      <sheetName val="_23"/>
      <sheetName val="rab_-_persiapan_&amp;_lantai-122"/>
      <sheetName val="box_culvert22"/>
      <sheetName val="MAIN_BQ22"/>
      <sheetName val="Harsat_BHN_AR,M22"/>
      <sheetName val="NP_(2)22"/>
      <sheetName val="Anl_+22"/>
      <sheetName val="Daftar_berat22"/>
      <sheetName val="ELEC_STIS22"/>
      <sheetName val="RKP_PLUMBING22"/>
      <sheetName val="Analis_Kusen_1_ESKALASI22"/>
      <sheetName val="EXTERNAL_WORK22"/>
      <sheetName val="Supl_X22"/>
      <sheetName val="DAFTAR_HARGA22"/>
      <sheetName val="data_RSUD_KIS22"/>
      <sheetName val="DRUP__ASLI_22"/>
      <sheetName val="Stden_center22"/>
      <sheetName val="RAB_AR&amp;STR22"/>
      <sheetName val="Analisa_Satuan22"/>
      <sheetName val="Fill_this_out_first___23"/>
      <sheetName val="Ahs_222"/>
      <sheetName val="Ahs_122"/>
      <sheetName val="Analisa_Harga_Satuan22"/>
      <sheetName val="Data_Upah22"/>
      <sheetName val="1_B22"/>
      <sheetName val="AHS_-_Sipil22"/>
      <sheetName val="ANLS__BETON_R__KELAS22"/>
      <sheetName val="NP_(3)22"/>
      <sheetName val="KR_Luar22"/>
      <sheetName val="Pintu_Jendela22"/>
      <sheetName val="DC-akses_bandara22"/>
      <sheetName val="GLP_200122"/>
      <sheetName val="Met_Pas_Batu22"/>
      <sheetName val="Met__Minor22"/>
      <sheetName val="REF_ONLY22"/>
      <sheetName val="meth_hsl_nego22"/>
      <sheetName val="gabungan_(2)22"/>
      <sheetName val="Isolasi_Luar_Dalam22"/>
      <sheetName val="Isolasi_Luar22"/>
      <sheetName val="BGN_PENUNJANG22"/>
      <sheetName val="Analisa_BOW22"/>
      <sheetName val="Galian_batu22"/>
      <sheetName val="Bill_of_Qty_MEP22"/>
      <sheetName val="Form_A22"/>
      <sheetName val="KONTRAK_INDUK_BULANAN22"/>
      <sheetName val="RKP__TOTAL22"/>
      <sheetName val="B_as22"/>
      <sheetName val="Alat_B22"/>
      <sheetName val="Bahan_B22"/>
      <sheetName val="Upah_B22"/>
      <sheetName val="Analisa_Upah_&amp;_Bahan_Plum22"/>
      <sheetName val="Rekap_12"/>
      <sheetName val="D_HARGA2"/>
      <sheetName val="7_PEK-STRUKTUR2"/>
      <sheetName val="Harga_Baru2"/>
      <sheetName val="DIV_62"/>
      <sheetName val="UBA_RAB2"/>
      <sheetName val="Exch_rate2"/>
      <sheetName val="_24"/>
      <sheetName val="ANAL_BOW2"/>
      <sheetName val="Fill_this_out_first___24"/>
      <sheetName val="5_1-5_4(1)-5_4(2)2"/>
      <sheetName val="anal-drainase,tanah&amp;ps_batu2"/>
      <sheetName val="REKAP_Prbndingn2"/>
      <sheetName val="Analisa_ME_UPT2"/>
      <sheetName val="AnalisaSIPIL_RIIL2"/>
      <sheetName val="GRAND_REKAP2"/>
      <sheetName val="Metod_TWR2"/>
      <sheetName val="Data_32"/>
      <sheetName val="AHS_32"/>
      <sheetName val="BOQ_32"/>
      <sheetName val="ANSAT_K'AYI2"/>
      <sheetName val="PEK_ASPAL2"/>
      <sheetName val="DIV_12"/>
      <sheetName val="lamp_92"/>
      <sheetName val="REF_HARGA_DASAR_20162"/>
      <sheetName val="BLM_TERBAYAR2"/>
      <sheetName val="DAF_HRG2"/>
      <sheetName val="FIRE_FIGHTING2"/>
      <sheetName val="Man_Power_&amp;_Comp2"/>
      <sheetName val="KJ_20022"/>
      <sheetName val="Calculation_Sheet2"/>
      <sheetName val="ANALISA_SM2"/>
      <sheetName val="DATA_PROYEK2"/>
      <sheetName val="TOTAL_UPAH2"/>
      <sheetName val="PRIST_LIST2"/>
      <sheetName val="D_BOARD2"/>
      <sheetName val="SUB_&amp;_mandor2"/>
      <sheetName val="Rekap_3"/>
      <sheetName val="Transfer_Master2"/>
      <sheetName val="K3-Gaji_Kontrak2"/>
      <sheetName val="Gaji_Kontrak2"/>
      <sheetName val="Kwitansi_Honor2"/>
      <sheetName val="DAFTAR_HARGA_BAHAN_2"/>
      <sheetName val="SKEDUL_AV-052"/>
      <sheetName val="H_Sat__Pekerjaan2"/>
      <sheetName val="H__Bahan2"/>
      <sheetName val="Analisa_H_Sat_2"/>
      <sheetName val="DON_GIA2"/>
      <sheetName val="CHITIET_VL_NC2"/>
      <sheetName val="TONGKE3p_2"/>
      <sheetName val="DATA_20093"/>
      <sheetName val="DATA_20102"/>
      <sheetName val="Kinerja_Proyek2"/>
      <sheetName val="Target_Raker_TW_III2"/>
      <sheetName val="REFERENCE_TABLE2"/>
      <sheetName val="B_T2"/>
      <sheetName val="Rekap_Prelim2"/>
      <sheetName val="BQ-Marga_Tiga1"/>
      <sheetName val="DATA_22"/>
      <sheetName val="an__struktur2"/>
      <sheetName val="RAW_MATERIALS_2"/>
      <sheetName val="COST-PERSON-J_O_2"/>
      <sheetName val="DI_Gadung-12"/>
      <sheetName val="Currency_Rate2"/>
      <sheetName val="Conn__Lib2"/>
      <sheetName val="Main_Office2"/>
      <sheetName val="Schedule_11a2"/>
      <sheetName val="Septick_tank2"/>
      <sheetName val="Data_Umum_Penawaran3"/>
      <sheetName val="ITB_COST3"/>
      <sheetName val="HRG_BAHAN___UPAH_okk3"/>
      <sheetName val="REKAP_ELEKTRIKAL3"/>
      <sheetName val="All_Division_by_SBU2"/>
      <sheetName val="REKAP_DINDING2"/>
      <sheetName val="NP__2_2"/>
      <sheetName val="PERALATAN_PROYEK_GOL_III_A2"/>
      <sheetName val="rms_remunerasi2"/>
      <sheetName val="input_data_umum2"/>
      <sheetName val="LAMP_2_22"/>
      <sheetName val="Bill_2_31"/>
      <sheetName val="Bill_2_5B1"/>
      <sheetName val="Bill_2_11"/>
      <sheetName val="H_Sat_Jembatan2"/>
      <sheetName val="S_BAHAN2"/>
      <sheetName val="S_UPAH2"/>
      <sheetName val="Re_1)2"/>
      <sheetName val="Harga_Mat_2"/>
      <sheetName val="BQ_Arsit2"/>
      <sheetName val="An_HarSatPek2"/>
      <sheetName val="Sat_Bah_&amp;_Up2"/>
      <sheetName val="Gaji_Pokok2"/>
      <sheetName val="T__Proyek-Jabatan2"/>
      <sheetName val="T__Lokasi2"/>
      <sheetName val="T__Rumah2"/>
      <sheetName val="T__Transport2"/>
      <sheetName val="HARGA_ALAT2"/>
      <sheetName val="PK-PPK_Elektrikal2"/>
      <sheetName val="lamp__122"/>
      <sheetName val="Eval__Arus_Kas2"/>
      <sheetName val="GS_Tanah_Kalimas_Baru_(2)1"/>
      <sheetName val="bq_m&amp;e_r1"/>
      <sheetName val="A_Card1"/>
      <sheetName val="D_Kamar1"/>
      <sheetName val="ENC_141"/>
      <sheetName val="Cash_Flow_bulanan2"/>
      <sheetName val="analisa_12"/>
      <sheetName val="BQ_INT1"/>
      <sheetName val="Rekap_RKDK_Maret'17_1"/>
      <sheetName val="Uraian_Analisa1"/>
      <sheetName val="AHS_Aspal1"/>
      <sheetName val="rab_41"/>
      <sheetName val="RAB_VOL2"/>
      <sheetName val="ANALISA_satuan_poryek_sungai1"/>
      <sheetName val="ahs_(doors-windows)1"/>
      <sheetName val="Analisa_Quarry1"/>
      <sheetName val="bearing_PDMR11"/>
      <sheetName val="Stay_Cable_PDMR11"/>
      <sheetName val="Post_Tens-11"/>
      <sheetName val="LOKASI_RIG_Litbang1"/>
      <sheetName val="R1__GREJA_KATHOLIK1"/>
      <sheetName val="R_A_B_1"/>
      <sheetName val="dongia_(2)1"/>
      <sheetName val="THPDMoi__(2)1"/>
      <sheetName val="k300_1231"/>
      <sheetName val="Faktor_Konversi1"/>
      <sheetName val="HS_ALAT1"/>
      <sheetName val="HS_UPAH1"/>
      <sheetName val="HS_BAHAN1"/>
      <sheetName val="HSBU_ANA1"/>
      <sheetName val="ANALIS_ALAT1"/>
      <sheetName val="HB_me1"/>
      <sheetName val="M_Pekerjaan1"/>
      <sheetName val="Harga_Bahan_&amp;_Upah1"/>
      <sheetName val="Schedule_Daan_Mogot1"/>
      <sheetName val="Schedule_Yasmin1"/>
      <sheetName val="Schedule_Lingkar_Barat1"/>
      <sheetName val="FORM_X_COST1"/>
      <sheetName val="KIB_C_GEDUNG_&amp;_BANGUNAN1"/>
      <sheetName val="ELEMENT_SUM1"/>
      <sheetName val="Daftar_No_MAPPI1"/>
      <sheetName val="3_1_(1)_CS2"/>
      <sheetName val="paving_Blok1"/>
      <sheetName val="PT_1"/>
      <sheetName val="H_DASAR1"/>
      <sheetName val="REKAP_THPIII1"/>
      <sheetName val="DAYA_PLN1"/>
      <sheetName val="HSUMUM_XLS1"/>
      <sheetName val="Risalah_KOM1"/>
      <sheetName val="D-3_(M)1"/>
      <sheetName val="D-7_(M)1"/>
      <sheetName val="2__MVAC_R11"/>
      <sheetName val="HRG_DSR_APP1"/>
      <sheetName val="Ans_SNI1"/>
      <sheetName val="BJA_TULANGAN1"/>
      <sheetName val="OP_ALAT1"/>
      <sheetName val="App__2a-11"/>
      <sheetName val="App__2a-21"/>
      <sheetName val="SCH_alat1"/>
      <sheetName val="SCH_Mat1"/>
      <sheetName val="Daf_Bahan1"/>
      <sheetName val="Daf_Sub1"/>
      <sheetName val="Daf_MPU1"/>
      <sheetName val="Lamp_6a1"/>
      <sheetName val="Lamp_6b1"/>
      <sheetName val="Basic_P1"/>
      <sheetName val="Pac_-21"/>
      <sheetName val="List_Plant1"/>
      <sheetName val="Rekap_DBAK1"/>
      <sheetName val="ME_UMY1"/>
      <sheetName val="HSBU_1"/>
      <sheetName val="beton_jembatan_dolago_abutmen_1"/>
      <sheetName val="Data_Alat1"/>
      <sheetName val="HSD_Alat2"/>
      <sheetName val="HSD_Bahan1"/>
      <sheetName val="HSD_Upah1"/>
      <sheetName val="daftar_upah,bahan,alat1"/>
      <sheetName val="RPP01_31"/>
      <sheetName val="Isian_Biodata1"/>
      <sheetName val="BL_(1)1"/>
      <sheetName val="Rekap_Anl1"/>
      <sheetName val="REKA__ANALISA1"/>
      <sheetName val="II_3_HSD1"/>
      <sheetName val="REKAP_HP1"/>
      <sheetName val="BackUp-Payment_Exs1"/>
      <sheetName val="Dft_Isi_PQ_11"/>
      <sheetName val="Master_Schedule1"/>
      <sheetName val="MAP_18_12_171"/>
      <sheetName val="Sales_Rental1"/>
      <sheetName val="HR_Detail1"/>
      <sheetName val="STOK_MAT1"/>
      <sheetName val="HD_BAHAN1"/>
      <sheetName val="BOQ_CONTRACT_WK1"/>
      <sheetName val="DIV_31"/>
      <sheetName val="UPAH_B_KAS__2_1"/>
      <sheetName val="IRNA_B1"/>
      <sheetName val="CMU_21"/>
      <sheetName val="Rekap_Bill2"/>
      <sheetName val="AHS_-_Riel2"/>
      <sheetName val="RAB_alternatif_(2)_mendekati_o1"/>
      <sheetName val="bill_qty1"/>
      <sheetName val="Telephone_&amp;_KSO_Rev1"/>
      <sheetName val="H__Sat1"/>
      <sheetName val="Ans_Kom_Precast1"/>
      <sheetName val="Material_ME1"/>
      <sheetName val="URAIAN_1"/>
      <sheetName val="Data_Kegiatan1"/>
      <sheetName val="Sales_Parameter1"/>
      <sheetName val="BS_Assumptions1"/>
      <sheetName val="Table_Array1"/>
      <sheetName val="Tambahan_anal1"/>
      <sheetName val="Monthly_Budget_Summary1"/>
      <sheetName val="RPP01_61"/>
      <sheetName val="PER_HARI1"/>
      <sheetName val="PE-F-37_Rev_00_Paym_GBP1"/>
      <sheetName val="Anal__Alat1"/>
      <sheetName val="anal_rab1"/>
      <sheetName val="ANALISA_GRS_SELATAN1"/>
      <sheetName val="agregat_abc1"/>
      <sheetName val="ANAL_WK"/>
      <sheetName val="AHS-8FO"/>
      <sheetName val="AHS-8UP"/>
      <sheetName val="LAMP gnrlP4"/>
      <sheetName val="LAMP gnrl_P5"/>
      <sheetName val="gnrl_P4"/>
      <sheetName val="gnrl_P5"/>
      <sheetName val="gnrl P6"/>
      <sheetName val="Temporer"/>
      <sheetName val="ANAL-str2"/>
      <sheetName val="RAB-LANSEKAP"/>
      <sheetName val="HARSAT_BAH"/>
      <sheetName val="REKAP-1"/>
      <sheetName val="HD ALAT"/>
      <sheetName val="shotcrete"/>
      <sheetName val="UG Excav"/>
      <sheetName val="HD UPAH"/>
      <sheetName val="rate-alat"/>
      <sheetName val="Escalation Code"/>
      <sheetName val="HARGA AT"/>
      <sheetName val="ED-PROD.01"/>
      <sheetName val="alt1"/>
      <sheetName val="TONG HOP VL-NC"/>
      <sheetName val="chitiet"/>
      <sheetName val="DONGIA"/>
      <sheetName val="DG"/>
      <sheetName val="VCV-BE-TONG"/>
      <sheetName val="CHITIET VL-NC"/>
      <sheetName val="RPP-6"/>
      <sheetName val="PL SPP per ton"/>
      <sheetName val="BTL-Bau"/>
      <sheetName val="Management"/>
      <sheetName val="BP1_23"/>
      <sheetName val="HS Dasar "/>
      <sheetName val="HB ARSITEKTUR"/>
      <sheetName val="PREROJ"/>
      <sheetName val="DataTeknis"/>
      <sheetName val="SAT-UP"/>
      <sheetName val="Fungsi"/>
      <sheetName val="Sumber Asset"/>
      <sheetName val="07-01"/>
      <sheetName val="Strand PDMR1"/>
      <sheetName val="Post tension PDMR1"/>
      <sheetName val="Rokan 1"/>
      <sheetName val="DaftarHS"/>
      <sheetName val="Enc14"/>
      <sheetName val="div-4"/>
      <sheetName val="DIV 2"/>
      <sheetName val="DIV 8"/>
      <sheetName val="DIV 3"/>
      <sheetName val="DAPRO"/>
      <sheetName val="04.1.1 RDC"/>
      <sheetName val="04.1.2 BAHAN BP"/>
      <sheetName val="04.1.0 1B"/>
      <sheetName val="04.7 B.BANK"/>
      <sheetName val="FPWP-PDP-01-15a"/>
      <sheetName val="IV.1,IV,2"/>
      <sheetName val="BTL-Persiapan"/>
      <sheetName val="BTL-alat"/>
      <sheetName val="BTL-Rupa"/>
      <sheetName val="BOQ-8"/>
      <sheetName val="BOQ-7"/>
    </sheetNames>
    <sheetDataSet>
      <sheetData sheetId="0" refreshError="1">
        <row r="82">
          <cell r="CF82" t="str">
            <v>Royalties Aggregate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>
        <row r="82">
          <cell r="CF82" t="str">
            <v>Royalties Aggregate</v>
          </cell>
        </row>
      </sheetData>
      <sheetData sheetId="556">
        <row r="82">
          <cell r="CF82" t="str">
            <v>Royalties Aggregate</v>
          </cell>
        </row>
      </sheetData>
      <sheetData sheetId="557">
        <row r="82">
          <cell r="CF82" t="str">
            <v>Royalties Aggregate</v>
          </cell>
        </row>
      </sheetData>
      <sheetData sheetId="558">
        <row r="82">
          <cell r="CF82" t="str">
            <v>Royalties Aggregate</v>
          </cell>
        </row>
      </sheetData>
      <sheetData sheetId="559">
        <row r="82">
          <cell r="CF82" t="str">
            <v>Royalties Aggregate</v>
          </cell>
        </row>
      </sheetData>
      <sheetData sheetId="560">
        <row r="82">
          <cell r="CF82" t="str">
            <v>Royalties Aggregate</v>
          </cell>
        </row>
      </sheetData>
      <sheetData sheetId="561">
        <row r="82">
          <cell r="CF82" t="str">
            <v>Royalties Aggregate</v>
          </cell>
        </row>
      </sheetData>
      <sheetData sheetId="562">
        <row r="82">
          <cell r="CF82" t="str">
            <v>Royalties Aggregate</v>
          </cell>
        </row>
      </sheetData>
      <sheetData sheetId="563">
        <row r="82">
          <cell r="CF82" t="str">
            <v>Royalties Aggregate</v>
          </cell>
        </row>
      </sheetData>
      <sheetData sheetId="564">
        <row r="82">
          <cell r="CF82" t="str">
            <v>Royalties Aggregate</v>
          </cell>
        </row>
      </sheetData>
      <sheetData sheetId="565">
        <row r="82">
          <cell r="CF82" t="str">
            <v>Royalties Aggregate</v>
          </cell>
        </row>
      </sheetData>
      <sheetData sheetId="566">
        <row r="82">
          <cell r="CF82" t="str">
            <v>Royalties Aggregate</v>
          </cell>
        </row>
      </sheetData>
      <sheetData sheetId="567">
        <row r="82">
          <cell r="CF82" t="str">
            <v>Royalties Aggregate</v>
          </cell>
        </row>
      </sheetData>
      <sheetData sheetId="568">
        <row r="82">
          <cell r="CF82" t="str">
            <v>Royalties Aggregate</v>
          </cell>
        </row>
      </sheetData>
      <sheetData sheetId="569">
        <row r="82">
          <cell r="CF82" t="str">
            <v>Royalties Aggregate</v>
          </cell>
        </row>
      </sheetData>
      <sheetData sheetId="570">
        <row r="82">
          <cell r="CF82" t="str">
            <v>Royalties Aggregate</v>
          </cell>
        </row>
      </sheetData>
      <sheetData sheetId="571">
        <row r="82">
          <cell r="CF82" t="str">
            <v>Royalties Aggregate</v>
          </cell>
        </row>
      </sheetData>
      <sheetData sheetId="572">
        <row r="82">
          <cell r="CF82" t="str">
            <v>Royalties Aggregate</v>
          </cell>
        </row>
      </sheetData>
      <sheetData sheetId="573">
        <row r="82">
          <cell r="CF82" t="str">
            <v>Royalties Aggregate</v>
          </cell>
        </row>
      </sheetData>
      <sheetData sheetId="574">
        <row r="82">
          <cell r="CF82" t="str">
            <v>Royalties Aggregate</v>
          </cell>
        </row>
      </sheetData>
      <sheetData sheetId="575">
        <row r="82">
          <cell r="CF82" t="str">
            <v>Royalties Aggregate</v>
          </cell>
        </row>
      </sheetData>
      <sheetData sheetId="576">
        <row r="82">
          <cell r="CF82" t="str">
            <v>Royalties Aggregate</v>
          </cell>
        </row>
      </sheetData>
      <sheetData sheetId="577">
        <row r="82">
          <cell r="CF82" t="str">
            <v>Royalties Aggregate</v>
          </cell>
        </row>
      </sheetData>
      <sheetData sheetId="578">
        <row r="82">
          <cell r="CF82" t="str">
            <v>Royalties Aggregate</v>
          </cell>
        </row>
      </sheetData>
      <sheetData sheetId="579">
        <row r="82">
          <cell r="CF82" t="str">
            <v>Royalties Aggregate</v>
          </cell>
        </row>
      </sheetData>
      <sheetData sheetId="580">
        <row r="82">
          <cell r="CF82" t="str">
            <v>Royalties Aggregate</v>
          </cell>
        </row>
      </sheetData>
      <sheetData sheetId="581">
        <row r="82">
          <cell r="CF82" t="str">
            <v>Royalties Aggregate</v>
          </cell>
        </row>
      </sheetData>
      <sheetData sheetId="582">
        <row r="82">
          <cell r="CF82" t="str">
            <v>Royalties Aggregate</v>
          </cell>
        </row>
      </sheetData>
      <sheetData sheetId="583">
        <row r="82">
          <cell r="CF82" t="str">
            <v>Royalties Aggregate</v>
          </cell>
        </row>
      </sheetData>
      <sheetData sheetId="584">
        <row r="82">
          <cell r="CF82" t="str">
            <v>Royalties Aggregate</v>
          </cell>
        </row>
      </sheetData>
      <sheetData sheetId="585">
        <row r="82">
          <cell r="CF82" t="str">
            <v>Royalties Aggregate</v>
          </cell>
        </row>
      </sheetData>
      <sheetData sheetId="586">
        <row r="82">
          <cell r="CF82" t="str">
            <v>Royalties Aggregate</v>
          </cell>
        </row>
      </sheetData>
      <sheetData sheetId="587">
        <row r="82">
          <cell r="CF82" t="str">
            <v>Royalties Aggregate</v>
          </cell>
        </row>
      </sheetData>
      <sheetData sheetId="588">
        <row r="82">
          <cell r="CF82" t="str">
            <v>Royalties Aggregate</v>
          </cell>
        </row>
      </sheetData>
      <sheetData sheetId="589">
        <row r="82">
          <cell r="CF82" t="str">
            <v>Royalties Aggregate</v>
          </cell>
        </row>
      </sheetData>
      <sheetData sheetId="590">
        <row r="82">
          <cell r="CF82" t="str">
            <v>Royalties Aggregate</v>
          </cell>
        </row>
      </sheetData>
      <sheetData sheetId="591">
        <row r="82">
          <cell r="CF82" t="str">
            <v>Royalties Aggregate</v>
          </cell>
        </row>
      </sheetData>
      <sheetData sheetId="592">
        <row r="82">
          <cell r="CF82" t="str">
            <v>Royalties Aggregate</v>
          </cell>
        </row>
      </sheetData>
      <sheetData sheetId="593">
        <row r="82">
          <cell r="CF82" t="str">
            <v>Royalties Aggregate</v>
          </cell>
        </row>
      </sheetData>
      <sheetData sheetId="594">
        <row r="82">
          <cell r="CF82" t="str">
            <v>Royalties Aggregate</v>
          </cell>
        </row>
      </sheetData>
      <sheetData sheetId="595">
        <row r="82">
          <cell r="CF82" t="str">
            <v>Royalties Aggregate</v>
          </cell>
        </row>
      </sheetData>
      <sheetData sheetId="596">
        <row r="82">
          <cell r="CF82" t="str">
            <v>Royalties Aggregate</v>
          </cell>
        </row>
      </sheetData>
      <sheetData sheetId="597">
        <row r="82">
          <cell r="CF82" t="str">
            <v>Royalties Aggregate</v>
          </cell>
        </row>
      </sheetData>
      <sheetData sheetId="598">
        <row r="82">
          <cell r="CF82" t="str">
            <v>Royalties Aggregate</v>
          </cell>
        </row>
      </sheetData>
      <sheetData sheetId="599">
        <row r="82">
          <cell r="CF82" t="str">
            <v>Royalties Aggregate</v>
          </cell>
        </row>
      </sheetData>
      <sheetData sheetId="600">
        <row r="82">
          <cell r="CF82" t="str">
            <v>Royalties Aggregate</v>
          </cell>
        </row>
      </sheetData>
      <sheetData sheetId="601">
        <row r="82">
          <cell r="CF82" t="str">
            <v>Royalties Aggregate</v>
          </cell>
        </row>
      </sheetData>
      <sheetData sheetId="602">
        <row r="82">
          <cell r="CF82" t="str">
            <v>Royalties Aggregate</v>
          </cell>
        </row>
      </sheetData>
      <sheetData sheetId="603">
        <row r="82">
          <cell r="CF82" t="str">
            <v>Royalties Aggregate</v>
          </cell>
        </row>
      </sheetData>
      <sheetData sheetId="604">
        <row r="82">
          <cell r="CF82" t="str">
            <v>Royalties Aggregate</v>
          </cell>
        </row>
      </sheetData>
      <sheetData sheetId="605">
        <row r="82">
          <cell r="CF82" t="str">
            <v>Royalties Aggregate</v>
          </cell>
        </row>
      </sheetData>
      <sheetData sheetId="606">
        <row r="82">
          <cell r="CF82" t="str">
            <v>Royalties Aggregate</v>
          </cell>
        </row>
      </sheetData>
      <sheetData sheetId="607">
        <row r="82">
          <cell r="CF82" t="str">
            <v>Royalties Aggregate</v>
          </cell>
        </row>
      </sheetData>
      <sheetData sheetId="608">
        <row r="82">
          <cell r="CF82" t="str">
            <v>Royalties Aggregate</v>
          </cell>
        </row>
      </sheetData>
      <sheetData sheetId="609">
        <row r="82">
          <cell r="CF82" t="str">
            <v>Royalties Aggregate</v>
          </cell>
        </row>
      </sheetData>
      <sheetData sheetId="610">
        <row r="82">
          <cell r="CF82" t="str">
            <v>Royalties Aggregate</v>
          </cell>
        </row>
      </sheetData>
      <sheetData sheetId="611">
        <row r="82">
          <cell r="CF82" t="str">
            <v>Royalties Aggregate</v>
          </cell>
        </row>
      </sheetData>
      <sheetData sheetId="612">
        <row r="82">
          <cell r="CF82" t="str">
            <v>Royalties Aggregate</v>
          </cell>
        </row>
      </sheetData>
      <sheetData sheetId="613">
        <row r="82">
          <cell r="CF82" t="str">
            <v>Royalties Aggregate</v>
          </cell>
        </row>
      </sheetData>
      <sheetData sheetId="614">
        <row r="82">
          <cell r="CF82" t="str">
            <v>Royalties Aggregate</v>
          </cell>
        </row>
      </sheetData>
      <sheetData sheetId="615">
        <row r="82">
          <cell r="CF82" t="str">
            <v>Royalties Aggregate</v>
          </cell>
        </row>
      </sheetData>
      <sheetData sheetId="616">
        <row r="82">
          <cell r="CF82" t="str">
            <v>Royalties Aggregate</v>
          </cell>
        </row>
      </sheetData>
      <sheetData sheetId="617">
        <row r="82">
          <cell r="CF82" t="str">
            <v>Royalties Aggregate</v>
          </cell>
        </row>
      </sheetData>
      <sheetData sheetId="618">
        <row r="82">
          <cell r="CF82" t="str">
            <v>Royalties Aggregate</v>
          </cell>
        </row>
      </sheetData>
      <sheetData sheetId="619">
        <row r="82">
          <cell r="CF82" t="str">
            <v>Royalties Aggregate</v>
          </cell>
        </row>
      </sheetData>
      <sheetData sheetId="620">
        <row r="82">
          <cell r="CF82" t="str">
            <v>Royalties Aggregate</v>
          </cell>
        </row>
      </sheetData>
      <sheetData sheetId="621">
        <row r="82">
          <cell r="CF82" t="str">
            <v>Royalties Aggregate</v>
          </cell>
        </row>
      </sheetData>
      <sheetData sheetId="622">
        <row r="82">
          <cell r="CF82" t="str">
            <v>Royalties Aggregate</v>
          </cell>
        </row>
      </sheetData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/>
      <sheetData sheetId="748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>
        <row r="82">
          <cell r="CF82" t="str">
            <v>Royalties Aggregate</v>
          </cell>
        </row>
      </sheetData>
      <sheetData sheetId="773">
        <row r="82">
          <cell r="CF82" t="str">
            <v>Royalties Aggregate</v>
          </cell>
        </row>
      </sheetData>
      <sheetData sheetId="774">
        <row r="82">
          <cell r="CF82" t="str">
            <v>Royalties Aggregate</v>
          </cell>
        </row>
      </sheetData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>
        <row r="82">
          <cell r="CF82" t="str">
            <v>Royalties Aggregate</v>
          </cell>
        </row>
      </sheetData>
      <sheetData sheetId="804">
        <row r="82">
          <cell r="CF82" t="str">
            <v>Royalties Aggregate</v>
          </cell>
        </row>
      </sheetData>
      <sheetData sheetId="805">
        <row r="82">
          <cell r="CF82" t="str">
            <v>Royalties Aggregate</v>
          </cell>
        </row>
      </sheetData>
      <sheetData sheetId="806">
        <row r="82">
          <cell r="CF82" t="str">
            <v>Royalties Aggregate</v>
          </cell>
        </row>
      </sheetData>
      <sheetData sheetId="807">
        <row r="82">
          <cell r="CF82" t="str">
            <v>Royalties Aggregate</v>
          </cell>
        </row>
      </sheetData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>
        <row r="82">
          <cell r="CF82" t="str">
            <v>Royalties Aggregate</v>
          </cell>
        </row>
      </sheetData>
      <sheetData sheetId="857" refreshError="1"/>
      <sheetData sheetId="858">
        <row r="82">
          <cell r="CF82" t="str">
            <v>Royalties Aggregate</v>
          </cell>
        </row>
      </sheetData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>
        <row r="82">
          <cell r="CF82" t="str">
            <v>Royalties Aggregate</v>
          </cell>
        </row>
      </sheetData>
      <sheetData sheetId="898" refreshError="1"/>
      <sheetData sheetId="899">
        <row r="82">
          <cell r="CF82" t="str">
            <v>Royalties Aggregate</v>
          </cell>
        </row>
      </sheetData>
      <sheetData sheetId="900">
        <row r="82">
          <cell r="CF82" t="str">
            <v>Royalties Aggregate</v>
          </cell>
        </row>
      </sheetData>
      <sheetData sheetId="901" refreshError="1"/>
      <sheetData sheetId="902" refreshError="1"/>
      <sheetData sheetId="903">
        <row r="82">
          <cell r="CF82" t="str">
            <v>Royalties Aggregate</v>
          </cell>
        </row>
      </sheetData>
      <sheetData sheetId="904">
        <row r="82">
          <cell r="CF82" t="str">
            <v>Royalties Aggregate</v>
          </cell>
        </row>
      </sheetData>
      <sheetData sheetId="905">
        <row r="82">
          <cell r="CF82" t="str">
            <v>Royalties Aggregate</v>
          </cell>
        </row>
      </sheetData>
      <sheetData sheetId="906">
        <row r="82">
          <cell r="CF82" t="str">
            <v>Royalties Aggregate</v>
          </cell>
        </row>
      </sheetData>
      <sheetData sheetId="907">
        <row r="82">
          <cell r="CF82" t="str">
            <v>Royalties Aggregate</v>
          </cell>
        </row>
      </sheetData>
      <sheetData sheetId="908">
        <row r="82">
          <cell r="CF82" t="str">
            <v>Royalties Aggregate</v>
          </cell>
        </row>
      </sheetData>
      <sheetData sheetId="909">
        <row r="82">
          <cell r="CF82" t="str">
            <v>Royalties Aggregate</v>
          </cell>
        </row>
      </sheetData>
      <sheetData sheetId="910">
        <row r="82">
          <cell r="CF82" t="str">
            <v>Royalties Aggregate</v>
          </cell>
        </row>
      </sheetData>
      <sheetData sheetId="911">
        <row r="82">
          <cell r="CF82" t="str">
            <v>Royalties Aggregate</v>
          </cell>
        </row>
      </sheetData>
      <sheetData sheetId="912">
        <row r="82">
          <cell r="CF82" t="str">
            <v>Royalties Aggregate</v>
          </cell>
        </row>
      </sheetData>
      <sheetData sheetId="913">
        <row r="82">
          <cell r="CF82" t="str">
            <v>Royalties Aggregate</v>
          </cell>
        </row>
      </sheetData>
      <sheetData sheetId="914">
        <row r="82">
          <cell r="CF82" t="str">
            <v>Royalties Aggregate</v>
          </cell>
        </row>
      </sheetData>
      <sheetData sheetId="915">
        <row r="82">
          <cell r="CF82" t="str">
            <v>Royalties Aggregate</v>
          </cell>
        </row>
      </sheetData>
      <sheetData sheetId="916">
        <row r="82">
          <cell r="CF82" t="str">
            <v>Royalties Aggregate</v>
          </cell>
        </row>
      </sheetData>
      <sheetData sheetId="917">
        <row r="82">
          <cell r="CF82" t="str">
            <v>Royalties Aggregate</v>
          </cell>
        </row>
      </sheetData>
      <sheetData sheetId="918">
        <row r="82">
          <cell r="CF82" t="str">
            <v>Royalties Aggregate</v>
          </cell>
        </row>
      </sheetData>
      <sheetData sheetId="919">
        <row r="82">
          <cell r="CF82" t="str">
            <v>Royalties Aggregate</v>
          </cell>
        </row>
      </sheetData>
      <sheetData sheetId="920">
        <row r="82">
          <cell r="CF82" t="str">
            <v>Royalties Aggregate</v>
          </cell>
        </row>
      </sheetData>
      <sheetData sheetId="921">
        <row r="82">
          <cell r="CF82" t="str">
            <v>Royalties Aggregate</v>
          </cell>
        </row>
      </sheetData>
      <sheetData sheetId="922">
        <row r="82">
          <cell r="CF82" t="str">
            <v>Royalties Aggregate</v>
          </cell>
        </row>
      </sheetData>
      <sheetData sheetId="923">
        <row r="82">
          <cell r="CF82" t="str">
            <v>Royalties Aggregate</v>
          </cell>
        </row>
      </sheetData>
      <sheetData sheetId="924">
        <row r="82">
          <cell r="CF82" t="str">
            <v>Royalties Aggregate</v>
          </cell>
        </row>
      </sheetData>
      <sheetData sheetId="925">
        <row r="82">
          <cell r="CF82" t="str">
            <v>Royalties Aggregate</v>
          </cell>
        </row>
      </sheetData>
      <sheetData sheetId="926">
        <row r="82">
          <cell r="CF82" t="str">
            <v>Royalties Aggregate</v>
          </cell>
        </row>
      </sheetData>
      <sheetData sheetId="927">
        <row r="82">
          <cell r="CF82" t="str">
            <v>Royalties Aggregate</v>
          </cell>
        </row>
      </sheetData>
      <sheetData sheetId="928"/>
      <sheetData sheetId="929"/>
      <sheetData sheetId="930">
        <row r="82">
          <cell r="CF82" t="str">
            <v>Royalties Aggregate</v>
          </cell>
        </row>
      </sheetData>
      <sheetData sheetId="931">
        <row r="82">
          <cell r="CF82" t="str">
            <v>Royalties Aggregate</v>
          </cell>
        </row>
      </sheetData>
      <sheetData sheetId="932">
        <row r="82">
          <cell r="CF82" t="str">
            <v>Royalties Aggregate</v>
          </cell>
        </row>
      </sheetData>
      <sheetData sheetId="933">
        <row r="82">
          <cell r="CF82" t="str">
            <v>Royalties Aggregate</v>
          </cell>
        </row>
      </sheetData>
      <sheetData sheetId="934">
        <row r="82">
          <cell r="CF82" t="str">
            <v>Royalties Aggregate</v>
          </cell>
        </row>
      </sheetData>
      <sheetData sheetId="935">
        <row r="82">
          <cell r="CF82" t="str">
            <v>Royalties Aggregate</v>
          </cell>
        </row>
      </sheetData>
      <sheetData sheetId="936">
        <row r="82">
          <cell r="CF82" t="str">
            <v>Royalties Aggregate</v>
          </cell>
        </row>
      </sheetData>
      <sheetData sheetId="937">
        <row r="82">
          <cell r="CF82" t="str">
            <v>Royalties Aggregate</v>
          </cell>
        </row>
      </sheetData>
      <sheetData sheetId="938">
        <row r="82">
          <cell r="CF82" t="str">
            <v>Royalties Aggregate</v>
          </cell>
        </row>
      </sheetData>
      <sheetData sheetId="939">
        <row r="82">
          <cell r="CF82" t="str">
            <v>Royalties Aggregate</v>
          </cell>
        </row>
      </sheetData>
      <sheetData sheetId="940">
        <row r="82">
          <cell r="CF82" t="str">
            <v>Royalties Aggregate</v>
          </cell>
        </row>
      </sheetData>
      <sheetData sheetId="941">
        <row r="82">
          <cell r="CF82" t="str">
            <v>Royalties Aggregate</v>
          </cell>
        </row>
      </sheetData>
      <sheetData sheetId="942">
        <row r="82">
          <cell r="CF82" t="str">
            <v>Royalties Aggregate</v>
          </cell>
        </row>
      </sheetData>
      <sheetData sheetId="943">
        <row r="82">
          <cell r="CF82" t="str">
            <v>Royalties Aggregate</v>
          </cell>
        </row>
      </sheetData>
      <sheetData sheetId="944">
        <row r="82">
          <cell r="CF82" t="str">
            <v>Royalties Aggregate</v>
          </cell>
        </row>
      </sheetData>
      <sheetData sheetId="945">
        <row r="82">
          <cell r="CF82" t="str">
            <v>Royalties Aggregate</v>
          </cell>
        </row>
      </sheetData>
      <sheetData sheetId="946">
        <row r="82">
          <cell r="CF82" t="str">
            <v>Royalties Aggregate</v>
          </cell>
        </row>
      </sheetData>
      <sheetData sheetId="947">
        <row r="82">
          <cell r="CF82" t="str">
            <v>Royalties Aggregate</v>
          </cell>
        </row>
      </sheetData>
      <sheetData sheetId="948">
        <row r="82">
          <cell r="CF82" t="str">
            <v>Royalties Aggregate</v>
          </cell>
        </row>
      </sheetData>
      <sheetData sheetId="949">
        <row r="82">
          <cell r="CF82" t="str">
            <v>Royalties Aggregate</v>
          </cell>
        </row>
      </sheetData>
      <sheetData sheetId="950">
        <row r="82">
          <cell r="CF82" t="str">
            <v>Royalties Aggregate</v>
          </cell>
        </row>
      </sheetData>
      <sheetData sheetId="951">
        <row r="82">
          <cell r="CF82" t="str">
            <v>Royalties Aggregate</v>
          </cell>
        </row>
      </sheetData>
      <sheetData sheetId="952">
        <row r="82">
          <cell r="CF82" t="str">
            <v>Royalties Aggregate</v>
          </cell>
        </row>
      </sheetData>
      <sheetData sheetId="953">
        <row r="82">
          <cell r="CF82" t="str">
            <v>Royalties Aggregate</v>
          </cell>
        </row>
      </sheetData>
      <sheetData sheetId="954">
        <row r="82">
          <cell r="CF82" t="str">
            <v>Royalties Aggregate</v>
          </cell>
        </row>
      </sheetData>
      <sheetData sheetId="955">
        <row r="82">
          <cell r="CF82" t="str">
            <v>Royalties Aggregate</v>
          </cell>
        </row>
      </sheetData>
      <sheetData sheetId="956">
        <row r="82">
          <cell r="CF82" t="str">
            <v>Royalties Aggregate</v>
          </cell>
        </row>
      </sheetData>
      <sheetData sheetId="957">
        <row r="82">
          <cell r="CF82" t="str">
            <v>Royalties Aggregate</v>
          </cell>
        </row>
      </sheetData>
      <sheetData sheetId="958">
        <row r="82">
          <cell r="CF82" t="str">
            <v>Royalties Aggregate</v>
          </cell>
        </row>
      </sheetData>
      <sheetData sheetId="959">
        <row r="82">
          <cell r="CF82" t="str">
            <v>Royalties Aggregate</v>
          </cell>
        </row>
      </sheetData>
      <sheetData sheetId="960">
        <row r="82">
          <cell r="CF82" t="str">
            <v>Royalties Aggregate</v>
          </cell>
        </row>
      </sheetData>
      <sheetData sheetId="961">
        <row r="82">
          <cell r="CF82" t="str">
            <v>Royalties Aggregate</v>
          </cell>
        </row>
      </sheetData>
      <sheetData sheetId="962">
        <row r="82">
          <cell r="CF82" t="str">
            <v>Royalties Aggregate</v>
          </cell>
        </row>
      </sheetData>
      <sheetData sheetId="963">
        <row r="82">
          <cell r="CF82" t="str">
            <v>Royalties Aggregate</v>
          </cell>
        </row>
      </sheetData>
      <sheetData sheetId="964">
        <row r="82">
          <cell r="CF82" t="str">
            <v>Royalties Aggregate</v>
          </cell>
        </row>
      </sheetData>
      <sheetData sheetId="965">
        <row r="82">
          <cell r="CF82" t="str">
            <v>Royalties Aggregate</v>
          </cell>
        </row>
      </sheetData>
      <sheetData sheetId="966">
        <row r="82">
          <cell r="CF82" t="str">
            <v>Royalties Aggregate</v>
          </cell>
        </row>
      </sheetData>
      <sheetData sheetId="967">
        <row r="82">
          <cell r="CF82" t="str">
            <v>Royalties Aggregate</v>
          </cell>
        </row>
      </sheetData>
      <sheetData sheetId="968">
        <row r="82">
          <cell r="CF82" t="str">
            <v>Royalties Aggregate</v>
          </cell>
        </row>
      </sheetData>
      <sheetData sheetId="969">
        <row r="82">
          <cell r="CF82" t="str">
            <v>Royalties Aggregate</v>
          </cell>
        </row>
      </sheetData>
      <sheetData sheetId="970">
        <row r="82">
          <cell r="CF82" t="str">
            <v>Royalties Aggregate</v>
          </cell>
        </row>
      </sheetData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>
        <row r="82">
          <cell r="CF82" t="str">
            <v>Royalties Aggregate</v>
          </cell>
        </row>
      </sheetData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>
        <row r="82">
          <cell r="CF82" t="str">
            <v>Royalties Aggregate</v>
          </cell>
        </row>
      </sheetData>
      <sheetData sheetId="998">
        <row r="82">
          <cell r="CF82" t="str">
            <v>Royalties Aggregate</v>
          </cell>
        </row>
      </sheetData>
      <sheetData sheetId="999">
        <row r="82">
          <cell r="CF82" t="str">
            <v>Royalties Aggregate</v>
          </cell>
        </row>
      </sheetData>
      <sheetData sheetId="1000" refreshError="1"/>
      <sheetData sheetId="1001">
        <row r="82">
          <cell r="CF82" t="str">
            <v>Royalties Aggregate</v>
          </cell>
        </row>
      </sheetData>
      <sheetData sheetId="1002" refreshError="1"/>
      <sheetData sheetId="1003" refreshError="1"/>
      <sheetData sheetId="1004" refreshError="1"/>
      <sheetData sheetId="1005">
        <row r="82">
          <cell r="CF82" t="str">
            <v>Royalties Aggregate</v>
          </cell>
        </row>
      </sheetData>
      <sheetData sheetId="1006">
        <row r="82">
          <cell r="CF82" t="str">
            <v>Royalties Aggregate</v>
          </cell>
        </row>
      </sheetData>
      <sheetData sheetId="1007">
        <row r="82">
          <cell r="CF82" t="str">
            <v>Royalties Aggregate</v>
          </cell>
        </row>
      </sheetData>
      <sheetData sheetId="1008">
        <row r="82">
          <cell r="CF82" t="str">
            <v>Royalties Aggregate</v>
          </cell>
        </row>
      </sheetData>
      <sheetData sheetId="1009">
        <row r="82">
          <cell r="CF82" t="str">
            <v>Royalties Aggregate</v>
          </cell>
        </row>
      </sheetData>
      <sheetData sheetId="1010">
        <row r="82">
          <cell r="CF82" t="str">
            <v>Royalties Aggregate</v>
          </cell>
        </row>
      </sheetData>
      <sheetData sheetId="1011">
        <row r="82">
          <cell r="CF82" t="str">
            <v>Royalties Aggregate</v>
          </cell>
        </row>
      </sheetData>
      <sheetData sheetId="1012">
        <row r="82">
          <cell r="CF82" t="str">
            <v>Royalties Aggregate</v>
          </cell>
        </row>
      </sheetData>
      <sheetData sheetId="1013">
        <row r="82">
          <cell r="CF82" t="str">
            <v>Royalties Aggregate</v>
          </cell>
        </row>
      </sheetData>
      <sheetData sheetId="1014">
        <row r="82">
          <cell r="CF82" t="str">
            <v>Royalties Aggregate</v>
          </cell>
        </row>
      </sheetData>
      <sheetData sheetId="1015">
        <row r="82">
          <cell r="CF82" t="str">
            <v>Royalties Aggregate</v>
          </cell>
        </row>
      </sheetData>
      <sheetData sheetId="1016">
        <row r="82">
          <cell r="CF82" t="str">
            <v>Royalties Aggregate</v>
          </cell>
        </row>
      </sheetData>
      <sheetData sheetId="1017">
        <row r="82">
          <cell r="CF82" t="str">
            <v>Royalties Aggregate</v>
          </cell>
        </row>
      </sheetData>
      <sheetData sheetId="1018">
        <row r="82">
          <cell r="CF82" t="str">
            <v>Royalties Aggregate</v>
          </cell>
        </row>
      </sheetData>
      <sheetData sheetId="1019">
        <row r="82">
          <cell r="CF82" t="str">
            <v>Royalties Aggregate</v>
          </cell>
        </row>
      </sheetData>
      <sheetData sheetId="1020">
        <row r="82">
          <cell r="CF82" t="str">
            <v>Royalties Aggregate</v>
          </cell>
        </row>
      </sheetData>
      <sheetData sheetId="1021">
        <row r="82">
          <cell r="CF82" t="str">
            <v>Royalties Aggregate</v>
          </cell>
        </row>
      </sheetData>
      <sheetData sheetId="1022">
        <row r="82">
          <cell r="CF82" t="str">
            <v>Royalties Aggregate</v>
          </cell>
        </row>
      </sheetData>
      <sheetData sheetId="1023">
        <row r="82">
          <cell r="CF82" t="str">
            <v>Royalties Aggregate</v>
          </cell>
        </row>
      </sheetData>
      <sheetData sheetId="1024">
        <row r="82">
          <cell r="CF82" t="str">
            <v>Royalties Aggregate</v>
          </cell>
        </row>
      </sheetData>
      <sheetData sheetId="1025">
        <row r="82">
          <cell r="CF82" t="str">
            <v>Royalties Aggregate</v>
          </cell>
        </row>
      </sheetData>
      <sheetData sheetId="1026">
        <row r="82">
          <cell r="CF82" t="str">
            <v>Royalties Aggregate</v>
          </cell>
        </row>
      </sheetData>
      <sheetData sheetId="1027">
        <row r="82">
          <cell r="CF82" t="str">
            <v>Royalties Aggregate</v>
          </cell>
        </row>
      </sheetData>
      <sheetData sheetId="1028">
        <row r="82">
          <cell r="CF82" t="str">
            <v>Royalties Aggregate</v>
          </cell>
        </row>
      </sheetData>
      <sheetData sheetId="1029">
        <row r="82">
          <cell r="CF82" t="str">
            <v>Royalties Aggregate</v>
          </cell>
        </row>
      </sheetData>
      <sheetData sheetId="1030">
        <row r="82">
          <cell r="CF82" t="str">
            <v>Royalties Aggregate</v>
          </cell>
        </row>
      </sheetData>
      <sheetData sheetId="1031">
        <row r="82">
          <cell r="CF82" t="str">
            <v>Royalties Aggregate</v>
          </cell>
        </row>
      </sheetData>
      <sheetData sheetId="1032">
        <row r="82">
          <cell r="CF82" t="str">
            <v>Royalties Aggregate</v>
          </cell>
        </row>
      </sheetData>
      <sheetData sheetId="1033">
        <row r="82">
          <cell r="CF82" t="str">
            <v>Royalties Aggregate</v>
          </cell>
        </row>
      </sheetData>
      <sheetData sheetId="1034">
        <row r="82">
          <cell r="CF82" t="str">
            <v>Royalties Aggregate</v>
          </cell>
        </row>
      </sheetData>
      <sheetData sheetId="1035">
        <row r="82">
          <cell r="CF82" t="str">
            <v>Royalties Aggregate</v>
          </cell>
        </row>
      </sheetData>
      <sheetData sheetId="1036">
        <row r="82">
          <cell r="CF82" t="str">
            <v>Royalties Aggregate</v>
          </cell>
        </row>
      </sheetData>
      <sheetData sheetId="1037">
        <row r="82">
          <cell r="CF82" t="str">
            <v>Royalties Aggregate</v>
          </cell>
        </row>
      </sheetData>
      <sheetData sheetId="1038">
        <row r="82">
          <cell r="CF82" t="str">
            <v>Royalties Aggregate</v>
          </cell>
        </row>
      </sheetData>
      <sheetData sheetId="1039">
        <row r="82">
          <cell r="CF82" t="str">
            <v>Royalties Aggregate</v>
          </cell>
        </row>
      </sheetData>
      <sheetData sheetId="1040">
        <row r="82">
          <cell r="CF82" t="str">
            <v>Royalties Aggregate</v>
          </cell>
        </row>
      </sheetData>
      <sheetData sheetId="1041">
        <row r="82">
          <cell r="CF82" t="str">
            <v>Royalties Aggregate</v>
          </cell>
        </row>
      </sheetData>
      <sheetData sheetId="1042">
        <row r="82">
          <cell r="CF82" t="str">
            <v>Royalties Aggregate</v>
          </cell>
        </row>
      </sheetData>
      <sheetData sheetId="1043">
        <row r="82">
          <cell r="CF82" t="str">
            <v>Royalties Aggregate</v>
          </cell>
        </row>
      </sheetData>
      <sheetData sheetId="1044">
        <row r="82">
          <cell r="CF82" t="str">
            <v>Royalties Aggregate</v>
          </cell>
        </row>
      </sheetData>
      <sheetData sheetId="1045">
        <row r="82">
          <cell r="CF82" t="str">
            <v>Royalties Aggregate</v>
          </cell>
        </row>
      </sheetData>
      <sheetData sheetId="1046">
        <row r="82">
          <cell r="CF82" t="str">
            <v>Royalties Aggregate</v>
          </cell>
        </row>
      </sheetData>
      <sheetData sheetId="1047">
        <row r="82">
          <cell r="CF82" t="str">
            <v>Royalties Aggregate</v>
          </cell>
        </row>
      </sheetData>
      <sheetData sheetId="1048">
        <row r="82">
          <cell r="CF82" t="str">
            <v>Royalties Aggregate</v>
          </cell>
        </row>
      </sheetData>
      <sheetData sheetId="1049">
        <row r="82">
          <cell r="CF82" t="str">
            <v>Royalties Aggregate</v>
          </cell>
        </row>
      </sheetData>
      <sheetData sheetId="1050">
        <row r="82">
          <cell r="CF82" t="str">
            <v>Royalties Aggregate</v>
          </cell>
        </row>
      </sheetData>
      <sheetData sheetId="1051">
        <row r="82">
          <cell r="CF82" t="str">
            <v>Royalties Aggregate</v>
          </cell>
        </row>
      </sheetData>
      <sheetData sheetId="1052">
        <row r="82">
          <cell r="CF82" t="str">
            <v>Royalties Aggregate</v>
          </cell>
        </row>
      </sheetData>
      <sheetData sheetId="1053">
        <row r="82">
          <cell r="CF82" t="str">
            <v>Royalties Aggregate</v>
          </cell>
        </row>
      </sheetData>
      <sheetData sheetId="1054">
        <row r="82">
          <cell r="CF82" t="str">
            <v>Royalties Aggregate</v>
          </cell>
        </row>
      </sheetData>
      <sheetData sheetId="1055">
        <row r="82">
          <cell r="CF82" t="str">
            <v>Royalties Aggregate</v>
          </cell>
        </row>
      </sheetData>
      <sheetData sheetId="1056">
        <row r="82">
          <cell r="CF82" t="str">
            <v>Royalties Aggregate</v>
          </cell>
        </row>
      </sheetData>
      <sheetData sheetId="1057">
        <row r="82">
          <cell r="CF82" t="str">
            <v>Royalties Aggregate</v>
          </cell>
        </row>
      </sheetData>
      <sheetData sheetId="1058">
        <row r="82">
          <cell r="CF82" t="str">
            <v>Royalties Aggregate</v>
          </cell>
        </row>
      </sheetData>
      <sheetData sheetId="1059">
        <row r="82">
          <cell r="CF82" t="str">
            <v>Royalties Aggregate</v>
          </cell>
        </row>
      </sheetData>
      <sheetData sheetId="1060">
        <row r="82">
          <cell r="CF82" t="str">
            <v>Royalties Aggregate</v>
          </cell>
        </row>
      </sheetData>
      <sheetData sheetId="1061">
        <row r="82">
          <cell r="CF82" t="str">
            <v>Royalties Aggregate</v>
          </cell>
        </row>
      </sheetData>
      <sheetData sheetId="1062">
        <row r="82">
          <cell r="CF82" t="str">
            <v>Royalties Aggregate</v>
          </cell>
        </row>
      </sheetData>
      <sheetData sheetId="1063">
        <row r="82">
          <cell r="CF82" t="str">
            <v>Royalties Aggregate</v>
          </cell>
        </row>
      </sheetData>
      <sheetData sheetId="1064">
        <row r="82">
          <cell r="CF82" t="str">
            <v>Royalties Aggregate</v>
          </cell>
        </row>
      </sheetData>
      <sheetData sheetId="1065">
        <row r="82">
          <cell r="CF82" t="str">
            <v>Royalties Aggregate</v>
          </cell>
        </row>
      </sheetData>
      <sheetData sheetId="1066">
        <row r="82">
          <cell r="CF82" t="str">
            <v>Royalties Aggregate</v>
          </cell>
        </row>
      </sheetData>
      <sheetData sheetId="1067">
        <row r="82">
          <cell r="CF82" t="str">
            <v>Royalties Aggregate</v>
          </cell>
        </row>
      </sheetData>
      <sheetData sheetId="1068">
        <row r="82">
          <cell r="CF82" t="str">
            <v>Royalties Aggregate</v>
          </cell>
        </row>
      </sheetData>
      <sheetData sheetId="1069">
        <row r="82">
          <cell r="CF82" t="str">
            <v>Royalties Aggregate</v>
          </cell>
        </row>
      </sheetData>
      <sheetData sheetId="1070">
        <row r="82">
          <cell r="CF82" t="str">
            <v>Royalties Aggregate</v>
          </cell>
        </row>
      </sheetData>
      <sheetData sheetId="1071">
        <row r="82">
          <cell r="CF82" t="str">
            <v>Royalties Aggregate</v>
          </cell>
        </row>
      </sheetData>
      <sheetData sheetId="1072">
        <row r="82">
          <cell r="CF82" t="str">
            <v>Royalties Aggregate</v>
          </cell>
        </row>
      </sheetData>
      <sheetData sheetId="1073">
        <row r="82">
          <cell r="CF82" t="str">
            <v>Royalties Aggregate</v>
          </cell>
        </row>
      </sheetData>
      <sheetData sheetId="1074">
        <row r="82">
          <cell r="CF82" t="str">
            <v>Royalties Aggregate</v>
          </cell>
        </row>
      </sheetData>
      <sheetData sheetId="1075">
        <row r="82">
          <cell r="CF82" t="str">
            <v>Royalties Aggregate</v>
          </cell>
        </row>
      </sheetData>
      <sheetData sheetId="1076">
        <row r="82">
          <cell r="CF82" t="str">
            <v>Royalties Aggregate</v>
          </cell>
        </row>
      </sheetData>
      <sheetData sheetId="1077">
        <row r="82">
          <cell r="CF82" t="str">
            <v>Royalties Aggregate</v>
          </cell>
        </row>
      </sheetData>
      <sheetData sheetId="1078">
        <row r="82">
          <cell r="CF82" t="str">
            <v>Royalties Aggregate</v>
          </cell>
        </row>
      </sheetData>
      <sheetData sheetId="1079">
        <row r="82">
          <cell r="CF82" t="str">
            <v>Royalties Aggregate</v>
          </cell>
        </row>
      </sheetData>
      <sheetData sheetId="1080">
        <row r="82">
          <cell r="CF82" t="str">
            <v>Royalties Aggregate</v>
          </cell>
        </row>
      </sheetData>
      <sheetData sheetId="1081">
        <row r="82">
          <cell r="CF82" t="str">
            <v>Royalties Aggregate</v>
          </cell>
        </row>
      </sheetData>
      <sheetData sheetId="1082">
        <row r="82">
          <cell r="CF82" t="str">
            <v>Royalties Aggregate</v>
          </cell>
        </row>
      </sheetData>
      <sheetData sheetId="1083">
        <row r="82">
          <cell r="CF82" t="str">
            <v>Royalties Aggregate</v>
          </cell>
        </row>
      </sheetData>
      <sheetData sheetId="1084">
        <row r="82">
          <cell r="CF82" t="str">
            <v>Royalties Aggregate</v>
          </cell>
        </row>
      </sheetData>
      <sheetData sheetId="1085">
        <row r="82">
          <cell r="CF82" t="str">
            <v>Royalties Aggregate</v>
          </cell>
        </row>
      </sheetData>
      <sheetData sheetId="1086">
        <row r="82">
          <cell r="CF82" t="str">
            <v>Royalties Aggregate</v>
          </cell>
        </row>
      </sheetData>
      <sheetData sheetId="1087">
        <row r="82">
          <cell r="CF82" t="str">
            <v>Royalties Aggregate</v>
          </cell>
        </row>
      </sheetData>
      <sheetData sheetId="1088">
        <row r="82">
          <cell r="CF82" t="str">
            <v>Royalties Aggregate</v>
          </cell>
        </row>
      </sheetData>
      <sheetData sheetId="1089">
        <row r="82">
          <cell r="CF82" t="str">
            <v>Royalties Aggregate</v>
          </cell>
        </row>
      </sheetData>
      <sheetData sheetId="1090">
        <row r="82">
          <cell r="CF82" t="str">
            <v>Royalties Aggregate</v>
          </cell>
        </row>
      </sheetData>
      <sheetData sheetId="1091">
        <row r="82">
          <cell r="CF82" t="str">
            <v>Royalties Aggregate</v>
          </cell>
        </row>
      </sheetData>
      <sheetData sheetId="1092">
        <row r="82">
          <cell r="CF82" t="str">
            <v>Royalties Aggregate</v>
          </cell>
        </row>
      </sheetData>
      <sheetData sheetId="1093">
        <row r="82">
          <cell r="CF82" t="str">
            <v>Royalties Aggregate</v>
          </cell>
        </row>
      </sheetData>
      <sheetData sheetId="1094">
        <row r="82">
          <cell r="CF82" t="str">
            <v>Royalties Aggregate</v>
          </cell>
        </row>
      </sheetData>
      <sheetData sheetId="1095">
        <row r="82">
          <cell r="CF82" t="str">
            <v>Royalties Aggregate</v>
          </cell>
        </row>
      </sheetData>
      <sheetData sheetId="1096">
        <row r="82">
          <cell r="CF82" t="str">
            <v>Royalties Aggregate</v>
          </cell>
        </row>
      </sheetData>
      <sheetData sheetId="1097">
        <row r="82">
          <cell r="CF82" t="str">
            <v>Royalties Aggregate</v>
          </cell>
        </row>
      </sheetData>
      <sheetData sheetId="1098">
        <row r="82">
          <cell r="CF82" t="str">
            <v>Royalties Aggregate</v>
          </cell>
        </row>
      </sheetData>
      <sheetData sheetId="1099">
        <row r="82">
          <cell r="CF82" t="str">
            <v>Royalties Aggregate</v>
          </cell>
        </row>
      </sheetData>
      <sheetData sheetId="1100">
        <row r="82">
          <cell r="CF82" t="str">
            <v>Royalties Aggregate</v>
          </cell>
        </row>
      </sheetData>
      <sheetData sheetId="1101">
        <row r="82">
          <cell r="CF82" t="str">
            <v>Royalties Aggregate</v>
          </cell>
        </row>
      </sheetData>
      <sheetData sheetId="1102">
        <row r="82">
          <cell r="CF82" t="str">
            <v>Royalties Aggregate</v>
          </cell>
        </row>
      </sheetData>
      <sheetData sheetId="1103">
        <row r="82">
          <cell r="CF82" t="str">
            <v>Royalties Aggregate</v>
          </cell>
        </row>
      </sheetData>
      <sheetData sheetId="1104">
        <row r="82">
          <cell r="CF82" t="str">
            <v>Royalties Aggregate</v>
          </cell>
        </row>
      </sheetData>
      <sheetData sheetId="1105">
        <row r="82">
          <cell r="CF82" t="str">
            <v>Royalties Aggregate</v>
          </cell>
        </row>
      </sheetData>
      <sheetData sheetId="1106">
        <row r="82">
          <cell r="CF82" t="str">
            <v>Royalties Aggregate</v>
          </cell>
        </row>
      </sheetData>
      <sheetData sheetId="1107">
        <row r="82">
          <cell r="CF82" t="str">
            <v>Royalties Aggregate</v>
          </cell>
        </row>
      </sheetData>
      <sheetData sheetId="1108">
        <row r="82">
          <cell r="CF82" t="str">
            <v>Royalties Aggregate</v>
          </cell>
        </row>
      </sheetData>
      <sheetData sheetId="1109">
        <row r="82">
          <cell r="CF82" t="str">
            <v>Royalties Aggregate</v>
          </cell>
        </row>
      </sheetData>
      <sheetData sheetId="1110">
        <row r="82">
          <cell r="CF82" t="str">
            <v>Royalties Aggregate</v>
          </cell>
        </row>
      </sheetData>
      <sheetData sheetId="1111">
        <row r="82">
          <cell r="CF82" t="str">
            <v>Royalties Aggregate</v>
          </cell>
        </row>
      </sheetData>
      <sheetData sheetId="1112">
        <row r="82">
          <cell r="CF82" t="str">
            <v>Royalties Aggregate</v>
          </cell>
        </row>
      </sheetData>
      <sheetData sheetId="1113">
        <row r="82">
          <cell r="CF82" t="str">
            <v>Royalties Aggregate</v>
          </cell>
        </row>
      </sheetData>
      <sheetData sheetId="1114">
        <row r="82">
          <cell r="CF82" t="str">
            <v>Royalties Aggregate</v>
          </cell>
        </row>
      </sheetData>
      <sheetData sheetId="1115">
        <row r="82">
          <cell r="CF82" t="str">
            <v>Royalties Aggregate</v>
          </cell>
        </row>
      </sheetData>
      <sheetData sheetId="1116">
        <row r="82">
          <cell r="CF82" t="str">
            <v>Royalties Aggregate</v>
          </cell>
        </row>
      </sheetData>
      <sheetData sheetId="1117">
        <row r="82">
          <cell r="CF82" t="str">
            <v>Royalties Aggregate</v>
          </cell>
        </row>
      </sheetData>
      <sheetData sheetId="1118">
        <row r="82">
          <cell r="CF82" t="str">
            <v>Royalties Aggregate</v>
          </cell>
        </row>
      </sheetData>
      <sheetData sheetId="1119">
        <row r="82">
          <cell r="CF82" t="str">
            <v>Royalties Aggregate</v>
          </cell>
        </row>
      </sheetData>
      <sheetData sheetId="1120">
        <row r="82">
          <cell r="CF82" t="str">
            <v>Royalties Aggregate</v>
          </cell>
        </row>
      </sheetData>
      <sheetData sheetId="1121">
        <row r="82">
          <cell r="CF82" t="str">
            <v>Royalties Aggregate</v>
          </cell>
        </row>
      </sheetData>
      <sheetData sheetId="1122">
        <row r="82">
          <cell r="CF82" t="str">
            <v>Royalties Aggregate</v>
          </cell>
        </row>
      </sheetData>
      <sheetData sheetId="1123">
        <row r="82">
          <cell r="CF82" t="str">
            <v>Royalties Aggregate</v>
          </cell>
        </row>
      </sheetData>
      <sheetData sheetId="1124">
        <row r="82">
          <cell r="CF82" t="str">
            <v>Royalties Aggregate</v>
          </cell>
        </row>
      </sheetData>
      <sheetData sheetId="1125">
        <row r="82">
          <cell r="CF82" t="str">
            <v>Royalties Aggregate</v>
          </cell>
        </row>
      </sheetData>
      <sheetData sheetId="1126">
        <row r="82">
          <cell r="CF82" t="str">
            <v>Royalties Aggregate</v>
          </cell>
        </row>
      </sheetData>
      <sheetData sheetId="1127">
        <row r="82">
          <cell r="CF82" t="str">
            <v>Royalties Aggregate</v>
          </cell>
        </row>
      </sheetData>
      <sheetData sheetId="1128">
        <row r="82">
          <cell r="CF82" t="str">
            <v>Royalties Aggregate</v>
          </cell>
        </row>
      </sheetData>
      <sheetData sheetId="1129">
        <row r="82">
          <cell r="CF82" t="str">
            <v>Royalties Aggregate</v>
          </cell>
        </row>
      </sheetData>
      <sheetData sheetId="1130">
        <row r="82">
          <cell r="CF82" t="str">
            <v>Royalties Aggregate</v>
          </cell>
        </row>
      </sheetData>
      <sheetData sheetId="1131">
        <row r="82">
          <cell r="CF82" t="str">
            <v>Royalties Aggregate</v>
          </cell>
        </row>
      </sheetData>
      <sheetData sheetId="1132">
        <row r="82">
          <cell r="CF82" t="str">
            <v>Royalties Aggregate</v>
          </cell>
        </row>
      </sheetData>
      <sheetData sheetId="1133">
        <row r="82">
          <cell r="CF82" t="str">
            <v>Royalties Aggregate</v>
          </cell>
        </row>
      </sheetData>
      <sheetData sheetId="1134">
        <row r="82">
          <cell r="CF82" t="str">
            <v>Royalties Aggregate</v>
          </cell>
        </row>
      </sheetData>
      <sheetData sheetId="1135">
        <row r="82">
          <cell r="CF82" t="str">
            <v>Royalties Aggregate</v>
          </cell>
        </row>
      </sheetData>
      <sheetData sheetId="1136">
        <row r="82">
          <cell r="CF82" t="str">
            <v>Royalties Aggregate</v>
          </cell>
        </row>
      </sheetData>
      <sheetData sheetId="1137">
        <row r="82">
          <cell r="CF82" t="str">
            <v>Royalties Aggregate</v>
          </cell>
        </row>
      </sheetData>
      <sheetData sheetId="1138">
        <row r="82">
          <cell r="CF82" t="str">
            <v>Royalties Aggregate</v>
          </cell>
        </row>
      </sheetData>
      <sheetData sheetId="1139">
        <row r="82">
          <cell r="CF82" t="str">
            <v>Royalties Aggregate</v>
          </cell>
        </row>
      </sheetData>
      <sheetData sheetId="1140">
        <row r="82">
          <cell r="CF82" t="str">
            <v>Royalties Aggregate</v>
          </cell>
        </row>
      </sheetData>
      <sheetData sheetId="1141">
        <row r="82">
          <cell r="CF82" t="str">
            <v>Royalties Aggregate</v>
          </cell>
        </row>
      </sheetData>
      <sheetData sheetId="1142">
        <row r="82">
          <cell r="CF82" t="str">
            <v>Royalties Aggregate</v>
          </cell>
        </row>
      </sheetData>
      <sheetData sheetId="1143">
        <row r="82">
          <cell r="CF82" t="str">
            <v>Royalties Aggregate</v>
          </cell>
        </row>
      </sheetData>
      <sheetData sheetId="1144">
        <row r="82">
          <cell r="CF82" t="str">
            <v>Royalties Aggregate</v>
          </cell>
        </row>
      </sheetData>
      <sheetData sheetId="1145">
        <row r="82">
          <cell r="CF82" t="str">
            <v>Royalties Aggregate</v>
          </cell>
        </row>
      </sheetData>
      <sheetData sheetId="1146">
        <row r="82">
          <cell r="CF82" t="str">
            <v>Royalties Aggregate</v>
          </cell>
        </row>
      </sheetData>
      <sheetData sheetId="1147">
        <row r="82">
          <cell r="CF82" t="str">
            <v>Royalties Aggregate</v>
          </cell>
        </row>
      </sheetData>
      <sheetData sheetId="1148">
        <row r="82">
          <cell r="CF82" t="str">
            <v>Royalties Aggregate</v>
          </cell>
        </row>
      </sheetData>
      <sheetData sheetId="1149">
        <row r="82">
          <cell r="CF82" t="str">
            <v>Royalties Aggregate</v>
          </cell>
        </row>
      </sheetData>
      <sheetData sheetId="1150">
        <row r="82">
          <cell r="CF82" t="str">
            <v>Royalties Aggregate</v>
          </cell>
        </row>
      </sheetData>
      <sheetData sheetId="1151">
        <row r="82">
          <cell r="CF82" t="str">
            <v>Royalties Aggregate</v>
          </cell>
        </row>
      </sheetData>
      <sheetData sheetId="1152">
        <row r="82">
          <cell r="CF82" t="str">
            <v>Royalties Aggregate</v>
          </cell>
        </row>
      </sheetData>
      <sheetData sheetId="1153">
        <row r="82">
          <cell r="CF82" t="str">
            <v>Royalties Aggregate</v>
          </cell>
        </row>
      </sheetData>
      <sheetData sheetId="1154">
        <row r="82">
          <cell r="CF82" t="str">
            <v>Royalties Aggregate</v>
          </cell>
        </row>
      </sheetData>
      <sheetData sheetId="1155">
        <row r="82">
          <cell r="CF82" t="str">
            <v>Royalties Aggregate</v>
          </cell>
        </row>
      </sheetData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>
        <row r="82">
          <cell r="CF82" t="str">
            <v>Royalties Aggregate</v>
          </cell>
        </row>
      </sheetData>
      <sheetData sheetId="1185">
        <row r="82">
          <cell r="CF82" t="str">
            <v>Royalties Aggregate</v>
          </cell>
        </row>
      </sheetData>
      <sheetData sheetId="1186">
        <row r="82">
          <cell r="CF82" t="str">
            <v>Royalties Aggregate</v>
          </cell>
        </row>
      </sheetData>
      <sheetData sheetId="1187">
        <row r="82">
          <cell r="CF82" t="str">
            <v>Royalties Aggregate</v>
          </cell>
        </row>
      </sheetData>
      <sheetData sheetId="1188" refreshError="1"/>
      <sheetData sheetId="1189">
        <row r="82">
          <cell r="CF82" t="str">
            <v>Royalties Aggregate</v>
          </cell>
        </row>
      </sheetData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>
        <row r="82">
          <cell r="CF82" t="str">
            <v>Royalties Aggregate</v>
          </cell>
        </row>
      </sheetData>
      <sheetData sheetId="1197">
        <row r="82">
          <cell r="CF82" t="str">
            <v>Royalties Aggregate</v>
          </cell>
        </row>
      </sheetData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>
        <row r="82">
          <cell r="CF82" t="str">
            <v>Royalties Aggregate</v>
          </cell>
        </row>
      </sheetData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>
        <row r="82">
          <cell r="CF82" t="str">
            <v>Royalties Aggregate</v>
          </cell>
        </row>
      </sheetData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>
        <row r="82">
          <cell r="CF82" t="str">
            <v>Royalties Aggregate</v>
          </cell>
        </row>
      </sheetData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>
        <row r="82">
          <cell r="CF82" t="str">
            <v>Royalties Aggregate</v>
          </cell>
        </row>
      </sheetData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>
        <row r="82">
          <cell r="CF82" t="str">
            <v>Royalties Aggregate</v>
          </cell>
        </row>
      </sheetData>
      <sheetData sheetId="1521">
        <row r="82">
          <cell r="CF82" t="str">
            <v>Royalties Aggregate</v>
          </cell>
        </row>
      </sheetData>
      <sheetData sheetId="1522">
        <row r="82">
          <cell r="CF82" t="str">
            <v>Royalties Aggregate</v>
          </cell>
        </row>
      </sheetData>
      <sheetData sheetId="1523">
        <row r="82">
          <cell r="CF82" t="str">
            <v>Royalties Aggregate</v>
          </cell>
        </row>
      </sheetData>
      <sheetData sheetId="1524"/>
      <sheetData sheetId="1525"/>
      <sheetData sheetId="1526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>
        <row r="82">
          <cell r="CF82" t="str">
            <v>Royalties Aggregate</v>
          </cell>
        </row>
      </sheetData>
      <sheetData sheetId="1628">
        <row r="82">
          <cell r="CF82" t="str">
            <v>Royalties Aggregate</v>
          </cell>
        </row>
      </sheetData>
      <sheetData sheetId="1629">
        <row r="82">
          <cell r="CF82" t="str">
            <v>Royalties Aggregate</v>
          </cell>
        </row>
      </sheetData>
      <sheetData sheetId="1630">
        <row r="82">
          <cell r="CF82" t="str">
            <v>Royalties Aggregate</v>
          </cell>
        </row>
      </sheetData>
      <sheetData sheetId="1631">
        <row r="82">
          <cell r="CF82" t="str">
            <v>Royalties Aggregate</v>
          </cell>
        </row>
      </sheetData>
      <sheetData sheetId="1632">
        <row r="82">
          <cell r="CF82" t="str">
            <v>Royalties Aggregate</v>
          </cell>
        </row>
      </sheetData>
      <sheetData sheetId="1633">
        <row r="82">
          <cell r="CF82" t="str">
            <v>Royalties Aggregate</v>
          </cell>
        </row>
      </sheetData>
      <sheetData sheetId="1634">
        <row r="82">
          <cell r="CF82" t="str">
            <v>Royalties Aggregate</v>
          </cell>
        </row>
      </sheetData>
      <sheetData sheetId="1635">
        <row r="82">
          <cell r="CF82" t="str">
            <v>Royalties Aggregate</v>
          </cell>
        </row>
      </sheetData>
      <sheetData sheetId="1636">
        <row r="82">
          <cell r="CF82" t="str">
            <v>Royalties Aggregate</v>
          </cell>
        </row>
      </sheetData>
      <sheetData sheetId="1637">
        <row r="82">
          <cell r="CF82" t="str">
            <v>Royalties Aggregate</v>
          </cell>
        </row>
      </sheetData>
      <sheetData sheetId="1638">
        <row r="82">
          <cell r="CF82" t="str">
            <v>Royalties Aggregate</v>
          </cell>
        </row>
      </sheetData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/>
      <sheetData sheetId="1664">
        <row r="82">
          <cell r="CF82" t="str">
            <v>Royalties Aggregate</v>
          </cell>
        </row>
      </sheetData>
      <sheetData sheetId="1665">
        <row r="82">
          <cell r="CF82">
            <v>0</v>
          </cell>
        </row>
      </sheetData>
      <sheetData sheetId="1666">
        <row r="82">
          <cell r="CF82" t="str">
            <v>Royalties Aggregate</v>
          </cell>
        </row>
      </sheetData>
      <sheetData sheetId="1667">
        <row r="82">
          <cell r="CF82">
            <v>0</v>
          </cell>
        </row>
      </sheetData>
      <sheetData sheetId="1668">
        <row r="82">
          <cell r="CF82" t="str">
            <v>Royalties Aggregate</v>
          </cell>
        </row>
      </sheetData>
      <sheetData sheetId="1669"/>
      <sheetData sheetId="1670">
        <row r="82">
          <cell r="CF82">
            <v>0</v>
          </cell>
        </row>
      </sheetData>
      <sheetData sheetId="1671"/>
      <sheetData sheetId="1672">
        <row r="82">
          <cell r="CF82">
            <v>0</v>
          </cell>
        </row>
      </sheetData>
      <sheetData sheetId="1673"/>
      <sheetData sheetId="1674">
        <row r="82">
          <cell r="CF82">
            <v>0</v>
          </cell>
        </row>
      </sheetData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>
        <row r="82">
          <cell r="CF82" t="str">
            <v>Royalties Aggregate</v>
          </cell>
        </row>
      </sheetData>
      <sheetData sheetId="1740">
        <row r="82">
          <cell r="CF82" t="str">
            <v>Royalties Aggregate</v>
          </cell>
        </row>
      </sheetData>
      <sheetData sheetId="1741" refreshError="1"/>
      <sheetData sheetId="1742">
        <row r="82">
          <cell r="CF82" t="str">
            <v>Royalties Aggregate</v>
          </cell>
        </row>
      </sheetData>
      <sheetData sheetId="1743">
        <row r="82">
          <cell r="CF82" t="str">
            <v>Royalties Aggregate</v>
          </cell>
        </row>
      </sheetData>
      <sheetData sheetId="1744">
        <row r="82">
          <cell r="CF82" t="str">
            <v>Royalties Aggregate</v>
          </cell>
        </row>
      </sheetData>
      <sheetData sheetId="1745">
        <row r="82">
          <cell r="CF82" t="str">
            <v>Royalties Aggregate</v>
          </cell>
        </row>
      </sheetData>
      <sheetData sheetId="1746">
        <row r="82">
          <cell r="CF82" t="str">
            <v>Royalties Aggregate</v>
          </cell>
        </row>
      </sheetData>
      <sheetData sheetId="1747">
        <row r="82">
          <cell r="CF82" t="str">
            <v>Royalties Aggregate</v>
          </cell>
        </row>
      </sheetData>
      <sheetData sheetId="1748">
        <row r="82">
          <cell r="CF82" t="str">
            <v>Royalties Aggregate</v>
          </cell>
        </row>
      </sheetData>
      <sheetData sheetId="1749">
        <row r="82">
          <cell r="CF82" t="str">
            <v>Royalties Aggregate</v>
          </cell>
        </row>
      </sheetData>
      <sheetData sheetId="1750">
        <row r="82">
          <cell r="CF82" t="str">
            <v>Royalties Aggregate</v>
          </cell>
        </row>
      </sheetData>
      <sheetData sheetId="1751">
        <row r="82">
          <cell r="CF82" t="str">
            <v>Royalties Aggregate</v>
          </cell>
        </row>
      </sheetData>
      <sheetData sheetId="1752">
        <row r="82">
          <cell r="CF82" t="str">
            <v>Royalties Aggregate</v>
          </cell>
        </row>
      </sheetData>
      <sheetData sheetId="1753">
        <row r="82">
          <cell r="CF82" t="str">
            <v>Royalties Aggregate</v>
          </cell>
        </row>
      </sheetData>
      <sheetData sheetId="1754">
        <row r="82">
          <cell r="CF82" t="str">
            <v>Royalties Aggregate</v>
          </cell>
        </row>
      </sheetData>
      <sheetData sheetId="1755">
        <row r="82">
          <cell r="CF82" t="str">
            <v>Royalties Aggregate</v>
          </cell>
        </row>
      </sheetData>
      <sheetData sheetId="1756">
        <row r="82">
          <cell r="CF82" t="str">
            <v>Royalties Aggregate</v>
          </cell>
        </row>
      </sheetData>
      <sheetData sheetId="1757">
        <row r="82">
          <cell r="CF82" t="str">
            <v>Royalties Aggregate</v>
          </cell>
        </row>
      </sheetData>
      <sheetData sheetId="1758">
        <row r="82">
          <cell r="CF82" t="str">
            <v>Royalties Aggregate</v>
          </cell>
        </row>
      </sheetData>
      <sheetData sheetId="1759">
        <row r="82">
          <cell r="CF82" t="str">
            <v>Royalties Aggregate</v>
          </cell>
        </row>
      </sheetData>
      <sheetData sheetId="1760">
        <row r="82">
          <cell r="CF82" t="str">
            <v>Royalties Aggregate</v>
          </cell>
        </row>
      </sheetData>
      <sheetData sheetId="1761">
        <row r="82">
          <cell r="CF82" t="str">
            <v>Royalties Aggregate</v>
          </cell>
        </row>
      </sheetData>
      <sheetData sheetId="1762">
        <row r="82">
          <cell r="CF82" t="str">
            <v>Royalties Aggregate</v>
          </cell>
        </row>
      </sheetData>
      <sheetData sheetId="1763">
        <row r="82">
          <cell r="CF82" t="str">
            <v>Royalties Aggregate</v>
          </cell>
        </row>
      </sheetData>
      <sheetData sheetId="1764">
        <row r="82">
          <cell r="CF82" t="str">
            <v>Royalties Aggregate</v>
          </cell>
        </row>
      </sheetData>
      <sheetData sheetId="1765">
        <row r="82">
          <cell r="CF82" t="str">
            <v>Royalties Aggregate</v>
          </cell>
        </row>
      </sheetData>
      <sheetData sheetId="1766">
        <row r="82">
          <cell r="CF82" t="str">
            <v>Royalties Aggregate</v>
          </cell>
        </row>
      </sheetData>
      <sheetData sheetId="1767">
        <row r="82">
          <cell r="CF82" t="str">
            <v>Royalties Aggregate</v>
          </cell>
        </row>
      </sheetData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>
        <row r="82">
          <cell r="CF82" t="str">
            <v>Royalties Aggregate</v>
          </cell>
        </row>
      </sheetData>
      <sheetData sheetId="1787">
        <row r="82">
          <cell r="CF82" t="str">
            <v>Royalties Aggregate</v>
          </cell>
        </row>
      </sheetData>
      <sheetData sheetId="1788">
        <row r="82">
          <cell r="CF82" t="str">
            <v>Royalties Aggregate</v>
          </cell>
        </row>
      </sheetData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>
        <row r="82">
          <cell r="CF82" t="str">
            <v>Royalties Aggregate</v>
          </cell>
        </row>
      </sheetData>
      <sheetData sheetId="1881">
        <row r="82">
          <cell r="CF82" t="str">
            <v>Royalties Aggregate</v>
          </cell>
        </row>
      </sheetData>
      <sheetData sheetId="1882">
        <row r="82">
          <cell r="CF82" t="str">
            <v>Royalties Aggregate</v>
          </cell>
        </row>
      </sheetData>
      <sheetData sheetId="1883">
        <row r="82">
          <cell r="CF82" t="str">
            <v>Royalties Aggregate</v>
          </cell>
        </row>
      </sheetData>
      <sheetData sheetId="1884">
        <row r="82">
          <cell r="CF82" t="str">
            <v>Royalties Aggregate</v>
          </cell>
        </row>
      </sheetData>
      <sheetData sheetId="1885">
        <row r="82">
          <cell r="CF82" t="str">
            <v>Royalties Aggregate</v>
          </cell>
        </row>
      </sheetData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>
        <row r="82">
          <cell r="CF82" t="str">
            <v>Royalties Aggregate</v>
          </cell>
        </row>
      </sheetData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>
        <row r="82">
          <cell r="CF82" t="str">
            <v>Royalties Aggregate</v>
          </cell>
        </row>
      </sheetData>
      <sheetData sheetId="1995">
        <row r="82">
          <cell r="CF82" t="str">
            <v>Royalties Aggregate</v>
          </cell>
        </row>
      </sheetData>
      <sheetData sheetId="1996">
        <row r="82">
          <cell r="CF82" t="str">
            <v>Royalties Aggregate</v>
          </cell>
        </row>
      </sheetData>
      <sheetData sheetId="1997">
        <row r="82">
          <cell r="CF82" t="str">
            <v>Royalties Aggregate</v>
          </cell>
        </row>
      </sheetData>
      <sheetData sheetId="1998">
        <row r="82">
          <cell r="CF82" t="str">
            <v>Royalties Aggregate</v>
          </cell>
        </row>
      </sheetData>
      <sheetData sheetId="1999">
        <row r="82">
          <cell r="CF82" t="str">
            <v>Royalties Aggregate</v>
          </cell>
        </row>
      </sheetData>
      <sheetData sheetId="2000">
        <row r="82">
          <cell r="CF82" t="str">
            <v>Royalties Aggregate</v>
          </cell>
        </row>
      </sheetData>
      <sheetData sheetId="2001">
        <row r="82">
          <cell r="CF82" t="str">
            <v>Royalties Aggregate</v>
          </cell>
        </row>
      </sheetData>
      <sheetData sheetId="2002">
        <row r="82">
          <cell r="CF82" t="str">
            <v>Royalties Aggregate</v>
          </cell>
        </row>
      </sheetData>
      <sheetData sheetId="2003">
        <row r="82">
          <cell r="CF82" t="str">
            <v>Royalties Aggregate</v>
          </cell>
        </row>
      </sheetData>
      <sheetData sheetId="2004">
        <row r="82">
          <cell r="CF82" t="str">
            <v>Royalties Aggregate</v>
          </cell>
        </row>
      </sheetData>
      <sheetData sheetId="2005">
        <row r="82">
          <cell r="CF82" t="str">
            <v>Royalties Aggregate</v>
          </cell>
        </row>
      </sheetData>
      <sheetData sheetId="2006">
        <row r="82">
          <cell r="CF82" t="str">
            <v>Royalties Aggregate</v>
          </cell>
        </row>
      </sheetData>
      <sheetData sheetId="2007">
        <row r="82">
          <cell r="CF82" t="str">
            <v>Royalties Aggregate</v>
          </cell>
        </row>
      </sheetData>
      <sheetData sheetId="2008">
        <row r="82">
          <cell r="CF82" t="str">
            <v>Royalties Aggregate</v>
          </cell>
        </row>
      </sheetData>
      <sheetData sheetId="2009">
        <row r="82">
          <cell r="CF82" t="str">
            <v>Royalties Aggregate</v>
          </cell>
        </row>
      </sheetData>
      <sheetData sheetId="2010">
        <row r="82">
          <cell r="CF82" t="str">
            <v>Royalties Aggregate</v>
          </cell>
        </row>
      </sheetData>
      <sheetData sheetId="2011">
        <row r="82">
          <cell r="CF82" t="str">
            <v>Royalties Aggregate</v>
          </cell>
        </row>
      </sheetData>
      <sheetData sheetId="2012">
        <row r="82">
          <cell r="CF82" t="str">
            <v>Royalties Aggregate</v>
          </cell>
        </row>
      </sheetData>
      <sheetData sheetId="2013">
        <row r="82">
          <cell r="CF82" t="str">
            <v>Royalties Aggregate</v>
          </cell>
        </row>
      </sheetData>
      <sheetData sheetId="2014">
        <row r="82">
          <cell r="CF82" t="str">
            <v>Royalties Aggregate</v>
          </cell>
        </row>
      </sheetData>
      <sheetData sheetId="2015">
        <row r="82">
          <cell r="CF82" t="str">
            <v>Royalties Aggregate</v>
          </cell>
        </row>
      </sheetData>
      <sheetData sheetId="2016">
        <row r="82">
          <cell r="CF82" t="str">
            <v>Royalties Aggregate</v>
          </cell>
        </row>
      </sheetData>
      <sheetData sheetId="2017">
        <row r="82">
          <cell r="CF82" t="str">
            <v>Royalties Aggregate</v>
          </cell>
        </row>
      </sheetData>
      <sheetData sheetId="2018">
        <row r="82">
          <cell r="CF82" t="str">
            <v>Royalties Aggregate</v>
          </cell>
        </row>
      </sheetData>
      <sheetData sheetId="2019">
        <row r="82">
          <cell r="CF82" t="str">
            <v>Royalties Aggregate</v>
          </cell>
        </row>
      </sheetData>
      <sheetData sheetId="2020">
        <row r="82">
          <cell r="CF82" t="str">
            <v>Royalties Aggregate</v>
          </cell>
        </row>
      </sheetData>
      <sheetData sheetId="2021">
        <row r="82">
          <cell r="CF82" t="str">
            <v>Royalties Aggregate</v>
          </cell>
        </row>
      </sheetData>
      <sheetData sheetId="2022">
        <row r="82">
          <cell r="CF82" t="str">
            <v>Royalties Aggregate</v>
          </cell>
        </row>
      </sheetData>
      <sheetData sheetId="2023">
        <row r="82">
          <cell r="CF82" t="str">
            <v>Royalties Aggregate</v>
          </cell>
        </row>
      </sheetData>
      <sheetData sheetId="2024">
        <row r="82">
          <cell r="CF82" t="str">
            <v>Royalties Aggregate</v>
          </cell>
        </row>
      </sheetData>
      <sheetData sheetId="2025">
        <row r="82">
          <cell r="CF82" t="str">
            <v>Royalties Aggregate</v>
          </cell>
        </row>
      </sheetData>
      <sheetData sheetId="2026">
        <row r="82">
          <cell r="CF82" t="str">
            <v>Royalties Aggregate</v>
          </cell>
        </row>
      </sheetData>
      <sheetData sheetId="2027">
        <row r="82">
          <cell r="CF82" t="str">
            <v>Royalties Aggregate</v>
          </cell>
        </row>
      </sheetData>
      <sheetData sheetId="2028">
        <row r="82">
          <cell r="CF82" t="str">
            <v>Royalties Aggregate</v>
          </cell>
        </row>
      </sheetData>
      <sheetData sheetId="2029">
        <row r="82">
          <cell r="CF82" t="str">
            <v>Royalties Aggregate</v>
          </cell>
        </row>
      </sheetData>
      <sheetData sheetId="2030">
        <row r="82">
          <cell r="CF82" t="str">
            <v>Royalties Aggregate</v>
          </cell>
        </row>
      </sheetData>
      <sheetData sheetId="2031">
        <row r="82">
          <cell r="CF82" t="str">
            <v>Royalties Aggregate</v>
          </cell>
        </row>
      </sheetData>
      <sheetData sheetId="2032">
        <row r="82">
          <cell r="CF82" t="str">
            <v>Royalties Aggregate</v>
          </cell>
        </row>
      </sheetData>
      <sheetData sheetId="2033">
        <row r="82">
          <cell r="CF82" t="str">
            <v>Royalties Aggregate</v>
          </cell>
        </row>
      </sheetData>
      <sheetData sheetId="2034">
        <row r="82">
          <cell r="CF82" t="str">
            <v>Royalties Aggregate</v>
          </cell>
        </row>
      </sheetData>
      <sheetData sheetId="2035">
        <row r="82">
          <cell r="CF82" t="str">
            <v>Royalties Aggregate</v>
          </cell>
        </row>
      </sheetData>
      <sheetData sheetId="2036">
        <row r="82">
          <cell r="CF82" t="str">
            <v>Royalties Aggregate</v>
          </cell>
        </row>
      </sheetData>
      <sheetData sheetId="2037">
        <row r="82">
          <cell r="CF82" t="str">
            <v>Royalties Aggregate</v>
          </cell>
        </row>
      </sheetData>
      <sheetData sheetId="2038">
        <row r="82">
          <cell r="CF82" t="str">
            <v>Royalties Aggregate</v>
          </cell>
        </row>
      </sheetData>
      <sheetData sheetId="2039">
        <row r="82">
          <cell r="CF82" t="str">
            <v>Royalties Aggregate</v>
          </cell>
        </row>
      </sheetData>
      <sheetData sheetId="2040">
        <row r="82">
          <cell r="CF82" t="str">
            <v>Royalties Aggregate</v>
          </cell>
        </row>
      </sheetData>
      <sheetData sheetId="2041">
        <row r="82">
          <cell r="CF82" t="str">
            <v>Royalties Aggregate</v>
          </cell>
        </row>
      </sheetData>
      <sheetData sheetId="2042">
        <row r="82">
          <cell r="CF82" t="str">
            <v>Royalties Aggregate</v>
          </cell>
        </row>
      </sheetData>
      <sheetData sheetId="2043">
        <row r="82">
          <cell r="CF82" t="str">
            <v>Royalties Aggregate</v>
          </cell>
        </row>
      </sheetData>
      <sheetData sheetId="2044">
        <row r="82">
          <cell r="CF82" t="str">
            <v>Royalties Aggregate</v>
          </cell>
        </row>
      </sheetData>
      <sheetData sheetId="2045">
        <row r="82">
          <cell r="CF82" t="str">
            <v>Royalties Aggregate</v>
          </cell>
        </row>
      </sheetData>
      <sheetData sheetId="2046">
        <row r="82">
          <cell r="CF82" t="str">
            <v>Royalties Aggregate</v>
          </cell>
        </row>
      </sheetData>
      <sheetData sheetId="2047">
        <row r="82">
          <cell r="CF82" t="str">
            <v>Royalties Aggregate</v>
          </cell>
        </row>
      </sheetData>
      <sheetData sheetId="2048">
        <row r="82">
          <cell r="CF82" t="str">
            <v>Royalties Aggregate</v>
          </cell>
        </row>
      </sheetData>
      <sheetData sheetId="2049">
        <row r="82">
          <cell r="CF82" t="str">
            <v>Royalties Aggregate</v>
          </cell>
        </row>
      </sheetData>
      <sheetData sheetId="2050">
        <row r="82">
          <cell r="CF82" t="str">
            <v>Royalties Aggregate</v>
          </cell>
        </row>
      </sheetData>
      <sheetData sheetId="2051">
        <row r="82">
          <cell r="CF82" t="str">
            <v>Royalties Aggregate</v>
          </cell>
        </row>
      </sheetData>
      <sheetData sheetId="2052">
        <row r="82">
          <cell r="CF82" t="str">
            <v>Royalties Aggregate</v>
          </cell>
        </row>
      </sheetData>
      <sheetData sheetId="2053">
        <row r="82">
          <cell r="CF82" t="str">
            <v>Royalties Aggregate</v>
          </cell>
        </row>
      </sheetData>
      <sheetData sheetId="2054">
        <row r="82">
          <cell r="CF82" t="str">
            <v>Royalties Aggregate</v>
          </cell>
        </row>
      </sheetData>
      <sheetData sheetId="2055">
        <row r="82">
          <cell r="CF82" t="str">
            <v>Royalties Aggregate</v>
          </cell>
        </row>
      </sheetData>
      <sheetData sheetId="2056">
        <row r="82">
          <cell r="CF82" t="str">
            <v>Royalties Aggregate</v>
          </cell>
        </row>
      </sheetData>
      <sheetData sheetId="2057">
        <row r="82">
          <cell r="CF82" t="str">
            <v>Royalties Aggregate</v>
          </cell>
        </row>
      </sheetData>
      <sheetData sheetId="2058">
        <row r="82">
          <cell r="CF82" t="str">
            <v>Royalties Aggregate</v>
          </cell>
        </row>
      </sheetData>
      <sheetData sheetId="2059">
        <row r="82">
          <cell r="CF82" t="str">
            <v>Royalties Aggregate</v>
          </cell>
        </row>
      </sheetData>
      <sheetData sheetId="2060">
        <row r="82">
          <cell r="CF82" t="str">
            <v>Royalties Aggregate</v>
          </cell>
        </row>
      </sheetData>
      <sheetData sheetId="2061">
        <row r="82">
          <cell r="CF82" t="str">
            <v>Royalties Aggregate</v>
          </cell>
        </row>
      </sheetData>
      <sheetData sheetId="2062">
        <row r="82">
          <cell r="CF82" t="str">
            <v>Royalties Aggregate</v>
          </cell>
        </row>
      </sheetData>
      <sheetData sheetId="2063">
        <row r="82">
          <cell r="CF82" t="str">
            <v>Royalties Aggregate</v>
          </cell>
        </row>
      </sheetData>
      <sheetData sheetId="2064">
        <row r="82">
          <cell r="CF82" t="str">
            <v>Royalties Aggregate</v>
          </cell>
        </row>
      </sheetData>
      <sheetData sheetId="2065">
        <row r="82">
          <cell r="CF82" t="str">
            <v>Royalties Aggregate</v>
          </cell>
        </row>
      </sheetData>
      <sheetData sheetId="2066">
        <row r="82">
          <cell r="CF82" t="str">
            <v>Royalties Aggregate</v>
          </cell>
        </row>
      </sheetData>
      <sheetData sheetId="2067">
        <row r="82">
          <cell r="CF82" t="str">
            <v>Royalties Aggregate</v>
          </cell>
        </row>
      </sheetData>
      <sheetData sheetId="2068">
        <row r="82">
          <cell r="CF82" t="str">
            <v>Royalties Aggregate</v>
          </cell>
        </row>
      </sheetData>
      <sheetData sheetId="2069">
        <row r="82">
          <cell r="CF82" t="str">
            <v>Royalties Aggregate</v>
          </cell>
        </row>
      </sheetData>
      <sheetData sheetId="2070">
        <row r="82">
          <cell r="CF82" t="str">
            <v>Royalties Aggregate</v>
          </cell>
        </row>
      </sheetData>
      <sheetData sheetId="2071">
        <row r="82">
          <cell r="CF82" t="str">
            <v>Royalties Aggregate</v>
          </cell>
        </row>
      </sheetData>
      <sheetData sheetId="2072">
        <row r="82">
          <cell r="CF82" t="str">
            <v>Royalties Aggregate</v>
          </cell>
        </row>
      </sheetData>
      <sheetData sheetId="2073">
        <row r="82">
          <cell r="CF82" t="str">
            <v>Royalties Aggregate</v>
          </cell>
        </row>
      </sheetData>
      <sheetData sheetId="2074">
        <row r="82">
          <cell r="CF82" t="str">
            <v>Royalties Aggregate</v>
          </cell>
        </row>
      </sheetData>
      <sheetData sheetId="2075">
        <row r="82">
          <cell r="CF82" t="str">
            <v>Royalties Aggregate</v>
          </cell>
        </row>
      </sheetData>
      <sheetData sheetId="2076">
        <row r="82">
          <cell r="CF82" t="str">
            <v>Royalties Aggregate</v>
          </cell>
        </row>
      </sheetData>
      <sheetData sheetId="2077">
        <row r="82">
          <cell r="CF82" t="str">
            <v>Royalties Aggregate</v>
          </cell>
        </row>
      </sheetData>
      <sheetData sheetId="2078">
        <row r="82">
          <cell r="CF82" t="str">
            <v>Royalties Aggregate</v>
          </cell>
        </row>
      </sheetData>
      <sheetData sheetId="2079">
        <row r="82">
          <cell r="CF82" t="str">
            <v>Royalties Aggregate</v>
          </cell>
        </row>
      </sheetData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/>
      <sheetData sheetId="2156"/>
      <sheetData sheetId="2157">
        <row r="82">
          <cell r="CF82" t="str">
            <v>Royalties Aggregate</v>
          </cell>
        </row>
      </sheetData>
      <sheetData sheetId="2158">
        <row r="82">
          <cell r="CF82" t="str">
            <v>Royalties Aggregate</v>
          </cell>
        </row>
      </sheetData>
      <sheetData sheetId="2159">
        <row r="82">
          <cell r="CF82" t="str">
            <v>Royalties Aggregate</v>
          </cell>
        </row>
      </sheetData>
      <sheetData sheetId="2160">
        <row r="82">
          <cell r="CF82" t="str">
            <v>Royalties Aggregate</v>
          </cell>
        </row>
      </sheetData>
      <sheetData sheetId="2161">
        <row r="82">
          <cell r="CF82" t="str">
            <v>Royalties Aggregate</v>
          </cell>
        </row>
      </sheetData>
      <sheetData sheetId="2162">
        <row r="82">
          <cell r="CF82" t="str">
            <v>Royalties Aggregate</v>
          </cell>
        </row>
      </sheetData>
      <sheetData sheetId="2163">
        <row r="82">
          <cell r="CF82" t="str">
            <v>Royalties Aggregate</v>
          </cell>
        </row>
      </sheetData>
      <sheetData sheetId="2164">
        <row r="82">
          <cell r="CF82" t="str">
            <v>Royalties Aggregate</v>
          </cell>
        </row>
      </sheetData>
      <sheetData sheetId="2165">
        <row r="82">
          <cell r="CF82" t="str">
            <v>Royalties Aggregate</v>
          </cell>
        </row>
      </sheetData>
      <sheetData sheetId="2166">
        <row r="82">
          <cell r="CF82" t="str">
            <v>Royalties Aggregate</v>
          </cell>
        </row>
      </sheetData>
      <sheetData sheetId="2167">
        <row r="82">
          <cell r="CF82" t="str">
            <v>Royalties Aggregate</v>
          </cell>
        </row>
      </sheetData>
      <sheetData sheetId="2168">
        <row r="82">
          <cell r="CF82" t="str">
            <v>Royalties Aggregate</v>
          </cell>
        </row>
      </sheetData>
      <sheetData sheetId="2169">
        <row r="82">
          <cell r="CF82" t="str">
            <v>Royalties Aggregate</v>
          </cell>
        </row>
      </sheetData>
      <sheetData sheetId="2170">
        <row r="82">
          <cell r="CF82" t="str">
            <v>Royalties Aggregate</v>
          </cell>
        </row>
      </sheetData>
      <sheetData sheetId="2171">
        <row r="82">
          <cell r="CF82" t="str">
            <v>Royalties Aggregate</v>
          </cell>
        </row>
      </sheetData>
      <sheetData sheetId="2172">
        <row r="82">
          <cell r="CF82" t="str">
            <v>Royalties Aggregate</v>
          </cell>
        </row>
      </sheetData>
      <sheetData sheetId="2173">
        <row r="82">
          <cell r="CF82" t="str">
            <v>Royalties Aggregate</v>
          </cell>
        </row>
      </sheetData>
      <sheetData sheetId="2174">
        <row r="82">
          <cell r="CF82" t="str">
            <v>Royalties Aggregate</v>
          </cell>
        </row>
      </sheetData>
      <sheetData sheetId="2175">
        <row r="82">
          <cell r="CF82">
            <v>0</v>
          </cell>
        </row>
      </sheetData>
      <sheetData sheetId="2176">
        <row r="82">
          <cell r="CF82" t="str">
            <v>Royalties Aggregate</v>
          </cell>
        </row>
      </sheetData>
      <sheetData sheetId="2177">
        <row r="82">
          <cell r="CF82" t="str">
            <v>Royalties Aggregate</v>
          </cell>
        </row>
      </sheetData>
      <sheetData sheetId="2178">
        <row r="82">
          <cell r="CF82" t="str">
            <v>Royalties Aggregate</v>
          </cell>
        </row>
      </sheetData>
      <sheetData sheetId="2179">
        <row r="82">
          <cell r="CF82" t="str">
            <v>Royalties Aggregate</v>
          </cell>
        </row>
      </sheetData>
      <sheetData sheetId="2180">
        <row r="82">
          <cell r="CF82" t="str">
            <v>Royalties Aggregate</v>
          </cell>
        </row>
      </sheetData>
      <sheetData sheetId="2181">
        <row r="82">
          <cell r="CF82" t="str">
            <v>Royalties Aggregate</v>
          </cell>
        </row>
      </sheetData>
      <sheetData sheetId="2182">
        <row r="82">
          <cell r="CF82" t="str">
            <v>Royalties Aggregate</v>
          </cell>
        </row>
      </sheetData>
      <sheetData sheetId="2183">
        <row r="82">
          <cell r="CF82" t="str">
            <v>Royalties Aggregate</v>
          </cell>
        </row>
      </sheetData>
      <sheetData sheetId="2184">
        <row r="82">
          <cell r="CF82">
            <v>0</v>
          </cell>
        </row>
      </sheetData>
      <sheetData sheetId="2185">
        <row r="82">
          <cell r="CF82" t="str">
            <v>Royalties Aggregate</v>
          </cell>
        </row>
      </sheetData>
      <sheetData sheetId="2186">
        <row r="82">
          <cell r="CF82" t="str">
            <v>Royalties Aggregate</v>
          </cell>
        </row>
      </sheetData>
      <sheetData sheetId="2187">
        <row r="82">
          <cell r="CF82" t="str">
            <v>Royalties Aggregate</v>
          </cell>
        </row>
      </sheetData>
      <sheetData sheetId="2188">
        <row r="82">
          <cell r="CF82" t="str">
            <v>Royalties Aggregate</v>
          </cell>
        </row>
      </sheetData>
      <sheetData sheetId="2189">
        <row r="82">
          <cell r="CF82" t="str">
            <v>Royalties Aggregate</v>
          </cell>
        </row>
      </sheetData>
      <sheetData sheetId="2190">
        <row r="82">
          <cell r="CF82" t="str">
            <v>Royalties Aggregate</v>
          </cell>
        </row>
      </sheetData>
      <sheetData sheetId="2191">
        <row r="82">
          <cell r="CF82" t="str">
            <v>Royalties Aggregate</v>
          </cell>
        </row>
      </sheetData>
      <sheetData sheetId="2192">
        <row r="82">
          <cell r="CF82" t="str">
            <v>Royalties Aggregate</v>
          </cell>
        </row>
      </sheetData>
      <sheetData sheetId="2193">
        <row r="82">
          <cell r="CF82" t="str">
            <v>Royalties Aggregate</v>
          </cell>
        </row>
      </sheetData>
      <sheetData sheetId="2194">
        <row r="82">
          <cell r="CF82" t="str">
            <v>Royalties Aggregate</v>
          </cell>
        </row>
      </sheetData>
      <sheetData sheetId="2195">
        <row r="82">
          <cell r="CF82" t="str">
            <v>Royalties Aggregate</v>
          </cell>
        </row>
      </sheetData>
      <sheetData sheetId="2196">
        <row r="82">
          <cell r="CF82" t="str">
            <v>Royalties Aggregate</v>
          </cell>
        </row>
      </sheetData>
      <sheetData sheetId="2197">
        <row r="82">
          <cell r="CF82" t="str">
            <v>Royalties Aggregate</v>
          </cell>
        </row>
      </sheetData>
      <sheetData sheetId="2198">
        <row r="82">
          <cell r="CF82" t="str">
            <v>Royalties Aggregate</v>
          </cell>
        </row>
      </sheetData>
      <sheetData sheetId="2199">
        <row r="82">
          <cell r="CF82" t="str">
            <v>Royalties Aggregate</v>
          </cell>
        </row>
      </sheetData>
      <sheetData sheetId="2200">
        <row r="82">
          <cell r="CF82" t="str">
            <v>Royalties Aggregate</v>
          </cell>
        </row>
      </sheetData>
      <sheetData sheetId="2201">
        <row r="82">
          <cell r="CF82">
            <v>0</v>
          </cell>
        </row>
      </sheetData>
      <sheetData sheetId="2202">
        <row r="82">
          <cell r="CF82" t="str">
            <v>Royalties Aggregate</v>
          </cell>
        </row>
      </sheetData>
      <sheetData sheetId="2203">
        <row r="82">
          <cell r="CF82" t="str">
            <v>Royalties Aggregate</v>
          </cell>
        </row>
      </sheetData>
      <sheetData sheetId="2204">
        <row r="82">
          <cell r="CF82" t="str">
            <v>Royalties Aggregate</v>
          </cell>
        </row>
      </sheetData>
      <sheetData sheetId="2205">
        <row r="82">
          <cell r="CF82" t="str">
            <v>Royalties Aggregate</v>
          </cell>
        </row>
      </sheetData>
      <sheetData sheetId="2206">
        <row r="82">
          <cell r="CF82" t="str">
            <v>Royalties Aggregate</v>
          </cell>
        </row>
      </sheetData>
      <sheetData sheetId="2207">
        <row r="82">
          <cell r="CF82" t="str">
            <v>Royalties Aggregate</v>
          </cell>
        </row>
      </sheetData>
      <sheetData sheetId="2208">
        <row r="82">
          <cell r="CF82" t="str">
            <v>Royalties Aggregate</v>
          </cell>
        </row>
      </sheetData>
      <sheetData sheetId="2209">
        <row r="82">
          <cell r="CF82" t="str">
            <v>Royalties Aggregate</v>
          </cell>
        </row>
      </sheetData>
      <sheetData sheetId="2210">
        <row r="82">
          <cell r="CF82" t="str">
            <v>Royalties Aggregate</v>
          </cell>
        </row>
      </sheetData>
      <sheetData sheetId="2211">
        <row r="82">
          <cell r="CF82" t="str">
            <v>Royalties Aggregate</v>
          </cell>
        </row>
      </sheetData>
      <sheetData sheetId="2212">
        <row r="82">
          <cell r="CF82" t="str">
            <v>Royalties Aggregate</v>
          </cell>
        </row>
      </sheetData>
      <sheetData sheetId="2213">
        <row r="82">
          <cell r="CF82" t="str">
            <v>Royalties Aggregate</v>
          </cell>
        </row>
      </sheetData>
      <sheetData sheetId="2214">
        <row r="82">
          <cell r="CF82" t="str">
            <v>Royalties Aggregate</v>
          </cell>
        </row>
      </sheetData>
      <sheetData sheetId="2215">
        <row r="82">
          <cell r="CF82" t="str">
            <v>Royalties Aggregate</v>
          </cell>
        </row>
      </sheetData>
      <sheetData sheetId="2216">
        <row r="82">
          <cell r="CF82" t="str">
            <v>Royalties Aggregate</v>
          </cell>
        </row>
      </sheetData>
      <sheetData sheetId="2217">
        <row r="82">
          <cell r="CF82" t="str">
            <v>Royalties Aggregate</v>
          </cell>
        </row>
      </sheetData>
      <sheetData sheetId="2218">
        <row r="82">
          <cell r="CF82" t="str">
            <v>Royalties Aggregate</v>
          </cell>
        </row>
      </sheetData>
      <sheetData sheetId="2219">
        <row r="82">
          <cell r="CF82" t="str">
            <v>Royalties Aggregate</v>
          </cell>
        </row>
      </sheetData>
      <sheetData sheetId="2220">
        <row r="82">
          <cell r="CF82" t="str">
            <v>Royalties Aggregate</v>
          </cell>
        </row>
      </sheetData>
      <sheetData sheetId="2221">
        <row r="82">
          <cell r="CF82" t="str">
            <v>Royalties Aggregate</v>
          </cell>
        </row>
      </sheetData>
      <sheetData sheetId="2222">
        <row r="82">
          <cell r="CF82" t="str">
            <v>Royalties Aggregate</v>
          </cell>
        </row>
      </sheetData>
      <sheetData sheetId="2223">
        <row r="82">
          <cell r="CF82" t="str">
            <v>Royalties Aggregate</v>
          </cell>
        </row>
      </sheetData>
      <sheetData sheetId="2224">
        <row r="82">
          <cell r="CF82" t="str">
            <v>Royalties Aggregate</v>
          </cell>
        </row>
      </sheetData>
      <sheetData sheetId="2225">
        <row r="82">
          <cell r="CF82" t="str">
            <v>Royalties Aggregate</v>
          </cell>
        </row>
      </sheetData>
      <sheetData sheetId="2226">
        <row r="82">
          <cell r="CF82" t="str">
            <v>Royalties Aggregate</v>
          </cell>
        </row>
      </sheetData>
      <sheetData sheetId="2227">
        <row r="82">
          <cell r="CF82" t="str">
            <v>Royalties Aggregate</v>
          </cell>
        </row>
      </sheetData>
      <sheetData sheetId="2228">
        <row r="82">
          <cell r="CF82" t="str">
            <v>Royalties Aggregate</v>
          </cell>
        </row>
      </sheetData>
      <sheetData sheetId="2229">
        <row r="82">
          <cell r="CF82" t="str">
            <v>Royalties Aggregate</v>
          </cell>
        </row>
      </sheetData>
      <sheetData sheetId="2230">
        <row r="82">
          <cell r="CF82" t="str">
            <v>Royalties Aggregate</v>
          </cell>
        </row>
      </sheetData>
      <sheetData sheetId="2231">
        <row r="82">
          <cell r="CF82" t="str">
            <v>Royalties Aggregate</v>
          </cell>
        </row>
      </sheetData>
      <sheetData sheetId="2232">
        <row r="82">
          <cell r="CF82" t="str">
            <v>Royalties Aggregate</v>
          </cell>
        </row>
      </sheetData>
      <sheetData sheetId="2233">
        <row r="82">
          <cell r="CF82" t="str">
            <v>Royalties Aggregate</v>
          </cell>
        </row>
      </sheetData>
      <sheetData sheetId="2234">
        <row r="82">
          <cell r="CF82" t="str">
            <v>Royalties Aggregate</v>
          </cell>
        </row>
      </sheetData>
      <sheetData sheetId="2235">
        <row r="82">
          <cell r="CF82" t="str">
            <v>Royalties Aggregate</v>
          </cell>
        </row>
      </sheetData>
      <sheetData sheetId="2236">
        <row r="82">
          <cell r="CF82" t="str">
            <v>Royalties Aggregate</v>
          </cell>
        </row>
      </sheetData>
      <sheetData sheetId="2237">
        <row r="82">
          <cell r="CF82" t="str">
            <v>Royalties Aggregate</v>
          </cell>
        </row>
      </sheetData>
      <sheetData sheetId="2238">
        <row r="82">
          <cell r="CF82" t="str">
            <v>Royalties Aggregate</v>
          </cell>
        </row>
      </sheetData>
      <sheetData sheetId="2239">
        <row r="82">
          <cell r="CF82" t="str">
            <v>Royalties Aggregate</v>
          </cell>
        </row>
      </sheetData>
      <sheetData sheetId="2240">
        <row r="82">
          <cell r="CF82" t="str">
            <v>Royalties Aggregate</v>
          </cell>
        </row>
      </sheetData>
      <sheetData sheetId="2241">
        <row r="82">
          <cell r="CF82" t="str">
            <v>Royalties Aggregate</v>
          </cell>
        </row>
      </sheetData>
      <sheetData sheetId="2242">
        <row r="82">
          <cell r="CF82" t="str">
            <v>Royalties Aggregate</v>
          </cell>
        </row>
      </sheetData>
      <sheetData sheetId="2243">
        <row r="82">
          <cell r="CF82" t="str">
            <v>Royalties Aggregate</v>
          </cell>
        </row>
      </sheetData>
      <sheetData sheetId="2244">
        <row r="82">
          <cell r="CF82" t="str">
            <v>Royalties Aggregate</v>
          </cell>
        </row>
      </sheetData>
      <sheetData sheetId="2245">
        <row r="82">
          <cell r="CF82" t="str">
            <v>Royalties Aggregate</v>
          </cell>
        </row>
      </sheetData>
      <sheetData sheetId="2246">
        <row r="82">
          <cell r="CF82" t="str">
            <v>Royalties Aggregate</v>
          </cell>
        </row>
      </sheetData>
      <sheetData sheetId="2247">
        <row r="82">
          <cell r="CF82" t="str">
            <v>Royalties Aggregate</v>
          </cell>
        </row>
      </sheetData>
      <sheetData sheetId="2248">
        <row r="82">
          <cell r="CF82" t="str">
            <v>Royalties Aggregate</v>
          </cell>
        </row>
      </sheetData>
      <sheetData sheetId="2249">
        <row r="82">
          <cell r="CF82" t="str">
            <v>Royalties Aggregate</v>
          </cell>
        </row>
      </sheetData>
      <sheetData sheetId="2250">
        <row r="82">
          <cell r="CF82" t="str">
            <v>Royalties Aggregate</v>
          </cell>
        </row>
      </sheetData>
      <sheetData sheetId="2251"/>
      <sheetData sheetId="2252"/>
      <sheetData sheetId="2253"/>
      <sheetData sheetId="2254"/>
      <sheetData sheetId="2255"/>
      <sheetData sheetId="2256"/>
      <sheetData sheetId="2257">
        <row r="82">
          <cell r="CF82" t="str">
            <v>Royalties Aggregate</v>
          </cell>
        </row>
      </sheetData>
      <sheetData sheetId="2258"/>
      <sheetData sheetId="2259">
        <row r="82">
          <cell r="CF82" t="str">
            <v>Royalties Aggregate</v>
          </cell>
        </row>
      </sheetData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/>
      <sheetData sheetId="2584"/>
      <sheetData sheetId="2585"/>
      <sheetData sheetId="2586"/>
      <sheetData sheetId="2587"/>
      <sheetData sheetId="2588"/>
      <sheetData sheetId="2589"/>
      <sheetData sheetId="2590"/>
      <sheetData sheetId="2591"/>
      <sheetData sheetId="2592"/>
      <sheetData sheetId="2593"/>
      <sheetData sheetId="2594"/>
      <sheetData sheetId="2595"/>
      <sheetData sheetId="2596"/>
      <sheetData sheetId="2597"/>
      <sheetData sheetId="2598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 refreshError="1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 refreshError="1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 refreshError="1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 refreshError="1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 refreshError="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 refreshError="1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 refreshError="1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 refreshError="1"/>
      <sheetData sheetId="4765" refreshError="1"/>
      <sheetData sheetId="4766" refreshError="1"/>
      <sheetData sheetId="4767" refreshError="1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 refreshError="1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 refreshError="1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 refreshError="1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 refreshError="1"/>
      <sheetData sheetId="4819" refreshError="1"/>
      <sheetData sheetId="4820" refreshError="1"/>
      <sheetData sheetId="4821" refreshError="1"/>
      <sheetData sheetId="4822" refreshError="1"/>
      <sheetData sheetId="4823" refreshError="1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 refreshError="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 refreshError="1"/>
      <sheetData sheetId="4924" refreshError="1"/>
      <sheetData sheetId="4925" refreshError="1"/>
      <sheetData sheetId="4926" refreshError="1"/>
      <sheetData sheetId="4927" refreshError="1"/>
      <sheetData sheetId="4928" refreshError="1"/>
      <sheetData sheetId="4929" refreshError="1"/>
      <sheetData sheetId="4930" refreshError="1"/>
      <sheetData sheetId="4931" refreshError="1"/>
      <sheetData sheetId="4932" refreshError="1"/>
      <sheetData sheetId="4933" refreshError="1"/>
      <sheetData sheetId="4934" refreshError="1"/>
      <sheetData sheetId="4935" refreshError="1"/>
      <sheetData sheetId="4936" refreshError="1"/>
      <sheetData sheetId="4937" refreshError="1"/>
      <sheetData sheetId="4938" refreshError="1"/>
      <sheetData sheetId="4939" refreshError="1"/>
      <sheetData sheetId="4940" refreshError="1"/>
      <sheetData sheetId="4941" refreshError="1"/>
      <sheetData sheetId="4942" refreshError="1"/>
      <sheetData sheetId="4943" refreshError="1"/>
      <sheetData sheetId="4944" refreshError="1"/>
      <sheetData sheetId="4945" refreshError="1"/>
      <sheetData sheetId="4946" refreshError="1"/>
      <sheetData sheetId="4947" refreshError="1"/>
      <sheetData sheetId="4948" refreshError="1"/>
      <sheetData sheetId="4949" refreshError="1"/>
      <sheetData sheetId="4950" refreshError="1"/>
      <sheetData sheetId="4951" refreshError="1"/>
      <sheetData sheetId="4952" refreshError="1"/>
      <sheetData sheetId="4953" refreshError="1"/>
      <sheetData sheetId="4954" refreshError="1"/>
      <sheetData sheetId="4955" refreshError="1"/>
      <sheetData sheetId="4956" refreshError="1"/>
      <sheetData sheetId="4957" refreshError="1"/>
      <sheetData sheetId="4958" refreshError="1"/>
      <sheetData sheetId="4959" refreshError="1"/>
      <sheetData sheetId="4960" refreshError="1"/>
      <sheetData sheetId="4961" refreshError="1"/>
      <sheetData sheetId="4962" refreshError="1"/>
      <sheetData sheetId="4963" refreshError="1"/>
      <sheetData sheetId="4964" refreshError="1"/>
      <sheetData sheetId="4965" refreshError="1"/>
      <sheetData sheetId="4966" refreshError="1"/>
      <sheetData sheetId="4967" refreshError="1"/>
      <sheetData sheetId="4968" refreshError="1"/>
      <sheetData sheetId="4969" refreshError="1"/>
      <sheetData sheetId="4970" refreshError="1"/>
      <sheetData sheetId="4971" refreshError="1"/>
      <sheetData sheetId="4972" refreshError="1"/>
      <sheetData sheetId="4973" refreshError="1"/>
      <sheetData sheetId="4974" refreshError="1"/>
      <sheetData sheetId="4975" refreshError="1"/>
      <sheetData sheetId="4976" refreshError="1"/>
      <sheetData sheetId="4977" refreshError="1"/>
      <sheetData sheetId="4978" refreshError="1"/>
      <sheetData sheetId="4979" refreshError="1"/>
      <sheetData sheetId="4980" refreshError="1"/>
      <sheetData sheetId="4981" refreshError="1"/>
      <sheetData sheetId="4982" refreshError="1"/>
      <sheetData sheetId="4983" refreshError="1"/>
      <sheetData sheetId="4984" refreshError="1"/>
      <sheetData sheetId="4985" refreshError="1"/>
      <sheetData sheetId="4986" refreshError="1"/>
      <sheetData sheetId="4987" refreshError="1"/>
      <sheetData sheetId="4988" refreshError="1"/>
      <sheetData sheetId="4989" refreshError="1"/>
      <sheetData sheetId="4990" refreshError="1"/>
      <sheetData sheetId="4991" refreshError="1"/>
      <sheetData sheetId="4992" refreshError="1"/>
      <sheetData sheetId="4993" refreshError="1"/>
      <sheetData sheetId="4994" refreshError="1"/>
      <sheetData sheetId="4995" refreshError="1"/>
      <sheetData sheetId="4996" refreshError="1"/>
      <sheetData sheetId="4997" refreshError="1"/>
      <sheetData sheetId="4998" refreshError="1"/>
      <sheetData sheetId="4999" refreshError="1"/>
      <sheetData sheetId="5000" refreshError="1"/>
      <sheetData sheetId="5001" refreshError="1"/>
      <sheetData sheetId="5002" refreshError="1"/>
      <sheetData sheetId="5003" refreshError="1"/>
      <sheetData sheetId="5004" refreshError="1"/>
      <sheetData sheetId="5005" refreshError="1"/>
      <sheetData sheetId="5006" refreshError="1"/>
      <sheetData sheetId="5007" refreshError="1"/>
      <sheetData sheetId="5008" refreshError="1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 refreshError="1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 refreshError="1"/>
      <sheetData sheetId="5217" refreshError="1"/>
      <sheetData sheetId="5218" refreshError="1"/>
      <sheetData sheetId="5219" refreshError="1"/>
      <sheetData sheetId="5220" refreshError="1"/>
      <sheetData sheetId="5221" refreshError="1"/>
      <sheetData sheetId="5222" refreshError="1"/>
      <sheetData sheetId="5223" refreshError="1"/>
      <sheetData sheetId="5224" refreshError="1"/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 refreshError="1"/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 refreshError="1"/>
      <sheetData sheetId="5258" refreshError="1"/>
      <sheetData sheetId="5259" refreshError="1"/>
      <sheetData sheetId="5260" refreshError="1"/>
      <sheetData sheetId="5261" refreshError="1"/>
      <sheetData sheetId="5262" refreshError="1"/>
      <sheetData sheetId="5263" refreshError="1"/>
      <sheetData sheetId="5264" refreshError="1"/>
      <sheetData sheetId="5265" refreshError="1"/>
      <sheetData sheetId="5266" refreshError="1"/>
      <sheetData sheetId="5267" refreshError="1"/>
      <sheetData sheetId="5268" refreshError="1"/>
      <sheetData sheetId="5269" refreshError="1"/>
      <sheetData sheetId="5270" refreshError="1"/>
      <sheetData sheetId="5271" refreshError="1"/>
      <sheetData sheetId="5272" refreshError="1"/>
      <sheetData sheetId="5273" refreshError="1"/>
      <sheetData sheetId="5274" refreshError="1"/>
      <sheetData sheetId="5275" refreshError="1"/>
      <sheetData sheetId="5276" refreshError="1"/>
      <sheetData sheetId="5277" refreshError="1"/>
      <sheetData sheetId="5278" refreshError="1"/>
      <sheetData sheetId="5279" refreshError="1"/>
      <sheetData sheetId="5280" refreshError="1"/>
      <sheetData sheetId="5281" refreshError="1"/>
      <sheetData sheetId="5282" refreshError="1"/>
      <sheetData sheetId="5283" refreshError="1"/>
      <sheetData sheetId="5284" refreshError="1"/>
      <sheetData sheetId="5285" refreshError="1"/>
      <sheetData sheetId="5286" refreshError="1"/>
      <sheetData sheetId="5287" refreshError="1"/>
      <sheetData sheetId="5288" refreshError="1"/>
      <sheetData sheetId="5289" refreshError="1"/>
      <sheetData sheetId="5290" refreshError="1"/>
      <sheetData sheetId="5291" refreshError="1"/>
      <sheetData sheetId="5292" refreshError="1"/>
      <sheetData sheetId="5293" refreshError="1"/>
      <sheetData sheetId="5294" refreshError="1"/>
      <sheetData sheetId="5295" refreshError="1"/>
      <sheetData sheetId="5296" refreshError="1"/>
      <sheetData sheetId="5297" refreshError="1"/>
      <sheetData sheetId="5298" refreshError="1"/>
      <sheetData sheetId="5299" refreshError="1"/>
      <sheetData sheetId="5300" refreshError="1"/>
      <sheetData sheetId="5301" refreshError="1"/>
      <sheetData sheetId="5302" refreshError="1"/>
      <sheetData sheetId="5303" refreshError="1"/>
      <sheetData sheetId="5304" refreshError="1"/>
      <sheetData sheetId="5305" refreshError="1"/>
      <sheetData sheetId="5306" refreshError="1"/>
      <sheetData sheetId="5307" refreshError="1"/>
      <sheetData sheetId="5308" refreshError="1"/>
      <sheetData sheetId="5309" refreshError="1"/>
      <sheetData sheetId="5310" refreshError="1"/>
      <sheetData sheetId="5311" refreshError="1"/>
      <sheetData sheetId="5312" refreshError="1"/>
      <sheetData sheetId="5313" refreshError="1"/>
      <sheetData sheetId="5314" refreshError="1"/>
      <sheetData sheetId="5315" refreshError="1"/>
      <sheetData sheetId="5316" refreshError="1"/>
      <sheetData sheetId="5317" refreshError="1"/>
      <sheetData sheetId="5318" refreshError="1"/>
      <sheetData sheetId="5319" refreshError="1"/>
      <sheetData sheetId="5320" refreshError="1"/>
      <sheetData sheetId="5321" refreshError="1"/>
      <sheetData sheetId="5322" refreshError="1"/>
      <sheetData sheetId="5323" refreshError="1"/>
      <sheetData sheetId="5324" refreshError="1"/>
      <sheetData sheetId="5325" refreshError="1"/>
      <sheetData sheetId="5326" refreshError="1"/>
      <sheetData sheetId="5327" refreshError="1"/>
      <sheetData sheetId="5328" refreshError="1"/>
      <sheetData sheetId="5329" refreshError="1"/>
      <sheetData sheetId="5330" refreshError="1"/>
      <sheetData sheetId="5331" refreshError="1"/>
      <sheetData sheetId="5332" refreshError="1"/>
      <sheetData sheetId="5333" refreshError="1"/>
      <sheetData sheetId="5334" refreshError="1"/>
      <sheetData sheetId="5335" refreshError="1"/>
      <sheetData sheetId="5336" refreshError="1"/>
      <sheetData sheetId="5337" refreshError="1"/>
      <sheetData sheetId="5338" refreshError="1"/>
      <sheetData sheetId="5339" refreshError="1"/>
      <sheetData sheetId="5340" refreshError="1"/>
      <sheetData sheetId="5341" refreshError="1"/>
      <sheetData sheetId="5342" refreshError="1"/>
      <sheetData sheetId="5343" refreshError="1"/>
      <sheetData sheetId="5344" refreshError="1"/>
      <sheetData sheetId="5345" refreshError="1"/>
      <sheetData sheetId="5346" refreshError="1"/>
      <sheetData sheetId="5347" refreshError="1"/>
      <sheetData sheetId="5348" refreshError="1"/>
      <sheetData sheetId="5349" refreshError="1"/>
      <sheetData sheetId="5350" refreshError="1"/>
      <sheetData sheetId="5351" refreshError="1"/>
      <sheetData sheetId="5352" refreshError="1"/>
      <sheetData sheetId="5353" refreshError="1"/>
      <sheetData sheetId="5354" refreshError="1"/>
      <sheetData sheetId="5355" refreshError="1"/>
      <sheetData sheetId="5356" refreshError="1"/>
      <sheetData sheetId="5357" refreshError="1"/>
      <sheetData sheetId="5358" refreshError="1"/>
      <sheetData sheetId="5359" refreshError="1"/>
      <sheetData sheetId="5360" refreshError="1"/>
      <sheetData sheetId="5361" refreshError="1"/>
      <sheetData sheetId="5362" refreshError="1"/>
      <sheetData sheetId="5363" refreshError="1"/>
      <sheetData sheetId="5364" refreshError="1"/>
      <sheetData sheetId="5365" refreshError="1"/>
      <sheetData sheetId="5366" refreshError="1"/>
      <sheetData sheetId="5367" refreshError="1"/>
      <sheetData sheetId="5368" refreshError="1"/>
      <sheetData sheetId="5369" refreshError="1"/>
      <sheetData sheetId="5370" refreshError="1"/>
      <sheetData sheetId="5371" refreshError="1"/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 refreshError="1"/>
      <sheetData sheetId="5384" refreshError="1"/>
      <sheetData sheetId="5385" refreshError="1"/>
      <sheetData sheetId="5386" refreshError="1"/>
      <sheetData sheetId="5387" refreshError="1"/>
      <sheetData sheetId="5388" refreshError="1"/>
      <sheetData sheetId="5389" refreshError="1"/>
      <sheetData sheetId="5390" refreshError="1"/>
      <sheetData sheetId="5391" refreshError="1"/>
      <sheetData sheetId="5392" refreshError="1"/>
      <sheetData sheetId="5393" refreshError="1"/>
      <sheetData sheetId="5394" refreshError="1"/>
      <sheetData sheetId="5395" refreshError="1"/>
      <sheetData sheetId="5396" refreshError="1"/>
      <sheetData sheetId="5397" refreshError="1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 refreshError="1"/>
      <sheetData sheetId="5408" refreshError="1"/>
      <sheetData sheetId="5409" refreshError="1"/>
      <sheetData sheetId="5410" refreshError="1"/>
      <sheetData sheetId="5411" refreshError="1"/>
      <sheetData sheetId="5412" refreshError="1"/>
      <sheetData sheetId="5413" refreshError="1"/>
      <sheetData sheetId="5414" refreshError="1"/>
      <sheetData sheetId="5415" refreshError="1"/>
      <sheetData sheetId="5416" refreshError="1"/>
      <sheetData sheetId="5417" refreshError="1"/>
      <sheetData sheetId="5418" refreshError="1"/>
      <sheetData sheetId="5419" refreshError="1"/>
      <sheetData sheetId="5420" refreshError="1"/>
      <sheetData sheetId="5421" refreshError="1"/>
      <sheetData sheetId="5422" refreshError="1"/>
      <sheetData sheetId="5423" refreshError="1"/>
      <sheetData sheetId="5424" refreshError="1"/>
      <sheetData sheetId="5425" refreshError="1"/>
      <sheetData sheetId="5426" refreshError="1"/>
      <sheetData sheetId="5427" refreshError="1"/>
      <sheetData sheetId="5428" refreshError="1"/>
      <sheetData sheetId="5429" refreshError="1"/>
      <sheetData sheetId="5430" refreshError="1"/>
      <sheetData sheetId="5431" refreshError="1"/>
      <sheetData sheetId="5432" refreshError="1"/>
      <sheetData sheetId="5433" refreshError="1"/>
      <sheetData sheetId="5434" refreshError="1"/>
      <sheetData sheetId="5435" refreshError="1"/>
      <sheetData sheetId="5436" refreshError="1"/>
      <sheetData sheetId="5437" refreshError="1"/>
      <sheetData sheetId="5438" refreshError="1"/>
      <sheetData sheetId="5439" refreshError="1"/>
      <sheetData sheetId="5440" refreshError="1"/>
      <sheetData sheetId="5441" refreshError="1"/>
      <sheetData sheetId="5442" refreshError="1"/>
      <sheetData sheetId="5443" refreshError="1"/>
      <sheetData sheetId="5444" refreshError="1"/>
      <sheetData sheetId="5445" refreshError="1"/>
      <sheetData sheetId="5446" refreshError="1"/>
      <sheetData sheetId="5447" refreshError="1"/>
      <sheetData sheetId="5448" refreshError="1"/>
      <sheetData sheetId="5449" refreshError="1"/>
      <sheetData sheetId="5450" refreshError="1"/>
      <sheetData sheetId="5451" refreshError="1"/>
      <sheetData sheetId="5452" refreshError="1"/>
      <sheetData sheetId="5453" refreshError="1"/>
      <sheetData sheetId="5454" refreshError="1"/>
      <sheetData sheetId="5455" refreshError="1"/>
      <sheetData sheetId="5456" refreshError="1"/>
      <sheetData sheetId="5457" refreshError="1"/>
      <sheetData sheetId="5458" refreshError="1"/>
      <sheetData sheetId="5459" refreshError="1"/>
      <sheetData sheetId="5460" refreshError="1"/>
      <sheetData sheetId="5461" refreshError="1"/>
      <sheetData sheetId="5462" refreshError="1"/>
      <sheetData sheetId="5463" refreshError="1"/>
      <sheetData sheetId="5464" refreshError="1"/>
      <sheetData sheetId="5465" refreshError="1"/>
      <sheetData sheetId="5466" refreshError="1"/>
      <sheetData sheetId="5467" refreshError="1"/>
      <sheetData sheetId="5468" refreshError="1"/>
      <sheetData sheetId="5469" refreshError="1"/>
      <sheetData sheetId="5470" refreshError="1"/>
      <sheetData sheetId="5471" refreshError="1"/>
      <sheetData sheetId="5472" refreshError="1"/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 refreshError="1"/>
      <sheetData sheetId="5479" refreshError="1"/>
      <sheetData sheetId="5480" refreshError="1"/>
      <sheetData sheetId="5481" refreshError="1"/>
      <sheetData sheetId="5482" refreshError="1"/>
      <sheetData sheetId="5483" refreshError="1"/>
      <sheetData sheetId="5484" refreshError="1"/>
      <sheetData sheetId="5485" refreshError="1"/>
      <sheetData sheetId="5486" refreshError="1"/>
      <sheetData sheetId="5487" refreshError="1"/>
      <sheetData sheetId="5488" refreshError="1"/>
      <sheetData sheetId="5489" refreshError="1"/>
      <sheetData sheetId="5490" refreshError="1"/>
      <sheetData sheetId="5491" refreshError="1"/>
      <sheetData sheetId="5492" refreshError="1"/>
      <sheetData sheetId="5493" refreshError="1"/>
      <sheetData sheetId="5494" refreshError="1"/>
      <sheetData sheetId="5495" refreshError="1"/>
      <sheetData sheetId="5496" refreshError="1"/>
      <sheetData sheetId="5497" refreshError="1"/>
      <sheetData sheetId="5498" refreshError="1"/>
      <sheetData sheetId="5499" refreshError="1"/>
      <sheetData sheetId="5500" refreshError="1"/>
      <sheetData sheetId="5501" refreshError="1"/>
      <sheetData sheetId="5502" refreshError="1"/>
      <sheetData sheetId="5503" refreshError="1"/>
      <sheetData sheetId="5504" refreshError="1"/>
      <sheetData sheetId="5505" refreshError="1"/>
      <sheetData sheetId="5506" refreshError="1"/>
      <sheetData sheetId="5507" refreshError="1"/>
      <sheetData sheetId="5508" refreshError="1"/>
      <sheetData sheetId="5509" refreshError="1"/>
      <sheetData sheetId="5510" refreshError="1"/>
      <sheetData sheetId="5511" refreshError="1"/>
      <sheetData sheetId="5512" refreshError="1"/>
      <sheetData sheetId="5513" refreshError="1"/>
      <sheetData sheetId="5514" refreshError="1"/>
      <sheetData sheetId="5515" refreshError="1"/>
      <sheetData sheetId="5516" refreshError="1"/>
      <sheetData sheetId="5517" refreshError="1"/>
      <sheetData sheetId="5518" refreshError="1"/>
      <sheetData sheetId="5519" refreshError="1"/>
      <sheetData sheetId="5520" refreshError="1"/>
      <sheetData sheetId="5521" refreshError="1"/>
      <sheetData sheetId="5522" refreshError="1"/>
      <sheetData sheetId="5523" refreshError="1"/>
      <sheetData sheetId="5524" refreshError="1"/>
      <sheetData sheetId="5525" refreshError="1"/>
      <sheetData sheetId="5526" refreshError="1"/>
      <sheetData sheetId="5527" refreshError="1"/>
      <sheetData sheetId="5528" refreshError="1"/>
      <sheetData sheetId="5529" refreshError="1"/>
      <sheetData sheetId="5530" refreshError="1"/>
      <sheetData sheetId="5531" refreshError="1"/>
      <sheetData sheetId="5532" refreshError="1"/>
      <sheetData sheetId="5533" refreshError="1"/>
      <sheetData sheetId="5534" refreshError="1"/>
      <sheetData sheetId="5535" refreshError="1"/>
      <sheetData sheetId="5536" refreshError="1"/>
      <sheetData sheetId="5537" refreshError="1"/>
      <sheetData sheetId="5538" refreshError="1"/>
      <sheetData sheetId="5539" refreshError="1"/>
      <sheetData sheetId="5540" refreshError="1"/>
      <sheetData sheetId="5541" refreshError="1"/>
      <sheetData sheetId="5542" refreshError="1"/>
      <sheetData sheetId="5543" refreshError="1"/>
      <sheetData sheetId="5544" refreshError="1"/>
      <sheetData sheetId="5545" refreshError="1"/>
      <sheetData sheetId="5546" refreshError="1"/>
      <sheetData sheetId="5547" refreshError="1"/>
      <sheetData sheetId="5548" refreshError="1"/>
      <sheetData sheetId="5549" refreshError="1"/>
      <sheetData sheetId="5550" refreshError="1"/>
      <sheetData sheetId="5551" refreshError="1"/>
      <sheetData sheetId="5552" refreshError="1"/>
      <sheetData sheetId="5553" refreshError="1"/>
      <sheetData sheetId="5554" refreshError="1"/>
      <sheetData sheetId="5555" refreshError="1"/>
      <sheetData sheetId="5556" refreshError="1"/>
      <sheetData sheetId="5557" refreshError="1"/>
      <sheetData sheetId="5558" refreshError="1"/>
      <sheetData sheetId="5559" refreshError="1"/>
      <sheetData sheetId="5560" refreshError="1"/>
      <sheetData sheetId="5561" refreshError="1"/>
      <sheetData sheetId="5562" refreshError="1"/>
      <sheetData sheetId="5563" refreshError="1"/>
      <sheetData sheetId="5564" refreshError="1"/>
      <sheetData sheetId="5565" refreshError="1"/>
      <sheetData sheetId="5566" refreshError="1"/>
      <sheetData sheetId="5567" refreshError="1"/>
      <sheetData sheetId="5568" refreshError="1"/>
      <sheetData sheetId="5569" refreshError="1"/>
      <sheetData sheetId="5570" refreshError="1"/>
      <sheetData sheetId="5571" refreshError="1"/>
      <sheetData sheetId="5572" refreshError="1"/>
      <sheetData sheetId="5573" refreshError="1"/>
      <sheetData sheetId="5574" refreshError="1"/>
      <sheetData sheetId="5575" refreshError="1"/>
      <sheetData sheetId="5576" refreshError="1"/>
      <sheetData sheetId="5577" refreshError="1"/>
      <sheetData sheetId="5578" refreshError="1"/>
      <sheetData sheetId="5579" refreshError="1"/>
      <sheetData sheetId="5580" refreshError="1"/>
      <sheetData sheetId="5581" refreshError="1"/>
      <sheetData sheetId="5582" refreshError="1"/>
      <sheetData sheetId="5583" refreshError="1"/>
      <sheetData sheetId="5584" refreshError="1"/>
      <sheetData sheetId="5585" refreshError="1"/>
      <sheetData sheetId="5586" refreshError="1"/>
      <sheetData sheetId="5587" refreshError="1"/>
      <sheetData sheetId="5588" refreshError="1"/>
      <sheetData sheetId="5589" refreshError="1"/>
      <sheetData sheetId="5590" refreshError="1"/>
      <sheetData sheetId="5591" refreshError="1"/>
      <sheetData sheetId="5592" refreshError="1"/>
      <sheetData sheetId="5593" refreshError="1"/>
      <sheetData sheetId="5594" refreshError="1"/>
      <sheetData sheetId="5595" refreshError="1"/>
      <sheetData sheetId="5596" refreshError="1"/>
      <sheetData sheetId="5597" refreshError="1"/>
      <sheetData sheetId="5598" refreshError="1"/>
      <sheetData sheetId="5599" refreshError="1"/>
      <sheetData sheetId="5600" refreshError="1"/>
      <sheetData sheetId="5601" refreshError="1"/>
      <sheetData sheetId="5602" refreshError="1"/>
      <sheetData sheetId="5603" refreshError="1"/>
      <sheetData sheetId="5604" refreshError="1"/>
      <sheetData sheetId="5605" refreshError="1"/>
      <sheetData sheetId="5606" refreshError="1"/>
      <sheetData sheetId="5607" refreshError="1"/>
      <sheetData sheetId="5608" refreshError="1"/>
      <sheetData sheetId="5609" refreshError="1"/>
      <sheetData sheetId="5610" refreshError="1"/>
      <sheetData sheetId="5611" refreshError="1"/>
      <sheetData sheetId="5612" refreshError="1"/>
      <sheetData sheetId="5613" refreshError="1"/>
      <sheetData sheetId="5614" refreshError="1"/>
      <sheetData sheetId="5615" refreshError="1"/>
      <sheetData sheetId="5616" refreshError="1"/>
      <sheetData sheetId="5617" refreshError="1"/>
      <sheetData sheetId="5618" refreshError="1"/>
      <sheetData sheetId="5619" refreshError="1"/>
      <sheetData sheetId="5620" refreshError="1"/>
      <sheetData sheetId="5621" refreshError="1"/>
      <sheetData sheetId="5622" refreshError="1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 refreshError="1"/>
      <sheetData sheetId="5698" refreshError="1"/>
      <sheetData sheetId="5699" refreshError="1"/>
      <sheetData sheetId="5700" refreshError="1"/>
      <sheetData sheetId="5701" refreshError="1"/>
      <sheetData sheetId="5702" refreshError="1"/>
      <sheetData sheetId="5703" refreshError="1"/>
      <sheetData sheetId="5704" refreshError="1"/>
      <sheetData sheetId="5705" refreshError="1"/>
      <sheetData sheetId="5706" refreshError="1"/>
      <sheetData sheetId="5707" refreshError="1"/>
      <sheetData sheetId="5708" refreshError="1"/>
      <sheetData sheetId="5709" refreshError="1"/>
      <sheetData sheetId="5710" refreshError="1"/>
      <sheetData sheetId="5711" refreshError="1"/>
      <sheetData sheetId="5712" refreshError="1"/>
      <sheetData sheetId="5713" refreshError="1"/>
      <sheetData sheetId="5714" refreshError="1"/>
      <sheetData sheetId="5715" refreshError="1"/>
      <sheetData sheetId="5716" refreshError="1"/>
      <sheetData sheetId="5717" refreshError="1"/>
      <sheetData sheetId="5718" refreshError="1"/>
      <sheetData sheetId="5719" refreshError="1"/>
      <sheetData sheetId="5720" refreshError="1"/>
      <sheetData sheetId="5721" refreshError="1"/>
      <sheetData sheetId="5722" refreshError="1"/>
      <sheetData sheetId="5723" refreshError="1"/>
      <sheetData sheetId="5724" refreshError="1"/>
      <sheetData sheetId="5725" refreshError="1"/>
      <sheetData sheetId="5726" refreshError="1"/>
      <sheetData sheetId="5727" refreshError="1"/>
      <sheetData sheetId="5728" refreshError="1"/>
      <sheetData sheetId="5729" refreshError="1"/>
      <sheetData sheetId="5730" refreshError="1"/>
      <sheetData sheetId="5731" refreshError="1"/>
      <sheetData sheetId="5732" refreshError="1"/>
      <sheetData sheetId="5733" refreshError="1"/>
      <sheetData sheetId="5734" refreshError="1"/>
      <sheetData sheetId="5735" refreshError="1"/>
      <sheetData sheetId="5736" refreshError="1"/>
      <sheetData sheetId="5737" refreshError="1"/>
      <sheetData sheetId="5738" refreshError="1"/>
      <sheetData sheetId="5739" refreshError="1"/>
      <sheetData sheetId="5740" refreshError="1"/>
      <sheetData sheetId="5741" refreshError="1"/>
      <sheetData sheetId="5742" refreshError="1"/>
      <sheetData sheetId="5743" refreshError="1"/>
      <sheetData sheetId="5744" refreshError="1"/>
      <sheetData sheetId="5745" refreshError="1"/>
      <sheetData sheetId="5746" refreshError="1"/>
      <sheetData sheetId="5747" refreshError="1"/>
      <sheetData sheetId="5748" refreshError="1"/>
      <sheetData sheetId="5749" refreshError="1"/>
      <sheetData sheetId="5750" refreshError="1"/>
      <sheetData sheetId="5751" refreshError="1"/>
      <sheetData sheetId="5752" refreshError="1"/>
      <sheetData sheetId="5753" refreshError="1"/>
      <sheetData sheetId="5754" refreshError="1"/>
      <sheetData sheetId="5755" refreshError="1"/>
      <sheetData sheetId="5756" refreshError="1"/>
      <sheetData sheetId="5757" refreshError="1"/>
      <sheetData sheetId="5758" refreshError="1"/>
      <sheetData sheetId="5759" refreshError="1"/>
      <sheetData sheetId="5760" refreshError="1"/>
      <sheetData sheetId="5761" refreshError="1"/>
      <sheetData sheetId="5762" refreshError="1"/>
      <sheetData sheetId="5763" refreshError="1"/>
      <sheetData sheetId="5764" refreshError="1"/>
      <sheetData sheetId="5765" refreshError="1"/>
      <sheetData sheetId="5766" refreshError="1"/>
      <sheetData sheetId="5767" refreshError="1"/>
      <sheetData sheetId="5768" refreshError="1"/>
      <sheetData sheetId="5769" refreshError="1"/>
      <sheetData sheetId="5770" refreshError="1"/>
      <sheetData sheetId="5771" refreshError="1"/>
      <sheetData sheetId="5772" refreshError="1"/>
      <sheetData sheetId="5773" refreshError="1"/>
      <sheetData sheetId="5774" refreshError="1"/>
      <sheetData sheetId="5775" refreshError="1"/>
      <sheetData sheetId="5776" refreshError="1"/>
      <sheetData sheetId="5777" refreshError="1"/>
      <sheetData sheetId="5778" refreshError="1"/>
      <sheetData sheetId="5779" refreshError="1"/>
      <sheetData sheetId="5780" refreshError="1"/>
      <sheetData sheetId="5781" refreshError="1"/>
      <sheetData sheetId="5782" refreshError="1"/>
      <sheetData sheetId="5783" refreshError="1"/>
      <sheetData sheetId="5784" refreshError="1"/>
      <sheetData sheetId="5785" refreshError="1"/>
      <sheetData sheetId="5786" refreshError="1"/>
      <sheetData sheetId="5787" refreshError="1"/>
      <sheetData sheetId="5788" refreshError="1"/>
      <sheetData sheetId="5789" refreshError="1"/>
      <sheetData sheetId="5790" refreshError="1"/>
      <sheetData sheetId="5791" refreshError="1"/>
      <sheetData sheetId="5792" refreshError="1"/>
      <sheetData sheetId="5793" refreshError="1"/>
      <sheetData sheetId="5794" refreshError="1"/>
      <sheetData sheetId="5795" refreshError="1"/>
      <sheetData sheetId="5796" refreshError="1"/>
      <sheetData sheetId="5797" refreshError="1"/>
      <sheetData sheetId="5798" refreshError="1"/>
      <sheetData sheetId="5799" refreshError="1"/>
      <sheetData sheetId="5800" refreshError="1"/>
      <sheetData sheetId="5801" refreshError="1"/>
      <sheetData sheetId="5802" refreshError="1"/>
      <sheetData sheetId="5803" refreshError="1"/>
      <sheetData sheetId="5804" refreshError="1"/>
      <sheetData sheetId="5805" refreshError="1"/>
      <sheetData sheetId="5806" refreshError="1"/>
      <sheetData sheetId="5807" refreshError="1"/>
      <sheetData sheetId="5808" refreshError="1"/>
      <sheetData sheetId="5809" refreshError="1"/>
      <sheetData sheetId="5810" refreshError="1"/>
      <sheetData sheetId="5811" refreshError="1"/>
      <sheetData sheetId="5812" refreshError="1"/>
      <sheetData sheetId="5813" refreshError="1"/>
      <sheetData sheetId="5814" refreshError="1"/>
      <sheetData sheetId="5815" refreshError="1"/>
      <sheetData sheetId="5816" refreshError="1"/>
      <sheetData sheetId="5817" refreshError="1"/>
      <sheetData sheetId="5818" refreshError="1"/>
      <sheetData sheetId="5819" refreshError="1"/>
      <sheetData sheetId="5820" refreshError="1"/>
      <sheetData sheetId="5821" refreshError="1"/>
      <sheetData sheetId="5822" refreshError="1"/>
      <sheetData sheetId="5823" refreshError="1"/>
      <sheetData sheetId="5824" refreshError="1"/>
      <sheetData sheetId="5825" refreshError="1"/>
      <sheetData sheetId="5826" refreshError="1"/>
      <sheetData sheetId="5827" refreshError="1"/>
      <sheetData sheetId="5828" refreshError="1"/>
      <sheetData sheetId="5829" refreshError="1"/>
      <sheetData sheetId="5830" refreshError="1"/>
      <sheetData sheetId="5831" refreshError="1"/>
      <sheetData sheetId="5832" refreshError="1"/>
      <sheetData sheetId="5833" refreshError="1"/>
      <sheetData sheetId="5834" refreshError="1"/>
      <sheetData sheetId="5835" refreshError="1"/>
      <sheetData sheetId="5836" refreshError="1"/>
      <sheetData sheetId="5837" refreshError="1"/>
      <sheetData sheetId="5838" refreshError="1"/>
      <sheetData sheetId="5839" refreshError="1"/>
      <sheetData sheetId="5840" refreshError="1"/>
      <sheetData sheetId="5841" refreshError="1"/>
      <sheetData sheetId="5842" refreshError="1"/>
      <sheetData sheetId="5843" refreshError="1"/>
      <sheetData sheetId="5844" refreshError="1"/>
      <sheetData sheetId="5845" refreshError="1"/>
      <sheetData sheetId="5846" refreshError="1"/>
      <sheetData sheetId="5847" refreshError="1"/>
      <sheetData sheetId="5848" refreshError="1"/>
      <sheetData sheetId="5849" refreshError="1"/>
      <sheetData sheetId="5850" refreshError="1"/>
      <sheetData sheetId="5851" refreshError="1"/>
      <sheetData sheetId="5852" refreshError="1"/>
      <sheetData sheetId="5853" refreshError="1"/>
      <sheetData sheetId="5854" refreshError="1"/>
      <sheetData sheetId="5855" refreshError="1"/>
      <sheetData sheetId="5856" refreshError="1"/>
      <sheetData sheetId="5857" refreshError="1"/>
      <sheetData sheetId="5858" refreshError="1"/>
      <sheetData sheetId="5859" refreshError="1"/>
      <sheetData sheetId="5860" refreshError="1"/>
      <sheetData sheetId="5861" refreshError="1"/>
      <sheetData sheetId="5862" refreshError="1"/>
      <sheetData sheetId="5863" refreshError="1"/>
      <sheetData sheetId="5864" refreshError="1"/>
      <sheetData sheetId="5865" refreshError="1"/>
      <sheetData sheetId="5866" refreshError="1"/>
      <sheetData sheetId="5867" refreshError="1"/>
      <sheetData sheetId="5868" refreshError="1"/>
      <sheetData sheetId="5869" refreshError="1"/>
      <sheetData sheetId="5870" refreshError="1"/>
      <sheetData sheetId="5871" refreshError="1"/>
      <sheetData sheetId="5872" refreshError="1"/>
      <sheetData sheetId="5873" refreshError="1"/>
      <sheetData sheetId="5874" refreshError="1"/>
      <sheetData sheetId="5875" refreshError="1"/>
      <sheetData sheetId="5876" refreshError="1"/>
      <sheetData sheetId="5877" refreshError="1"/>
      <sheetData sheetId="5878" refreshError="1"/>
      <sheetData sheetId="5879" refreshError="1"/>
      <sheetData sheetId="5880" refreshError="1"/>
      <sheetData sheetId="5881" refreshError="1"/>
      <sheetData sheetId="5882" refreshError="1"/>
      <sheetData sheetId="5883" refreshError="1"/>
      <sheetData sheetId="5884" refreshError="1"/>
      <sheetData sheetId="5885" refreshError="1"/>
      <sheetData sheetId="5886" refreshError="1"/>
      <sheetData sheetId="5887" refreshError="1"/>
      <sheetData sheetId="5888" refreshError="1"/>
      <sheetData sheetId="5889" refreshError="1"/>
      <sheetData sheetId="5890" refreshError="1"/>
      <sheetData sheetId="5891" refreshError="1"/>
      <sheetData sheetId="5892" refreshError="1"/>
      <sheetData sheetId="5893" refreshError="1"/>
      <sheetData sheetId="5894" refreshError="1"/>
      <sheetData sheetId="5895" refreshError="1"/>
      <sheetData sheetId="5896" refreshError="1"/>
      <sheetData sheetId="5897" refreshError="1"/>
      <sheetData sheetId="5898" refreshError="1"/>
      <sheetData sheetId="5899" refreshError="1"/>
      <sheetData sheetId="5900" refreshError="1"/>
      <sheetData sheetId="5901" refreshError="1"/>
      <sheetData sheetId="5902" refreshError="1"/>
      <sheetData sheetId="5903" refreshError="1"/>
      <sheetData sheetId="5904" refreshError="1"/>
      <sheetData sheetId="5905" refreshError="1"/>
      <sheetData sheetId="5906" refreshError="1"/>
      <sheetData sheetId="5907" refreshError="1"/>
      <sheetData sheetId="5908" refreshError="1"/>
      <sheetData sheetId="5909" refreshError="1"/>
      <sheetData sheetId="5910" refreshError="1"/>
      <sheetData sheetId="5911" refreshError="1"/>
      <sheetData sheetId="5912" refreshError="1"/>
      <sheetData sheetId="5913" refreshError="1"/>
      <sheetData sheetId="5914" refreshError="1"/>
      <sheetData sheetId="5915" refreshError="1"/>
      <sheetData sheetId="5916" refreshError="1"/>
      <sheetData sheetId="5917" refreshError="1"/>
      <sheetData sheetId="5918" refreshError="1"/>
      <sheetData sheetId="5919" refreshError="1"/>
      <sheetData sheetId="5920" refreshError="1"/>
      <sheetData sheetId="5921" refreshError="1"/>
      <sheetData sheetId="5922" refreshError="1"/>
      <sheetData sheetId="5923" refreshError="1"/>
      <sheetData sheetId="5924" refreshError="1"/>
      <sheetData sheetId="5925" refreshError="1"/>
      <sheetData sheetId="5926" refreshError="1"/>
      <sheetData sheetId="5927" refreshError="1"/>
      <sheetData sheetId="5928" refreshError="1"/>
      <sheetData sheetId="5929" refreshError="1"/>
      <sheetData sheetId="5930" refreshError="1"/>
      <sheetData sheetId="5931" refreshError="1"/>
      <sheetData sheetId="5932" refreshError="1"/>
      <sheetData sheetId="5933" refreshError="1"/>
      <sheetData sheetId="5934" refreshError="1"/>
      <sheetData sheetId="5935" refreshError="1"/>
      <sheetData sheetId="5936" refreshError="1"/>
      <sheetData sheetId="5937" refreshError="1"/>
      <sheetData sheetId="5938" refreshError="1"/>
      <sheetData sheetId="5939" refreshError="1"/>
      <sheetData sheetId="5940" refreshError="1"/>
      <sheetData sheetId="5941" refreshError="1"/>
      <sheetData sheetId="5942" refreshError="1"/>
      <sheetData sheetId="5943" refreshError="1"/>
      <sheetData sheetId="5944" refreshError="1"/>
      <sheetData sheetId="5945" refreshError="1"/>
      <sheetData sheetId="5946" refreshError="1"/>
      <sheetData sheetId="5947" refreshError="1"/>
      <sheetData sheetId="5948" refreshError="1"/>
      <sheetData sheetId="5949" refreshError="1"/>
      <sheetData sheetId="5950" refreshError="1"/>
      <sheetData sheetId="5951" refreshError="1"/>
      <sheetData sheetId="5952" refreshError="1"/>
      <sheetData sheetId="5953" refreshError="1"/>
      <sheetData sheetId="5954" refreshError="1"/>
      <sheetData sheetId="5955" refreshError="1"/>
      <sheetData sheetId="5956" refreshError="1"/>
      <sheetData sheetId="5957" refreshError="1"/>
      <sheetData sheetId="5958" refreshError="1"/>
      <sheetData sheetId="5959" refreshError="1"/>
      <sheetData sheetId="5960" refreshError="1"/>
      <sheetData sheetId="5961" refreshError="1"/>
      <sheetData sheetId="5962" refreshError="1"/>
      <sheetData sheetId="5963" refreshError="1"/>
      <sheetData sheetId="5964" refreshError="1"/>
      <sheetData sheetId="5965" refreshError="1"/>
      <sheetData sheetId="5966" refreshError="1"/>
      <sheetData sheetId="5967" refreshError="1"/>
      <sheetData sheetId="5968" refreshError="1"/>
      <sheetData sheetId="5969" refreshError="1"/>
      <sheetData sheetId="5970" refreshError="1"/>
      <sheetData sheetId="5971" refreshError="1"/>
      <sheetData sheetId="5972" refreshError="1"/>
      <sheetData sheetId="5973" refreshError="1"/>
      <sheetData sheetId="5974" refreshError="1"/>
      <sheetData sheetId="5975" refreshError="1"/>
      <sheetData sheetId="5976" refreshError="1"/>
      <sheetData sheetId="5977" refreshError="1"/>
      <sheetData sheetId="5978" refreshError="1"/>
      <sheetData sheetId="5979" refreshError="1"/>
      <sheetData sheetId="5980" refreshError="1"/>
      <sheetData sheetId="5981" refreshError="1"/>
      <sheetData sheetId="5982" refreshError="1"/>
      <sheetData sheetId="5983" refreshError="1"/>
      <sheetData sheetId="5984" refreshError="1"/>
      <sheetData sheetId="5985" refreshError="1"/>
      <sheetData sheetId="5986" refreshError="1"/>
      <sheetData sheetId="5987" refreshError="1"/>
      <sheetData sheetId="5988" refreshError="1"/>
      <sheetData sheetId="5989" refreshError="1"/>
      <sheetData sheetId="5990" refreshError="1"/>
      <sheetData sheetId="5991" refreshError="1"/>
      <sheetData sheetId="5992" refreshError="1"/>
      <sheetData sheetId="5993" refreshError="1"/>
      <sheetData sheetId="5994" refreshError="1"/>
      <sheetData sheetId="5995" refreshError="1"/>
      <sheetData sheetId="5996" refreshError="1"/>
      <sheetData sheetId="5997" refreshError="1"/>
      <sheetData sheetId="5998" refreshError="1"/>
      <sheetData sheetId="5999" refreshError="1"/>
      <sheetData sheetId="6000" refreshError="1"/>
      <sheetData sheetId="6001" refreshError="1"/>
      <sheetData sheetId="6002" refreshError="1"/>
      <sheetData sheetId="6003" refreshError="1"/>
      <sheetData sheetId="6004" refreshError="1"/>
      <sheetData sheetId="6005" refreshError="1"/>
      <sheetData sheetId="6006" refreshError="1"/>
      <sheetData sheetId="6007" refreshError="1"/>
      <sheetData sheetId="6008" refreshError="1"/>
      <sheetData sheetId="6009" refreshError="1"/>
      <sheetData sheetId="6010" refreshError="1"/>
      <sheetData sheetId="6011" refreshError="1"/>
      <sheetData sheetId="6012" refreshError="1"/>
      <sheetData sheetId="6013" refreshError="1"/>
      <sheetData sheetId="6014" refreshError="1"/>
      <sheetData sheetId="6015" refreshError="1"/>
      <sheetData sheetId="6016" refreshError="1"/>
      <sheetData sheetId="6017" refreshError="1"/>
      <sheetData sheetId="6018" refreshError="1"/>
      <sheetData sheetId="6019" refreshError="1"/>
      <sheetData sheetId="6020" refreshError="1"/>
      <sheetData sheetId="6021" refreshError="1"/>
      <sheetData sheetId="6022" refreshError="1"/>
      <sheetData sheetId="6023" refreshError="1"/>
      <sheetData sheetId="6024" refreshError="1"/>
      <sheetData sheetId="6025" refreshError="1"/>
      <sheetData sheetId="6026" refreshError="1"/>
      <sheetData sheetId="6027" refreshError="1"/>
      <sheetData sheetId="6028" refreshError="1"/>
      <sheetData sheetId="6029" refreshError="1"/>
      <sheetData sheetId="6030" refreshError="1"/>
      <sheetData sheetId="6031" refreshError="1"/>
      <sheetData sheetId="6032" refreshError="1"/>
      <sheetData sheetId="6033" refreshError="1"/>
      <sheetData sheetId="6034" refreshError="1"/>
      <sheetData sheetId="6035" refreshError="1"/>
      <sheetData sheetId="6036" refreshError="1"/>
      <sheetData sheetId="6037" refreshError="1"/>
      <sheetData sheetId="6038" refreshError="1"/>
      <sheetData sheetId="6039" refreshError="1"/>
      <sheetData sheetId="6040" refreshError="1"/>
      <sheetData sheetId="6041" refreshError="1"/>
      <sheetData sheetId="6042" refreshError="1"/>
      <sheetData sheetId="6043" refreshError="1"/>
      <sheetData sheetId="6044" refreshError="1"/>
      <sheetData sheetId="6045" refreshError="1"/>
      <sheetData sheetId="6046" refreshError="1"/>
      <sheetData sheetId="6047" refreshError="1"/>
      <sheetData sheetId="6048" refreshError="1"/>
      <sheetData sheetId="6049" refreshError="1"/>
      <sheetData sheetId="6050" refreshError="1"/>
      <sheetData sheetId="6051" refreshError="1"/>
      <sheetData sheetId="6052" refreshError="1"/>
      <sheetData sheetId="6053" refreshError="1"/>
      <sheetData sheetId="6054" refreshError="1"/>
      <sheetData sheetId="6055" refreshError="1"/>
      <sheetData sheetId="6056" refreshError="1"/>
      <sheetData sheetId="6057" refreshError="1"/>
      <sheetData sheetId="6058" refreshError="1"/>
      <sheetData sheetId="6059" refreshError="1"/>
      <sheetData sheetId="6060" refreshError="1"/>
      <sheetData sheetId="6061" refreshError="1"/>
      <sheetData sheetId="6062" refreshError="1"/>
      <sheetData sheetId="6063" refreshError="1"/>
      <sheetData sheetId="6064" refreshError="1"/>
      <sheetData sheetId="6065" refreshError="1"/>
      <sheetData sheetId="6066" refreshError="1"/>
      <sheetData sheetId="6067" refreshError="1"/>
      <sheetData sheetId="6068" refreshError="1"/>
      <sheetData sheetId="6069" refreshError="1"/>
      <sheetData sheetId="6070" refreshError="1"/>
      <sheetData sheetId="6071" refreshError="1"/>
      <sheetData sheetId="6072" refreshError="1"/>
      <sheetData sheetId="6073" refreshError="1"/>
      <sheetData sheetId="6074" refreshError="1"/>
      <sheetData sheetId="6075" refreshError="1"/>
      <sheetData sheetId="6076" refreshError="1"/>
      <sheetData sheetId="6077" refreshError="1"/>
      <sheetData sheetId="6078" refreshError="1"/>
      <sheetData sheetId="6079" refreshError="1"/>
      <sheetData sheetId="6080" refreshError="1"/>
      <sheetData sheetId="6081" refreshError="1"/>
      <sheetData sheetId="6082" refreshError="1"/>
      <sheetData sheetId="6083" refreshError="1"/>
      <sheetData sheetId="6084" refreshError="1"/>
      <sheetData sheetId="6085" refreshError="1"/>
      <sheetData sheetId="6086" refreshError="1"/>
      <sheetData sheetId="6087" refreshError="1"/>
      <sheetData sheetId="6088" refreshError="1"/>
      <sheetData sheetId="6089" refreshError="1"/>
      <sheetData sheetId="6090" refreshError="1"/>
      <sheetData sheetId="6091" refreshError="1"/>
      <sheetData sheetId="6092" refreshError="1"/>
      <sheetData sheetId="6093" refreshError="1"/>
      <sheetData sheetId="6094" refreshError="1"/>
      <sheetData sheetId="6095" refreshError="1"/>
      <sheetData sheetId="6096" refreshError="1"/>
      <sheetData sheetId="6097" refreshError="1"/>
      <sheetData sheetId="6098" refreshError="1"/>
      <sheetData sheetId="6099" refreshError="1"/>
      <sheetData sheetId="6100" refreshError="1"/>
      <sheetData sheetId="6101" refreshError="1"/>
      <sheetData sheetId="6102" refreshError="1"/>
      <sheetData sheetId="6103" refreshError="1"/>
      <sheetData sheetId="6104" refreshError="1"/>
      <sheetData sheetId="6105" refreshError="1"/>
      <sheetData sheetId="6106" refreshError="1"/>
      <sheetData sheetId="6107" refreshError="1"/>
      <sheetData sheetId="6108" refreshError="1"/>
      <sheetData sheetId="6109" refreshError="1"/>
      <sheetData sheetId="6110" refreshError="1"/>
      <sheetData sheetId="6111" refreshError="1"/>
      <sheetData sheetId="6112" refreshError="1"/>
      <sheetData sheetId="6113" refreshError="1"/>
      <sheetData sheetId="6114" refreshError="1"/>
      <sheetData sheetId="6115" refreshError="1"/>
      <sheetData sheetId="6116" refreshError="1"/>
      <sheetData sheetId="6117" refreshError="1"/>
      <sheetData sheetId="6118" refreshError="1"/>
      <sheetData sheetId="6119" refreshError="1"/>
      <sheetData sheetId="6120" refreshError="1"/>
      <sheetData sheetId="6121" refreshError="1"/>
      <sheetData sheetId="6122" refreshError="1"/>
      <sheetData sheetId="6123" refreshError="1"/>
      <sheetData sheetId="6124" refreshError="1"/>
      <sheetData sheetId="6125" refreshError="1"/>
      <sheetData sheetId="6126" refreshError="1"/>
      <sheetData sheetId="6127" refreshError="1"/>
      <sheetData sheetId="6128" refreshError="1"/>
      <sheetData sheetId="6129" refreshError="1"/>
      <sheetData sheetId="6130" refreshError="1"/>
      <sheetData sheetId="6131" refreshError="1"/>
      <sheetData sheetId="6132" refreshError="1"/>
      <sheetData sheetId="6133" refreshError="1"/>
      <sheetData sheetId="6134" refreshError="1"/>
      <sheetData sheetId="6135" refreshError="1"/>
      <sheetData sheetId="6136" refreshError="1"/>
      <sheetData sheetId="6137" refreshError="1"/>
      <sheetData sheetId="6138" refreshError="1"/>
      <sheetData sheetId="6139" refreshError="1"/>
      <sheetData sheetId="6140" refreshError="1"/>
      <sheetData sheetId="6141" refreshError="1"/>
      <sheetData sheetId="6142" refreshError="1"/>
      <sheetData sheetId="6143" refreshError="1"/>
      <sheetData sheetId="6144" refreshError="1"/>
      <sheetData sheetId="6145" refreshError="1"/>
      <sheetData sheetId="6146" refreshError="1"/>
      <sheetData sheetId="6147" refreshError="1"/>
      <sheetData sheetId="6148" refreshError="1"/>
      <sheetData sheetId="6149" refreshError="1"/>
      <sheetData sheetId="6150" refreshError="1"/>
      <sheetData sheetId="6151" refreshError="1"/>
      <sheetData sheetId="6152" refreshError="1"/>
      <sheetData sheetId="6153" refreshError="1"/>
      <sheetData sheetId="6154" refreshError="1"/>
      <sheetData sheetId="6155" refreshError="1"/>
      <sheetData sheetId="6156" refreshError="1"/>
      <sheetData sheetId="6157" refreshError="1"/>
      <sheetData sheetId="6158" refreshError="1"/>
      <sheetData sheetId="6159" refreshError="1"/>
      <sheetData sheetId="6160" refreshError="1"/>
      <sheetData sheetId="6161" refreshError="1"/>
      <sheetData sheetId="6162" refreshError="1"/>
      <sheetData sheetId="6163" refreshError="1"/>
      <sheetData sheetId="6164" refreshError="1"/>
      <sheetData sheetId="6165" refreshError="1"/>
      <sheetData sheetId="6166" refreshError="1"/>
      <sheetData sheetId="6167" refreshError="1"/>
      <sheetData sheetId="6168" refreshError="1"/>
      <sheetData sheetId="6169" refreshError="1"/>
      <sheetData sheetId="6170" refreshError="1"/>
      <sheetData sheetId="6171" refreshError="1"/>
      <sheetData sheetId="6172" refreshError="1"/>
      <sheetData sheetId="6173" refreshError="1"/>
      <sheetData sheetId="6174" refreshError="1"/>
      <sheetData sheetId="6175" refreshError="1"/>
      <sheetData sheetId="6176" refreshError="1"/>
      <sheetData sheetId="6177" refreshError="1"/>
      <sheetData sheetId="6178" refreshError="1"/>
      <sheetData sheetId="6179" refreshError="1"/>
      <sheetData sheetId="6180" refreshError="1"/>
      <sheetData sheetId="6181" refreshError="1"/>
      <sheetData sheetId="6182" refreshError="1"/>
      <sheetData sheetId="6183" refreshError="1"/>
      <sheetData sheetId="6184" refreshError="1"/>
      <sheetData sheetId="6185" refreshError="1"/>
      <sheetData sheetId="6186" refreshError="1"/>
      <sheetData sheetId="6187" refreshError="1"/>
      <sheetData sheetId="6188" refreshError="1"/>
      <sheetData sheetId="6189" refreshError="1"/>
      <sheetData sheetId="6190" refreshError="1"/>
      <sheetData sheetId="6191" refreshError="1"/>
      <sheetData sheetId="6192" refreshError="1"/>
      <sheetData sheetId="6193" refreshError="1"/>
      <sheetData sheetId="6194" refreshError="1"/>
      <sheetData sheetId="6195" refreshError="1"/>
      <sheetData sheetId="6196" refreshError="1"/>
      <sheetData sheetId="6197" refreshError="1"/>
      <sheetData sheetId="6198" refreshError="1"/>
      <sheetData sheetId="6199" refreshError="1"/>
      <sheetData sheetId="6200" refreshError="1"/>
      <sheetData sheetId="6201" refreshError="1"/>
      <sheetData sheetId="6202" refreshError="1"/>
      <sheetData sheetId="6203" refreshError="1"/>
      <sheetData sheetId="6204" refreshError="1"/>
      <sheetData sheetId="6205" refreshError="1"/>
      <sheetData sheetId="6206" refreshError="1"/>
      <sheetData sheetId="6207" refreshError="1"/>
      <sheetData sheetId="6208" refreshError="1"/>
      <sheetData sheetId="6209" refreshError="1"/>
      <sheetData sheetId="6210" refreshError="1"/>
      <sheetData sheetId="6211" refreshError="1"/>
      <sheetData sheetId="6212" refreshError="1"/>
      <sheetData sheetId="6213" refreshError="1"/>
      <sheetData sheetId="6214" refreshError="1"/>
      <sheetData sheetId="6215" refreshError="1"/>
      <sheetData sheetId="6216" refreshError="1"/>
      <sheetData sheetId="6217" refreshError="1"/>
      <sheetData sheetId="6218" refreshError="1"/>
      <sheetData sheetId="6219" refreshError="1"/>
      <sheetData sheetId="6220" refreshError="1"/>
      <sheetData sheetId="6221" refreshError="1"/>
      <sheetData sheetId="6222" refreshError="1"/>
      <sheetData sheetId="6223" refreshError="1"/>
      <sheetData sheetId="6224" refreshError="1"/>
      <sheetData sheetId="6225" refreshError="1"/>
      <sheetData sheetId="6226" refreshError="1"/>
      <sheetData sheetId="6227" refreshError="1"/>
      <sheetData sheetId="6228" refreshError="1"/>
      <sheetData sheetId="6229" refreshError="1"/>
      <sheetData sheetId="6230" refreshError="1"/>
      <sheetData sheetId="6231" refreshError="1"/>
      <sheetData sheetId="6232" refreshError="1"/>
      <sheetData sheetId="6233" refreshError="1"/>
      <sheetData sheetId="6234" refreshError="1"/>
      <sheetData sheetId="6235" refreshError="1"/>
      <sheetData sheetId="6236" refreshError="1"/>
      <sheetData sheetId="6237" refreshError="1"/>
      <sheetData sheetId="6238" refreshError="1"/>
      <sheetData sheetId="6239" refreshError="1"/>
      <sheetData sheetId="6240" refreshError="1"/>
      <sheetData sheetId="6241" refreshError="1"/>
      <sheetData sheetId="6242" refreshError="1"/>
      <sheetData sheetId="6243" refreshError="1"/>
      <sheetData sheetId="6244" refreshError="1"/>
      <sheetData sheetId="6245" refreshError="1"/>
      <sheetData sheetId="6246" refreshError="1"/>
      <sheetData sheetId="6247" refreshError="1"/>
      <sheetData sheetId="6248" refreshError="1"/>
      <sheetData sheetId="6249" refreshError="1"/>
      <sheetData sheetId="6250" refreshError="1"/>
      <sheetData sheetId="6251" refreshError="1"/>
      <sheetData sheetId="6252" refreshError="1"/>
      <sheetData sheetId="6253" refreshError="1"/>
      <sheetData sheetId="6254" refreshError="1"/>
      <sheetData sheetId="6255" refreshError="1"/>
      <sheetData sheetId="6256" refreshError="1"/>
      <sheetData sheetId="6257" refreshError="1"/>
      <sheetData sheetId="6258" refreshError="1"/>
      <sheetData sheetId="6259" refreshError="1"/>
      <sheetData sheetId="6260" refreshError="1"/>
      <sheetData sheetId="6261" refreshError="1"/>
      <sheetData sheetId="6262" refreshError="1"/>
      <sheetData sheetId="6263" refreshError="1"/>
      <sheetData sheetId="6264" refreshError="1"/>
      <sheetData sheetId="6265" refreshError="1"/>
      <sheetData sheetId="6266" refreshError="1"/>
      <sheetData sheetId="6267" refreshError="1"/>
      <sheetData sheetId="6268" refreshError="1"/>
      <sheetData sheetId="6269" refreshError="1"/>
      <sheetData sheetId="6270" refreshError="1"/>
      <sheetData sheetId="6271" refreshError="1"/>
      <sheetData sheetId="6272" refreshError="1"/>
      <sheetData sheetId="6273" refreshError="1"/>
      <sheetData sheetId="6274" refreshError="1"/>
      <sheetData sheetId="6275" refreshError="1"/>
      <sheetData sheetId="6276" refreshError="1"/>
      <sheetData sheetId="6277" refreshError="1"/>
      <sheetData sheetId="6278" refreshError="1"/>
      <sheetData sheetId="6279" refreshError="1"/>
      <sheetData sheetId="6280" refreshError="1"/>
      <sheetData sheetId="6281" refreshError="1"/>
      <sheetData sheetId="6282" refreshError="1"/>
      <sheetData sheetId="6283" refreshError="1"/>
      <sheetData sheetId="6284" refreshError="1"/>
      <sheetData sheetId="6285" refreshError="1"/>
      <sheetData sheetId="6286" refreshError="1"/>
      <sheetData sheetId="6287" refreshError="1"/>
      <sheetData sheetId="6288" refreshError="1"/>
      <sheetData sheetId="6289" refreshError="1"/>
      <sheetData sheetId="6290" refreshError="1"/>
      <sheetData sheetId="6291" refreshError="1"/>
      <sheetData sheetId="6292" refreshError="1"/>
      <sheetData sheetId="6293" refreshError="1"/>
      <sheetData sheetId="6294" refreshError="1"/>
      <sheetData sheetId="6295" refreshError="1"/>
      <sheetData sheetId="6296" refreshError="1"/>
      <sheetData sheetId="6297" refreshError="1"/>
      <sheetData sheetId="6298" refreshError="1"/>
      <sheetData sheetId="6299" refreshError="1"/>
      <sheetData sheetId="6300" refreshError="1"/>
      <sheetData sheetId="6301" refreshError="1"/>
      <sheetData sheetId="6302" refreshError="1"/>
      <sheetData sheetId="6303" refreshError="1"/>
      <sheetData sheetId="6304" refreshError="1"/>
      <sheetData sheetId="6305" refreshError="1"/>
      <sheetData sheetId="6306" refreshError="1"/>
      <sheetData sheetId="6307" refreshError="1"/>
      <sheetData sheetId="6308" refreshError="1"/>
      <sheetData sheetId="6309" refreshError="1"/>
      <sheetData sheetId="6310" refreshError="1"/>
      <sheetData sheetId="6311" refreshError="1"/>
      <sheetData sheetId="6312" refreshError="1"/>
      <sheetData sheetId="6313" refreshError="1"/>
      <sheetData sheetId="6314" refreshError="1"/>
      <sheetData sheetId="6315" refreshError="1"/>
      <sheetData sheetId="6316" refreshError="1"/>
      <sheetData sheetId="6317" refreshError="1"/>
      <sheetData sheetId="6318" refreshError="1"/>
      <sheetData sheetId="6319" refreshError="1"/>
      <sheetData sheetId="6320" refreshError="1"/>
      <sheetData sheetId="6321" refreshError="1"/>
      <sheetData sheetId="6322" refreshError="1"/>
      <sheetData sheetId="6323" refreshError="1"/>
      <sheetData sheetId="6324" refreshError="1"/>
      <sheetData sheetId="6325" refreshError="1"/>
      <sheetData sheetId="6326" refreshError="1"/>
      <sheetData sheetId="6327" refreshError="1"/>
      <sheetData sheetId="6328" refreshError="1"/>
      <sheetData sheetId="6329" refreshError="1"/>
      <sheetData sheetId="6330" refreshError="1"/>
      <sheetData sheetId="6331" refreshError="1"/>
      <sheetData sheetId="6332" refreshError="1"/>
      <sheetData sheetId="6333" refreshError="1"/>
      <sheetData sheetId="6334" refreshError="1"/>
      <sheetData sheetId="6335" refreshError="1"/>
      <sheetData sheetId="6336" refreshError="1"/>
      <sheetData sheetId="6337" refreshError="1"/>
      <sheetData sheetId="6338" refreshError="1"/>
      <sheetData sheetId="6339" refreshError="1"/>
      <sheetData sheetId="6340" refreshError="1"/>
      <sheetData sheetId="6341" refreshError="1"/>
      <sheetData sheetId="6342" refreshError="1"/>
      <sheetData sheetId="6343" refreshError="1"/>
      <sheetData sheetId="6344" refreshError="1"/>
      <sheetData sheetId="6345" refreshError="1"/>
      <sheetData sheetId="6346" refreshError="1"/>
      <sheetData sheetId="6347" refreshError="1"/>
      <sheetData sheetId="6348" refreshError="1"/>
      <sheetData sheetId="6349" refreshError="1"/>
      <sheetData sheetId="6350" refreshError="1"/>
      <sheetData sheetId="6351" refreshError="1"/>
      <sheetData sheetId="6352" refreshError="1"/>
      <sheetData sheetId="6353" refreshError="1"/>
      <sheetData sheetId="6354" refreshError="1"/>
      <sheetData sheetId="6355" refreshError="1"/>
      <sheetData sheetId="6356" refreshError="1"/>
      <sheetData sheetId="6357" refreshError="1"/>
      <sheetData sheetId="6358" refreshError="1"/>
      <sheetData sheetId="6359" refreshError="1"/>
      <sheetData sheetId="6360" refreshError="1"/>
      <sheetData sheetId="6361" refreshError="1"/>
      <sheetData sheetId="6362" refreshError="1"/>
      <sheetData sheetId="6363" refreshError="1"/>
      <sheetData sheetId="6364" refreshError="1"/>
      <sheetData sheetId="6365" refreshError="1"/>
      <sheetData sheetId="6366" refreshError="1"/>
      <sheetData sheetId="6367" refreshError="1"/>
      <sheetData sheetId="6368" refreshError="1"/>
      <sheetData sheetId="6369" refreshError="1"/>
      <sheetData sheetId="6370" refreshError="1"/>
      <sheetData sheetId="6371" refreshError="1"/>
      <sheetData sheetId="6372" refreshError="1"/>
      <sheetData sheetId="6373" refreshError="1"/>
      <sheetData sheetId="6374" refreshError="1"/>
      <sheetData sheetId="6375" refreshError="1"/>
      <sheetData sheetId="6376" refreshError="1"/>
      <sheetData sheetId="6377" refreshError="1"/>
      <sheetData sheetId="6378" refreshError="1"/>
      <sheetData sheetId="6379" refreshError="1"/>
      <sheetData sheetId="6380" refreshError="1"/>
      <sheetData sheetId="6381" refreshError="1"/>
      <sheetData sheetId="6382" refreshError="1"/>
      <sheetData sheetId="6383" refreshError="1"/>
      <sheetData sheetId="6384" refreshError="1"/>
      <sheetData sheetId="6385" refreshError="1"/>
      <sheetData sheetId="6386" refreshError="1"/>
      <sheetData sheetId="6387" refreshError="1"/>
      <sheetData sheetId="6388" refreshError="1"/>
      <sheetData sheetId="6389" refreshError="1"/>
      <sheetData sheetId="6390" refreshError="1"/>
      <sheetData sheetId="6391" refreshError="1"/>
      <sheetData sheetId="6392" refreshError="1"/>
      <sheetData sheetId="6393" refreshError="1"/>
      <sheetData sheetId="6394" refreshError="1"/>
      <sheetData sheetId="6395" refreshError="1"/>
      <sheetData sheetId="6396" refreshError="1"/>
      <sheetData sheetId="6397" refreshError="1"/>
      <sheetData sheetId="6398" refreshError="1"/>
      <sheetData sheetId="6399" refreshError="1"/>
      <sheetData sheetId="6400" refreshError="1"/>
      <sheetData sheetId="6401" refreshError="1"/>
      <sheetData sheetId="6402" refreshError="1"/>
      <sheetData sheetId="6403" refreshError="1"/>
      <sheetData sheetId="6404" refreshError="1"/>
      <sheetData sheetId="6405" refreshError="1"/>
      <sheetData sheetId="6406" refreshError="1"/>
      <sheetData sheetId="6407" refreshError="1"/>
      <sheetData sheetId="6408" refreshError="1"/>
      <sheetData sheetId="6409" refreshError="1"/>
      <sheetData sheetId="6410" refreshError="1"/>
      <sheetData sheetId="6411" refreshError="1"/>
      <sheetData sheetId="6412" refreshError="1"/>
      <sheetData sheetId="6413" refreshError="1"/>
      <sheetData sheetId="6414" refreshError="1"/>
      <sheetData sheetId="6415" refreshError="1"/>
      <sheetData sheetId="6416" refreshError="1"/>
      <sheetData sheetId="6417" refreshError="1"/>
      <sheetData sheetId="6418" refreshError="1"/>
      <sheetData sheetId="6419" refreshError="1"/>
      <sheetData sheetId="6420" refreshError="1"/>
      <sheetData sheetId="6421" refreshError="1"/>
      <sheetData sheetId="6422" refreshError="1"/>
      <sheetData sheetId="6423" refreshError="1"/>
      <sheetData sheetId="6424" refreshError="1"/>
      <sheetData sheetId="6425" refreshError="1"/>
      <sheetData sheetId="6426" refreshError="1"/>
      <sheetData sheetId="6427" refreshError="1"/>
      <sheetData sheetId="6428" refreshError="1"/>
      <sheetData sheetId="6429" refreshError="1"/>
      <sheetData sheetId="6430" refreshError="1"/>
      <sheetData sheetId="6431" refreshError="1"/>
      <sheetData sheetId="6432" refreshError="1"/>
      <sheetData sheetId="6433" refreshError="1"/>
      <sheetData sheetId="6434" refreshError="1"/>
      <sheetData sheetId="6435" refreshError="1"/>
      <sheetData sheetId="6436" refreshError="1"/>
      <sheetData sheetId="6437" refreshError="1"/>
      <sheetData sheetId="6438" refreshError="1"/>
      <sheetData sheetId="6439" refreshError="1"/>
      <sheetData sheetId="6440" refreshError="1"/>
      <sheetData sheetId="6441" refreshError="1"/>
      <sheetData sheetId="6442" refreshError="1"/>
      <sheetData sheetId="6443" refreshError="1"/>
      <sheetData sheetId="6444" refreshError="1"/>
      <sheetData sheetId="6445" refreshError="1"/>
      <sheetData sheetId="6446" refreshError="1"/>
      <sheetData sheetId="6447" refreshError="1"/>
      <sheetData sheetId="6448" refreshError="1"/>
      <sheetData sheetId="6449" refreshError="1"/>
      <sheetData sheetId="6450" refreshError="1"/>
      <sheetData sheetId="6451" refreshError="1"/>
      <sheetData sheetId="6452" refreshError="1"/>
      <sheetData sheetId="6453" refreshError="1"/>
      <sheetData sheetId="6454" refreshError="1"/>
      <sheetData sheetId="6455" refreshError="1"/>
      <sheetData sheetId="6456" refreshError="1"/>
      <sheetData sheetId="6457" refreshError="1"/>
      <sheetData sheetId="6458" refreshError="1"/>
      <sheetData sheetId="6459" refreshError="1"/>
      <sheetData sheetId="6460" refreshError="1"/>
      <sheetData sheetId="6461" refreshError="1"/>
      <sheetData sheetId="6462" refreshError="1"/>
      <sheetData sheetId="6463" refreshError="1"/>
      <sheetData sheetId="6464" refreshError="1"/>
      <sheetData sheetId="6465" refreshError="1"/>
      <sheetData sheetId="6466" refreshError="1"/>
      <sheetData sheetId="6467" refreshError="1"/>
      <sheetData sheetId="6468" refreshError="1"/>
      <sheetData sheetId="6469" refreshError="1"/>
      <sheetData sheetId="6470" refreshError="1"/>
      <sheetData sheetId="6471" refreshError="1"/>
      <sheetData sheetId="6472" refreshError="1"/>
      <sheetData sheetId="6473" refreshError="1"/>
      <sheetData sheetId="6474" refreshError="1"/>
      <sheetData sheetId="6475" refreshError="1"/>
      <sheetData sheetId="6476" refreshError="1"/>
      <sheetData sheetId="6477" refreshError="1"/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 refreshError="1"/>
      <sheetData sheetId="6613" refreshError="1"/>
      <sheetData sheetId="6614" refreshError="1"/>
      <sheetData sheetId="6615" refreshError="1"/>
      <sheetData sheetId="6616" refreshError="1"/>
      <sheetData sheetId="6617" refreshError="1"/>
      <sheetData sheetId="6618" refreshError="1"/>
      <sheetData sheetId="6619" refreshError="1"/>
      <sheetData sheetId="6620" refreshError="1"/>
      <sheetData sheetId="6621" refreshError="1"/>
      <sheetData sheetId="6622" refreshError="1"/>
      <sheetData sheetId="6623" refreshError="1"/>
      <sheetData sheetId="6624" refreshError="1"/>
      <sheetData sheetId="6625" refreshError="1"/>
      <sheetData sheetId="6626" refreshError="1"/>
      <sheetData sheetId="6627" refreshError="1"/>
      <sheetData sheetId="6628" refreshError="1"/>
      <sheetData sheetId="6629" refreshError="1"/>
      <sheetData sheetId="6630" refreshError="1"/>
      <sheetData sheetId="6631" refreshError="1"/>
      <sheetData sheetId="6632" refreshError="1"/>
      <sheetData sheetId="6633" refreshError="1"/>
      <sheetData sheetId="6634" refreshError="1"/>
      <sheetData sheetId="6635" refreshError="1"/>
      <sheetData sheetId="6636" refreshError="1"/>
      <sheetData sheetId="6637" refreshError="1"/>
      <sheetData sheetId="6638" refreshError="1"/>
      <sheetData sheetId="6639" refreshError="1"/>
      <sheetData sheetId="6640" refreshError="1"/>
      <sheetData sheetId="6641" refreshError="1"/>
      <sheetData sheetId="6642" refreshError="1"/>
      <sheetData sheetId="6643" refreshError="1"/>
      <sheetData sheetId="6644" refreshError="1"/>
      <sheetData sheetId="6645" refreshError="1"/>
      <sheetData sheetId="6646" refreshError="1"/>
      <sheetData sheetId="6647" refreshError="1"/>
      <sheetData sheetId="6648" refreshError="1"/>
      <sheetData sheetId="6649" refreshError="1"/>
      <sheetData sheetId="6650" refreshError="1"/>
      <sheetData sheetId="6651" refreshError="1"/>
      <sheetData sheetId="6652" refreshError="1"/>
      <sheetData sheetId="6653" refreshError="1"/>
      <sheetData sheetId="6654" refreshError="1"/>
      <sheetData sheetId="6655" refreshError="1"/>
      <sheetData sheetId="6656" refreshError="1"/>
      <sheetData sheetId="6657" refreshError="1"/>
      <sheetData sheetId="6658" refreshError="1"/>
      <sheetData sheetId="6659" refreshError="1"/>
      <sheetData sheetId="6660" refreshError="1"/>
      <sheetData sheetId="6661" refreshError="1"/>
      <sheetData sheetId="6662" refreshError="1"/>
      <sheetData sheetId="6663" refreshError="1"/>
      <sheetData sheetId="6664" refreshError="1"/>
      <sheetData sheetId="6665" refreshError="1"/>
      <sheetData sheetId="6666" refreshError="1"/>
      <sheetData sheetId="6667" refreshError="1"/>
      <sheetData sheetId="6668" refreshError="1"/>
      <sheetData sheetId="6669" refreshError="1"/>
      <sheetData sheetId="6670" refreshError="1"/>
      <sheetData sheetId="6671" refreshError="1"/>
      <sheetData sheetId="6672" refreshError="1"/>
      <sheetData sheetId="6673" refreshError="1"/>
      <sheetData sheetId="6674" refreshError="1"/>
      <sheetData sheetId="6675" refreshError="1"/>
      <sheetData sheetId="6676" refreshError="1"/>
      <sheetData sheetId="6677" refreshError="1"/>
      <sheetData sheetId="6678" refreshError="1"/>
      <sheetData sheetId="6679" refreshError="1"/>
      <sheetData sheetId="6680" refreshError="1"/>
      <sheetData sheetId="6681" refreshError="1"/>
      <sheetData sheetId="6682" refreshError="1"/>
      <sheetData sheetId="6683" refreshError="1"/>
      <sheetData sheetId="6684" refreshError="1"/>
      <sheetData sheetId="6685" refreshError="1"/>
      <sheetData sheetId="6686" refreshError="1"/>
      <sheetData sheetId="6687" refreshError="1"/>
      <sheetData sheetId="6688" refreshError="1"/>
      <sheetData sheetId="6689" refreshError="1"/>
      <sheetData sheetId="6690" refreshError="1"/>
      <sheetData sheetId="6691" refreshError="1"/>
      <sheetData sheetId="6692" refreshError="1"/>
      <sheetData sheetId="6693" refreshError="1"/>
      <sheetData sheetId="6694" refreshError="1"/>
      <sheetData sheetId="6695" refreshError="1"/>
      <sheetData sheetId="6696" refreshError="1"/>
      <sheetData sheetId="6697" refreshError="1"/>
      <sheetData sheetId="6698" refreshError="1"/>
      <sheetData sheetId="6699" refreshError="1"/>
      <sheetData sheetId="6700" refreshError="1"/>
      <sheetData sheetId="6701" refreshError="1"/>
      <sheetData sheetId="6702" refreshError="1"/>
      <sheetData sheetId="6703" refreshError="1"/>
      <sheetData sheetId="6704" refreshError="1"/>
      <sheetData sheetId="6705" refreshError="1"/>
      <sheetData sheetId="6706" refreshError="1"/>
      <sheetData sheetId="6707" refreshError="1"/>
      <sheetData sheetId="6708" refreshError="1"/>
      <sheetData sheetId="6709" refreshError="1"/>
      <sheetData sheetId="6710" refreshError="1"/>
      <sheetData sheetId="6711" refreshError="1"/>
      <sheetData sheetId="6712" refreshError="1"/>
      <sheetData sheetId="6713" refreshError="1"/>
      <sheetData sheetId="6714" refreshError="1"/>
      <sheetData sheetId="6715" refreshError="1"/>
      <sheetData sheetId="6716" refreshError="1"/>
      <sheetData sheetId="6717" refreshError="1"/>
      <sheetData sheetId="6718" refreshError="1"/>
      <sheetData sheetId="6719" refreshError="1"/>
      <sheetData sheetId="6720" refreshError="1"/>
      <sheetData sheetId="6721" refreshError="1"/>
      <sheetData sheetId="6722" refreshError="1"/>
      <sheetData sheetId="6723" refreshError="1"/>
      <sheetData sheetId="6724" refreshError="1"/>
      <sheetData sheetId="6725" refreshError="1"/>
      <sheetData sheetId="6726" refreshError="1"/>
      <sheetData sheetId="6727" refreshError="1"/>
      <sheetData sheetId="6728" refreshError="1"/>
      <sheetData sheetId="6729" refreshError="1"/>
      <sheetData sheetId="6730" refreshError="1"/>
      <sheetData sheetId="6731" refreshError="1"/>
      <sheetData sheetId="6732" refreshError="1"/>
      <sheetData sheetId="6733" refreshError="1"/>
      <sheetData sheetId="6734" refreshError="1"/>
      <sheetData sheetId="6735" refreshError="1"/>
      <sheetData sheetId="6736" refreshError="1"/>
      <sheetData sheetId="6737" refreshError="1"/>
      <sheetData sheetId="6738" refreshError="1"/>
      <sheetData sheetId="6739" refreshError="1"/>
      <sheetData sheetId="6740" refreshError="1"/>
      <sheetData sheetId="6741" refreshError="1"/>
      <sheetData sheetId="6742" refreshError="1"/>
      <sheetData sheetId="6743" refreshError="1"/>
      <sheetData sheetId="6744" refreshError="1"/>
      <sheetData sheetId="6745" refreshError="1"/>
      <sheetData sheetId="6746" refreshError="1"/>
      <sheetData sheetId="6747" refreshError="1"/>
      <sheetData sheetId="6748" refreshError="1"/>
      <sheetData sheetId="6749" refreshError="1"/>
      <sheetData sheetId="6750" refreshError="1"/>
      <sheetData sheetId="6751" refreshError="1"/>
      <sheetData sheetId="675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daftar analis dan alat"/>
      <sheetName val="analisa alat"/>
      <sheetName val="harga alat"/>
      <sheetName val="kotak 100"/>
      <sheetName val="100x150"/>
      <sheetName val="Galian Tanah"/>
      <sheetName val="RAB"/>
      <sheetName val="Pembersihan"/>
      <sheetName val="Galian perkerasan"/>
      <sheetName val="Daf Anal"/>
      <sheetName val="daf alat"/>
      <sheetName val="Bekisting"/>
      <sheetName val="bahan"/>
      <sheetName val="Sheet3"/>
      <sheetName val="Analisa"/>
      <sheetName val="kotak140cm"/>
      <sheetName val="Gorng 100cm"/>
      <sheetName val="Mortal manual"/>
      <sheetName val="Sheet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"/>
      <sheetName val="H.SAT"/>
      <sheetName val="MOS"/>
      <sheetName val="DIV.1"/>
      <sheetName val="DIV.2"/>
      <sheetName val="DIV.3"/>
      <sheetName val="DIV.4"/>
      <sheetName val="DIV.5"/>
      <sheetName val="DEV.6"/>
      <sheetName val="DEV.7"/>
      <sheetName val="DEV.8"/>
      <sheetName val="DIV.10"/>
      <sheetName val="MIX"/>
      <sheetName val="BOQ"/>
      <sheetName val="SRT"/>
      <sheetName val="SUB"/>
      <sheetName val="JAD"/>
      <sheetName val="PERAL"/>
      <sheetName val="STAF"/>
      <sheetName val="DAT"/>
      <sheetName val="DAF"/>
      <sheetName val="DMPU"/>
      <sheetName val="SAMP"/>
      <sheetName val="DIV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"/>
      <sheetName val="SRT-sp2"/>
      <sheetName val="SCHE"/>
      <sheetName val="REK"/>
      <sheetName val="lamp.pen"/>
      <sheetName val="MPU"/>
      <sheetName val="BOQ"/>
      <sheetName val="HSD"/>
      <sheetName val="ANA(cil1)"/>
      <sheetName val="MOB"/>
      <sheetName val="MOS"/>
      <sheetName val="Alat (2)"/>
      <sheetName val="alat milik"/>
      <sheetName val="alat dukung"/>
      <sheetName val="alat dukung (2)"/>
      <sheetName val="staf"/>
      <sheetName val="subkon"/>
      <sheetName val="met(cil1)"/>
      <sheetName val="Lamp-13"/>
      <sheetName val="BALT"/>
      <sheetName val="DLM"/>
      <sheetName val="LMP.1"/>
      <sheetName val="IND"/>
      <sheetName val="CMK"/>
      <sheetName val="TM"/>
      <sheetName val="Alat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B"/>
      <sheetName val="ANALISA"/>
      <sheetName val="HARG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q (2)"/>
      <sheetName val="rap"/>
      <sheetName val="jo"/>
      <sheetName val="SK"/>
      <sheetName val="sAHAM (2)"/>
      <sheetName val="Minat (2)"/>
      <sheetName val="CUR (2)"/>
      <sheetName val="CH"/>
      <sheetName val="Asumsi"/>
      <sheetName val="Minat"/>
      <sheetName val="CHECK"/>
      <sheetName val="SRT"/>
      <sheetName val="Rek"/>
      <sheetName val="boq"/>
      <sheetName val="Ana.Maj"/>
      <sheetName val="mob"/>
      <sheetName val="Met.baru"/>
      <sheetName val="AN-E"/>
      <sheetName val="hsd (alat)"/>
      <sheetName val="hsd"/>
      <sheetName val="MOS"/>
      <sheetName val="SCHE"/>
      <sheetName val="Lamp.Meth"/>
      <sheetName val="ALAT"/>
      <sheetName val="GEL"/>
      <sheetName val="Inti"/>
      <sheetName val="STAF"/>
      <sheetName val="ORG2"/>
      <sheetName val="CUR"/>
      <sheetName val="sAHAM"/>
      <sheetName val="Peta"/>
      <sheetName val="KOP"/>
      <sheetName val="cov.2"/>
      <sheetName val="Person"/>
      <sheetName val="Daf.Alat"/>
      <sheetName val="IND"/>
      <sheetName val="Sheet1"/>
      <sheetName val="Ane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o"/>
      <sheetName val="PENG"/>
      <sheetName val="MODAL"/>
      <sheetName val="CH"/>
      <sheetName val="SRT"/>
      <sheetName val="Lamp"/>
      <sheetName val="lamp.6"/>
      <sheetName val="lamp.7"/>
      <sheetName val="Lamp.8"/>
      <sheetName val="lamp.9"/>
      <sheetName val="Alat"/>
      <sheetName val="lamp.10"/>
      <sheetName val="cv"/>
      <sheetName val="lamp.11"/>
      <sheetName val="nonABRI"/>
      <sheetName val="REK"/>
      <sheetName val="REK (anak)"/>
      <sheetName val="BOQ"/>
      <sheetName val="%"/>
      <sheetName val="BOQ (anak)"/>
      <sheetName val="ANA(2a)"/>
      <sheetName val="ANA (2b)"/>
      <sheetName val="MOB"/>
      <sheetName val="RTN"/>
      <sheetName val="MOS"/>
      <sheetName val="HSD"/>
      <sheetName val="BALT"/>
      <sheetName val="SCH-anak"/>
      <sheetName val="SCH -INDUK"/>
      <sheetName val="SCH (alat)"/>
      <sheetName val="SCH (orang)"/>
      <sheetName val="SCH (2)"/>
      <sheetName val="SCH (3)"/>
      <sheetName val="ANA (2b) (bak)"/>
      <sheetName val="ANA (BAK)"/>
      <sheetName val="MET"/>
      <sheetName val="MET (BAK)"/>
      <sheetName val="DLM"/>
      <sheetName val="LMP.1"/>
      <sheetName val="IND"/>
      <sheetName val="IND (2)"/>
      <sheetName val="CMK"/>
      <sheetName val="T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"/>
      <sheetName val="CH"/>
      <sheetName val="Minat"/>
      <sheetName val="perbandingan"/>
      <sheetName val="SRT"/>
      <sheetName val="Rek"/>
      <sheetName val="BQ"/>
      <sheetName val="Ana.Maj"/>
      <sheetName val="Sheet1"/>
      <sheetName val="Sheet2"/>
      <sheetName val="Meth"/>
      <sheetName val="hsd"/>
      <sheetName val="Ana.+aspal"/>
      <sheetName val="Lamp.Meth"/>
      <sheetName val="Ana.Non "/>
      <sheetName val="Meth.Non"/>
      <sheetName val="MOS"/>
      <sheetName val="AN-E"/>
      <sheetName val="ALAT"/>
      <sheetName val="PENG."/>
      <sheetName val="PENG.2"/>
      <sheetName val="PENG.3"/>
      <sheetName val="Major"/>
      <sheetName val="CHECK"/>
      <sheetName val="GEL"/>
      <sheetName val="STAF"/>
      <sheetName val="ORG2"/>
      <sheetName val="CUR"/>
      <sheetName val="KOP"/>
      <sheetName val="IND"/>
      <sheetName val="AN_E"/>
      <sheetName val="meth hsl nego"/>
      <sheetName val="Rekap Biaya"/>
      <sheetName val="Rekap-Bdg"/>
      <sheetName val="DAFTAR  BESI IWF"/>
      <sheetName val="Harsat Upah"/>
      <sheetName val="DAFTAR BESI KANAL C SIKU"/>
      <sheetName val="#REF"/>
      <sheetName val="Material"/>
      <sheetName val="Elektrikal"/>
      <sheetName val="RAB"/>
      <sheetName val="Pipe"/>
      <sheetName val="Analisa Harga Satuan"/>
      <sheetName val="5-ALAT(1)"/>
      <sheetName val="Ind.MP Sch."/>
      <sheetName val="RAB 2007"/>
      <sheetName val="Cover Daf-2"/>
      <sheetName val="NP (2)"/>
      <sheetName val="CEMPAKA"/>
      <sheetName val="marka"/>
      <sheetName val="DAFTAR HARGA"/>
      <sheetName val="MT_an"/>
      <sheetName val="pvc"/>
      <sheetName val="Agregat Halus &amp; Kasar"/>
      <sheetName val="STR"/>
      <sheetName val="DIV.1"/>
      <sheetName val="air gumba"/>
      <sheetName val="Harga Satuan"/>
      <sheetName val="DIV.2"/>
      <sheetName val="A"/>
      <sheetName val="ana_st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_CODES"/>
      <sheetName val="SUMMARY"/>
      <sheetName val="Indirect_PMS"/>
      <sheetName val="MP_PMS"/>
      <sheetName val="Travell_PMS"/>
      <sheetName val="Indirect_Eng"/>
      <sheetName val="MP_ENG"/>
      <sheetName val="Travel_Eng"/>
      <sheetName val="Indirect_Const"/>
      <sheetName val="MP_Const"/>
      <sheetName val="Travel_Constr"/>
      <sheetName val="Mechanical"/>
      <sheetName val="Constr_Equip't_forMech"/>
      <sheetName val="Painting_Mech"/>
      <sheetName val="Insulation&amp;RubberLining"/>
      <sheetName val="Piping_Mat"/>
      <sheetName val="Piping_Erection"/>
      <sheetName val="Civil_Package"/>
      <sheetName val="Electrical"/>
      <sheetName val="Instrument"/>
      <sheetName val="Scope_Work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Cover"/>
      <sheetName val="Rekap1"/>
      <sheetName val="ES"/>
      <sheetName val="TS"/>
      <sheetName val="BOQ"/>
      <sheetName val="Forecast"/>
      <sheetName val="sch-ekstern"/>
      <sheetName val="sch-intern"/>
      <sheetName val="Prod Cost Daily"/>
      <sheetName val="Input Resources"/>
      <sheetName val="Permintaan"/>
      <sheetName val="Realisasi"/>
      <sheetName val="Budget"/>
      <sheetName val="Logistics"/>
      <sheetName val="Log Report"/>
      <sheetName val="Equip&amp;Mat Cost"/>
      <sheetName val="Cost Code"/>
      <sheetName val="HITUNG"/>
      <sheetName val="Head Contract (budget)"/>
      <sheetName val="Lap Material"/>
      <sheetName val="Head Contract"/>
      <sheetName val="BOQ rev"/>
      <sheetName val="Analysis"/>
      <sheetName val="Solar"/>
      <sheetName val="Lime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o"/>
      <sheetName val="PENG"/>
      <sheetName val="MODAL"/>
      <sheetName val="CH"/>
      <sheetName val="SRT"/>
      <sheetName val="Lamp"/>
      <sheetName val="lamp.6"/>
      <sheetName val="lamp.7"/>
      <sheetName val="Lamp.8"/>
      <sheetName val="lamp.9"/>
      <sheetName val="Alat"/>
      <sheetName val="lamp.10"/>
      <sheetName val="cv"/>
      <sheetName val="lamp.11"/>
      <sheetName val="nonABRI"/>
      <sheetName val="REK"/>
      <sheetName val="REK (anak)"/>
      <sheetName val="BOQ"/>
      <sheetName val="%"/>
      <sheetName val="BOQ (anak)"/>
      <sheetName val="ANA(2a)"/>
      <sheetName val="ANA (2b)"/>
      <sheetName val="MOB"/>
      <sheetName val="RTN"/>
      <sheetName val="MOS"/>
      <sheetName val="HSD"/>
      <sheetName val="BALT"/>
      <sheetName val="SCH-anak"/>
      <sheetName val="SCH -INDUK"/>
      <sheetName val="SCH (alat)"/>
      <sheetName val="SCH (orang)"/>
      <sheetName val="SCH (2)"/>
      <sheetName val="SCH (3)"/>
      <sheetName val="ANA (2b) (bak)"/>
      <sheetName val="ANA (BAK)"/>
      <sheetName val="MET"/>
      <sheetName val="MET (BAK)"/>
      <sheetName val="DLM"/>
      <sheetName val="LMP.1"/>
      <sheetName val="IND"/>
      <sheetName val="IND (2)"/>
      <sheetName val="CMK"/>
      <sheetName val="TM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/>
      <sheetData sheetId="42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rt bukan PNS"/>
      <sheetName val="srt penawaran"/>
      <sheetName val="daftar personil"/>
      <sheetName val="daftar peralatan"/>
      <sheetName val="rekap-total"/>
      <sheetName val="rekap wtp"/>
      <sheetName val="wtp"/>
      <sheetName val="rekap reservoir"/>
      <sheetName val="reservoir"/>
      <sheetName val="Analisa"/>
      <sheetName val="sd"/>
      <sheetName val="nwp"/>
      <sheetName val="jadwal pelaksanaan "/>
      <sheetName val="jadwal umum"/>
      <sheetName val="jadwal penyediabah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"/>
      <sheetName val="surat"/>
      <sheetName val="rekap"/>
      <sheetName val="BOQ"/>
      <sheetName val="BOQ (3)"/>
      <sheetName val="utama"/>
      <sheetName val="harsat"/>
      <sheetName val="MOS"/>
      <sheetName val="ANALISA"/>
      <sheetName val="metod"/>
      <sheetName val="MOB"/>
      <sheetName val="perincian"/>
      <sheetName val="KONF"/>
      <sheetName val="SUB"/>
      <sheetName val="DN"/>
      <sheetName val="PEGAWAI"/>
      <sheetName val="jadwal BAHAN"/>
      <sheetName val="jadwal alat"/>
      <sheetName val="jadwal "/>
      <sheetName val="JDW-1"/>
      <sheetName val="JDW"/>
      <sheetName val="uraian teknis"/>
      <sheetName val="ipl"/>
      <sheetName val="IND"/>
      <sheetName val="BALT"/>
      <sheetName val="lamp.10"/>
      <sheetName val="sorter"/>
      <sheetName val="sort-1"/>
      <sheetName val="BOQ (2)"/>
      <sheetName val="80"/>
      <sheetName val="Perhitungan RAB"/>
      <sheetName val="Mobilisasi"/>
      <sheetName val="Galian drainase.sal."/>
      <sheetName val="Pas.Batu Mortar"/>
      <sheetName val="Galian Biasa"/>
      <sheetName val="Penyiapa Badan Jln"/>
      <sheetName val="LPA Klas B Bahu.Jln"/>
      <sheetName val="LPA Klas B."/>
      <sheetName val="LPA Klas A "/>
      <sheetName val="Lap.Resap Ikat"/>
      <sheetName val="Lapis Perekat"/>
      <sheetName val="Laston ACWC"/>
      <sheetName val="Laston AC-BC"/>
      <sheetName val="Ac Bc Levelling"/>
      <sheetName val="gambar"/>
      <sheetName val="SCH  (2)"/>
      <sheetName val="surat "/>
      <sheetName val="alat mob"/>
      <sheetName val="Sipil"/>
      <sheetName val="LUAR NEGERI"/>
      <sheetName val="SIMAK"/>
      <sheetName val="Hitung"/>
      <sheetName val="HSD "/>
      <sheetName val="REK"/>
      <sheetName val="DPU"/>
      <sheetName val="BQ"/>
      <sheetName val="BAB2 "/>
      <sheetName val="GALI DRAIN"/>
      <sheetName val="PAS BATU MOR "/>
      <sheetName val="GORONG2 50"/>
      <sheetName val="GORONG2 100"/>
      <sheetName val="GEOTEXT"/>
      <sheetName val="PIPA POROUS"/>
      <sheetName val="BAB 3"/>
      <sheetName val="GALI BT"/>
      <sheetName val="GALI BIASA"/>
      <sheetName val="GORONG2 20"/>
      <sheetName val="GALI STR 0-2M"/>
      <sheetName val="GALI STR 2-4M"/>
      <sheetName val="COLD MILL"/>
      <sheetName val="TANPA COLD MILL"/>
      <sheetName val="TMBH ANGK"/>
      <sheetName val="TIMB"/>
      <sheetName val="TIMB PIL"/>
      <sheetName val="TIMB RAWA"/>
      <sheetName val="SUBGRADE"/>
      <sheetName val="BAB 4"/>
      <sheetName val="AGG A BAHU"/>
      <sheetName val="AGG B BAHU"/>
      <sheetName val="BAB 5"/>
      <sheetName val="AGG A"/>
      <sheetName val="AGG B"/>
      <sheetName val="BAB 6"/>
      <sheetName val="PRIME CT"/>
      <sheetName val="TACK CT"/>
      <sheetName val="ACWC"/>
      <sheetName val="ACWC MOD"/>
      <sheetName val="ACWC LEV"/>
      <sheetName val="ACWC LEV MOD"/>
      <sheetName val="ACBC"/>
      <sheetName val="ACBC MOD"/>
      <sheetName val="ACBC LEV"/>
      <sheetName val="ACBC LEV MOD"/>
      <sheetName val="ACBase"/>
      <sheetName val="ACBase MOD"/>
      <sheetName val="ACBase LEV"/>
      <sheetName val="ACBase LEV MOD"/>
      <sheetName val="MACADAM"/>
      <sheetName val="BAB 7"/>
      <sheetName val="BETON K500"/>
      <sheetName val="BETON K400"/>
      <sheetName val="BETON K350"/>
      <sheetName val="BETON K250"/>
      <sheetName val="BETON K175"/>
      <sheetName val="BETON SIKLOP K175"/>
      <sheetName val="BETON K125"/>
      <sheetName val="U24 "/>
      <sheetName val="U24 MEKANIK"/>
      <sheetName val="U32"/>
      <sheetName val="U32 MEKANIK"/>
      <sheetName val="D32"/>
      <sheetName val="D32 MEKANIK"/>
      <sheetName val="D39"/>
      <sheetName val="D39 MEKANIK"/>
      <sheetName val="D48"/>
      <sheetName val="D48 MEKANIK"/>
      <sheetName val="PENY.TIANG PANCANG BAJA"/>
      <sheetName val="PENY. TIANG PANCANG BETON"/>
      <sheetName val="PEMAN TIANG PANCANG BAJA"/>
      <sheetName val="PEMAN TIANG PANCANG BETON"/>
      <sheetName val="TIANG BOR BETON"/>
      <sheetName val="PAS BATU MANUAL"/>
      <sheetName val="PAS BATU MEKANIK"/>
      <sheetName val="PAS BATU KOS DIISI"/>
      <sheetName val="PAS BATU KOS"/>
      <sheetName val="BRONJONG"/>
      <sheetName val="PERK JLN BETON"/>
      <sheetName val="BAB 8"/>
      <sheetName val="AGG A MINOR"/>
      <sheetName val="AGG B MINOR "/>
      <sheetName val="CAMP ASP PANAS"/>
      <sheetName val="MACADAM MINOR"/>
      <sheetName val="GALIAN BH MINOR"/>
      <sheetName val="MARKA NON THERMPL"/>
      <sheetName val="MARKA THERMPL"/>
      <sheetName val="RAMBU JLN ENG"/>
      <sheetName val="RAMBU JLN HIGH GRADE"/>
      <sheetName val="PATOK PENGARAH"/>
      <sheetName val="PATOK KILOMETER"/>
      <sheetName val="REL PENGAMAN"/>
      <sheetName val="HSTANAH.XLS"/>
      <sheetName val="GRAND REKAP"/>
      <sheetName val="NP"/>
      <sheetName val="prog-mgu"/>
      <sheetName val="ITUNGAN"/>
      <sheetName val="Als Struk"/>
      <sheetName val="A"/>
      <sheetName val="rab"/>
      <sheetName val="FAK"/>
      <sheetName val="SP17"/>
      <sheetName val="Meth"/>
      <sheetName val="Upah"/>
      <sheetName val="Hargamaterial"/>
      <sheetName val="ES STG"/>
      <sheetName val="index"/>
      <sheetName val="Hargamat"/>
      <sheetName val="MATERIAL ANALISA"/>
      <sheetName val="An.Ars"/>
      <sheetName val="Analisa Harga Satuan"/>
      <sheetName val="REKAP  (1)"/>
      <sheetName val="HRG BHN"/>
      <sheetName val="Cover"/>
      <sheetName val="UPH &amp; BHN"/>
      <sheetName val="4"/>
      <sheetName val="prelim"/>
      <sheetName val="ENG-101"/>
      <sheetName val="H.Satuan"/>
      <sheetName val="Harsat Pekerjaan"/>
      <sheetName val="Indirect_Const"/>
      <sheetName val="Analisa Upah &amp; Bahan Plum"/>
      <sheetName val="Daftar Harga Bahan"/>
      <sheetName val="Anal"/>
      <sheetName val="3-DIV3"/>
      <sheetName val="rek det 1-3"/>
      <sheetName val="BREAKDOWN"/>
      <sheetName val="BOQ_(3)1"/>
      <sheetName val="jadwal_BAHAN1"/>
      <sheetName val="jadwal_alat1"/>
      <sheetName val="jadwal_1"/>
      <sheetName val="uraian_teknis1"/>
      <sheetName val="lamp_101"/>
      <sheetName val="BOQ_(2)1"/>
      <sheetName val="Perhitungan_RAB1"/>
      <sheetName val="Galian_drainase_sal_1"/>
      <sheetName val="Pas_Batu_Mortar1"/>
      <sheetName val="Galian_Biasa1"/>
      <sheetName val="Penyiapa_Badan_Jln1"/>
      <sheetName val="LPA_Klas_B_Bahu_Jln1"/>
      <sheetName val="LPA_Klas_B_1"/>
      <sheetName val="LPA_Klas_A_1"/>
      <sheetName val="Lap_Resap_Ikat1"/>
      <sheetName val="Lapis_Perekat1"/>
      <sheetName val="Laston_ACWC1"/>
      <sheetName val="Laston_AC-BC1"/>
      <sheetName val="Ac_Bc_Levelling1"/>
      <sheetName val="SCH__(2)1"/>
      <sheetName val="surat_1"/>
      <sheetName val="alat_mob1"/>
      <sheetName val="LUAR_NEGERI1"/>
      <sheetName val="HSD_1"/>
      <sheetName val="BAB2_1"/>
      <sheetName val="GALI_DRAIN1"/>
      <sheetName val="PAS_BATU_MOR_1"/>
      <sheetName val="GORONG2_501"/>
      <sheetName val="GORONG2_1001"/>
      <sheetName val="PIPA_POROUS1"/>
      <sheetName val="BAB_31"/>
      <sheetName val="GALI_BT1"/>
      <sheetName val="GALI_BIASA1"/>
      <sheetName val="GORONG2_201"/>
      <sheetName val="GALI_STR_0-2M1"/>
      <sheetName val="GALI_STR_2-4M1"/>
      <sheetName val="COLD_MILL1"/>
      <sheetName val="TANPA_COLD_MILL1"/>
      <sheetName val="TMBH_ANGK1"/>
      <sheetName val="TIMB_PIL1"/>
      <sheetName val="TIMB_RAWA1"/>
      <sheetName val="BAB_41"/>
      <sheetName val="AGG_A_BAHU1"/>
      <sheetName val="AGG_B_BAHU1"/>
      <sheetName val="BAB_51"/>
      <sheetName val="AGG_A1"/>
      <sheetName val="AGG_B1"/>
      <sheetName val="BAB_61"/>
      <sheetName val="PRIME_CT1"/>
      <sheetName val="TACK_CT1"/>
      <sheetName val="ACWC_MOD1"/>
      <sheetName val="ACWC_LEV1"/>
      <sheetName val="ACWC_LEV_MOD1"/>
      <sheetName val="ACBC_MOD1"/>
      <sheetName val="ACBC_LEV1"/>
      <sheetName val="ACBC_LEV_MOD1"/>
      <sheetName val="ACBase_MOD1"/>
      <sheetName val="ACBase_LEV1"/>
      <sheetName val="ACBase_LEV_MOD1"/>
      <sheetName val="BAB_71"/>
      <sheetName val="BETON_K5001"/>
      <sheetName val="BETON_K4001"/>
      <sheetName val="BETON_K3501"/>
      <sheetName val="BETON_K2501"/>
      <sheetName val="BETON_K1751"/>
      <sheetName val="BETON_SIKLOP_K1751"/>
      <sheetName val="BETON_K1251"/>
      <sheetName val="U24_1"/>
      <sheetName val="U24_MEKANIK1"/>
      <sheetName val="U32_MEKANIK1"/>
      <sheetName val="D32_MEKANIK1"/>
      <sheetName val="D39_MEKANIK1"/>
      <sheetName val="D48_MEKANIK1"/>
      <sheetName val="PENY_TIANG_PANCANG_BAJA1"/>
      <sheetName val="PENY__TIANG_PANCANG_BETON1"/>
      <sheetName val="PEMAN_TIANG_PANCANG_BAJA1"/>
      <sheetName val="PEMAN_TIANG_PANCANG_BETON1"/>
      <sheetName val="TIANG_BOR_BETON1"/>
      <sheetName val="PAS_BATU_MANUAL1"/>
      <sheetName val="PAS_BATU_MEKANIK1"/>
      <sheetName val="PAS_BATU_KOS_DIISI1"/>
      <sheetName val="PAS_BATU_KOS1"/>
      <sheetName val="PERK_JLN_BETON1"/>
      <sheetName val="BAB_81"/>
      <sheetName val="AGG_A_MINOR1"/>
      <sheetName val="AGG_B_MINOR_1"/>
      <sheetName val="CAMP_ASP_PANAS1"/>
      <sheetName val="MACADAM_MINOR1"/>
      <sheetName val="GALIAN_BH_MINOR1"/>
      <sheetName val="MARKA_NON_THERMPL1"/>
      <sheetName val="MARKA_THERMPL1"/>
      <sheetName val="RAMBU_JLN_ENG1"/>
      <sheetName val="RAMBU_JLN_HIGH_GRADE1"/>
      <sheetName val="PATOK_PENGARAH1"/>
      <sheetName val="PATOK_KILOMETER1"/>
      <sheetName val="REL_PENGAMAN1"/>
      <sheetName val="BOQ_(3)"/>
      <sheetName val="jadwal_BAHAN"/>
      <sheetName val="jadwal_alat"/>
      <sheetName val="jadwal_"/>
      <sheetName val="uraian_teknis"/>
      <sheetName val="lamp_10"/>
      <sheetName val="BOQ_(2)"/>
      <sheetName val="Perhitungan_RAB"/>
      <sheetName val="Galian_drainase_sal_"/>
      <sheetName val="Pas_Batu_Mortar"/>
      <sheetName val="Galian_Biasa"/>
      <sheetName val="Penyiapa_Badan_Jln"/>
      <sheetName val="LPA_Klas_B_Bahu_Jln"/>
      <sheetName val="LPA_Klas_B_"/>
      <sheetName val="LPA_Klas_A_"/>
      <sheetName val="Lap_Resap_Ikat"/>
      <sheetName val="Lapis_Perekat"/>
      <sheetName val="Laston_ACWC"/>
      <sheetName val="Laston_AC-BC"/>
      <sheetName val="Ac_Bc_Levelling"/>
      <sheetName val="SCH__(2)"/>
      <sheetName val="surat_"/>
      <sheetName val="alat_mob"/>
      <sheetName val="LUAR_NEGERI"/>
      <sheetName val="HSD_"/>
      <sheetName val="BAB2_"/>
      <sheetName val="GALI_DRAIN"/>
      <sheetName val="PAS_BATU_MOR_"/>
      <sheetName val="GORONG2_50"/>
      <sheetName val="GORONG2_100"/>
      <sheetName val="PIPA_POROUS"/>
      <sheetName val="BAB_3"/>
      <sheetName val="GALI_BT"/>
      <sheetName val="GALI_BIASA"/>
      <sheetName val="GORONG2_20"/>
      <sheetName val="GALI_STR_0-2M"/>
      <sheetName val="GALI_STR_2-4M"/>
      <sheetName val="COLD_MILL"/>
      <sheetName val="TANPA_COLD_MILL"/>
      <sheetName val="TMBH_ANGK"/>
      <sheetName val="TIMB_PIL"/>
      <sheetName val="TIMB_RAWA"/>
      <sheetName val="BAB_4"/>
      <sheetName val="AGG_A_BAHU"/>
      <sheetName val="AGG_B_BAHU"/>
      <sheetName val="BAB_5"/>
      <sheetName val="AGG_A"/>
      <sheetName val="AGG_B"/>
      <sheetName val="BAB_6"/>
      <sheetName val="PRIME_CT"/>
      <sheetName val="TACK_CT"/>
      <sheetName val="ACWC_MOD"/>
      <sheetName val="ACWC_LEV"/>
      <sheetName val="ACWC_LEV_MOD"/>
      <sheetName val="ACBC_MOD"/>
      <sheetName val="ACBC_LEV"/>
      <sheetName val="ACBC_LEV_MOD"/>
      <sheetName val="ACBase_MOD"/>
      <sheetName val="ACBase_LEV"/>
      <sheetName val="ACBase_LEV_MOD"/>
      <sheetName val="BAB_7"/>
      <sheetName val="BETON_K500"/>
      <sheetName val="BETON_K400"/>
      <sheetName val="BETON_K350"/>
      <sheetName val="BETON_K250"/>
      <sheetName val="BETON_K175"/>
      <sheetName val="BETON_SIKLOP_K175"/>
      <sheetName val="BETON_K125"/>
      <sheetName val="U24_"/>
      <sheetName val="U24_MEKANIK"/>
      <sheetName val="U32_MEKANIK"/>
      <sheetName val="D32_MEKANIK"/>
      <sheetName val="D39_MEKANIK"/>
      <sheetName val="D48_MEKANIK"/>
      <sheetName val="PENY_TIANG_PANCANG_BAJA"/>
      <sheetName val="PENY__TIANG_PANCANG_BETON"/>
      <sheetName val="PEMAN_TIANG_PANCANG_BAJA"/>
      <sheetName val="PEMAN_TIANG_PANCANG_BETON"/>
      <sheetName val="TIANG_BOR_BETON"/>
      <sheetName val="PAS_BATU_MANUAL"/>
      <sheetName val="PAS_BATU_MEKANIK"/>
      <sheetName val="PAS_BATU_KOS_DIISI"/>
      <sheetName val="PAS_BATU_KOS"/>
      <sheetName val="PERK_JLN_BETON"/>
      <sheetName val="BAB_8"/>
      <sheetName val="AGG_A_MINOR"/>
      <sheetName val="AGG_B_MINOR_"/>
      <sheetName val="CAMP_ASP_PANAS"/>
      <sheetName val="MACADAM_MINOR"/>
      <sheetName val="GALIAN_BH_MINOR"/>
      <sheetName val="MARKA_NON_THERMPL"/>
      <sheetName val="MARKA_THERMPL"/>
      <sheetName val="RAMBU_JLN_ENG"/>
      <sheetName val="RAMBU_JLN_HIGH_GRADE"/>
      <sheetName val="PATOK_PENGARAH"/>
      <sheetName val="PATOK_KILOMETER"/>
      <sheetName val="REL_PENGAMAN"/>
      <sheetName val="BOQ_(3)2"/>
      <sheetName val="jadwal_BAHAN2"/>
      <sheetName val="jadwal_alat2"/>
      <sheetName val="jadwal_2"/>
      <sheetName val="uraian_teknis2"/>
      <sheetName val="lamp_102"/>
      <sheetName val="BOQ_(2)2"/>
      <sheetName val="Perhitungan_RAB2"/>
      <sheetName val="Galian_drainase_sal_2"/>
      <sheetName val="Pas_Batu_Mortar2"/>
      <sheetName val="Galian_Biasa2"/>
      <sheetName val="Penyiapa_Badan_Jln2"/>
      <sheetName val="LPA_Klas_B_Bahu_Jln2"/>
      <sheetName val="LPA_Klas_B_2"/>
      <sheetName val="LPA_Klas_A_2"/>
      <sheetName val="Lap_Resap_Ikat2"/>
      <sheetName val="Lapis_Perekat2"/>
      <sheetName val="Laston_ACWC2"/>
      <sheetName val="Laston_AC-BC2"/>
      <sheetName val="Ac_Bc_Levelling2"/>
      <sheetName val="SCH__(2)2"/>
      <sheetName val="surat_2"/>
      <sheetName val="alat_mob2"/>
      <sheetName val="LUAR_NEGERI2"/>
      <sheetName val="HSD_2"/>
      <sheetName val="BAB2_2"/>
      <sheetName val="GALI_DRAIN2"/>
      <sheetName val="PAS_BATU_MOR_2"/>
      <sheetName val="GORONG2_502"/>
      <sheetName val="GORONG2_1002"/>
      <sheetName val="PIPA_POROUS2"/>
      <sheetName val="BAB_32"/>
      <sheetName val="GALI_BT2"/>
      <sheetName val="GALI_BIASA2"/>
      <sheetName val="GORONG2_202"/>
      <sheetName val="GALI_STR_0-2M2"/>
      <sheetName val="GALI_STR_2-4M2"/>
      <sheetName val="COLD_MILL2"/>
      <sheetName val="TANPA_COLD_MILL2"/>
      <sheetName val="TMBH_ANGK2"/>
      <sheetName val="TIMB_PIL2"/>
      <sheetName val="TIMB_RAWA2"/>
      <sheetName val="BAB_42"/>
      <sheetName val="AGG_A_BAHU2"/>
      <sheetName val="AGG_B_BAHU2"/>
      <sheetName val="BAB_52"/>
      <sheetName val="AGG_A2"/>
      <sheetName val="AGG_B2"/>
      <sheetName val="BAB_62"/>
      <sheetName val="PRIME_CT2"/>
      <sheetName val="TACK_CT2"/>
      <sheetName val="ACWC_MOD2"/>
      <sheetName val="ACWC_LEV2"/>
      <sheetName val="ACWC_LEV_MOD2"/>
      <sheetName val="ACBC_MOD2"/>
      <sheetName val="ACBC_LEV2"/>
      <sheetName val="ACBC_LEV_MOD2"/>
      <sheetName val="ACBase_MOD2"/>
      <sheetName val="ACBase_LEV2"/>
      <sheetName val="ACBase_LEV_MOD2"/>
      <sheetName val="BAB_72"/>
      <sheetName val="BETON_K5002"/>
      <sheetName val="BETON_K4002"/>
      <sheetName val="BETON_K3502"/>
      <sheetName val="BETON_K2502"/>
      <sheetName val="BETON_K1752"/>
      <sheetName val="BETON_SIKLOP_K1752"/>
      <sheetName val="BETON_K1252"/>
      <sheetName val="U24_2"/>
      <sheetName val="U24_MEKANIK2"/>
      <sheetName val="U32_MEKANIK2"/>
      <sheetName val="D32_MEKANIK2"/>
      <sheetName val="D39_MEKANIK2"/>
      <sheetName val="D48_MEKANIK2"/>
      <sheetName val="PENY_TIANG_PANCANG_BAJA2"/>
      <sheetName val="PENY__TIANG_PANCANG_BETON2"/>
      <sheetName val="PEMAN_TIANG_PANCANG_BAJA2"/>
      <sheetName val="PEMAN_TIANG_PANCANG_BETON2"/>
      <sheetName val="TIANG_BOR_BETON2"/>
      <sheetName val="PAS_BATU_MANUAL2"/>
      <sheetName val="PAS_BATU_MEKANIK2"/>
      <sheetName val="PAS_BATU_KOS_DIISI2"/>
      <sheetName val="PAS_BATU_KOS2"/>
      <sheetName val="PERK_JLN_BETON2"/>
      <sheetName val="BAB_82"/>
      <sheetName val="AGG_A_MINOR2"/>
      <sheetName val="AGG_B_MINOR_2"/>
      <sheetName val="CAMP_ASP_PANAS2"/>
      <sheetName val="MACADAM_MINOR2"/>
      <sheetName val="GALIAN_BH_MINOR2"/>
      <sheetName val="MARKA_NON_THERMPL2"/>
      <sheetName val="MARKA_THERMPL2"/>
      <sheetName val="RAMBU_JLN_ENG2"/>
      <sheetName val="RAMBU_JLN_HIGH_GRADE2"/>
      <sheetName val="PATOK_PENGARAH2"/>
      <sheetName val="PATOK_KILOMETER2"/>
      <sheetName val="REL_PENGAMAN2"/>
      <sheetName val="BOQ_(3)3"/>
      <sheetName val="jadwal_BAHAN3"/>
      <sheetName val="jadwal_alat3"/>
      <sheetName val="jadwal_3"/>
      <sheetName val="uraian_teknis3"/>
      <sheetName val="lamp_103"/>
      <sheetName val="BOQ_(2)3"/>
      <sheetName val="Perhitungan_RAB3"/>
      <sheetName val="Galian_drainase_sal_3"/>
      <sheetName val="Pas_Batu_Mortar3"/>
      <sheetName val="Galian_Biasa3"/>
      <sheetName val="Penyiapa_Badan_Jln3"/>
      <sheetName val="LPA_Klas_B_Bahu_Jln3"/>
      <sheetName val="LPA_Klas_B_3"/>
      <sheetName val="LPA_Klas_A_3"/>
      <sheetName val="Lap_Resap_Ikat3"/>
      <sheetName val="Lapis_Perekat3"/>
      <sheetName val="Laston_ACWC3"/>
      <sheetName val="Laston_AC-BC3"/>
      <sheetName val="Ac_Bc_Levelling3"/>
      <sheetName val="SCH__(2)3"/>
      <sheetName val="surat_3"/>
      <sheetName val="alat_mob3"/>
      <sheetName val="LUAR_NEGERI3"/>
      <sheetName val="HSD_3"/>
      <sheetName val="BAB2_3"/>
      <sheetName val="GALI_DRAIN3"/>
      <sheetName val="PAS_BATU_MOR_3"/>
      <sheetName val="GORONG2_503"/>
      <sheetName val="GORONG2_1003"/>
      <sheetName val="PIPA_POROUS3"/>
      <sheetName val="BAB_33"/>
      <sheetName val="GALI_BT3"/>
      <sheetName val="GALI_BIASA3"/>
      <sheetName val="GORONG2_203"/>
      <sheetName val="GALI_STR_0-2M3"/>
      <sheetName val="GALI_STR_2-4M3"/>
      <sheetName val="COLD_MILL3"/>
      <sheetName val="TANPA_COLD_MILL3"/>
      <sheetName val="TMBH_ANGK3"/>
      <sheetName val="TIMB_PIL3"/>
      <sheetName val="TIMB_RAWA3"/>
      <sheetName val="BAB_43"/>
      <sheetName val="AGG_A_BAHU3"/>
      <sheetName val="AGG_B_BAHU3"/>
      <sheetName val="BAB_53"/>
      <sheetName val="AGG_A3"/>
      <sheetName val="AGG_B3"/>
      <sheetName val="BAB_63"/>
      <sheetName val="PRIME_CT3"/>
      <sheetName val="TACK_CT3"/>
      <sheetName val="ACWC_MOD3"/>
      <sheetName val="ACWC_LEV3"/>
      <sheetName val="ACWC_LEV_MOD3"/>
      <sheetName val="ACBC_MOD3"/>
      <sheetName val="ACBC_LEV3"/>
      <sheetName val="ACBC_LEV_MOD3"/>
      <sheetName val="ACBase_MOD3"/>
      <sheetName val="ACBase_LEV3"/>
      <sheetName val="ACBase_LEV_MOD3"/>
      <sheetName val="BAB_73"/>
      <sheetName val="BETON_K5003"/>
      <sheetName val="BETON_K4003"/>
      <sheetName val="BETON_K3503"/>
      <sheetName val="BETON_K2503"/>
      <sheetName val="BETON_K1753"/>
      <sheetName val="BETON_SIKLOP_K1753"/>
      <sheetName val="BETON_K1253"/>
      <sheetName val="U24_3"/>
      <sheetName val="U24_MEKANIK3"/>
      <sheetName val="U32_MEKANIK3"/>
      <sheetName val="D32_MEKANIK3"/>
      <sheetName val="D39_MEKANIK3"/>
      <sheetName val="D48_MEKANIK3"/>
      <sheetName val="PENY_TIANG_PANCANG_BAJA3"/>
      <sheetName val="PENY__TIANG_PANCANG_BETON3"/>
      <sheetName val="PEMAN_TIANG_PANCANG_BAJA3"/>
      <sheetName val="PEMAN_TIANG_PANCANG_BETON3"/>
      <sheetName val="TIANG_BOR_BETON3"/>
      <sheetName val="PAS_BATU_MANUAL3"/>
      <sheetName val="PAS_BATU_MEKANIK3"/>
      <sheetName val="PAS_BATU_KOS_DIISI3"/>
      <sheetName val="PAS_BATU_KOS3"/>
      <sheetName val="PERK_JLN_BETON3"/>
      <sheetName val="BAB_83"/>
      <sheetName val="AGG_A_MINOR3"/>
      <sheetName val="AGG_B_MINOR_3"/>
      <sheetName val="CAMP_ASP_PANAS3"/>
      <sheetName val="MACADAM_MINOR3"/>
      <sheetName val="GALIAN_BH_MINOR3"/>
      <sheetName val="MARKA_NON_THERMPL3"/>
      <sheetName val="MARKA_THERMPL3"/>
      <sheetName val="RAMBU_JLN_ENG3"/>
      <sheetName val="RAMBU_JLN_HIGH_GRADE3"/>
      <sheetName val="PATOK_PENGARAH3"/>
      <sheetName val="PATOK_KILOMETER3"/>
      <sheetName val="REL_PENGAMAN3"/>
      <sheetName val="HSLAIN-LAIN"/>
      <sheetName val="Sheet1"/>
      <sheetName val="RAB_STR"/>
      <sheetName val="Hrg_Bahan"/>
      <sheetName val="DAF-2"/>
    </sheetNames>
    <sheetDataSet>
      <sheetData sheetId="0" refreshError="1">
        <row r="6">
          <cell r="D6" t="str">
            <v>PT.Seneca Indonesia</v>
          </cell>
        </row>
        <row r="7">
          <cell r="B7" t="str">
            <v>Direktur Utama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.Satuan"/>
      <sheetName val="BILL"/>
      <sheetName val="REKAP 1 SECTION"/>
      <sheetName val="DIREC COST"/>
      <sheetName val="BEKISTING"/>
      <sheetName val="form besi"/>
      <sheetName val="REKAP STRUCTURE"/>
      <sheetName val="BESI"/>
      <sheetName val="H_Satuan"/>
      <sheetName val="H_Satuan1"/>
      <sheetName val="REKAP_1_SECTION"/>
      <sheetName val="DIREC_COST"/>
      <sheetName val="form_besi"/>
      <sheetName val="REKAP_STRUCTURE"/>
      <sheetName val="lamp. 12"/>
      <sheetName val="Rp"/>
      <sheetName val="Potongan"/>
      <sheetName val="BPM"/>
      <sheetName val="Master 1.0"/>
      <sheetName val="GRAND REKAP"/>
      <sheetName val="ANALISA GRS TENGAH"/>
      <sheetName val="A-11 Steel Str (2)"/>
      <sheetName val="HARGA ME"/>
      <sheetName val="J"/>
      <sheetName val="4"/>
      <sheetName val="Pipe"/>
      <sheetName val="I-KAMAR"/>
      <sheetName val="ANAL2"/>
      <sheetName val="Analisa Upah &amp; Bahan Plum"/>
      <sheetName val="IPL_SCHEDULE"/>
      <sheetName val="Cover"/>
      <sheetName val="Bill of Qty MEP"/>
      <sheetName val="D-1"/>
      <sheetName val="D4"/>
      <sheetName val="D6"/>
      <sheetName val="D7"/>
      <sheetName val="D8"/>
      <sheetName val="AHS"/>
      <sheetName val="BAHAN &amp; UPAH"/>
      <sheetName val="Basement Estimate"/>
      <sheetName val="bhn "/>
      <sheetName val="HSTANAH.XLS"/>
      <sheetName val="351BQMCN"/>
      <sheetName val="PLUMBING 2"/>
      <sheetName val="basic_price"/>
      <sheetName val="REQDELTA"/>
      <sheetName val="Material"/>
      <sheetName val="Bahan"/>
      <sheetName val="As"/>
      <sheetName val="Analisa &amp; Upah"/>
      <sheetName val="Estimate"/>
      <sheetName val="rab me (by owner) "/>
      <sheetName val="BQ (by owner)"/>
      <sheetName val="rab me (fisik)"/>
      <sheetName val="H-BHN"/>
      <sheetName val="JUDUL"/>
      <sheetName val="ELEVATED SLAB"/>
      <sheetName val="01A- RAB"/>
      <sheetName val="SEX"/>
      <sheetName val="rekap.c"/>
      <sheetName val="EK"/>
      <sheetName val="an el"/>
      <sheetName val="BID_PRC"/>
      <sheetName val="PRC_COMP"/>
      <sheetName val="HARSAT"/>
      <sheetName val="BQ ARS"/>
      <sheetName val="Analisa 2"/>
      <sheetName val="FORM X COST"/>
      <sheetName val="unit rate-b3"/>
      <sheetName val="villa"/>
      <sheetName val="ch"/>
      <sheetName val="induk1"/>
      <sheetName val="rab"/>
      <sheetName val="HARGA MATERIAL"/>
      <sheetName val="HS"/>
      <sheetName val="coeff"/>
      <sheetName val="Pos 4-1"/>
      <sheetName val="Harga "/>
      <sheetName val="vol. ARS"/>
      <sheetName val="anl"/>
      <sheetName val="kusen"/>
      <sheetName val="TOTAL SPK"/>
      <sheetName val="Mobilisasi"/>
      <sheetName val="Summary"/>
      <sheetName val="Cash2"/>
      <sheetName val="Koefisien"/>
      <sheetName val="Instalasi"/>
      <sheetName val="Hrg"/>
      <sheetName val="Memb Schd"/>
      <sheetName val="BQ"/>
      <sheetName val="rek det 1-3"/>
      <sheetName val="JABATAN"/>
      <sheetName val="DATA"/>
      <sheetName val="Elektrikal"/>
      <sheetName val="Analisa Upah _ Bahan Plum"/>
      <sheetName val="Analisa"/>
      <sheetName val="daftar Upah"/>
      <sheetName val="upah"/>
      <sheetName val="HB "/>
      <sheetName val="Hrg_Sat"/>
      <sheetName val="Hargamat"/>
      <sheetName val="Analisa Harga Satuan"/>
      <sheetName val="INDEKS"/>
      <sheetName val="tknk"/>
      <sheetName val="HSTANAH"/>
      <sheetName val="HSBETON"/>
      <sheetName val="CV"/>
      <sheetName val="Pt"/>
      <sheetName val="metode"/>
      <sheetName val="Sheet6"/>
      <sheetName val="RAB_HREZ"/>
      <sheetName val="ANAL_HREZ"/>
      <sheetName val="FORM 3A"/>
      <sheetName val="Master_1_0"/>
      <sheetName val="Perhitungan RAB"/>
      <sheetName val="Tabel_Bantu"/>
      <sheetName val="Scedule"/>
      <sheetName val="MAP"/>
      <sheetName val="Daf 1"/>
      <sheetName val="gaji"/>
      <sheetName val="satuan_pek_ars"/>
      <sheetName val="Du_lieu"/>
      <sheetName val="HB0703"/>
      <sheetName val="DAF-1"/>
      <sheetName val="PHU 05"/>
      <sheetName val="POS-4.1"/>
      <sheetName val="Rekap Dc"/>
      <sheetName val="Rekap"/>
      <sheetName val="Progres"/>
      <sheetName val="Rkp"/>
      <sheetName val="I_KAMAR"/>
      <sheetName val="ANGGARAN"/>
      <sheetName val="grafik"/>
      <sheetName val="Rekap-SD"/>
      <sheetName val="UMUM"/>
      <sheetName val="Harga satuan"/>
      <sheetName val="HPP"/>
      <sheetName val="HSD"/>
      <sheetName val="Indirect Cost"/>
      <sheetName val="SERVICES FEE"/>
      <sheetName val="Foundation"/>
      <sheetName val="Pancang"/>
      <sheetName val="BD Cvl"/>
      <sheetName val="Diskon"/>
      <sheetName val="Conveyor"/>
      <sheetName val="Erection SS"/>
      <sheetName val="Civil-Structure"/>
      <sheetName val="UAHS"/>
      <sheetName val="Eng"/>
      <sheetName val="단중표"/>
      <sheetName val="pemasaran2013"/>
      <sheetName val="3. KONTRAK(stu)"/>
      <sheetName val="HIDRO"/>
      <sheetName val="Supply Agrmnt"/>
      <sheetName val="Bengkel_str"/>
      <sheetName val="Bengkel_fin"/>
      <sheetName val="Pagar_hal"/>
      <sheetName val="Fasilitas"/>
      <sheetName val="AC_C"/>
      <sheetName val="tb"/>
      <sheetName val="Harga Bahan"/>
      <sheetName val="ISBL-CIV"/>
      <sheetName val="REF.ONLY"/>
      <sheetName val="H_Satuan2"/>
      <sheetName val="REKAP_1_SECTION1"/>
      <sheetName val="DIREC_COST1"/>
      <sheetName val="form_besi1"/>
      <sheetName val="REKAP_STRUCTURE1"/>
      <sheetName val="lamp__12"/>
      <sheetName val="GRAND_REKAP"/>
      <sheetName val="A-11_Steel_Str_(2)"/>
      <sheetName val="Analisa_Upah_&amp;_Bahan_Plum"/>
      <sheetName val="ANALISA_GRS_TENGAH"/>
      <sheetName val="BAHAN_&amp;_UPAH"/>
      <sheetName val="Analisa_&amp;_Upah"/>
      <sheetName val="LO"/>
      <sheetName val="Upah Bahan"/>
      <sheetName val="prog-mgu"/>
      <sheetName val="A"/>
      <sheetName val="AC"/>
      <sheetName val="HRG BHN"/>
      <sheetName val="Harga ME "/>
      <sheetName val="Analisa RAB"/>
      <sheetName val="Sub"/>
      <sheetName val="crewlist S"/>
      <sheetName val="NP"/>
      <sheetName val="SBDY Jemb Tayan"/>
      <sheetName val="Analisa Tekhnis"/>
      <sheetName val="JALAN"/>
      <sheetName val="DivX"/>
      <sheetName val="Sit1"/>
      <sheetName val="SUB TOTAL___"/>
      <sheetName val="daftar harga"/>
      <sheetName val="struktur"/>
      <sheetName val="ESCON"/>
      <sheetName val="i-j. Pengalaman"/>
      <sheetName val="LIFT DOM"/>
      <sheetName val="APP-9"/>
      <sheetName val="hsat-SD"/>
      <sheetName val="an-satuan"/>
      <sheetName val="Informasi"/>
      <sheetName val="MAP-2"/>
      <sheetName val="Currency Rate"/>
      <sheetName val="Sheet1"/>
      <sheetName val="PENAWARAN"/>
      <sheetName val="HARSAT-lhn"/>
      <sheetName val="Peralatan"/>
      <sheetName val="Anls"/>
      <sheetName val="Hrg-Das"/>
      <sheetName val="Anal-1"/>
      <sheetName val="AnalisaSIPIL RIIL RAP"/>
      <sheetName val="GFA-20-N"/>
      <sheetName val="KEUANGAN"/>
      <sheetName val="RENCANA KERJA"/>
      <sheetName val="BAHAN-2"/>
      <sheetName val="17.ALS-saluran+BC"/>
      <sheetName val="HARGA UPAH"/>
      <sheetName val="Sewa Alat-1"/>
      <sheetName val="Sheet3"/>
      <sheetName val="harga2014"/>
      <sheetName val="dboard( asli)"/>
      <sheetName val="NM"/>
      <sheetName val="RAB STR JETTY &amp; F.PENUNJANG"/>
      <sheetName val="NAME"/>
      <sheetName val="RAB RIIL kayu"/>
      <sheetName val="Unit Rate Indirect"/>
      <sheetName val="B-P"/>
      <sheetName val="BE-02"/>
      <sheetName val="koef"/>
      <sheetName val="Testing"/>
      <sheetName val="BM"/>
      <sheetName val="Time Schedule"/>
      <sheetName val="RD dokter ORNG 3 70"/>
      <sheetName val="COST"/>
      <sheetName val="D2.4"/>
      <sheetName val="D3-3"/>
      <sheetName val="D4.3 (TE)"/>
      <sheetName val="D5.3 (TF) "/>
      <sheetName val="D8.3 (TJ)"/>
      <sheetName val="2-AHSP"/>
      <sheetName val="DAF-2"/>
      <sheetName val="Fill this out first___"/>
      <sheetName val="DKH"/>
      <sheetName val="3-DIV5"/>
      <sheetName val="HSA &amp; PAB"/>
      <sheetName val="Harga Upah "/>
      <sheetName val="Mon Upah"/>
      <sheetName val="TOTAL"/>
      <sheetName val="JUML-SDM"/>
      <sheetName val="A Paint Jotun Penguard"/>
      <sheetName val="BOQ ori"/>
      <sheetName val="KP1590_E"/>
      <sheetName val="Harga"/>
      <sheetName val="Progress"/>
      <sheetName val="bhn-upah"/>
      <sheetName val="Ur_Pil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perbhn"/>
      <sheetName val="HARDAS"/>
      <sheetName val="waktu"/>
      <sheetName val="PAKET 1"/>
      <sheetName val="Analisa Prov'07"/>
      <sheetName val="bukan PNS"/>
      <sheetName val="dia-in"/>
      <sheetName val="FORM 7"/>
      <sheetName val="AHS (ci,str,ars)"/>
      <sheetName val="Evaporator"/>
      <sheetName val="pricing"/>
      <sheetName val="Harga Sat Das"/>
      <sheetName val="Brdw"/>
      <sheetName val="Bill of Qty"/>
      <sheetName val="ahas-ins"/>
      <sheetName val="dasar"/>
      <sheetName val="SITE-E"/>
      <sheetName val="Sum"/>
      <sheetName val="WRItten(2)"/>
      <sheetName val="Bill rekap"/>
      <sheetName val="Harsat Bahan"/>
      <sheetName val="H Satuan Dasar"/>
      <sheetName val="610.04"/>
      <sheetName val="TOEVOER"/>
      <sheetName val="Hrg Upah Bhn"/>
      <sheetName val="DAFTAR HARGA BAHAN "/>
      <sheetName val="Anal "/>
      <sheetName val="SD (1)"/>
      <sheetName val="견적기준"/>
      <sheetName val="Scenario"/>
      <sheetName val="TS"/>
      <sheetName val="FORM_X_COST"/>
      <sheetName val="Analisa_Upah___Bahan_Plum"/>
      <sheetName val="rekap_c"/>
      <sheetName val="HSTANAH_XLS"/>
      <sheetName val="PLUMBING_2"/>
      <sheetName val="BQ_ARS"/>
      <sheetName val="bhn_"/>
      <sheetName val="Supply_Agrmnt"/>
      <sheetName val="an_el"/>
      <sheetName val="Memb_Schd"/>
      <sheetName val="daftar_Upah"/>
      <sheetName val="Pos_4-1"/>
      <sheetName val="Harga_"/>
      <sheetName val="vol__ARS"/>
      <sheetName val="TOTAL_SPK"/>
      <sheetName val="POS-4_1"/>
      <sheetName val="Rekap_Dc"/>
      <sheetName val="PHU_05"/>
      <sheetName val="Bill_of_Qty_MEP"/>
      <sheetName val="Basement_Estimate"/>
      <sheetName val="HARGA_ME"/>
      <sheetName val="Analisa_2"/>
      <sheetName val="HARGA_MATERIAL"/>
      <sheetName val="ELEVATED_SLAB"/>
      <sheetName val="unit_rate-b3"/>
      <sheetName val="rab_me_(by_owner)_"/>
      <sheetName val="BQ_(by_owner)"/>
      <sheetName val="rab_me_(fisik)"/>
      <sheetName val="01A-_RAB"/>
      <sheetName val="Analisa_Harga_Satuan"/>
      <sheetName val="Harga_Bahan"/>
      <sheetName val="Daf_1"/>
      <sheetName val="anal pipa"/>
      <sheetName val="Harsat Upah"/>
      <sheetName val="HB_"/>
      <sheetName val="rek_det_1-3"/>
      <sheetName val="daftar_harga"/>
      <sheetName val="REF_ONLY"/>
      <sheetName val="Rumus"/>
      <sheetName val="5-Peralatan"/>
      <sheetName val="Agregat Halus &amp; Kasar"/>
      <sheetName val="HASAT DASAR"/>
      <sheetName val="rekapan"/>
      <sheetName val="???"/>
      <sheetName val="Harga Bahan &amp; Upah"/>
      <sheetName val="TABLE"/>
      <sheetName val="h-013211-2"/>
      <sheetName val="RANGE BAHAN"/>
      <sheetName val="OP. PERJAM"/>
      <sheetName val="K.Lokal"/>
      <sheetName val="B. PERSONIL"/>
      <sheetName val="Terbilang"/>
      <sheetName val="2. Informasi"/>
      <sheetName val="Uraian Teknis"/>
      <sheetName val="Isolasi Luar Dalam"/>
      <sheetName val="Isolasi Luar"/>
      <sheetName val="Anls Hrg Sat"/>
      <sheetName val="bilangan"/>
      <sheetName val="JobSheet"/>
      <sheetName val="___"/>
      <sheetName val="Surat Pernyataan"/>
      <sheetName val="An-Alat"/>
      <sheetName val="Lamp_V"/>
      <sheetName val="struktur tdk dipakai"/>
      <sheetName val="bayar_04_fak"/>
      <sheetName val="AHS - Riel"/>
      <sheetName val="SAT-DAS"/>
      <sheetName val="Personil"/>
      <sheetName val="Div2"/>
      <sheetName val="Amount"/>
      <sheetName val="G_SUMMARY"/>
      <sheetName val="rap rinci"/>
      <sheetName val="Basic"/>
      <sheetName val="Pricing-2"/>
      <sheetName val="Analisa RAP"/>
      <sheetName val="Bahan B"/>
      <sheetName val="RAP"/>
      <sheetName val="Telusur"/>
      <sheetName val="Upah B"/>
      <sheetName val="boq"/>
      <sheetName val="HRG BAHAN &amp; UPAH okk"/>
      <sheetName val="Analis Kusen okk"/>
      <sheetName val="Ana. PU"/>
      <sheetName val="ANALISA GR_x0000__x0000__x0000__x0000__x0000_GAH"/>
      <sheetName val="ANALISA GR"/>
      <sheetName val="ANALISA GR?????GAH"/>
      <sheetName val="BQ PABX"/>
      <sheetName val="BAHAN "/>
      <sheetName val="Quantity"/>
      <sheetName val="Kuantitas &amp; Harga"/>
      <sheetName val="Mall"/>
      <sheetName val="SP"/>
      <sheetName val="Structure"/>
      <sheetName val="fill in first"/>
      <sheetName val="Unit Cost"/>
      <sheetName val="COST SUMM"/>
      <sheetName val="PileCap"/>
      <sheetName val="HPP TOTAL"/>
      <sheetName val="HPP 3 Tower"/>
      <sheetName val="Harsat Pekerjaan"/>
      <sheetName val="Door &amp; Window Podium"/>
      <sheetName val="San PD"/>
      <sheetName val="DF-7 (2)"/>
      <sheetName val="DF-7"/>
      <sheetName val="ANALISA GR_____GAH"/>
      <sheetName val="Analisa-Harga"/>
      <sheetName val="H_Satuan3"/>
      <sheetName val="REKAP_1_SECTION2"/>
      <sheetName val="DIREC_COST2"/>
      <sheetName val="form_besi2"/>
      <sheetName val="REKAP_STRUCTURE2"/>
      <sheetName val="lamp__121"/>
      <sheetName val="Master_1_01"/>
      <sheetName val="GRAND_REKAP1"/>
      <sheetName val="A-11_Steel_Str_(2)1"/>
      <sheetName val="Analisa_&amp;_Upah1"/>
      <sheetName val="ANALISA_GRS_TENGAH1"/>
      <sheetName val="BAHAN_&amp;_UPAH1"/>
      <sheetName val="Analisa_Upah_&amp;_Bahan_Plum1"/>
      <sheetName val="17_ALS-saluran+BC"/>
      <sheetName val="HARGA_UPAH"/>
      <sheetName val="Sewa_Alat-1"/>
      <sheetName val="Harga_Sat_Das"/>
      <sheetName val="Harga_satuan"/>
      <sheetName val="crewlist_S"/>
      <sheetName val="Harga_ME_"/>
      <sheetName val="Upah_Bahan"/>
      <sheetName val="LIFT_DOM"/>
      <sheetName val="dboard(_asli)"/>
      <sheetName val="RAB_STR_JETTY_&amp;_F_PENUNJANG"/>
      <sheetName val="Currency_Rate"/>
      <sheetName val="Analisa_RAB"/>
      <sheetName val="FORM_3A"/>
      <sheetName val="Perhitungan_RAB"/>
      <sheetName val="RAB_RIIL_kayu"/>
      <sheetName val="Indirect_Cost"/>
      <sheetName val="SERVICES_FEE"/>
      <sheetName val="BD_Cvl"/>
      <sheetName val="Erection_SS"/>
      <sheetName val="Unit_Rate_Indirect"/>
      <sheetName val="Jabar"/>
      <sheetName val="Jateng"/>
      <sheetName val="Jatim"/>
      <sheetName val="Pusat"/>
      <sheetName val="Sulawesi"/>
      <sheetName val="Sumbagsel"/>
      <sheetName val="Indirect_Const"/>
      <sheetName val="Master"/>
      <sheetName val="Analisa (ok punya)"/>
      <sheetName val="Perm. Test"/>
      <sheetName val="tifico"/>
      <sheetName val="BID(RI01)"/>
      <sheetName val="INDEX"/>
      <sheetName val="ANALISA GR_x005f_x0000__x005f_x0000__x005f_x0000_"/>
      <sheetName val="ANALISA-SNI"/>
      <sheetName val="Pengujian"/>
      <sheetName val="RAB REVISI"/>
      <sheetName val="Str A"/>
      <sheetName val="Analisa Tend"/>
      <sheetName val="Harga bahan-1"/>
      <sheetName val="rekap1"/>
      <sheetName val="DETAIL POS 123"/>
      <sheetName val="Rekap Direct Cost"/>
      <sheetName val="NEX24 DB"/>
      <sheetName val="H.SAT"/>
      <sheetName val="hafele"/>
      <sheetName val="FAK"/>
      <sheetName val="DRUP (ASLI)"/>
      <sheetName val="analisa el"/>
      <sheetName val="HSatuan"/>
      <sheetName val="Daftar Staff"/>
      <sheetName val="dasboard"/>
      <sheetName val="ANALISA GR_x005f_x005f_x005f_x0000__x005f_x005f_x"/>
      <sheetName val="B-PRICE"/>
      <sheetName val="DFT_ HRG BHN _ UPAH"/>
      <sheetName val="ANALISA STR _ ARS"/>
      <sheetName val="DIVI6"/>
      <sheetName val="Bill 4.1"/>
      <sheetName val="61004"/>
      <sheetName val="ahs1"/>
      <sheetName val="ahs3"/>
      <sheetName val="Evaluasi"/>
      <sheetName val="Sec I ML"/>
      <sheetName val="Ana-ALAT"/>
      <sheetName val="10 yr val"/>
      <sheetName val="Input"/>
      <sheetName val="Financials"/>
      <sheetName val="faktor"/>
      <sheetName val="Har Sat"/>
      <sheetName val="HarDas-Ops."/>
      <sheetName val="6-AGREGAT"/>
      <sheetName val="Rekap Total"/>
      <sheetName val="Reference"/>
      <sheetName val="BAP"/>
      <sheetName val="JADUAL"/>
      <sheetName val="Sumber Daya"/>
      <sheetName val="SAT EL"/>
      <sheetName val="KODE"/>
      <sheetName val="DIV.2"/>
      <sheetName val="Variabel"/>
      <sheetName val="Harga Dasar"/>
      <sheetName val="R"/>
      <sheetName val="概総括1"/>
      <sheetName val="電気設備表"/>
      <sheetName val="ANALISA GR_x0000__x0000__x0000_"/>
      <sheetName val="PREAM"/>
      <sheetName val="analisa panel"/>
      <sheetName val="BAG-2"/>
      <sheetName val="Price"/>
      <sheetName val="ARL"/>
      <sheetName val="CB"/>
      <sheetName val="KBL"/>
      <sheetName val="TRY"/>
      <sheetName val="Sheet2"/>
      <sheetName val="LISTRIK"/>
      <sheetName val="TATA UDARA"/>
      <sheetName val="Basic Price"/>
      <sheetName val="Unit Price"/>
      <sheetName val="Analis"/>
      <sheetName val="H-SATUAN"/>
      <sheetName val="Bill_of_Qty_MEP1"/>
      <sheetName val="Basement_Estimate1"/>
      <sheetName val="PLUMBING_21"/>
      <sheetName val="HSTANAH_XLS1"/>
      <sheetName val="FORM_X_COST1"/>
      <sheetName val="HARGA_ME1"/>
      <sheetName val="rab_me_(by_owner)_1"/>
      <sheetName val="BQ_(by_owner)1"/>
      <sheetName val="rab_me_(fisik)1"/>
      <sheetName val="rekap_c1"/>
      <sheetName val="an_el1"/>
      <sheetName val="01A-_RAB1"/>
      <sheetName val="ELEVATED_SLAB1"/>
      <sheetName val="HARGA_MATERIAL1"/>
      <sheetName val="BQ_ARS1"/>
      <sheetName val="bhn_1"/>
      <sheetName val="Analisa_21"/>
      <sheetName val="unit_rate-b31"/>
      <sheetName val="Pos_4-11"/>
      <sheetName val="Harga_1"/>
      <sheetName val="vol__ARS1"/>
      <sheetName val="TOTAL_SPK1"/>
      <sheetName val="Memb_Schd1"/>
      <sheetName val="daftar_Upah1"/>
      <sheetName val="Analisa_Harga_Satuan1"/>
      <sheetName val="Analisa_Upah___Bahan_Plum1"/>
      <sheetName val="HB_1"/>
      <sheetName val="rek_det_1-31"/>
      <sheetName val="3__KONTRAK(stu)"/>
      <sheetName val="Daf_11"/>
      <sheetName val="Supply_Agrmnt1"/>
      <sheetName val="Harga_Bahan1"/>
      <sheetName val="REF_ONLY1"/>
      <sheetName val="HRG_BHN"/>
      <sheetName val="PHU_051"/>
      <sheetName val="POS-4_11"/>
      <sheetName val="Rekap_Dc1"/>
      <sheetName val="daftar_harga1"/>
      <sheetName val="i-j__Pengalaman"/>
      <sheetName val="AnalisaSIPIL_RIIL_RAP"/>
      <sheetName val="bukan_PNS"/>
      <sheetName val="Fill_this_out_first___"/>
      <sheetName val="SUB_TOTAL___"/>
      <sheetName val="HSA_&amp;_PAB"/>
      <sheetName val="Harga_Upah_"/>
      <sheetName val="Analisa_Tekhnis"/>
      <sheetName val="FORM_7"/>
      <sheetName val="SBDY_Jemb_Tayan"/>
      <sheetName val="AHS_(ci,str,ars)"/>
      <sheetName val="Time_Schedule"/>
      <sheetName val="PAKET_1"/>
      <sheetName val="RENCANA_KERJA"/>
      <sheetName val="Bill_of_Qty"/>
      <sheetName val="Mon_Upah"/>
      <sheetName val="A_Paint_Jotun_Penguard"/>
      <sheetName val="BOQ_ori"/>
      <sheetName val="D2_4"/>
      <sheetName val="D4_3_(TE)"/>
      <sheetName val="D5_3_(TF)_"/>
      <sheetName val="D8_3_(TJ)"/>
      <sheetName val="SD_(1)"/>
      <sheetName val="struktur_tdk_dipakai"/>
      <sheetName val="anal_pipa"/>
      <sheetName val="Harsat_Upah"/>
      <sheetName val="Agregat_Halus_&amp;_Kasar"/>
      <sheetName val="AHS_-_Riel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ANALISA_GRGAH"/>
      <sheetName val="Analisa_RAP"/>
      <sheetName val="Bahan_B"/>
      <sheetName val="Upah_B"/>
      <sheetName val="ANALISA_GR?????GAH"/>
      <sheetName val="Surat_Pernyataan"/>
      <sheetName val="610_04"/>
      <sheetName val="H_Satuan4"/>
      <sheetName val="REKAP_1_SECTION3"/>
      <sheetName val="DIREC_COST3"/>
      <sheetName val="form_besi3"/>
      <sheetName val="REKAP_STRUCTURE3"/>
      <sheetName val="Master_1_02"/>
      <sheetName val="lamp__122"/>
      <sheetName val="A-11_Steel_Str_(2)2"/>
      <sheetName val="ANALISA_GRS_TENGAH2"/>
      <sheetName val="GRAND_REKAP2"/>
      <sheetName val="Analisa_&amp;_Upah2"/>
      <sheetName val="Analisa_Upah_&amp;_Bahan_Plum2"/>
      <sheetName val="BAHAN_&amp;_UPAH2"/>
      <sheetName val="Bill_of_Qty_MEP2"/>
      <sheetName val="Basement_Estimate2"/>
      <sheetName val="PLUMBING_22"/>
      <sheetName val="HSTANAH_XLS2"/>
      <sheetName val="FORM_X_COST2"/>
      <sheetName val="HARGA_ME2"/>
      <sheetName val="rab_me_(by_owner)_2"/>
      <sheetName val="3"/>
      <sheetName val="Batal"/>
      <sheetName val="B.1"/>
      <sheetName val="B.10"/>
      <sheetName val="B.11"/>
      <sheetName val="B.12"/>
      <sheetName val="B.13"/>
      <sheetName val="B.14"/>
      <sheetName val="B.15"/>
      <sheetName val="B.16"/>
      <sheetName val="B.17"/>
      <sheetName val="B.18"/>
      <sheetName val="B.2"/>
      <sheetName val="B.20"/>
      <sheetName val="B.21"/>
      <sheetName val="B.22"/>
      <sheetName val="B.23"/>
      <sheetName val="B.24"/>
      <sheetName val="B.25"/>
      <sheetName val="B.26"/>
      <sheetName val="B.28"/>
      <sheetName val="B.29"/>
      <sheetName val="B.3"/>
      <sheetName val="B.30"/>
      <sheetName val="B.4"/>
      <sheetName val="B.5"/>
      <sheetName val="B.6"/>
      <sheetName val="B.7"/>
      <sheetName val="B.8"/>
      <sheetName val="Analisa Harga"/>
      <sheetName val="Pgr Jl.I.Bale"/>
      <sheetName val="Rekap Bill"/>
      <sheetName val="Menu"/>
      <sheetName val="4-Basic Price"/>
      <sheetName val="5-ALAT(1)"/>
      <sheetName val="2__Informasi"/>
      <sheetName val="HASAT_DASAR"/>
      <sheetName val="Uraian_Teknis"/>
      <sheetName val="1.B"/>
      <sheetName val="112-885"/>
      <sheetName val="UMUM-PU"/>
      <sheetName val="bau"/>
      <sheetName val="7.1(3)"/>
      <sheetName val="Faktor Konversi"/>
      <sheetName val="DATABASE"/>
      <sheetName val="div4"/>
      <sheetName val="div71"/>
      <sheetName val="div7"/>
      <sheetName val="div31"/>
      <sheetName val="div3"/>
      <sheetName val=" REKAP B GEDUNG PRAMUKA"/>
      <sheetName val="A PENDOPO"/>
      <sheetName val="pond"/>
      <sheetName val="dind"/>
      <sheetName val="kayu"/>
      <sheetName val="langit"/>
      <sheetName val="B. GEDUNG PRAMUKA"/>
      <sheetName val="SURAT PENAWARAN"/>
      <sheetName val=" REKAP A PENDOPO"/>
      <sheetName val="Alat (1)"/>
      <sheetName val="Daftar Harga Upah dan Bahan"/>
      <sheetName val="An_Harga"/>
      <sheetName val="KWNTY&amp;HARGA"/>
      <sheetName val="Daftar Upah, Hrg Bhn &amp; Pralatan"/>
      <sheetName val="7_16"/>
      <sheetName val="Master Edit"/>
      <sheetName val="UPH,BHN,ALT"/>
      <sheetName val="Analis harga"/>
      <sheetName val="B"/>
      <sheetName val="Rekap Biaya"/>
      <sheetName val="metod"/>
      <sheetName val="ARITMATIK"/>
      <sheetName val="HPS"/>
      <sheetName val="Man Power"/>
      <sheetName val="ana"/>
      <sheetName val="2.2"/>
      <sheetName val="BQ_(by_owner)2"/>
      <sheetName val="rab_me_(fisik)2"/>
      <sheetName val="rekap_c2"/>
      <sheetName val="an_el2"/>
      <sheetName val="01A-_RAB2"/>
      <sheetName val="ELEVATED_SLAB2"/>
      <sheetName val="HARGA_MATERIAL2"/>
      <sheetName val="BQ_ARS2"/>
      <sheetName val="bhn_2"/>
      <sheetName val="Analisa_22"/>
      <sheetName val="unit_rate-b32"/>
      <sheetName val="Pos_4-12"/>
      <sheetName val="Harga_2"/>
      <sheetName val="vol__ARS2"/>
      <sheetName val="TOTAL_SPK2"/>
      <sheetName val="Memb_Schd2"/>
      <sheetName val="daftar_Upah2"/>
      <sheetName val="Analisa_Harga_Satuan2"/>
      <sheetName val="Analisa_Upah___Bahan_Plum2"/>
      <sheetName val="HB_2"/>
      <sheetName val="rek_det_1-32"/>
      <sheetName val="FORM_3A1"/>
      <sheetName val="Perhitungan_RAB1"/>
      <sheetName val="Harga_satuan1"/>
      <sheetName val="Indirect_Cost1"/>
      <sheetName val="SERVICES_FEE1"/>
      <sheetName val="BD_Cvl1"/>
      <sheetName val="Erection_SS1"/>
      <sheetName val="3__KONTRAK(stu)1"/>
      <sheetName val="Daf_12"/>
      <sheetName val="Supply_Agrmnt2"/>
      <sheetName val="Harga_Bahan2"/>
      <sheetName val="REF_ONLY2"/>
      <sheetName val="Upah_Bahan1"/>
      <sheetName val="HRG_BHN1"/>
      <sheetName val="Harga_ME_1"/>
      <sheetName val="Analisa_RAB1"/>
      <sheetName val="crewlist_S1"/>
      <sheetName val="PHU_052"/>
      <sheetName val="POS-4_12"/>
      <sheetName val="Rekap_Dc2"/>
      <sheetName val="daftar_harga2"/>
      <sheetName val="i-j__Pengalaman1"/>
      <sheetName val="LIFT_DOM1"/>
      <sheetName val="Currency_Rate1"/>
      <sheetName val="AnalisaSIPIL_RIIL_RAP1"/>
      <sheetName val="RAB_RIIL_kayu1"/>
      <sheetName val="bukan_PNS1"/>
      <sheetName val="Fill_this_out_first___1"/>
      <sheetName val="SUB_TOTAL___1"/>
      <sheetName val="dboard(_asli)1"/>
      <sheetName val="RAB_STR_JETTY_&amp;_F_PENUNJANG1"/>
      <sheetName val="HSA_&amp;_PAB1"/>
      <sheetName val="Harga_Upah_1"/>
      <sheetName val="Analisa_Tekhnis1"/>
      <sheetName val="17_ALS-saluran+BC1"/>
      <sheetName val="HARGA_UPAH1"/>
      <sheetName val="Sewa_Alat-11"/>
      <sheetName val="FORM_71"/>
      <sheetName val="SBDY_Jemb_Tayan1"/>
      <sheetName val="Unit_Rate_Indirect1"/>
      <sheetName val="AHS_(ci,str,ars)1"/>
      <sheetName val="Time_Schedule1"/>
      <sheetName val="PAKET_11"/>
      <sheetName val="Harga_Sat_Das1"/>
      <sheetName val="RENCANA_KERJA1"/>
      <sheetName val="Bill_of_Qty1"/>
      <sheetName val="Mon_Upah1"/>
      <sheetName val="A_Paint_Jotun_Penguard1"/>
      <sheetName val="BOQ_ori1"/>
      <sheetName val="D2_41"/>
      <sheetName val="D4_3_(TE)1"/>
      <sheetName val="D5_3_(TF)_1"/>
      <sheetName val="D8_3_(TJ)1"/>
      <sheetName val="SD_(1)1"/>
      <sheetName val="struktur_tdk_dipakai1"/>
      <sheetName val="anal_pipa1"/>
      <sheetName val="Harsat_Upah1"/>
      <sheetName val="Agregat_Halus_&amp;_Kasar1"/>
      <sheetName val="AHS_-_Riel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Analisa_RAP1"/>
      <sheetName val="Bahan_B1"/>
      <sheetName val="Upah_B1"/>
      <sheetName val="ANALISA_GR?????GAH1"/>
      <sheetName val="Surat_Pernyataan1"/>
      <sheetName val="610_041"/>
      <sheetName val="Jamuan"/>
      <sheetName val="Keanggotaan"/>
      <sheetName val="Majalah"/>
      <sheetName val="Pjk.Kend &amp; Parkir&amp;Tanah"/>
      <sheetName val="Pak Din(510)"/>
      <sheetName val="PBB"/>
      <sheetName val="P.Didik&amp;BinaPeg "/>
      <sheetName val="SPPD"/>
      <sheetName val="LAM 3"/>
      <sheetName val="ANALISA_GR_____GAH"/>
      <sheetName val="ANALISA_GR_____GAH1"/>
      <sheetName val="4+000"/>
      <sheetName val="UP MINOR"/>
      <sheetName val="Bilang"/>
      <sheetName val="RANGKUMAN"/>
      <sheetName val="REK"/>
      <sheetName val="MPU"/>
      <sheetName val="MAJ"/>
      <sheetName val="MET-utama"/>
      <sheetName val="MET"/>
      <sheetName val="MOB"/>
      <sheetName val="URAI"/>
      <sheetName val="PLANT"/>
      <sheetName val="BATU"/>
      <sheetName val="DLAT"/>
      <sheetName val="DLAT (2)"/>
      <sheetName val="SCHED"/>
      <sheetName val="STAF"/>
      <sheetName val="MET-RUT"/>
      <sheetName val="DLAMP"/>
      <sheetName val="RUT"/>
      <sheetName val="Volume"/>
      <sheetName val="22"/>
      <sheetName val="Upah &amp; Bahan"/>
      <sheetName val="keb-BHN"/>
      <sheetName val="sche"/>
      <sheetName val="ANALISA-HST"/>
      <sheetName val="HrgUpahBahan"/>
      <sheetName val="Morang"/>
      <sheetName val="DISCLAIMER"/>
      <sheetName val="%"/>
      <sheetName val="MAJOR"/>
      <sheetName val="Peta Quarry"/>
      <sheetName val="Perhitungan Mobilisasi Alat"/>
      <sheetName val="Lalu Lintas"/>
      <sheetName val="Jembatan Sementara"/>
      <sheetName val="Analisa K3"/>
      <sheetName val="4-Analisa Quarry"/>
      <sheetName val="4-Formulir harga bahan"/>
      <sheetName val="Peta Quarry (2)"/>
      <sheetName val="5-ALAT(2)"/>
      <sheetName val="Agg Halus &amp; Kasar"/>
      <sheetName val="Agg A"/>
      <sheetName val="Agg B dan S"/>
      <sheetName val="Agg C"/>
      <sheetName val="Agg  CBR 60"/>
      <sheetName val="Rekap (2)"/>
      <sheetName val="BOQ (2)"/>
      <sheetName val="jangka aktu pelaksanaan (2)"/>
      <sheetName val="D1"/>
      <sheetName val="D2"/>
      <sheetName val="D3"/>
      <sheetName val="D5"/>
      <sheetName val="D6 (2)"/>
      <sheetName val="D7(1)"/>
      <sheetName val="D7(2)"/>
      <sheetName val="D8(1)"/>
      <sheetName val="D8(2)"/>
      <sheetName val="D9"/>
      <sheetName val="D10 LS-Rutin"/>
      <sheetName val="D10 Kuantitas"/>
      <sheetName val="D10 Analisa HSP"/>
      <sheetName val="BQ-E20-02(Rp)"/>
      <sheetName val="BOM BMS"/>
      <sheetName val="TC"/>
      <sheetName val="PV"/>
      <sheetName val="Alat"/>
      <sheetName val="Analisa Gabungan"/>
      <sheetName val="4  PEK. LUAR"/>
      <sheetName val="H Sat Jembatan"/>
      <sheetName val="IPA1"/>
      <sheetName val="TJ1Q47"/>
      <sheetName val="Daf-3.1.2 Pintu, Jendela, TWA"/>
      <sheetName val="Daf-3.1.4 Plafond TWA"/>
      <sheetName val="1.General "/>
      <sheetName val="REKAP  (1)"/>
      <sheetName val="Meth"/>
      <sheetName val="AN-E"/>
      <sheetName val="Sat~Bahu"/>
      <sheetName val="isian"/>
      <sheetName val="u_rates"/>
      <sheetName val=" SAT PL"/>
      <sheetName val="RAB.SEKRETARIAT (1)"/>
      <sheetName val="time"/>
      <sheetName val="2703.1"/>
      <sheetName val="anal"/>
      <sheetName val="REGION"/>
      <sheetName val="OFFGRID"/>
      <sheetName val="Valve PL"/>
      <sheetName val="Peralatan PL"/>
      <sheetName val="Harga Sat."/>
      <sheetName val="Notes"/>
      <sheetName val="Fill this out first..."/>
      <sheetName val="TM"/>
      <sheetName val="an. 1"/>
      <sheetName val="Analisa ME"/>
      <sheetName val="DIV1"/>
      <sheetName val="prelim"/>
      <sheetName val="PRY 03-1 (Amd1)"/>
      <sheetName val="Konfirm"/>
      <sheetName val="BOQ SNJ 1"/>
      <sheetName val="DKH CCO 1A"/>
      <sheetName val="DKH CCO 1B R-1"/>
      <sheetName val="00000"/>
      <sheetName val="10000"/>
      <sheetName val="FINAL"/>
      <sheetName val="JDWL"/>
      <sheetName val="Analisa Harga Sat"/>
      <sheetName val="Lamp -3"/>
      <sheetName val="Lamp -6"/>
      <sheetName val="PV Harga Sat"/>
      <sheetName val="PV-Alat"/>
      <sheetName val="PV-Mat"/>
      <sheetName val="PV-Tenaga"/>
      <sheetName val="Analisa Alat"/>
      <sheetName val="Analisa Alat Dredger"/>
      <sheetName val="SUBKON"/>
      <sheetName val="Analisa Tehnik 1"/>
      <sheetName val="Analisa Tehnik"/>
      <sheetName val="Pendukung"/>
      <sheetName val="Pendukung 1"/>
      <sheetName val="Sheet4"/>
      <sheetName val="Pek Tanah"/>
      <sheetName val="AT.B&amp;B"/>
      <sheetName val="Pep-Persiapan"/>
      <sheetName val="ANALISA railing"/>
      <sheetName val="RAB AR&amp;STR"/>
      <sheetName val="DHS"/>
      <sheetName val="Anal. Alat"/>
      <sheetName val="antek12a-13"/>
      <sheetName val="BHN-ALAT"/>
      <sheetName val="ANAL_P4"/>
      <sheetName val="ANTEK"/>
      <sheetName val="PRD 01-6(I-II)"/>
      <sheetName val="PRD 01-7 alat"/>
      <sheetName val="5-Alat"/>
      <sheetName val="4-Price"/>
      <sheetName val="4-Quarry"/>
      <sheetName val="Harsat-Isal"/>
      <sheetName val="Budget"/>
      <sheetName val="asumsi"/>
      <sheetName val="FL-Cl"/>
      <sheetName val="Brick+Finish"/>
      <sheetName val="jobset"/>
      <sheetName val="Prod 15-8 str"/>
      <sheetName val="Prod 15-7"/>
      <sheetName val="Prod 15-6"/>
      <sheetName val="Prod 15-5"/>
      <sheetName val="DIVI3"/>
      <sheetName val="EurotoolsXRates"/>
      <sheetName val="data-pendukung"/>
      <sheetName val="MAPDC"/>
      <sheetName val="Breakdown"/>
      <sheetName val="Unit Rate"/>
      <sheetName val="(ANALISA-lain)"/>
      <sheetName val="analisa BM"/>
      <sheetName val="Rekap Prelim"/>
      <sheetName val="MT_an"/>
      <sheetName val="Uba"/>
      <sheetName val="Urai _ Guide Post"/>
      <sheetName val="Urai_Galian Tanah"/>
      <sheetName val="DIV.9"/>
      <sheetName val="DIVISI 3"/>
      <sheetName val="VAC BDWN"/>
      <sheetName val="ANALISA GR_x005f_x0000__x"/>
      <sheetName val="Assumption &amp; Dashboard."/>
      <sheetName val="Lumpsum"/>
      <sheetName val="Fixset"/>
      <sheetName val="KET"/>
      <sheetName val="Worksheet"/>
      <sheetName val="Mat"/>
      <sheetName val="sch-KONS"/>
      <sheetName val="Harga Kabel"/>
      <sheetName val="DAF_2"/>
      <sheetName val="Uph&amp;bhn"/>
      <sheetName val="own"/>
      <sheetName val="LAL - PASAR PAGI "/>
      <sheetName val="BoQ C4"/>
      <sheetName val="DivVII"/>
      <sheetName val="DataTeknis"/>
      <sheetName val="meth hsl nego"/>
      <sheetName val="Rekap "/>
      <sheetName val="Kurva S"/>
      <sheetName val="komponen"/>
      <sheetName val="ANALISA GR???"/>
      <sheetName val="FittingPVC"/>
      <sheetName val="SAP"/>
      <sheetName val="Tataudara"/>
      <sheetName val="Analis Kusen 1 ESKALASI"/>
      <sheetName val="NET表"/>
      <sheetName val="BQ表"/>
      <sheetName val="B - Norelec"/>
      <sheetName val="Rate"/>
      <sheetName val="PNT"/>
      <sheetName val="kalibrasi-Tank"/>
      <sheetName val="analisa asumsi Me"/>
      <sheetName val="BHN1"/>
      <sheetName val="Tie Beam GN"/>
      <sheetName val="Tangga GN"/>
      <sheetName val="RABP"/>
      <sheetName val="RATE&amp;FCTR"/>
      <sheetName val="Bhn"/>
      <sheetName val="Prod 02"/>
      <sheetName val="Stock Material"/>
      <sheetName val="EP-PROD-01"/>
      <sheetName val="W-NAD"/>
      <sheetName val="PriceList"/>
      <sheetName val="AnaSch2"/>
      <sheetName val="FORM BQ TL PRATU 4cct"/>
      <sheetName val="BILL OF QUAN"/>
      <sheetName val="General Intem"/>
      <sheetName val="STR - 2B"/>
      <sheetName val="HRPar"/>
      <sheetName val="Rupiah"/>
      <sheetName val="Sales"/>
      <sheetName val="Material&amp;Alat"/>
      <sheetName val="Resume"/>
      <sheetName val="CASH"/>
      <sheetName val="EE-PROP"/>
      <sheetName val="gi"/>
      <sheetName val="Analisa SNI STANDART "/>
      <sheetName val="ANALISA GR_x005f_x005f_x005f_x005f_x005f_x005f_x0"/>
      <sheetName val="ANALYS EXTERN"/>
      <sheetName val="NPV"/>
      <sheetName val="Pro-Base"/>
      <sheetName val="B-Ops-KS"/>
      <sheetName val="Daftar Harga Satuan Gaji"/>
      <sheetName val="Daftar Harga Satuan Bahan"/>
      <sheetName val="prog_mgu"/>
      <sheetName val="BQ EXTERN"/>
      <sheetName val="HSLAIN-LAIN"/>
      <sheetName val="DAFFIN"/>
      <sheetName val="Upah&amp;bahan"/>
      <sheetName val="DB_Simplex"/>
      <sheetName val="Har-mat"/>
      <sheetName val="Har_mat"/>
      <sheetName val="ANALISA GR_x005f_x005f_x0"/>
      <sheetName val="anls space frame"/>
      <sheetName val="hrg.bhn"/>
      <sheetName val="Bahan&amp;Upah"/>
      <sheetName val="Pek.persiapan"/>
      <sheetName val="Biaya"/>
      <sheetName val="Pemindahan Penduduk "/>
      <sheetName val="ESC"/>
      <sheetName val="HSU"/>
      <sheetName val="12CGOU"/>
      <sheetName val="anal_hs"/>
      <sheetName val="대비표"/>
      <sheetName val="AT"/>
      <sheetName val="15.Irr. Struc.Work"/>
      <sheetName val="16.Pipe Inst."/>
      <sheetName val="D Harga"/>
      <sheetName val="rekaprab"/>
      <sheetName val="MSTR"/>
      <sheetName val="bhn FINAL"/>
      <sheetName val="TBL_BANTU"/>
      <sheetName val="ITB COST"/>
      <sheetName val="DAF-BAHAN"/>
      <sheetName val="DAF-UPAH"/>
      <sheetName val="H_Satuan5"/>
      <sheetName val="REKAP_1_SECTION4"/>
      <sheetName val="DIREC_COST4"/>
      <sheetName val="form_besi4"/>
      <sheetName val="REKAP_STRUCTURE4"/>
      <sheetName val="lamp__123"/>
      <sheetName val="Master_1_03"/>
      <sheetName val="GRAND_REKAP3"/>
      <sheetName val="ANALISA_GRS_TENGAH3"/>
      <sheetName val="A-11_Steel_Str_(2)3"/>
      <sheetName val="HARGA_ME3"/>
      <sheetName val="Analisa_Upah_&amp;_Bahan_Plum3"/>
      <sheetName val="Bill_of_Qty_MEP3"/>
      <sheetName val="BAHAN_&amp;_UPAH3"/>
      <sheetName val="Basement_Estimate3"/>
      <sheetName val="bhn_3"/>
      <sheetName val="Analisa_&amp;_Upah3"/>
      <sheetName val="PLUMBING_23"/>
      <sheetName val="rab_me_(by_owner)_3"/>
      <sheetName val="BQ_(by_owner)3"/>
      <sheetName val="rab_me_(fisik)3"/>
      <sheetName val="HSTANAH_XLS3"/>
      <sheetName val="ELEVATED_SLAB3"/>
      <sheetName val="01A-_RAB3"/>
      <sheetName val="rekap_c3"/>
      <sheetName val="an_el3"/>
      <sheetName val="BQ_ARS3"/>
      <sheetName val="Analisa_23"/>
      <sheetName val="FORM_X_COST3"/>
      <sheetName val="unit_rate-b33"/>
      <sheetName val="HARGA_MATERIAL3"/>
      <sheetName val="Pos_4-13"/>
      <sheetName val="Harga_3"/>
      <sheetName val="vol__ARS3"/>
      <sheetName val="TOTAL_SPK3"/>
      <sheetName val="Memb_Schd3"/>
      <sheetName val="Analisa_Harga_Satuan3"/>
      <sheetName val="Analisa_Upah___Bahan_Plum3"/>
      <sheetName val="daftar_Upah3"/>
      <sheetName val="HB_3"/>
      <sheetName val="rek_det_1-33"/>
      <sheetName val="Daf_13"/>
      <sheetName val="FORM_3A2"/>
      <sheetName val="Perhitungan_RAB2"/>
      <sheetName val="Harga_satuan2"/>
      <sheetName val="Indirect_Cost2"/>
      <sheetName val="SERVICES_FEE2"/>
      <sheetName val="BD_Cvl2"/>
      <sheetName val="Erection_SS2"/>
      <sheetName val="3__KONTRAK(stu)2"/>
      <sheetName val="Supply_Agrmnt3"/>
      <sheetName val="LIFT_DOM2"/>
      <sheetName val="daftar_harga3"/>
      <sheetName val="POS-4_13"/>
      <sheetName val="Rekap_Dc3"/>
      <sheetName val="PHU_053"/>
      <sheetName val="REF_ONLY3"/>
      <sheetName val="Harga_Bahan3"/>
      <sheetName val="RAB_RIIL_kayu2"/>
      <sheetName val="bukan_PNS2"/>
      <sheetName val="Currency_Rate2"/>
      <sheetName val="Upah_Bahan2"/>
      <sheetName val="Harga_ME_2"/>
      <sheetName val="HRG_BHN2"/>
      <sheetName val="Analisa_RAB2"/>
      <sheetName val="crewlist_S2"/>
      <sheetName val="i-j__Pengalaman2"/>
      <sheetName val="AnalisaSIPIL_RIIL_RAP2"/>
      <sheetName val="Fill_this_out_first___2"/>
      <sheetName val="SUB_TOTAL___2"/>
      <sheetName val="dboard(_asli)2"/>
      <sheetName val="RAB_STR_JETTY_&amp;_F_PENUNJANG2"/>
      <sheetName val="HSA_&amp;_PAB2"/>
      <sheetName val="Harga_Upah_2"/>
      <sheetName val="Analisa_Tekhnis2"/>
      <sheetName val="17_ALS-saluran+BC2"/>
      <sheetName val="HARGA_UPAH2"/>
      <sheetName val="Sewa_Alat-12"/>
      <sheetName val="FORM_72"/>
      <sheetName val="SBDY_Jemb_Tayan2"/>
      <sheetName val="Unit_Rate_Indirect2"/>
      <sheetName val="AHS_(ci,str,ars)2"/>
      <sheetName val="Time_Schedule2"/>
      <sheetName val="PAKET_12"/>
      <sheetName val="Harga_Sat_Das2"/>
      <sheetName val="RENCANA_KERJA2"/>
      <sheetName val="struktur_tdk_dipakai2"/>
      <sheetName val="Bill_of_Qty2"/>
      <sheetName val="Mon_Upah2"/>
      <sheetName val="A_Paint_Jotun_Penguard2"/>
      <sheetName val="BOQ_ori2"/>
      <sheetName val="D2_42"/>
      <sheetName val="D4_3_(TE)2"/>
      <sheetName val="D5_3_(TF)_2"/>
      <sheetName val="D8_3_(TJ)2"/>
      <sheetName val="SD_(1)2"/>
      <sheetName val="anal_pipa2"/>
      <sheetName val="Harsat_Upah2"/>
      <sheetName val="Agregat_Halus_&amp;_Kasar2"/>
      <sheetName val="AHS_-_Riel2"/>
      <sheetName val="dongia_(2)2"/>
      <sheetName val="THPDMoi_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KPVC-BD_2"/>
      <sheetName val="Analisa_RAP2"/>
      <sheetName val="Bahan_B2"/>
      <sheetName val="Upah_B2"/>
      <sheetName val="ANALISA_GR?????GAH2"/>
      <sheetName val="Surat_Pernyataan2"/>
      <sheetName val="610_042"/>
      <sheetName val="Analisa_(ok_punya)"/>
      <sheetName val="BQ_PABX"/>
      <sheetName val="RAB_REVISI"/>
      <sheetName val="Door_&amp;_Window_Podium"/>
      <sheetName val="San_PD"/>
      <sheetName val="Analisa_Prov'07"/>
      <sheetName val="Anal_"/>
      <sheetName val="NEX24_DB"/>
      <sheetName val="BAHAN_"/>
      <sheetName val="Rekap_Direct_Cost"/>
      <sheetName val="2__Informasi1"/>
      <sheetName val="HASAT_DASAR1"/>
      <sheetName val="Uraian_Teknis1"/>
      <sheetName val="HRG_BAHAN_&amp;_UPAH_okk"/>
      <sheetName val="Analis_Kusen_okk"/>
      <sheetName val="Ana__PU"/>
      <sheetName val="Hrg_Upah_Bhn"/>
      <sheetName val="DAFTAR_HARGA_BAHAN_"/>
      <sheetName val="Bill_rekap"/>
      <sheetName val="Pjk_Kend_&amp;_Parkir&amp;Tanah"/>
      <sheetName val="Pak_Din(510)"/>
      <sheetName val="P_Didik&amp;BinaPeg_"/>
      <sheetName val="Harga_Bahan_&amp;_Upah"/>
      <sheetName val="1_B"/>
      <sheetName val="Perm__Test"/>
      <sheetName val="Kuantitas_&amp;_Harga"/>
      <sheetName val="Str_A"/>
      <sheetName val="Analisa_Tend"/>
      <sheetName val="fill_in_first"/>
      <sheetName val="Unit_Cost"/>
      <sheetName val="ANALISA_GR"/>
      <sheetName val="DFT__HRG_BHN___UPAH"/>
      <sheetName val="ANALISA_STR___ARS"/>
      <sheetName val="DF-7_(2)"/>
      <sheetName val="Harga_bahan-1"/>
      <sheetName val="DETAIL_POS_123"/>
      <sheetName val="Harsat_Bahan"/>
      <sheetName val="Bill_4_1"/>
      <sheetName val="Daftar_Staff"/>
      <sheetName val="H_Satuan_Dasar"/>
      <sheetName val="Isolasi_Luar_Dalam"/>
      <sheetName val="Isolasi_Luar"/>
      <sheetName val="H_SAT"/>
      <sheetName val="10_yr_val"/>
      <sheetName val="Harsat_Pekerjaan"/>
      <sheetName val="HPP_TOTAL"/>
      <sheetName val="HPP_3_Tower"/>
      <sheetName val="Sumber_Daya"/>
      <sheetName val="Anls_Hrg_Sat"/>
      <sheetName val="OP__PERJAM"/>
      <sheetName val="K_Lokal"/>
      <sheetName val="B__PERSONIL"/>
      <sheetName val="Daftar_Upah,_Hrg_Bhn_&amp;_Pralatan"/>
      <sheetName val="DRUP_(ASLI)"/>
      <sheetName val="SAT_EL"/>
      <sheetName val="Analisa_Harga_Sat"/>
      <sheetName val="Lamp_-3"/>
      <sheetName val="Lamp_-6"/>
      <sheetName val="PV_Harga_Sat"/>
      <sheetName val="Analisa_Alat"/>
      <sheetName val="Analisa_Alat_Dredger"/>
      <sheetName val="Analisa_Tehnik_1"/>
      <sheetName val="Analisa_Tehnik"/>
      <sheetName val="Pendukung_1"/>
      <sheetName val="Pek_Tanah"/>
      <sheetName val="AT_B&amp;B"/>
      <sheetName val="COST_SUMM"/>
      <sheetName val="Sec_I_ML"/>
      <sheetName val="Har_Sat"/>
      <sheetName val="TATA_UDARA"/>
      <sheetName val="ANALISA_GR_x005f_x0000__x005f_x0000__x005f_x0000_"/>
      <sheetName val="Rekap_Prelim"/>
      <sheetName val="Unit_Price"/>
      <sheetName val="analisa_panel"/>
      <sheetName val="Man_Power"/>
      <sheetName val="Tuk Koef"/>
      <sheetName val="Galian 1"/>
      <sheetName val="No Item"/>
      <sheetName val="SK"/>
      <sheetName val="Tunduk Panitia"/>
      <sheetName val="rab - persiapan &amp; lantai-1"/>
      <sheetName val="INPUT AGST"/>
      <sheetName val="rkpm 2003"/>
      <sheetName val="BBM-03"/>
      <sheetName val="DIV7-BM"/>
      <sheetName val="box culvert"/>
      <sheetName val="NP (4)"/>
      <sheetName val="BABY"/>
      <sheetName val="BASEMENT"/>
      <sheetName val="tl"/>
      <sheetName val="SPREAD SHEET"/>
      <sheetName val="D &amp; W sizes"/>
      <sheetName val="ANALISA GR_x005f_x0000__x005f_x005f_x"/>
      <sheetName val="3.ALS-STR-PDS"/>
      <sheetName val="iNT. Kotak Lt.3"/>
      <sheetName val="RINCIAN"/>
      <sheetName val="REK S-CURVE"/>
      <sheetName val="S-CURVE"/>
      <sheetName val="spl"/>
      <sheetName val="Gorong Aramco"/>
      <sheetName val="BQ All_2"/>
      <sheetName val="Kuantitas &amp; Harga Seg.1"/>
      <sheetName val="dayvol WEDI"/>
      <sheetName val="dayvol adibarat"/>
      <sheetName val="ERET"/>
      <sheetName val="Concrete"/>
      <sheetName val="XL4Test5"/>
      <sheetName val="Eng_Hrs"/>
      <sheetName val="LD calc"/>
      <sheetName val="Formula"/>
      <sheetName val="COSTING Option 1"/>
      <sheetName val="Total Harga"/>
      <sheetName val="Form I"/>
      <sheetName val="sph"/>
      <sheetName val="SP Kapasitas TD"/>
      <sheetName val="AnalisaSIPIL RIIL"/>
      <sheetName val="ALAT1"/>
      <sheetName val="SAT"/>
      <sheetName val="MEBEL1"/>
      <sheetName val="PERPUS1"/>
      <sheetName val="Schedulle "/>
      <sheetName val="BIIL ASLI"/>
      <sheetName val="ANALISA A-Persiapan"/>
      <sheetName val="ANALISA B-Pek.tanah"/>
      <sheetName val="ANALISA C-Pek. pondasi"/>
      <sheetName val="ANALISA D-Dinding"/>
      <sheetName val="ANALISA E-Plesteran"/>
      <sheetName val="ANALISA F-Pek.Kayu"/>
      <sheetName val="ANALISA G-Pek. beton"/>
      <sheetName val="ANALISA J-Pek. Sanitasi"/>
      <sheetName val="ANALISA K-Besi n aluminium"/>
      <sheetName val="ANALISA N-Pek. pengecatan"/>
      <sheetName val="ANALISA Q-Pek. Air Bersih"/>
      <sheetName val="JOB'S"/>
      <sheetName val="Isian Biodata"/>
      <sheetName val="P-3"/>
      <sheetName val="analisa print"/>
      <sheetName val="Har-sat finish"/>
      <sheetName val="D-3 (M)"/>
      <sheetName val="D-7 (M)"/>
      <sheetName val="Harga bahan _ upah"/>
      <sheetName val="NP7"/>
      <sheetName val="AWAL"/>
      <sheetName val="ANALISA GR_x0000__x"/>
      <sheetName val="ANALISA GR_x0"/>
      <sheetName val="BQ Pivot utk Analisa &amp; SDBP "/>
      <sheetName val="M+U Pivot"/>
      <sheetName val="Fin Sum"/>
      <sheetName val="FP"/>
      <sheetName val="PLB"/>
      <sheetName val="Jadwal"/>
      <sheetName val="camp"/>
      <sheetName val="adukan "/>
      <sheetName val="bhan"/>
      <sheetName val="itempek"/>
      <sheetName val="Cdg"/>
      <sheetName val="Item1"/>
      <sheetName val="Item2"/>
      <sheetName val="tanah"/>
      <sheetName val="kapalat"/>
      <sheetName val="Proses"/>
      <sheetName val="Item3"/>
      <sheetName val="Item5"/>
      <sheetName val="Item6"/>
      <sheetName val="Item7"/>
      <sheetName val="Item8"/>
      <sheetName val="Pareto"/>
      <sheetName val="Item10"/>
      <sheetName val="Gorong-2"/>
      <sheetName val="H-quarry"/>
      <sheetName val="Pas-batu"/>
      <sheetName val="Resiko"/>
      <sheetName val="Vol K.225"/>
      <sheetName val="Titip"/>
      <sheetName val="Pengalaman"/>
      <sheetName val="bill 3.9"/>
      <sheetName val="STR(CANCEL)"/>
      <sheetName val="finalj"/>
      <sheetName val="HST"/>
      <sheetName val="SOHAR(2nd)"/>
      <sheetName val="#REF!"/>
      <sheetName val="2.1"/>
      <sheetName val="2.3"/>
      <sheetName val="2.4"/>
      <sheetName val="2.5"/>
      <sheetName val="2.6"/>
      <sheetName val="2.7"/>
      <sheetName val="3.1"/>
      <sheetName val="3.10"/>
      <sheetName val="3.11"/>
      <sheetName val="3.12"/>
      <sheetName val="3.2"/>
      <sheetName val="3.3"/>
      <sheetName val="3.4"/>
      <sheetName val="3.8"/>
      <sheetName val="3.9"/>
      <sheetName val="DASHB"/>
      <sheetName val="PRIST LIST"/>
      <sheetName val="Assetdb"/>
      <sheetName val="PersList"/>
      <sheetName val="AssetPar"/>
      <sheetName val="Sales Parameter"/>
      <sheetName val="DIV.3"/>
      <sheetName val="harga sat"/>
      <sheetName val="Formula Paket A"/>
      <sheetName val="SCH"/>
      <sheetName val="down-semi-coarse"/>
      <sheetName val="down-semi-fine"/>
      <sheetName val="inner pervious_adjust "/>
      <sheetName val="outer pervious adjust"/>
      <sheetName val="riprap"/>
      <sheetName val="up-semi"/>
      <sheetName val="K3LM"/>
      <sheetName val="HARSAT-lain"/>
      <sheetName val="HARSAT-tanah"/>
      <sheetName val="Hitung"/>
      <sheetName val="Analis Upah"/>
      <sheetName val="KEBALAT"/>
      <sheetName val="CRUSER"/>
      <sheetName val="Invoice"/>
      <sheetName val=" "/>
      <sheetName val="Analisa Quarry"/>
      <sheetName val="HSPK"/>
      <sheetName val="DB"/>
      <sheetName val="SD"/>
      <sheetName val="lap-bulan"/>
      <sheetName val="DK&amp;H"/>
      <sheetName val="Bill Of Quantity"/>
      <sheetName val="DIV.1"/>
      <sheetName val="LIST MATERIAL"/>
      <sheetName val="P&amp;L98"/>
      <sheetName val="BQ-Arun"/>
      <sheetName val="bqmpaloc"/>
      <sheetName val="an.el"/>
      <sheetName val="An.AC &amp; Plb"/>
      <sheetName val="bau-6"/>
      <sheetName val="prd01-5"/>
      <sheetName val="HS Alat"/>
      <sheetName val="Div 9 - Harian"/>
      <sheetName val="Div 2 - Drainase"/>
      <sheetName val="Input Data"/>
      <sheetName val="IN."/>
      <sheetName val="In"/>
      <sheetName val="Projects"/>
      <sheetName val="Data-Masukan"/>
      <sheetName val="Cashflow"/>
      <sheetName val="h.sat-bbm"/>
      <sheetName val="ANAL-SEC II"/>
      <sheetName val="ANAL-SEC III"/>
      <sheetName val="Surat"/>
      <sheetName val="Surat2"/>
      <sheetName val="Daftar Alat"/>
      <sheetName val="skets"/>
      <sheetName val="tb. besi"/>
      <sheetName val="unit_rate"/>
      <sheetName val="BEP"/>
      <sheetName val="Bgn-Ingg PLANTATION"/>
      <sheetName val="CODE"/>
      <sheetName val="Irregular Income"/>
      <sheetName val="FE-1770.P1"/>
      <sheetName val="Variables"/>
      <sheetName val="HITUNG-HPP,25"/>
      <sheetName val="Hrn I"/>
      <sheetName val="Hrn II"/>
      <sheetName val="Hrn III"/>
      <sheetName val="Up"/>
      <sheetName val="LOADDAT"/>
      <sheetName val="Category detail"/>
      <sheetName val="F ALARM"/>
      <sheetName val="2016-405 MR"/>
      <sheetName val="2017-458RAG&amp;MR"/>
      <sheetName val="Alat B"/>
      <sheetName val="a.h ars sum"/>
      <sheetName val="a.h ars"/>
      <sheetName val="MAP 1-2"/>
      <sheetName val="General_Intem"/>
      <sheetName val="PRY_03-1_(Amd1)"/>
      <sheetName val="STR_-_2B"/>
      <sheetName val="VAC_BDWN"/>
      <sheetName val="ANALISA_GR_x005f_x005f_x005f_x0000__x005f_x005f_x"/>
      <sheetName val="RANGE_BAHAN"/>
      <sheetName val="BOQ_SNJ_1"/>
      <sheetName val="DKH_CCO_1A"/>
      <sheetName val="DKH_CCO_1B_R-1"/>
      <sheetName val="Anal__Alat"/>
      <sheetName val="PRD_01-6(I-II)"/>
      <sheetName val="PRD_01-7_alat"/>
      <sheetName val="7_1(3)"/>
      <sheetName val="Formula_Paket_A"/>
      <sheetName val="inner_pervious_adjust_"/>
      <sheetName val="outer_pervious_adjust"/>
      <sheetName val="Urai___Guide_Post"/>
      <sheetName val="Urai_Galian_Tanah"/>
      <sheetName val="Agg_Halus_&amp;_Kasar"/>
      <sheetName val="Analis_Upah"/>
      <sheetName val="ANALISA_railing"/>
      <sheetName val="RAB_AR&amp;STR"/>
      <sheetName val="Prod_15-8_str"/>
      <sheetName val="Prod_15-7"/>
      <sheetName val="Prod_15-6"/>
      <sheetName val="Prod_15-5"/>
      <sheetName val="analisa_el"/>
      <sheetName val="Master_Edit"/>
      <sheetName val="Analis_harga"/>
      <sheetName val="HarDas-Ops_"/>
      <sheetName val="DIV_9"/>
      <sheetName val="HARGA_DASAR"/>
      <sheetName val="PRIST_LIST"/>
      <sheetName val="Sales_Parameter"/>
      <sheetName val="DIV_3"/>
      <sheetName val="BILL_OF_QUAN"/>
      <sheetName val="analisa_asumsi_Me"/>
      <sheetName val="7.공정표"/>
      <sheetName val="NC-CM"/>
      <sheetName val="L3-Calculation"/>
      <sheetName val="DAFMAT"/>
      <sheetName val="Reloc &amp; Living Cost"/>
      <sheetName val="Sal"/>
      <sheetName val="U&amp;B"/>
      <sheetName val="Analisa K"/>
      <sheetName val="3-DIV3"/>
      <sheetName val="TS (A3)"/>
      <sheetName val="Sheet7"/>
      <sheetName val="Schedule Master"/>
      <sheetName val="HRG-DASAR"/>
      <sheetName val="310000 CABANG V"/>
      <sheetName val="Daf Alat"/>
      <sheetName val="Jdw Alat"/>
      <sheetName val="list"/>
      <sheetName val="Schedule"/>
      <sheetName val="S Penawar"/>
      <sheetName val="O"/>
      <sheetName val="Anl.+"/>
      <sheetName val="K"/>
      <sheetName val="LCATAL"/>
      <sheetName val="W"/>
      <sheetName val="Alat R"/>
      <sheetName val="REKAP_2"/>
      <sheetName val="4-Basic_Price"/>
      <sheetName val="Faktor_Konversi"/>
      <sheetName val="Analisa_(ok_punya)2"/>
      <sheetName val="ANALISA_GR2"/>
      <sheetName val="BQ_PABX2"/>
      <sheetName val="fill_in_first2"/>
      <sheetName val="Unit_Cost2"/>
      <sheetName val="BAHAN_2"/>
      <sheetName val="Kuantitas_&amp;_Harga2"/>
      <sheetName val="COST_SUMM2"/>
      <sheetName val="Harsat_Bahan2"/>
      <sheetName val="Harga_bahan-12"/>
      <sheetName val="DETAIL_POS_1232"/>
      <sheetName val="H_SAT2"/>
      <sheetName val="Str_A2"/>
      <sheetName val="Analisa_Tend2"/>
      <sheetName val="HPP_TOTAL2"/>
      <sheetName val="HPP_3_Tower2"/>
      <sheetName val="ANALISA_GR_____GAH2"/>
      <sheetName val="Rekap_Direct_Cost2"/>
      <sheetName val="Anal_2"/>
      <sheetName val="Harga_Bahan_&amp;_Upah2"/>
      <sheetName val="DFT__HRG_BHN___UPAH2"/>
      <sheetName val="ANALISA_STR___ARS2"/>
      <sheetName val="4-Basic_Price2"/>
      <sheetName val="Faktor_Konversi2"/>
      <sheetName val="Analisa_Prov'072"/>
      <sheetName val="H_Satuan_Dasar2"/>
      <sheetName val="OP__PERJAM2"/>
      <sheetName val="K_Lokal2"/>
      <sheetName val="B__PERSONIL2"/>
      <sheetName val="HASAT_DASAR2"/>
      <sheetName val="Bill_rekap2"/>
      <sheetName val="Hrg_Upah_Bhn2"/>
      <sheetName val="DAFTAR_HARGA_BAHAN_2"/>
      <sheetName val="2__Informasi2"/>
      <sheetName val="Uraian_Teknis2"/>
      <sheetName val="Isolasi_Luar_Dalam2"/>
      <sheetName val="Isolasi_Luar2"/>
      <sheetName val="Anls_Hrg_Sat2"/>
      <sheetName val="DRUP_(ASLI)2"/>
      <sheetName val="Perm__Test1"/>
      <sheetName val="Door_&amp;_Window_Podium1"/>
      <sheetName val="San_PD1"/>
      <sheetName val="Sumber_Daya1"/>
      <sheetName val="DF-7_(2)1"/>
      <sheetName val="RAB_REVISI1"/>
      <sheetName val="SAT_EL1"/>
      <sheetName val="NEX24_DB1"/>
      <sheetName val="Analisa_(ok_punya)1"/>
      <sheetName val="ANALISA_GR1"/>
      <sheetName val="BQ_PABX1"/>
      <sheetName val="fill_in_first1"/>
      <sheetName val="Unit_Cost1"/>
      <sheetName val="BAHAN_1"/>
      <sheetName val="Kuantitas_&amp;_Harga1"/>
      <sheetName val="COST_SUMM1"/>
      <sheetName val="Harsat_Bahan1"/>
      <sheetName val="Harga_bahan-11"/>
      <sheetName val="DETAIL_POS_1231"/>
      <sheetName val="H_SAT1"/>
      <sheetName val="Str_A1"/>
      <sheetName val="Analisa_Tend1"/>
      <sheetName val="HPP_TOTAL1"/>
      <sheetName val="HPP_3_Tower1"/>
      <sheetName val="Rekap_Direct_Cost1"/>
      <sheetName val="Anal_1"/>
      <sheetName val="Harga_Bahan_&amp;_Upah1"/>
      <sheetName val="DFT__HRG_BHN___UPAH1"/>
      <sheetName val="ANALISA_STR___ARS1"/>
      <sheetName val="4-Basic_Price1"/>
      <sheetName val="Faktor_Konversi1"/>
      <sheetName val="Analisa_Prov'071"/>
      <sheetName val="H_Satuan_Dasar1"/>
      <sheetName val="OP__PERJAM1"/>
      <sheetName val="K_Lokal1"/>
      <sheetName val="B__PERSONIL1"/>
      <sheetName val="Bill_rekap1"/>
      <sheetName val="Hrg_Upah_Bhn1"/>
      <sheetName val="DAFTAR_HARGA_BAHAN_1"/>
      <sheetName val="Isolasi_Luar_Dalam1"/>
      <sheetName val="Isolasi_Luar1"/>
      <sheetName val="Anls_Hrg_Sat1"/>
      <sheetName val="DRUP_(ASLI)1"/>
      <sheetName val="komp"/>
      <sheetName val="ANA-HRG"/>
      <sheetName val="3-DIV8"/>
      <sheetName val="Anas"/>
      <sheetName val="FINISHING"/>
      <sheetName val="ANALISA GR___"/>
      <sheetName val="ANALISA SNI'12 "/>
      <sheetName val="Tsuara"/>
      <sheetName val="Titik kabel"/>
      <sheetName val="H-Upah"/>
      <sheetName val="Markup"/>
      <sheetName val="Soi 08"/>
      <sheetName val="Generalofact"/>
      <sheetName val="预算"/>
      <sheetName val="TTTram"/>
      <sheetName val="DATA BASE"/>
      <sheetName val="Up &amp; bhn"/>
      <sheetName val="Soi_08"/>
      <sheetName val="STR"/>
      <sheetName val="calc-2"/>
      <sheetName val="Perhitungan KC ke SUBKON"/>
      <sheetName val="CAT"/>
      <sheetName val="surat "/>
      <sheetName val="Ajuan"/>
      <sheetName val="Hit"/>
      <sheetName val="RAB-NEGO"/>
      <sheetName val="3-DIV4"/>
      <sheetName val="Uph+bahan"/>
      <sheetName val="Hrg Satuan"/>
      <sheetName val="Satuan"/>
      <sheetName val="MUA"/>
      <sheetName val="ANAL.BOW"/>
      <sheetName val="Satuan Dasar"/>
      <sheetName val="qc reading"/>
      <sheetName val="Kurs"/>
      <sheetName val="schtng"/>
      <sheetName val="schbhn"/>
      <sheetName val="schalt"/>
      <sheetName val="DEF"/>
      <sheetName val="H-SAT"/>
      <sheetName val="3-DIV7"/>
      <sheetName val="gvl"/>
      <sheetName val="mst_prod_material"/>
      <sheetName val="inventory_stock_movement"/>
      <sheetName val="AnalisaBOW"/>
      <sheetName val="memory"/>
      <sheetName val="An_Basic"/>
      <sheetName val="D.BOARD"/>
      <sheetName val="PERALATAN PROYEK GOL III A"/>
      <sheetName val="Cashflow_ref"/>
      <sheetName val="alt1"/>
      <sheetName val="SUB &amp; mandor"/>
      <sheetName val="Catatan"/>
      <sheetName val="BasicPrice"/>
      <sheetName val="PP"/>
      <sheetName val="AnalAdjust"/>
      <sheetName val="Metod TWR"/>
      <sheetName val="hit str"/>
      <sheetName val="labarugi"/>
      <sheetName val="neraca"/>
      <sheetName val="BPDP"/>
      <sheetName val="HGS Jan 2007"/>
      <sheetName val="PENYAMBUNGAN DAYA"/>
      <sheetName val="M2 SQUARE (C)"/>
      <sheetName val="Marka Jalan"/>
      <sheetName val="PENDAHULUAN"/>
      <sheetName val="PAGAR PEMBATAS JALAN"/>
      <sheetName val="Rambu-rambu"/>
      <sheetName val="Rigid Beton"/>
      <sheetName val="Separator "/>
      <sheetName val="ST CAROLUS (C)"/>
      <sheetName val="INPUT HARIAN"/>
      <sheetName val="BQ (M&amp;E)"/>
      <sheetName val="Data Upah"/>
      <sheetName val="Rab-EL-"/>
      <sheetName val="Formulir 7.6"/>
      <sheetName val="sulteng"/>
      <sheetName val="sultra"/>
      <sheetName val="Dash"/>
      <sheetName val="ENC.14"/>
      <sheetName val="DIV.8"/>
      <sheetName val="3.2.2 (Rincian)"/>
      <sheetName val="PHT"/>
      <sheetName val="AN. SCAFOLDING"/>
      <sheetName val="3Div7"/>
      <sheetName val="UP-MAT-ALT"/>
      <sheetName val="12.ANS"/>
      <sheetName val="SCDL"/>
      <sheetName val="PK1"/>
      <sheetName val="REKAP Package I"/>
      <sheetName val="Material-mr"/>
      <sheetName val="REMUNERASISTANDAR"/>
      <sheetName val="TABEL-DETASIR"/>
      <sheetName val="D_harga"/>
      <sheetName val="산근"/>
      <sheetName val="ANA-C"/>
      <sheetName val="upahbahan"/>
      <sheetName val="BOOQ"/>
      <sheetName val="RAP1"/>
      <sheetName val="tgl"/>
      <sheetName val="PM"/>
      <sheetName val="divI"/>
      <sheetName val="TJ.JATI"/>
      <sheetName val="RBP- 2"/>
      <sheetName val="Hst,upah"/>
      <sheetName val="Hst_mat"/>
      <sheetName val="BREAKDOWN(철거설치)"/>
      <sheetName val="SP17"/>
      <sheetName val="RAB 1"/>
      <sheetName val="Hsatbahan"/>
      <sheetName val="HB"/>
      <sheetName val="RKP PLUMBING"/>
      <sheetName val="Hua Yang Quarterly"/>
      <sheetName val="Lead Schedule"/>
      <sheetName val="Gal tanah"/>
      <sheetName val="analisa2"/>
      <sheetName val="DAPRO"/>
      <sheetName val="M+MC"/>
      <sheetName val="GVL§CT"/>
      <sheetName val="ANALISA WIKA"/>
      <sheetName val="igp-popno"/>
      <sheetName val="FA"/>
      <sheetName val="SOUND"/>
      <sheetName val="CCTV"/>
      <sheetName val="ACCESS"/>
      <sheetName val="GPON"/>
      <sheetName val="RACK_EC"/>
      <sheetName val="GR_EC"/>
      <sheetName val="lampiran"/>
      <sheetName val="SAPON"/>
      <sheetName val="4__PEK__LUAR"/>
      <sheetName val="Pemindahan_Penduduk_"/>
      <sheetName val="DIV_8"/>
      <sheetName val="7_공정표"/>
      <sheetName val="Galian_1"/>
      <sheetName val="1_General_"/>
      <sheetName val="REKAP__(1)"/>
      <sheetName val="2703_1"/>
      <sheetName val="Assumption_&amp;_Dashboard_"/>
      <sheetName val="H_Sat_Jembatan"/>
      <sheetName val="3_2_2_(Rincian)"/>
      <sheetName val="AN__SCAFOLDING"/>
      <sheetName val="Harga_Kabel"/>
      <sheetName val="BOM_BMS"/>
      <sheetName val="Daf-3_1_2_Pintu,_Jendela,_TWA"/>
      <sheetName val="Daf-3_1_4_Plafond_TWA"/>
      <sheetName val="Valve_PL"/>
      <sheetName val="Peralatan_PL"/>
      <sheetName val="Fill_this_out_first___3"/>
      <sheetName val="ANALISA_GR???"/>
      <sheetName val="Rekap_Total"/>
      <sheetName val="Rekap_Biaya"/>
      <sheetName val="_SAT_PL"/>
      <sheetName val="RAB_SEKRETARIAT_(1)"/>
      <sheetName val="DLAT_(2)"/>
      <sheetName val="Daftar_Alat"/>
      <sheetName val="ANALISA_GR_x005f_x0000__x"/>
      <sheetName val="AnalisaSIPIL_RIIL"/>
      <sheetName val="KAN. LOKAL"/>
      <sheetName val="tulang"/>
      <sheetName val="hit.BKMM"/>
      <sheetName val="INFORMASI UMUM"/>
      <sheetName val="Form 1"/>
      <sheetName val="H SATUAN"/>
      <sheetName val="DATAOKT"/>
      <sheetName val="C.S.A"/>
      <sheetName val="정부노임단가"/>
      <sheetName val="RAB (A) (2)"/>
      <sheetName val="Pay Items"/>
      <sheetName val="전기일위대가"/>
      <sheetName val="COPING"/>
      <sheetName val="단가"/>
      <sheetName val="시설물일위"/>
      <sheetName val="실행철강하도"/>
      <sheetName val="FIRE FIGHTING"/>
      <sheetName val="Meto"/>
      <sheetName val="REKAP A BESAR"/>
      <sheetName val="KH.L"/>
      <sheetName val="6"/>
      <sheetName val="7.L"/>
      <sheetName val="Harga Satuan Upah &amp; Bahan"/>
      <sheetName val="Qty"/>
      <sheetName val="ANALISA GRGAH"/>
      <sheetName val="ANALISA GR_x"/>
      <sheetName val="analisa Harsat"/>
      <sheetName val="URAIAN "/>
      <sheetName val="LS-Rutin"/>
      <sheetName val="hs-str"/>
      <sheetName val="hs_str"/>
      <sheetName val="2. Rekap Ars-Struk"/>
      <sheetName val="3-DIV2"/>
      <sheetName val="BAHAN 2017"/>
      <sheetName val="Sat JAdi"/>
      <sheetName val="Rate Analysis"/>
      <sheetName val="extern"/>
      <sheetName val="SUMBER"/>
      <sheetName val="hrg-sat.pek"/>
      <sheetName val="IV. Arsitek (MC 0)"/>
      <sheetName val="HASIL USAHA 2011"/>
      <sheetName val="Peralatan (2)"/>
      <sheetName val="An Biaya.Kons (SNI)"/>
      <sheetName val="Daftar Harga Bahan"/>
      <sheetName val="An Biaya Kons.Pek.Kayu &amp; Atap"/>
      <sheetName val="Kuantitas_&amp;_Harga_Seg_1"/>
      <sheetName val="_REKAP_B_GEDUNG_PRAMUKA"/>
      <sheetName val="A_PENDOPO"/>
      <sheetName val="B__GEDUNG_PRAMUKA"/>
      <sheetName val="SURAT_PENAWARAN"/>
      <sheetName val="_REKAP_A_PENDOPO"/>
      <sheetName val="HS BHN&amp;UPAH"/>
      <sheetName val="srtberkas"/>
      <sheetName val="TE TS FA LAN MATV"/>
      <sheetName val="REKAP BI"/>
      <sheetName val="K'9"/>
      <sheetName val="RAB2"/>
      <sheetName val="DAF.HRG"/>
      <sheetName val="Bhn-Lokal"/>
      <sheetName val="DaftarHarga"/>
      <sheetName val="FLANGE"/>
      <sheetName val="VALVE"/>
      <sheetName val="BIAYA ALAT"/>
      <sheetName val="AHSP"/>
      <sheetName val="PSPR"/>
      <sheetName val="Gaji Pokok"/>
      <sheetName val="T. Proyek-Jabatan"/>
      <sheetName val="T. Lokasi"/>
      <sheetName val="T. Rumah"/>
      <sheetName val="T. Transport"/>
      <sheetName val="Master Schedule"/>
      <sheetName val="Permanent info"/>
      <sheetName val="S.BAHAN"/>
      <sheetName val="S.UPAH"/>
      <sheetName val="rate-alat"/>
      <sheetName val="Rekap Analisa"/>
      <sheetName val="PL SPP per ton"/>
      <sheetName val="TEKNIS"/>
      <sheetName val="HS-2"/>
      <sheetName val="Uraian Upah"/>
      <sheetName val="input data umum"/>
      <sheetName val="81+200"/>
      <sheetName val="1~3"/>
      <sheetName val="Hidden"/>
      <sheetName val="Alat Berat"/>
      <sheetName val="hs_ars"/>
      <sheetName val="TMS Llg"/>
      <sheetName val="Dsr"/>
      <sheetName val="analisa rev"/>
      <sheetName val="MK"/>
      <sheetName val="HRGA SATUAN UPAH-BAHAN"/>
      <sheetName val="Hardas Material"/>
      <sheetName val="Hardas Upah+Subkon"/>
      <sheetName val="Input_hari"/>
      <sheetName val="Input_Cuaca"/>
      <sheetName val="DATA_UMUM"/>
      <sheetName val="갑지"/>
      <sheetName val="SNI 21-3-09"/>
      <sheetName val="HRG DSR APP"/>
      <sheetName val="Hrgdsrupah"/>
      <sheetName val="insentif"/>
      <sheetName val="Volume 1"/>
      <sheetName val="HRG- UPAH"/>
      <sheetName val="個案9411"/>
      <sheetName val="A+Supl."/>
      <sheetName val="7"/>
      <sheetName val="REKAP_ARSITEKTUR."/>
      <sheetName val="analisa SNI"/>
      <sheetName val="rab lt 2 bo"/>
      <sheetName val="RBP3"/>
      <sheetName val="DC"/>
      <sheetName val="IMPORT"/>
      <sheetName val="ANALISA SNI'07(Bangli)"/>
      <sheetName val="HARGA RAP"/>
      <sheetName val="Berat Vol"/>
      <sheetName val="UPAH DAN BAHAN"/>
      <sheetName val="Analisa STR"/>
      <sheetName val="DHSBU"/>
      <sheetName val="time-scdh"/>
      <sheetName val="milydpp"/>
      <sheetName val="upah bahan "/>
      <sheetName val="pondasi"/>
      <sheetName val="21"/>
      <sheetName val="311"/>
      <sheetName val="715"/>
      <sheetName val="811"/>
      <sheetName val="AK-2004 (2)"/>
      <sheetName val="Bill 2.1 Basement 41 "/>
      <sheetName val="HSU 2016"/>
      <sheetName val="WT-LIST"/>
      <sheetName val="Data-Pdk"/>
      <sheetName val="An-Lat"/>
      <sheetName val="Harga Alat"/>
      <sheetName val="PENUTUP ATAP"/>
      <sheetName val="U,B"/>
      <sheetName val="304-06"/>
      <sheetName val="Rekap Anl"/>
      <sheetName val="Pivot Table"/>
      <sheetName val="anal-drainase,tanah&amp;ps batu"/>
      <sheetName val="anal-beton"/>
      <sheetName val="anal-aspal"/>
      <sheetName val="A, B, C, D, E"/>
      <sheetName val="S Curve Renc. RAP"/>
      <sheetName val="2"/>
      <sheetName val="E.001"/>
      <sheetName val="E.010"/>
      <sheetName val="E.052"/>
      <sheetName val="E.080"/>
      <sheetName val="E.082"/>
      <sheetName val="E.084"/>
      <sheetName val="E.182"/>
      <sheetName val="E.212"/>
      <sheetName val="E.341"/>
      <sheetName val="K.012"/>
      <sheetName val="K.013"/>
      <sheetName val="SIMBOL"/>
      <sheetName val="HSBU-2004"/>
      <sheetName val="H_Satuan6"/>
      <sheetName val="Info"/>
      <sheetName val="ANALISA OKE"/>
      <sheetName val="EQ_an"/>
      <sheetName val="MINGGUAN jembatan"/>
      <sheetName val="divII"/>
      <sheetName val="K. 111"/>
      <sheetName val="k211"/>
      <sheetName val="k224"/>
      <sheetName val="K225"/>
      <sheetName val="K 311A"/>
      <sheetName val="k514"/>
      <sheetName val="K710"/>
      <sheetName val="K715"/>
      <sheetName val="K728"/>
      <sheetName val="K. 810"/>
      <sheetName val="sleksi"/>
      <sheetName val="TS MINGGUAN rev (2)"/>
      <sheetName val="TOWN"/>
      <sheetName val="a. alat"/>
      <sheetName val="B.T"/>
      <sheetName val="T.material"/>
      <sheetName val="BQ25"/>
      <sheetName val="Bea Op Alat"/>
      <sheetName val="Price Persiapan dan Penunjang"/>
      <sheetName val="rincian A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3Div7a"/>
      <sheetName val="SAT-UP"/>
      <sheetName val="DAF-ALAT-03"/>
      <sheetName val="Aggr"/>
      <sheetName val="HSBU"/>
      <sheetName val="LEKAT1"/>
      <sheetName val="D.86"/>
      <sheetName val="Daftar upah &amp; material"/>
      <sheetName val="OFF"/>
      <sheetName val="Vol."/>
      <sheetName val="Hrg.Dasar"/>
      <sheetName val="P3"/>
      <sheetName val="MA035"/>
      <sheetName val="5-Alt(1)"/>
      <sheetName val="Daftar Harga Dasar"/>
      <sheetName val="UpahKerja"/>
      <sheetName val="Mark-up"/>
      <sheetName val="PLATE bataco"/>
      <sheetName val="analis RSUD"/>
      <sheetName val="UPAH "/>
      <sheetName val="12mar98 electronic"/>
      <sheetName val="DWTables"/>
      <sheetName val="DASHBOARD"/>
      <sheetName val="Sat Bah _ Up"/>
      <sheetName val="ANALISA_GR_x005f_x005f_x0"/>
      <sheetName val="FORM_BQ_TL_PRATU_4cct"/>
      <sheetName val="Analisa_Gabungan"/>
      <sheetName val="an__1"/>
      <sheetName val="DIV_2"/>
      <sheetName val="Tie_Beam_GN"/>
      <sheetName val="Tangga_GN"/>
      <sheetName val="B_-_Norelec"/>
      <sheetName val="Gorong_Aramco"/>
      <sheetName val="LIST_MATERIAL"/>
      <sheetName val="Analis_Kusen_1_ESKALASI"/>
      <sheetName val="BQ_EXTERN"/>
      <sheetName val="ANALHASA"/>
      <sheetName val="anal.alat"/>
      <sheetName val="TPI"/>
      <sheetName val="BP1_23"/>
      <sheetName val="3Div10a"/>
      <sheetName val="3Div10c"/>
      <sheetName val="3Div2"/>
      <sheetName val="3Div5"/>
      <sheetName val="3Div6"/>
      <sheetName val="3Div8"/>
      <sheetName val="Parameter"/>
      <sheetName val="quarry"/>
      <sheetName val="Pegawai"/>
      <sheetName val="Urugan Pasir"/>
      <sheetName val="3-DIV1"/>
      <sheetName val="Harga Satuan Bahan"/>
      <sheetName val="Bill 2.3"/>
      <sheetName val="Bill 2.5B"/>
      <sheetName val="Bill 2.1"/>
      <sheetName val="Hsatuan-OK"/>
      <sheetName val="L-Mechanical"/>
      <sheetName val="EXTERNAL WORK"/>
      <sheetName val="STOK MAT"/>
      <sheetName val="MAP GAB"/>
      <sheetName val="GP-WB"/>
      <sheetName val="tetrapod"/>
      <sheetName val="RAB &amp; RCO OWNER VERS."/>
      <sheetName val="telp"/>
      <sheetName val="BASIC-PRICE"/>
      <sheetName val="SDMTA"/>
      <sheetName val="SDM"/>
      <sheetName val="RKP_BOQ"/>
      <sheetName val="P-2"/>
      <sheetName val="P-5"/>
      <sheetName val="P-6"/>
      <sheetName val="Sales Rental"/>
      <sheetName val="DBKoef"/>
      <sheetName val="HR Detail"/>
      <sheetName val="PRY 01-8"/>
      <sheetName val="311208"/>
      <sheetName val="TOTAL UPAH"/>
      <sheetName val="ANEX1"/>
      <sheetName val="CPar"/>
      <sheetName val="REKAP_PAKEI-1"/>
      <sheetName val="EARTH WORKS"/>
      <sheetName val="eq_data"/>
      <sheetName val="CUACA"/>
      <sheetName val="DHS AC"/>
      <sheetName val="Config"/>
      <sheetName val="Rincian ME"/>
      <sheetName val="REKAP_1_SECTION5"/>
      <sheetName val="DIREC_COST5"/>
      <sheetName val="form_besi5"/>
      <sheetName val="REKAP_STRUCTURE5"/>
      <sheetName val="lamp__124"/>
      <sheetName val="GRAND_REKAP4"/>
      <sheetName val="Master_1_04"/>
      <sheetName val="BQ_ARS4"/>
      <sheetName val="A-11_Steel_Str_(2)4"/>
      <sheetName val="Analisa_Upah_&amp;_Bahan_Plum4"/>
      <sheetName val="HSTANAH_XLS4"/>
      <sheetName val="FORM_X_COST4"/>
      <sheetName val="ANALISA_GRS_TENGAH4"/>
      <sheetName val="BAHAN_&amp;_UPAH4"/>
      <sheetName val="Analisa_&amp;_Upah4"/>
      <sheetName val="daftar_Upah4"/>
      <sheetName val="rekap_c4"/>
      <sheetName val="Pos_4-14"/>
      <sheetName val="Harga_4"/>
      <sheetName val="vol__ARS4"/>
      <sheetName val="TOTAL_SPK4"/>
      <sheetName val="HARGA_ME4"/>
      <sheetName val="Bill_of_Qty_MEP4"/>
      <sheetName val="Basement_Estimate4"/>
      <sheetName val="bhn_4"/>
      <sheetName val="PLUMBING_24"/>
      <sheetName val="rab_me_(by_owner)_4"/>
      <sheetName val="BQ_(by_owner)4"/>
      <sheetName val="rab_me_(fisik)4"/>
      <sheetName val="ELEVATED_SLAB4"/>
      <sheetName val="01A-_RAB4"/>
      <sheetName val="an_el4"/>
      <sheetName val="Analisa_24"/>
      <sheetName val="unit_rate-b34"/>
      <sheetName val="HARGA_MATERIAL4"/>
      <sheetName val="Memb_Schd4"/>
      <sheetName val="Analisa_Harga_Satuan4"/>
      <sheetName val="Analisa_Upah___Bahan_Plum4"/>
      <sheetName val="HB_4"/>
      <sheetName val="rek_det_1-34"/>
      <sheetName val="FORM_3A3"/>
      <sheetName val="Perhitungan_RAB3"/>
      <sheetName val="Harga_satuan3"/>
      <sheetName val="Supply_Agrmnt4"/>
      <sheetName val="daftar_harga4"/>
      <sheetName val="POS-4_14"/>
      <sheetName val="Rekap_Dc4"/>
      <sheetName val="PHU_054"/>
      <sheetName val="Harga_Bahan4"/>
      <sheetName val="Daf_14"/>
      <sheetName val="Indirect_Cost3"/>
      <sheetName val="SERVICES_FEE3"/>
      <sheetName val="BD_Cvl3"/>
      <sheetName val="Erection_SS3"/>
      <sheetName val="Harga_ME_3"/>
      <sheetName val="PAKET_13"/>
      <sheetName val="crewlist_S3"/>
      <sheetName val="anal_pipa3"/>
      <sheetName val="Harsat_Upah3"/>
      <sheetName val="LIFT_DOM3"/>
      <sheetName val="REF_ONLY4"/>
      <sheetName val="dboard(_asli)3"/>
      <sheetName val="RAB_STR_JETTY_&amp;_F_PENUNJANG3"/>
      <sheetName val="Time_Schedule3"/>
      <sheetName val="Bill_4_11"/>
      <sheetName val="Currency_Rate3"/>
      <sheetName val="Upah_Bahan3"/>
      <sheetName val="Analisa_RAB3"/>
      <sheetName val="3__KONTRAK(stu)3"/>
      <sheetName val="HRG_BHN3"/>
      <sheetName val="RAB_RIIL_kayu3"/>
      <sheetName val="Unit_Rate_Indirect3"/>
      <sheetName val="i-j__Pengalaman3"/>
      <sheetName val="AnalisaSIPIL_RIIL_RAP3"/>
      <sheetName val="SUB_TOTAL___3"/>
      <sheetName val="HSA_&amp;_PAB3"/>
      <sheetName val="Harga_Upah_3"/>
      <sheetName val="bukan_PNS3"/>
      <sheetName val="Mon_Upah3"/>
      <sheetName val="Analisa_Tekhnis3"/>
      <sheetName val="dongia_(2)3"/>
      <sheetName val="THPDMoi_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KPVC-BD_3"/>
      <sheetName val="SBDY_Jemb_Tayan3"/>
      <sheetName val="Agregat_Halus_&amp;_Kasar3"/>
      <sheetName val="17_ALS-saluran+BC3"/>
      <sheetName val="HARGA_UPAH3"/>
      <sheetName val="Sewa_Alat-13"/>
      <sheetName val="A_Paint_Jotun_Penguard3"/>
      <sheetName val="BOQ_ori3"/>
      <sheetName val="ANALISA_GR_x005f_x0000__x005f_x0000__x00001"/>
      <sheetName val="Analisa_RAP3"/>
      <sheetName val="Bahan_B3"/>
      <sheetName val="Upah_B3"/>
      <sheetName val="610_043"/>
      <sheetName val="HRG_BAHAN_&amp;_UPAH_okk1"/>
      <sheetName val="Analis_Kusen_okk1"/>
      <sheetName val="Ana__PU1"/>
      <sheetName val="1_B1"/>
      <sheetName val="struktur_tdk_dipakai3"/>
      <sheetName val="D2_43"/>
      <sheetName val="D4_3_(TE)3"/>
      <sheetName val="D5_3_(TF)_3"/>
      <sheetName val="D8_3_(TJ)3"/>
      <sheetName val="RENCANA_KERJA3"/>
      <sheetName val="Bill_of_Qty3"/>
      <sheetName val="FORM_73"/>
      <sheetName val="SD_(1)3"/>
      <sheetName val="Surat_Pernyataan3"/>
      <sheetName val="Har_Sat1"/>
      <sheetName val="PRY_03-1_(Amd1)1"/>
      <sheetName val="Harga_Sat_Das3"/>
      <sheetName val="AHS_(ci,str,ars)3"/>
      <sheetName val="Sec_I_ML1"/>
      <sheetName val="ANALISA_GR?????GAH3"/>
      <sheetName val="10_yr_val1"/>
      <sheetName val="Harsat_Pekerjaan1"/>
      <sheetName val="BOQ_SNJ_11"/>
      <sheetName val="DKH_CCO_1A1"/>
      <sheetName val="DKH_CCO_1B_R-11"/>
      <sheetName val="7_1(3)1"/>
      <sheetName val="Urai___Guide_Post1"/>
      <sheetName val="Urai_Galian_Tanah1"/>
      <sheetName val="Anal__Alat1"/>
      <sheetName val="PRD_01-6(I-II)1"/>
      <sheetName val="PRD_01-7_alat1"/>
      <sheetName val="ANALISA_railing1"/>
      <sheetName val="RAB_AR&amp;STR1"/>
      <sheetName val="Daftar_Staff1"/>
      <sheetName val="an_el5"/>
      <sheetName val="An_AC_&amp;_Plb"/>
      <sheetName val="AHS_-_Riel3"/>
      <sheetName val="Daftar_Upah,_Hrg_Bhn_&amp;_Pralata1"/>
      <sheetName val="BILL_OF_QUAN1"/>
      <sheetName val="analisa_asumsi_Me1"/>
      <sheetName val="ANALISA_GR_x005f_x005f_x005f_x0000__x005f_x005f_1"/>
      <sheetName val="Unit_Price1"/>
      <sheetName val="analisa_panel1"/>
      <sheetName val="Prod_15-8_str1"/>
      <sheetName val="Prod_15-71"/>
      <sheetName val="Prod_15-61"/>
      <sheetName val="Prod_15-51"/>
      <sheetName val="VAC_BDWN1"/>
      <sheetName val="Man_Power1"/>
      <sheetName val="analisa_el1"/>
      <sheetName val="Formula_Paket_A1"/>
      <sheetName val="inner_pervious_adjust_1"/>
      <sheetName val="outer_pervious_adjust1"/>
      <sheetName val="Agg_Halus_&amp;_Kasar1"/>
      <sheetName val="Analis_Upah1"/>
      <sheetName val="RANGE_BAHAN1"/>
      <sheetName val="TATA_UDARA1"/>
      <sheetName val="General_Intem1"/>
      <sheetName val="STR_-_2B1"/>
      <sheetName val="Prod_02"/>
      <sheetName val="Stock_Material"/>
      <sheetName val="Master_Edit1"/>
      <sheetName val="Analis_harga1"/>
      <sheetName val="HS_Alat"/>
      <sheetName val="Div_9_-_Harian"/>
      <sheetName val="Div_2_-_Drainase"/>
      <sheetName val="Input_Data"/>
      <sheetName val="HarDas-Ops_1"/>
      <sheetName val="Analisa_Harga_Sat1"/>
      <sheetName val="Lamp_-31"/>
      <sheetName val="Lamp_-61"/>
      <sheetName val="PV_Harga_Sat1"/>
      <sheetName val="Analisa_Alat1"/>
      <sheetName val="Analisa_Alat_Dredger1"/>
      <sheetName val="Analisa_Tehnik_11"/>
      <sheetName val="Analisa_Tehnik1"/>
      <sheetName val="Pendukung_11"/>
      <sheetName val="Pek_Tanah1"/>
      <sheetName val="AT_B&amp;B1"/>
      <sheetName val="DIV_91"/>
      <sheetName val="HARGA_DASAR1"/>
      <sheetName val="Sales_Parameter1"/>
      <sheetName val="PRIST_LIST1"/>
      <sheetName val="DIV_31"/>
      <sheetName val="harga_sat"/>
      <sheetName val="dayvol_WEDI"/>
      <sheetName val="dayvol_adibarat"/>
      <sheetName val="rab_-_persiapan_&amp;_lantai-1"/>
      <sheetName val="Pjk_Kend_&amp;_Parkir&amp;Tanah1"/>
      <sheetName val="Pak_Din(510)1"/>
      <sheetName val="P_Didik&amp;BinaPeg_1"/>
      <sheetName val="Rekap_Prelim1"/>
      <sheetName val="DIVISI_3"/>
      <sheetName val="No_Item"/>
      <sheetName val="analisa_BM"/>
      <sheetName val="rap_rinci"/>
      <sheetName val="h_sat-bbm"/>
      <sheetName val="ANAL-SEC_II"/>
      <sheetName val="ANAL-SEC_III"/>
      <sheetName val="2_2"/>
      <sheetName val="meth_hsl_nego"/>
      <sheetName val="Rekap_"/>
      <sheetName val="Harga_Sat_"/>
      <sheetName val="Kurva_S"/>
      <sheetName val="Fill_this_out_first___4"/>
      <sheetName val="bhn_FINAL"/>
      <sheetName val="ITB_COST"/>
      <sheetName val="BoQ_C4"/>
      <sheetName val="anls_space_frame"/>
      <sheetName val="_"/>
      <sheetName val="LD_calc"/>
      <sheetName val="COSTING_Option_1"/>
      <sheetName val="Analisa_SNI_STANDART_"/>
      <sheetName val="ANAL-"/>
      <sheetName val="PConsCS"/>
      <sheetName val="An.1"/>
      <sheetName val="An.3"/>
      <sheetName val="An.2"/>
      <sheetName val="rekap-ans"/>
      <sheetName val="HRG BAHAN"/>
      <sheetName val="Div3.3"/>
      <sheetName val=" AnaBah"/>
      <sheetName val="anaUTama"/>
      <sheetName val="anaMob"/>
      <sheetName val="SALURAN"/>
      <sheetName val="GENERAL"/>
      <sheetName val="ANALISA_GR___"/>
      <sheetName val="B_7"/>
      <sheetName val="B_8"/>
      <sheetName val="B_9"/>
      <sheetName val="B_10 (4)"/>
      <sheetName val="B_6"/>
      <sheetName val="D.109"/>
      <sheetName val="D.103"/>
      <sheetName val="D.115"/>
      <sheetName val="D.116"/>
      <sheetName val="D.118"/>
      <sheetName val="D.119"/>
      <sheetName val="Hargasatuan"/>
      <sheetName val="breakdown bq paket 9"/>
      <sheetName val="1.2"/>
      <sheetName val="Prog. Mggu 1"/>
      <sheetName val="ADD II S Curve 123-126"/>
      <sheetName val="Data kontraktor"/>
      <sheetName val="BA Arit"/>
      <sheetName val="PELATARAN I"/>
      <sheetName val="Analisa.1"/>
      <sheetName val="BOQPUSJAL"/>
      <sheetName val="NP (2)A"/>
      <sheetName val="NP (1)A"/>
      <sheetName val="K&amp;H"/>
      <sheetName val="Divisi1"/>
      <sheetName val="analisa rutin jembatan"/>
      <sheetName val="Sheet5"/>
      <sheetName val="Rutin jembatan"/>
      <sheetName val="KM 226 + 180"/>
      <sheetName val="VOL. JEMBATAN"/>
      <sheetName val="Geoback"/>
      <sheetName val="STRUK"/>
      <sheetName val="ANALIS WIL 1"/>
      <sheetName val="Analisa "/>
      <sheetName val="RAB ME"/>
      <sheetName val="Student"/>
      <sheetName val="Rincian Biaya RKM I"/>
      <sheetName val="kriteria sgl"/>
      <sheetName val="bahan SNI"/>
      <sheetName val="DUTCH CONE"/>
      <sheetName val="ANALISA SNI'07rootsREV"/>
      <sheetName val="Bill.2. PL - SUPPLY A"/>
      <sheetName val="SAT PL"/>
      <sheetName val="DU&amp;B"/>
      <sheetName val="Grand summary"/>
      <sheetName val="Analisa  (2)"/>
      <sheetName val="Irregular_Income"/>
      <sheetName val="FE-1770_P1"/>
      <sheetName val="Hrn_I"/>
      <sheetName val="Hrn_II"/>
      <sheetName val="Hrn_III"/>
      <sheetName val="Bgn-Ingg_PLANTATION"/>
      <sheetName val="Harsat Alat"/>
      <sheetName val="Marshal"/>
      <sheetName val="jpr"/>
      <sheetName val="REG TOTAL"/>
      <sheetName val="2703_11"/>
      <sheetName val="Assumption_&amp;_Dashboard_1"/>
      <sheetName val="bhn_FINAL1"/>
      <sheetName val="4__PEK__LUAR1"/>
      <sheetName val="Analisa_Gabungan1"/>
      <sheetName val="1_General_1"/>
      <sheetName val="REKAP__(1)1"/>
      <sheetName val="Fill_this_out_first___5"/>
      <sheetName val="Valve_PL1"/>
      <sheetName val="Peralatan_PL1"/>
      <sheetName val="Irregular_Income1"/>
      <sheetName val="FE-1770_P11"/>
      <sheetName val="B_-_Norelec1"/>
      <sheetName val="_SAT_PL1"/>
      <sheetName val="RAB_SEKRETARIAT_(1)1"/>
      <sheetName val="an__11"/>
      <sheetName val="anls_space_frame1"/>
      <sheetName val="Analisa_SNI_STANDART_1"/>
      <sheetName val="Analis_Kusen_1_ESKALASI1"/>
      <sheetName val="H_Sat_Jembatan1"/>
      <sheetName val="Hrn_I1"/>
      <sheetName val="Hrn_II1"/>
      <sheetName val="Hrn_III1"/>
      <sheetName val="Bgn-Ingg_PLANTATION1"/>
      <sheetName val="ANALISA_GR_x005f_x0000__x1"/>
      <sheetName val="ANALISA_GR_x005f_x005f_x01"/>
      <sheetName val="DIV_21"/>
      <sheetName val="Tracking Schedule R-1"/>
      <sheetName val="A.STUAN"/>
      <sheetName val="K-125"/>
      <sheetName val="eqp-rek"/>
      <sheetName val="1. Rekap B"/>
      <sheetName val="DAFTAR ISI"/>
      <sheetName val="AHS Marka"/>
      <sheetName val="DSBDY"/>
      <sheetName val="Jurnal"/>
      <sheetName val="ANALISA_GR_x005f_x0000__x005f_x005f_x"/>
      <sheetName val="IMPUT"/>
      <sheetName val="Sicamec + Insulator"/>
      <sheetName val="ITS"/>
      <sheetName val="BQ Arsit"/>
      <sheetName val="hitungan"/>
      <sheetName val="schalat"/>
      <sheetName val="schman"/>
      <sheetName val="schmat"/>
      <sheetName val="Sheet9"/>
      <sheetName val="Vibro_Roller"/>
      <sheetName val="BQ Detail"/>
      <sheetName val="di2"/>
      <sheetName val="Harga S Dasar"/>
      <sheetName val="EQ"/>
      <sheetName val="Engine"/>
      <sheetName val="DATA PROYEK"/>
      <sheetName val="Plumbing"/>
      <sheetName val="TABEL"/>
      <sheetName val="CONTRIBUSI"/>
      <sheetName val="Por"/>
      <sheetName val="K 013"/>
      <sheetName val="K 030"/>
      <sheetName val="K 040"/>
      <sheetName val="K 121"/>
      <sheetName val="K 123"/>
      <sheetName val="K 220"/>
      <sheetName val="K 225"/>
      <sheetName val="K 231"/>
      <sheetName val="K 310"/>
      <sheetName val="K 322"/>
      <sheetName val="K 325"/>
      <sheetName val="K 422"/>
      <sheetName val="K 513"/>
      <sheetName val="K 528"/>
      <sheetName val="K 612"/>
      <sheetName val="K 615"/>
      <sheetName val="K 616"/>
      <sheetName val="K 617"/>
      <sheetName val="K 618"/>
      <sheetName val="K 631"/>
      <sheetName val="K 637"/>
      <sheetName val="K 638"/>
      <sheetName val="K 641"/>
      <sheetName val="K 720"/>
      <sheetName val="K 730"/>
      <sheetName val="K 880"/>
      <sheetName val="Contents"/>
      <sheetName val="見積計算2005年 "/>
      <sheetName val="TRNS-C1"/>
      <sheetName val="BAOP"/>
      <sheetName val="Inkindo 2015"/>
      <sheetName val="BQ_Pipeline Eva_pek"/>
      <sheetName val="BID"/>
      <sheetName val="WF "/>
      <sheetName val="総括表"/>
      <sheetName val="41_9_36_3"/>
      <sheetName val="K210"/>
      <sheetName val="BQNSC"/>
      <sheetName val="HSBU ANA"/>
      <sheetName val="AHS_Kusen"/>
      <sheetName val="Cash Flow bulanan"/>
      <sheetName val="harga-alat"/>
      <sheetName val="hrg-dsr"/>
      <sheetName val="HSD(3)"/>
      <sheetName val="Rekapitulasi"/>
      <sheetName val="1"/>
      <sheetName val="Analisa BOW 07"/>
      <sheetName val="적용환율"/>
      <sheetName val="Sensitive"/>
      <sheetName val="An HarSatPek"/>
      <sheetName val="Sat Bah &amp; Up"/>
      <sheetName val="ahs_utama"/>
      <sheetName val="2-Genset print"/>
      <sheetName val="Rencana Anggaran Biaya"/>
      <sheetName val="3_Anl_SNI"/>
      <sheetName val="Mingguan"/>
      <sheetName val="UpBahAlat"/>
      <sheetName val="HPSI-Portion"/>
      <sheetName val="NerSubsis"/>
      <sheetName val="4SM00369 &amp; 4SM00370 "/>
      <sheetName val="L_23"/>
      <sheetName val="UshDeb00"/>
      <sheetName val="TABEL BOQ "/>
      <sheetName val="Analisa Alat Berat"/>
      <sheetName val="RANGE"/>
      <sheetName val="Daftar Harga Satuan"/>
      <sheetName val="Daftar BOQ"/>
      <sheetName val="Unit-P"/>
      <sheetName val="61005"/>
      <sheetName val="61006"/>
      <sheetName val="61007"/>
      <sheetName val="61008"/>
      <sheetName val="BoQ-Gen"/>
      <sheetName val="BREAKSCD"/>
      <sheetName val="BAHAN &amp; ALAT"/>
      <sheetName val="REKAP_TOTAL1"/>
      <sheetName val="_REKAP_B_GEDUNG_PRAMUKA1"/>
      <sheetName val="A_PENDOPO1"/>
      <sheetName val="B__GEDUNG_PRAMUKA1"/>
      <sheetName val="SURAT_PENAWARAN1"/>
      <sheetName val="_REKAP_A_PENDOPO1"/>
      <sheetName val="REKAP_TOTAL2"/>
      <sheetName val="_REKAP_B_GEDUNG_PRAMUKA2"/>
      <sheetName val="A_PENDOPO2"/>
      <sheetName val="B__GEDUNG_PRAMUKA2"/>
      <sheetName val="SURAT_PENAWARAN2"/>
      <sheetName val="_REKAP_A_PENDOPO2"/>
      <sheetName val="Door_&amp;_Window_Podium2"/>
      <sheetName val="San_PD2"/>
      <sheetName val="Kuantitas_&amp;_Harga_Seg_11"/>
      <sheetName val="UP_MINOR"/>
      <sheetName val="Anl_+"/>
      <sheetName val="INPUT_AGST"/>
      <sheetName val="rkpm_2003"/>
      <sheetName val="Harga_Alat"/>
      <sheetName val="PENUTUP_ATAP"/>
      <sheetName val="2_1"/>
      <sheetName val="Daftar_Harga_Upah_dan_Bahan"/>
      <sheetName val="Bahan-Upah"/>
      <sheetName val="schedule kurva s"/>
      <sheetName val="Harga S Dasar UNTUK IDISI"/>
      <sheetName val="H_Satuan7"/>
      <sheetName val="4-Basic_Price3"/>
      <sheetName val="Faktor_Konversi3"/>
      <sheetName val="2__Informasi3"/>
      <sheetName val="REKAP_TOTAL3"/>
      <sheetName val="_REKAP_B_GEDUNG_PRAMUKA3"/>
      <sheetName val="A_PENDOPO3"/>
      <sheetName val="B__GEDUNG_PRAMUKA3"/>
      <sheetName val="SURAT_PENAWARAN3"/>
      <sheetName val="_REKAP_A_PENDOPO3"/>
      <sheetName val="Analisa_Prov'073"/>
      <sheetName val="Anal_3"/>
      <sheetName val="Door_&amp;_Window_Podium3"/>
      <sheetName val="San_PD3"/>
      <sheetName val="HASAT_DASAR3"/>
      <sheetName val="Uraian_Teknis3"/>
      <sheetName val="HRG_BAHAN_&amp;_UPAH_okk2"/>
      <sheetName val="Analis_Kusen_okk2"/>
      <sheetName val="Ana__PU2"/>
      <sheetName val="1_B2"/>
      <sheetName val="Perm__Test2"/>
      <sheetName val="Har_Sat2"/>
      <sheetName val="BQ_EXTERN1"/>
      <sheetName val="Bill_4_12"/>
      <sheetName val="Kuantitas_&amp;_Harga_Seg_12"/>
      <sheetName val="UP_MINOR1"/>
      <sheetName val="Anl_+1"/>
      <sheetName val="DLAT_(2)1"/>
      <sheetName val="Daf-3_1_2_Pintu,_Jendela,_TWA1"/>
      <sheetName val="Daf-3_1_4_Plafond_TWA1"/>
      <sheetName val="INPUT_AGST1"/>
      <sheetName val="rkpm_20031"/>
      <sheetName val="Harga_Alat1"/>
      <sheetName val="PENUTUP_ATAP1"/>
      <sheetName val="2_11"/>
      <sheetName val="Daftar_Harga_Upah_dan_Bahan1"/>
      <sheetName val="H_Satuan9"/>
      <sheetName val="REKAP_1_SECTION7"/>
      <sheetName val="DIREC_COST7"/>
      <sheetName val="form_besi7"/>
      <sheetName val="REKAP_STRUCTURE7"/>
      <sheetName val="Master_1_06"/>
      <sheetName val="ANALISA_GRS_TENGAH6"/>
      <sheetName val="lamp__126"/>
      <sheetName val="GRAND_REKAP6"/>
      <sheetName val="A-11_Steel_Str_(2)6"/>
      <sheetName val="Analisa_Upah_&amp;_Bahan_Plum6"/>
      <sheetName val="BAHAN_&amp;_UPAH6"/>
      <sheetName val="HSTANAH_XLS6"/>
      <sheetName val="Analisa_&amp;_Upah6"/>
      <sheetName val="rekap_c6"/>
      <sheetName val="FORM_X_COST6"/>
      <sheetName val="BQ_ARS6"/>
      <sheetName val="PLUMBING_26"/>
      <sheetName val="daftar_Upah6"/>
      <sheetName val="Pos_4-16"/>
      <sheetName val="Harga_6"/>
      <sheetName val="vol__ARS6"/>
      <sheetName val="TOTAL_SPK6"/>
      <sheetName val="4-Basic_Price5"/>
      <sheetName val="Faktor_Konversi5"/>
      <sheetName val="PHU_056"/>
      <sheetName val="POS-4_16"/>
      <sheetName val="Rekap_Dc6"/>
      <sheetName val="bhn_6"/>
      <sheetName val="an_el6"/>
      <sheetName val="Bill_of_Qty_MEP6"/>
      <sheetName val="Basement_Estimate6"/>
      <sheetName val="HARGA_ME6"/>
      <sheetName val="Analisa_26"/>
      <sheetName val="HARGA_MATERIAL6"/>
      <sheetName val="rab_me_(by_owner)_6"/>
      <sheetName val="BQ_(by_owner)6"/>
      <sheetName val="rab_me_(fisik)6"/>
      <sheetName val="ELEVATED_SLAB6"/>
      <sheetName val="Memb_Schd6"/>
      <sheetName val="unit_rate-b36"/>
      <sheetName val="rek_det_1-36"/>
      <sheetName val="LIFT_DOM5"/>
      <sheetName val="HB_6"/>
      <sheetName val="daftar_harga6"/>
      <sheetName val="dboard(_asli)5"/>
      <sheetName val="RAB_STR_JETTY_&amp;_F_PENUNJANG5"/>
      <sheetName val="01A-_RAB6"/>
      <sheetName val="Analisa_Upah___Bahan_Plum6"/>
      <sheetName val="Analisa_Harga_Satuan6"/>
      <sheetName val="FORM_3A5"/>
      <sheetName val="Perhitungan_RAB5"/>
      <sheetName val="Daf_16"/>
      <sheetName val="RAB_RIIL_kayu5"/>
      <sheetName val="Supply_Agrmnt6"/>
      <sheetName val="Harga_satuan5"/>
      <sheetName val="Harga_Bahan6"/>
      <sheetName val="Indirect_Cost5"/>
      <sheetName val="SERVICES_FEE5"/>
      <sheetName val="BD_Cvl5"/>
      <sheetName val="Erection_SS5"/>
      <sheetName val="Currency_Rate5"/>
      <sheetName val="Upah_Bahan5"/>
      <sheetName val="Harga_ME_5"/>
      <sheetName val="REF_ONLY6"/>
      <sheetName val="crewlist_S5"/>
      <sheetName val="Analisa_RAB5"/>
      <sheetName val="Unit_Rate_Indirect5"/>
      <sheetName val="3__KONTRAK(stu)5"/>
      <sheetName val="i-j__Pengalaman5"/>
      <sheetName val="HRG_BHN5"/>
      <sheetName val="Time_Schedule5"/>
      <sheetName val="anal_pipa5"/>
      <sheetName val="Harsat_Upah5"/>
      <sheetName val="AnalisaSIPIL_RIIL_RAP5"/>
      <sheetName val="SUB_TOTAL___5"/>
      <sheetName val="HSA_&amp;_PAB5"/>
      <sheetName val="Harga_Upah_5"/>
      <sheetName val="bukan_PNS5"/>
      <sheetName val="Mon_Upah5"/>
      <sheetName val="2__Informasi5"/>
      <sheetName val="Analisa_Tekhnis5"/>
      <sheetName val="REKAP_TOTAL5"/>
      <sheetName val="_REKAP_B_GEDUNG_PRAMUKA5"/>
      <sheetName val="A_PENDOPO5"/>
      <sheetName val="B__GEDUNG_PRAMUKA5"/>
      <sheetName val="SURAT_PENAWARAN5"/>
      <sheetName val="_REKAP_A_PENDOPO5"/>
      <sheetName val="Analisa_Prov'075"/>
      <sheetName val="A_Paint_Jotun_Penguard5"/>
      <sheetName val="BOQ_ori5"/>
      <sheetName val="Anal_5"/>
      <sheetName val="17_ALS-saluran+BC5"/>
      <sheetName val="HARGA_UPAH5"/>
      <sheetName val="Sewa_Alat-15"/>
      <sheetName val="Analisa_RAP5"/>
      <sheetName val="Bahan_B5"/>
      <sheetName val="Upah_B5"/>
      <sheetName val="Door_&amp;_Window_Podium5"/>
      <sheetName val="San_PD5"/>
      <sheetName val="FORM_75"/>
      <sheetName val="SBDY_Jemb_Tayan5"/>
      <sheetName val="AHS_(ci,str,ars)5"/>
      <sheetName val="PAKET_15"/>
      <sheetName val="Harga_Sat_Das5"/>
      <sheetName val="D2_45"/>
      <sheetName val="D4_3_(TE)5"/>
      <sheetName val="D5_3_(TF)_5"/>
      <sheetName val="D8_3_(TJ)5"/>
      <sheetName val="Bill_of_Qty5"/>
      <sheetName val="dongia_(2)5"/>
      <sheetName val="THPDMoi__(2)5"/>
      <sheetName val="TONG_HOP_VL-NC5"/>
      <sheetName val="TONGKE3p_5"/>
      <sheetName val="TH_VL,_NC,_DDHT_Thanhphuoc5"/>
      <sheetName val="DON_GIA5"/>
      <sheetName val="t-h_HA_THE5"/>
      <sheetName val="CHITIET_VL-NC-TT_-1p5"/>
      <sheetName val="TONG_HOP_VL-NC_TT5"/>
      <sheetName val="TH_XL5"/>
      <sheetName val="CHITIET_VL-NC5"/>
      <sheetName val="CHITIET_VL-NC-TT-3p5"/>
      <sheetName val="KPVC-BD_5"/>
      <sheetName val="SD_(1)5"/>
      <sheetName val="RENCANA_KERJA5"/>
      <sheetName val="HASAT_DASAR5"/>
      <sheetName val="Uraian_Teknis5"/>
      <sheetName val="Agregat_Halus_&amp;_Kasar5"/>
      <sheetName val="Surat_Pernyataan5"/>
      <sheetName val="HRG_BAHAN_&amp;_UPAH_okk4"/>
      <sheetName val="Analis_Kusen_okk4"/>
      <sheetName val="Ana__PU4"/>
      <sheetName val="610_045"/>
      <sheetName val="Analisa_(ok_punya)3"/>
      <sheetName val="ANALISA_GR?????GAH5"/>
      <sheetName val="Perm__Test4"/>
      <sheetName val="Kuantitas_&amp;_Harga4"/>
      <sheetName val="BQ_PABX3"/>
      <sheetName val="RAB_REVISI3"/>
      <sheetName val="Str_A3"/>
      <sheetName val="Analisa_Tend3"/>
      <sheetName val="struktur_tdk_dipakai5"/>
      <sheetName val="Sumber_Daya3"/>
      <sheetName val="Harga_Bahan_&amp;_Upah4"/>
      <sheetName val="H_Satuan_Dasar4"/>
      <sheetName val="Bill_rekap4"/>
      <sheetName val="Isolasi_Luar_Dalam4"/>
      <sheetName val="Isolasi_Luar4"/>
      <sheetName val="ANALISA_GR3"/>
      <sheetName val="HarDas-Ops_3"/>
      <sheetName val="Hrg_Upah_Bhn3"/>
      <sheetName val="DAFTAR_HARGA_BAHAN_3"/>
      <sheetName val="Harsat_Bahan3"/>
      <sheetName val="DLAT_(2)3"/>
      <sheetName val="Daftar_Staff3"/>
      <sheetName val="AHS_-_Riel5"/>
      <sheetName val="Sec_I_ML3"/>
      <sheetName val="1_B4"/>
      <sheetName val="Anls_Hrg_Sat4"/>
      <sheetName val="Har_Sat4"/>
      <sheetName val="Unit_Cost3"/>
      <sheetName val="DF-7_(2)3"/>
      <sheetName val="ANALISA_GR_____GAH3"/>
      <sheetName val="BAHAN_3"/>
      <sheetName val="Harga_bahan-13"/>
      <sheetName val="DETAIL_POS_1233"/>
      <sheetName val="Rekap_Direct_Cost3"/>
      <sheetName val="Harsat_Pekerjaan3"/>
      <sheetName val="NEX24_DB3"/>
      <sheetName val="H_SAT3"/>
      <sheetName val="fill_in_first3"/>
      <sheetName val="OP__PERJAM3"/>
      <sheetName val="K_Lokal3"/>
      <sheetName val="B__PERSONIL3"/>
      <sheetName val="RANGE_BAHAN3"/>
      <sheetName val="ANALISA_GR_x005f_x0000__x005f_x0000__x00003"/>
      <sheetName val="ANALISA_GR_x005f_x005f_x005f_x0000__x005f_x005f_3"/>
      <sheetName val="DRUP_(ASLI)3"/>
      <sheetName val="BQ_EXTERN3"/>
      <sheetName val="Bill_4_14"/>
      <sheetName val="Kuantitas_&amp;_Harga_Seg_14"/>
      <sheetName val="UP_MINOR3"/>
      <sheetName val="COST_SUMM3"/>
      <sheetName val="HPP_TOTAL3"/>
      <sheetName val="HPP_3_Tower3"/>
      <sheetName val="DFT__HRG_BHN___UPAH3"/>
      <sheetName val="ANALISA_STR___ARS3"/>
      <sheetName val="SAT_EL3"/>
      <sheetName val="Anl_+3"/>
      <sheetName val="Analisa_Harga_Sat3"/>
      <sheetName val="Lamp_-33"/>
      <sheetName val="Lamp_-63"/>
      <sheetName val="PV_Harga_Sat3"/>
      <sheetName val="Analisa_Alat3"/>
      <sheetName val="Analisa_Alat_Dredger3"/>
      <sheetName val="Analisa_Tehnik_13"/>
      <sheetName val="Analisa_Tehnik3"/>
      <sheetName val="Pendukung_13"/>
      <sheetName val="Pek_Tanah3"/>
      <sheetName val="AT_B&amp;B3"/>
      <sheetName val="Master_Edit3"/>
      <sheetName val="Analis_harga3"/>
      <sheetName val="BOQ_SNJ_13"/>
      <sheetName val="DKH_CCO_1A3"/>
      <sheetName val="DKH_CCO_1B_R-13"/>
      <sheetName val="Anal__Alat3"/>
      <sheetName val="PRD_01-6(I-II)3"/>
      <sheetName val="PRD_01-7_alat3"/>
      <sheetName val="PRY_03-1_(Amd1)3"/>
      <sheetName val="10_yr_val3"/>
      <sheetName val="7_1(3)3"/>
      <sheetName val="VAC_BDWN3"/>
      <sheetName val="analisa_el3"/>
      <sheetName val="4__PEK__LUAR3"/>
      <sheetName val="Unit_Price3"/>
      <sheetName val="General_Intem3"/>
      <sheetName val="analisa_panel3"/>
      <sheetName val="TATA_UDARA3"/>
      <sheetName val="1_General_3"/>
      <sheetName val="REKAP__(1)3"/>
      <sheetName val="2703_13"/>
      <sheetName val="Assumption_&amp;_Dashboard_3"/>
      <sheetName val="Daf-3_1_2_Pintu,_Jendela,_TWA3"/>
      <sheetName val="Daf-3_1_4_Plafond_TWA3"/>
      <sheetName val="INPUT_AGST3"/>
      <sheetName val="rkpm_20033"/>
      <sheetName val="Man_Power3"/>
      <sheetName val="Urai___Guide_Post3"/>
      <sheetName val="Urai_Galian_Tanah3"/>
      <sheetName val="Formula_Paket_A3"/>
      <sheetName val="inner_pervious_adjust_3"/>
      <sheetName val="outer_pervious_adjust3"/>
      <sheetName val="Agg_Halus_&amp;_Kasar3"/>
      <sheetName val="Analis_Upah3"/>
      <sheetName val="ANALISA_railing3"/>
      <sheetName val="RAB_AR&amp;STR3"/>
      <sheetName val="Daftar_Upah,_Hrg_Bhn_&amp;_Pralata3"/>
      <sheetName val="Harga_Alat3"/>
      <sheetName val="PENUTUP_ATAP3"/>
      <sheetName val="2_13"/>
      <sheetName val="Daftar_Harga_Upah_dan_Bahan3"/>
      <sheetName val="H_Satuan8"/>
      <sheetName val="REKAP_1_SECTION6"/>
      <sheetName val="DIREC_COST6"/>
      <sheetName val="form_besi6"/>
      <sheetName val="REKAP_STRUCTURE6"/>
      <sheetName val="Master_1_05"/>
      <sheetName val="ANALISA_GRS_TENGAH5"/>
      <sheetName val="lamp__125"/>
      <sheetName val="GRAND_REKAP5"/>
      <sheetName val="A-11_Steel_Str_(2)5"/>
      <sheetName val="Analisa_Upah_&amp;_Bahan_Plum5"/>
      <sheetName val="BAHAN_&amp;_UPAH5"/>
      <sheetName val="HSTANAH_XLS5"/>
      <sheetName val="Analisa_&amp;_Upah5"/>
      <sheetName val="rekap_c5"/>
      <sheetName val="FORM_X_COST5"/>
      <sheetName val="BQ_ARS5"/>
      <sheetName val="PLUMBING_25"/>
      <sheetName val="daftar_Upah5"/>
      <sheetName val="Pos_4-15"/>
      <sheetName val="Harga_5"/>
      <sheetName val="vol__ARS5"/>
      <sheetName val="TOTAL_SPK5"/>
      <sheetName val="4-Basic_Price4"/>
      <sheetName val="Faktor_Konversi4"/>
      <sheetName val="PHU_055"/>
      <sheetName val="POS-4_15"/>
      <sheetName val="Rekap_Dc5"/>
      <sheetName val="bhn_5"/>
      <sheetName val="Bill_of_Qty_MEP5"/>
      <sheetName val="Basement_Estimate5"/>
      <sheetName val="HARGA_ME5"/>
      <sheetName val="Analisa_25"/>
      <sheetName val="HARGA_MATERIAL5"/>
      <sheetName val="rab_me_(by_owner)_5"/>
      <sheetName val="BQ_(by_owner)5"/>
      <sheetName val="rab_me_(fisik)5"/>
      <sheetName val="ELEVATED_SLAB5"/>
      <sheetName val="Memb_Schd5"/>
      <sheetName val="unit_rate-b35"/>
      <sheetName val="rek_det_1-35"/>
      <sheetName val="LIFT_DOM4"/>
      <sheetName val="HB_5"/>
      <sheetName val="daftar_harga5"/>
      <sheetName val="dboard(_asli)4"/>
      <sheetName val="RAB_STR_JETTY_&amp;_F_PENUNJANG4"/>
      <sheetName val="01A-_RAB5"/>
      <sheetName val="Analisa_Upah___Bahan_Plum5"/>
      <sheetName val="Analisa_Harga_Satuan5"/>
      <sheetName val="FORM_3A4"/>
      <sheetName val="Perhitungan_RAB4"/>
      <sheetName val="Daf_15"/>
      <sheetName val="RAB_RIIL_kayu4"/>
      <sheetName val="Supply_Agrmnt5"/>
      <sheetName val="Harga_satuan4"/>
      <sheetName val="Harga_Bahan5"/>
      <sheetName val="Indirect_Cost4"/>
      <sheetName val="SERVICES_FEE4"/>
      <sheetName val="BD_Cvl4"/>
      <sheetName val="Erection_SS4"/>
      <sheetName val="Currency_Rate4"/>
      <sheetName val="Upah_Bahan4"/>
      <sheetName val="Harga_ME_4"/>
      <sheetName val="REF_ONLY5"/>
      <sheetName val="crewlist_S4"/>
      <sheetName val="Analisa_RAB4"/>
      <sheetName val="Unit_Rate_Indirect4"/>
      <sheetName val="3__KONTRAK(stu)4"/>
      <sheetName val="i-j__Pengalaman4"/>
      <sheetName val="HRG_BHN4"/>
      <sheetName val="Time_Schedule4"/>
      <sheetName val="anal_pipa4"/>
      <sheetName val="Harsat_Upah4"/>
      <sheetName val="AnalisaSIPIL_RIIL_RAP4"/>
      <sheetName val="SUB_TOTAL___4"/>
      <sheetName val="HSA_&amp;_PAB4"/>
      <sheetName val="Harga_Upah_4"/>
      <sheetName val="bukan_PNS4"/>
      <sheetName val="Mon_Upah4"/>
      <sheetName val="2__Informasi4"/>
      <sheetName val="Analisa_Tekhnis4"/>
      <sheetName val="REKAP_TOTAL4"/>
      <sheetName val="_REKAP_B_GEDUNG_PRAMUKA4"/>
      <sheetName val="A_PENDOPO4"/>
      <sheetName val="B__GEDUNG_PRAMUKA4"/>
      <sheetName val="SURAT_PENAWARAN4"/>
      <sheetName val="_REKAP_A_PENDOPO4"/>
      <sheetName val="Analisa_Prov'074"/>
      <sheetName val="A_Paint_Jotun_Penguard4"/>
      <sheetName val="BOQ_ori4"/>
      <sheetName val="Anal_4"/>
      <sheetName val="17_ALS-saluran+BC4"/>
      <sheetName val="HARGA_UPAH4"/>
      <sheetName val="Sewa_Alat-14"/>
      <sheetName val="Analisa_RAP4"/>
      <sheetName val="Bahan_B4"/>
      <sheetName val="Upah_B4"/>
      <sheetName val="Door_&amp;_Window_Podium4"/>
      <sheetName val="San_PD4"/>
      <sheetName val="FORM_74"/>
      <sheetName val="SBDY_Jemb_Tayan4"/>
      <sheetName val="AHS_(ci,str,ars)4"/>
      <sheetName val="PAKET_14"/>
      <sheetName val="Harga_Sat_Das4"/>
      <sheetName val="D2_44"/>
      <sheetName val="D4_3_(TE)4"/>
      <sheetName val="D5_3_(TF)_4"/>
      <sheetName val="D8_3_(TJ)4"/>
      <sheetName val="Bill_of_Qty4"/>
      <sheetName val="dongia_(2)4"/>
      <sheetName val="THPDMoi__(2)4"/>
      <sheetName val="TONG_HOP_VL-NC4"/>
      <sheetName val="TONGKE3p_4"/>
      <sheetName val="TH_VL,_NC,_DDHT_Thanhphuoc4"/>
      <sheetName val="DON_GIA4"/>
      <sheetName val="t-h_HA_THE4"/>
      <sheetName val="CHITIET_VL-NC-TT_-1p4"/>
      <sheetName val="TONG_HOP_VL-NC_TT4"/>
      <sheetName val="TH_XL4"/>
      <sheetName val="CHITIET_VL-NC4"/>
      <sheetName val="CHITIET_VL-NC-TT-3p4"/>
      <sheetName val="KPVC-BD_4"/>
      <sheetName val="SD_(1)4"/>
      <sheetName val="RENCANA_KERJA4"/>
      <sheetName val="HASAT_DASAR4"/>
      <sheetName val="Uraian_Teknis4"/>
      <sheetName val="Agregat_Halus_&amp;_Kasar4"/>
      <sheetName val="Surat_Pernyataan4"/>
      <sheetName val="HRG_BAHAN_&amp;_UPAH_okk3"/>
      <sheetName val="Analis_Kusen_okk3"/>
      <sheetName val="Ana__PU3"/>
      <sheetName val="610_044"/>
      <sheetName val="ANALISA_GR?????GAH4"/>
      <sheetName val="Perm__Test3"/>
      <sheetName val="Kuantitas_&amp;_Harga3"/>
      <sheetName val="RAB_REVISI2"/>
      <sheetName val="struktur_tdk_dipakai4"/>
      <sheetName val="Sumber_Daya2"/>
      <sheetName val="Harga_Bahan_&amp;_Upah3"/>
      <sheetName val="H_Satuan_Dasar3"/>
      <sheetName val="Bill_rekap3"/>
      <sheetName val="Isolasi_Luar_Dalam3"/>
      <sheetName val="Isolasi_Luar3"/>
      <sheetName val="HarDas-Ops_2"/>
      <sheetName val="DLAT_(2)2"/>
      <sheetName val="Daftar_Staff2"/>
      <sheetName val="AHS_-_Riel4"/>
      <sheetName val="Sec_I_ML2"/>
      <sheetName val="1_B3"/>
      <sheetName val="Anls_Hrg_Sat3"/>
      <sheetName val="Har_Sat3"/>
      <sheetName val="DF-7_(2)2"/>
      <sheetName val="Harsat_Pekerjaan2"/>
      <sheetName val="NEX24_DB2"/>
      <sheetName val="RANGE_BAHAN2"/>
      <sheetName val="ANALISA_GR_x005f_x0000__x005f_x0000__x00002"/>
      <sheetName val="ANALISA_GR_x005f_x005f_x005f_x0000__x005f_x005f_2"/>
      <sheetName val="BQ_EXTERN2"/>
      <sheetName val="Bill_4_13"/>
      <sheetName val="Kuantitas_&amp;_Harga_Seg_13"/>
      <sheetName val="UP_MINOR2"/>
      <sheetName val="SAT_EL2"/>
      <sheetName val="Anl_+2"/>
      <sheetName val="Analisa_Harga_Sat2"/>
      <sheetName val="Lamp_-32"/>
      <sheetName val="Lamp_-62"/>
      <sheetName val="PV_Harga_Sat2"/>
      <sheetName val="Analisa_Alat2"/>
      <sheetName val="Analisa_Alat_Dredger2"/>
      <sheetName val="Analisa_Tehnik_12"/>
      <sheetName val="Analisa_Tehnik2"/>
      <sheetName val="Pendukung_12"/>
      <sheetName val="Pek_Tanah2"/>
      <sheetName val="AT_B&amp;B2"/>
      <sheetName val="Master_Edit2"/>
      <sheetName val="Analis_harga2"/>
      <sheetName val="BOQ_SNJ_12"/>
      <sheetName val="DKH_CCO_1A2"/>
      <sheetName val="DKH_CCO_1B_R-12"/>
      <sheetName val="Anal__Alat2"/>
      <sheetName val="PRD_01-6(I-II)2"/>
      <sheetName val="PRD_01-7_alat2"/>
      <sheetName val="PRY_03-1_(Amd1)2"/>
      <sheetName val="10_yr_val2"/>
      <sheetName val="7_1(3)2"/>
      <sheetName val="VAC_BDWN2"/>
      <sheetName val="analisa_el2"/>
      <sheetName val="4__PEK__LUAR2"/>
      <sheetName val="Unit_Price2"/>
      <sheetName val="General_Intem2"/>
      <sheetName val="analisa_panel2"/>
      <sheetName val="TATA_UDARA2"/>
      <sheetName val="1_General_2"/>
      <sheetName val="REKAP__(1)2"/>
      <sheetName val="2703_12"/>
      <sheetName val="Assumption_&amp;_Dashboard_2"/>
      <sheetName val="Daf-3_1_2_Pintu,_Jendela,_TWA2"/>
      <sheetName val="Daf-3_1_4_Plafond_TWA2"/>
      <sheetName val="INPUT_AGST2"/>
      <sheetName val="rkpm_20032"/>
      <sheetName val="Man_Power2"/>
      <sheetName val="Urai___Guide_Post2"/>
      <sheetName val="Urai_Galian_Tanah2"/>
      <sheetName val="Formula_Paket_A2"/>
      <sheetName val="inner_pervious_adjust_2"/>
      <sheetName val="outer_pervious_adjust2"/>
      <sheetName val="Agg_Halus_&amp;_Kasar2"/>
      <sheetName val="Analis_Upah2"/>
      <sheetName val="ANALISA_railing2"/>
      <sheetName val="RAB_AR&amp;STR2"/>
      <sheetName val="Daftar_Upah,_Hrg_Bhn_&amp;_Pralata2"/>
      <sheetName val="Harga_Alat2"/>
      <sheetName val="PENUTUP_ATAP2"/>
      <sheetName val="2_12"/>
      <sheetName val="Daftar_Harga_Upah_dan_Bahan2"/>
      <sheetName val="H_Satuan10"/>
      <sheetName val="REKAP_1_SECTION8"/>
      <sheetName val="DIREC_COST8"/>
      <sheetName val="form_besi8"/>
      <sheetName val="REKAP_STRUCTURE8"/>
      <sheetName val="Master_1_07"/>
      <sheetName val="ANALISA_GRS_TENGAH7"/>
      <sheetName val="lamp__127"/>
      <sheetName val="GRAND_REKAP7"/>
      <sheetName val="A-11_Steel_Str_(2)7"/>
      <sheetName val="Analisa_Upah_&amp;_Bahan_Plum7"/>
      <sheetName val="BAHAN_&amp;_UPAH7"/>
      <sheetName val="HSTANAH_XLS7"/>
      <sheetName val="Analisa_&amp;_Upah7"/>
      <sheetName val="rekap_c7"/>
      <sheetName val="FORM_X_COST7"/>
      <sheetName val="BQ_ARS7"/>
      <sheetName val="PLUMBING_27"/>
      <sheetName val="daftar_Upah7"/>
      <sheetName val="Pos_4-17"/>
      <sheetName val="Harga_7"/>
      <sheetName val="vol__ARS7"/>
      <sheetName val="TOTAL_SPK7"/>
      <sheetName val="4-Basic_Price6"/>
      <sheetName val="Faktor_Konversi6"/>
      <sheetName val="PHU_057"/>
      <sheetName val="POS-4_17"/>
      <sheetName val="Rekap_Dc7"/>
      <sheetName val="bhn_7"/>
      <sheetName val="an_el7"/>
      <sheetName val="Bill_of_Qty_MEP7"/>
      <sheetName val="Basement_Estimate7"/>
      <sheetName val="HARGA_ME7"/>
      <sheetName val="Analisa_27"/>
      <sheetName val="HARGA_MATERIAL7"/>
      <sheetName val="rab_me_(by_owner)_7"/>
      <sheetName val="BQ_(by_owner)7"/>
      <sheetName val="rab_me_(fisik)7"/>
      <sheetName val="ELEVATED_SLAB7"/>
      <sheetName val="Memb_Schd7"/>
      <sheetName val="unit_rate-b37"/>
      <sheetName val="rek_det_1-37"/>
      <sheetName val="LIFT_DOM6"/>
      <sheetName val="HB_7"/>
      <sheetName val="daftar_harga7"/>
      <sheetName val="dboard(_asli)6"/>
      <sheetName val="RAB_STR_JETTY_&amp;_F_PENUNJANG6"/>
      <sheetName val="01A-_RAB7"/>
      <sheetName val="Analisa_Upah___Bahan_Plum7"/>
      <sheetName val="Analisa_Harga_Satuan7"/>
      <sheetName val="FORM_3A6"/>
      <sheetName val="Perhitungan_RAB6"/>
      <sheetName val="Daf_17"/>
      <sheetName val="RAB_RIIL_kayu6"/>
      <sheetName val="Supply_Agrmnt7"/>
      <sheetName val="Harga_satuan6"/>
      <sheetName val="Harga_Bahan7"/>
      <sheetName val="Indirect_Cost6"/>
      <sheetName val="SERVICES_FEE6"/>
      <sheetName val="BD_Cvl6"/>
      <sheetName val="Erection_SS6"/>
      <sheetName val="Currency_Rate6"/>
      <sheetName val="Upah_Bahan6"/>
      <sheetName val="Harga_ME_6"/>
      <sheetName val="REF_ONLY7"/>
      <sheetName val="crewlist_S6"/>
      <sheetName val="Analisa_RAB6"/>
      <sheetName val="Unit_Rate_Indirect6"/>
      <sheetName val="3__KONTRAK(stu)6"/>
      <sheetName val="i-j__Pengalaman6"/>
      <sheetName val="HRG_BHN6"/>
      <sheetName val="Time_Schedule6"/>
      <sheetName val="anal_pipa6"/>
      <sheetName val="Harsat_Upah6"/>
      <sheetName val="Fill_this_out_first___6"/>
      <sheetName val="AnalisaSIPIL_RIIL_RAP6"/>
      <sheetName val="SUB_TOTAL___6"/>
      <sheetName val="HSA_&amp;_PAB6"/>
      <sheetName val="Harga_Upah_6"/>
      <sheetName val="bukan_PNS6"/>
      <sheetName val="Mon_Upah6"/>
      <sheetName val="2__Informasi6"/>
      <sheetName val="Analisa_Tekhnis6"/>
      <sheetName val="REKAP_TOTAL6"/>
      <sheetName val="_REKAP_B_GEDUNG_PRAMUKA6"/>
      <sheetName val="A_PENDOPO6"/>
      <sheetName val="B__GEDUNG_PRAMUKA6"/>
      <sheetName val="SURAT_PENAWARAN6"/>
      <sheetName val="_REKAP_A_PENDOPO6"/>
      <sheetName val="Analisa_Prov'076"/>
      <sheetName val="A_Paint_Jotun_Penguard6"/>
      <sheetName val="BOQ_ori6"/>
      <sheetName val="Anal_6"/>
      <sheetName val="17_ALS-saluran+BC6"/>
      <sheetName val="HARGA_UPAH6"/>
      <sheetName val="Sewa_Alat-16"/>
      <sheetName val="Analisa_RAP6"/>
      <sheetName val="Bahan_B6"/>
      <sheetName val="Upah_B6"/>
      <sheetName val="Door_&amp;_Window_Podium6"/>
      <sheetName val="San_PD6"/>
      <sheetName val="FORM_76"/>
      <sheetName val="SBDY_Jemb_Tayan6"/>
      <sheetName val="AHS_(ci,str,ars)6"/>
      <sheetName val="PAKET_16"/>
      <sheetName val="Harga_Sat_Das6"/>
      <sheetName val="D2_46"/>
      <sheetName val="D4_3_(TE)6"/>
      <sheetName val="D5_3_(TF)_6"/>
      <sheetName val="D8_3_(TJ)6"/>
      <sheetName val="Bill_of_Qty6"/>
      <sheetName val="dongia_(2)6"/>
      <sheetName val="THPDMoi__(2)6"/>
      <sheetName val="TONG_HOP_VL-NC6"/>
      <sheetName val="TONGKE3p_6"/>
      <sheetName val="TH_VL,_NC,_DDHT_Thanhphuoc6"/>
      <sheetName val="DON_GIA6"/>
      <sheetName val="t-h_HA_THE6"/>
      <sheetName val="CHITIET_VL-NC-TT_-1p6"/>
      <sheetName val="TONG_HOP_VL-NC_TT6"/>
      <sheetName val="TH_XL6"/>
      <sheetName val="CHITIET_VL-NC6"/>
      <sheetName val="CHITIET_VL-NC-TT-3p6"/>
      <sheetName val="KPVC-BD_6"/>
      <sheetName val="SD_(1)6"/>
      <sheetName val="RENCANA_KERJA6"/>
      <sheetName val="HASAT_DASAR6"/>
      <sheetName val="Uraian_Teknis6"/>
      <sheetName val="Agregat_Halus_&amp;_Kasar6"/>
      <sheetName val="Surat_Pernyataan6"/>
      <sheetName val="HRG_BAHAN_&amp;_UPAH_okk5"/>
      <sheetName val="Analis_Kusen_okk5"/>
      <sheetName val="Ana__PU5"/>
      <sheetName val="610_046"/>
      <sheetName val="Analisa_(ok_punya)4"/>
      <sheetName val="ANALISA_GR?????GAH6"/>
      <sheetName val="Perm__Test5"/>
      <sheetName val="Kuantitas_&amp;_Harga5"/>
      <sheetName val="BQ_PABX4"/>
      <sheetName val="RAB_REVISI4"/>
      <sheetName val="Str_A4"/>
      <sheetName val="Analisa_Tend4"/>
      <sheetName val="struktur_tdk_dipakai6"/>
      <sheetName val="Sumber_Daya4"/>
      <sheetName val="Harga_Bahan_&amp;_Upah5"/>
      <sheetName val="H_Satuan_Dasar5"/>
      <sheetName val="Bill_rekap5"/>
      <sheetName val="Isolasi_Luar_Dalam5"/>
      <sheetName val="Isolasi_Luar5"/>
      <sheetName val="ANALISA_GR4"/>
      <sheetName val="HarDas-Ops_4"/>
      <sheetName val="Hrg_Upah_Bhn4"/>
      <sheetName val="DAFTAR_HARGA_BAHAN_4"/>
      <sheetName val="Harsat_Bahan4"/>
      <sheetName val="DLAT_(2)4"/>
      <sheetName val="Daftar_Staff4"/>
      <sheetName val="AHS_-_Riel6"/>
      <sheetName val="Sec_I_ML4"/>
      <sheetName val="1_B5"/>
      <sheetName val="Anls_Hrg_Sat5"/>
      <sheetName val="Har_Sat5"/>
      <sheetName val="Unit_Cost4"/>
      <sheetName val="DF-7_(2)4"/>
      <sheetName val="ANALISA_GR_____GAH4"/>
      <sheetName val="BAHAN_4"/>
      <sheetName val="Harga_bahan-14"/>
      <sheetName val="DETAIL_POS_1234"/>
      <sheetName val="Rekap_Direct_Cost4"/>
      <sheetName val="Harsat_Pekerjaan4"/>
      <sheetName val="NEX24_DB4"/>
      <sheetName val="H_SAT4"/>
      <sheetName val="fill_in_first4"/>
      <sheetName val="OP__PERJAM4"/>
      <sheetName val="K_Lokal4"/>
      <sheetName val="B__PERSONIL4"/>
      <sheetName val="RANGE_BAHAN4"/>
      <sheetName val="ANALISA_GR_x005f_x0000__x005f_x0000__x00004"/>
      <sheetName val="ANALISA_GR_x005f_x005f_x005f_x0000__x005f_x005f_4"/>
      <sheetName val="DRUP_(ASLI)4"/>
      <sheetName val="BQ_EXTERN4"/>
      <sheetName val="Bill_4_15"/>
      <sheetName val="Kuantitas_&amp;_Harga_Seg_15"/>
      <sheetName val="UP_MINOR4"/>
      <sheetName val="COST_SUMM4"/>
      <sheetName val="HPP_TOTAL4"/>
      <sheetName val="HPP_3_Tower4"/>
      <sheetName val="DFT__HRG_BHN___UPAH4"/>
      <sheetName val="ANALISA_STR___ARS4"/>
      <sheetName val="SAT_EL4"/>
      <sheetName val="Anl_+4"/>
      <sheetName val="Analisa_Harga_Sat4"/>
      <sheetName val="Lamp_-34"/>
      <sheetName val="Lamp_-64"/>
      <sheetName val="PV_Harga_Sat4"/>
      <sheetName val="Analisa_Alat4"/>
      <sheetName val="Analisa_Alat_Dredger4"/>
      <sheetName val="Analisa_Tehnik_14"/>
      <sheetName val="Analisa_Tehnik4"/>
      <sheetName val="Pendukung_14"/>
      <sheetName val="Pek_Tanah4"/>
      <sheetName val="AT_B&amp;B4"/>
      <sheetName val="Master_Edit4"/>
      <sheetName val="Analis_harga4"/>
      <sheetName val="BOQ_SNJ_14"/>
      <sheetName val="DKH_CCO_1A4"/>
      <sheetName val="DKH_CCO_1B_R-14"/>
      <sheetName val="Anal__Alat4"/>
      <sheetName val="PRD_01-6(I-II)4"/>
      <sheetName val="PRD_01-7_alat4"/>
      <sheetName val="PRY_03-1_(Amd1)4"/>
      <sheetName val="10_yr_val4"/>
      <sheetName val="7_1(3)4"/>
      <sheetName val="VAC_BDWN4"/>
      <sheetName val="analisa_el4"/>
      <sheetName val="4__PEK__LUAR4"/>
      <sheetName val="Unit_Price4"/>
      <sheetName val="General_Intem4"/>
      <sheetName val="analisa_panel4"/>
      <sheetName val="TATA_UDARA4"/>
      <sheetName val="1_General_4"/>
      <sheetName val="REKAP__(1)4"/>
      <sheetName val="2703_14"/>
      <sheetName val="Assumption_&amp;_Dashboard_4"/>
      <sheetName val="Daf-3_1_2_Pintu,_Jendela,_TWA4"/>
      <sheetName val="Daf-3_1_4_Plafond_TWA4"/>
      <sheetName val="INPUT_AGST4"/>
      <sheetName val="rkpm_20034"/>
      <sheetName val="Man_Power4"/>
      <sheetName val="Urai___Guide_Post4"/>
      <sheetName val="Urai_Galian_Tanah4"/>
      <sheetName val="Formula_Paket_A4"/>
      <sheetName val="inner_pervious_adjust_4"/>
      <sheetName val="outer_pervious_adjust4"/>
      <sheetName val="Agg_Halus_&amp;_Kasar4"/>
      <sheetName val="Analis_Upah4"/>
      <sheetName val="ANALISA_railing4"/>
      <sheetName val="RAB_AR&amp;STR4"/>
      <sheetName val="Daftar_Upah,_Hrg_Bhn_&amp;_Pralata4"/>
      <sheetName val="Harga_Alat4"/>
      <sheetName val="PENUTUP_ATAP4"/>
      <sheetName val="2_14"/>
      <sheetName val="Daftar_Harga_Upah_dan_Bahan4"/>
      <sheetName val="H_Satuan11"/>
      <sheetName val="REKAP_1_SECTION9"/>
      <sheetName val="DIREC_COST9"/>
      <sheetName val="form_besi9"/>
      <sheetName val="REKAP_STRUCTURE9"/>
      <sheetName val="Master_1_08"/>
      <sheetName val="ANALISA_GRS_TENGAH8"/>
      <sheetName val="lamp__128"/>
      <sheetName val="GRAND_REKAP8"/>
      <sheetName val="A-11_Steel_Str_(2)8"/>
      <sheetName val="Analisa_Upah_&amp;_Bahan_Plum8"/>
      <sheetName val="BAHAN_&amp;_UPAH8"/>
      <sheetName val="HSTANAH_XLS8"/>
      <sheetName val="Analisa_&amp;_Upah8"/>
      <sheetName val="rekap_c8"/>
      <sheetName val="FORM_X_COST8"/>
      <sheetName val="BQ_ARS8"/>
      <sheetName val="PLUMBING_28"/>
      <sheetName val="daftar_Upah8"/>
      <sheetName val="Pos_4-18"/>
      <sheetName val="Harga_8"/>
      <sheetName val="vol__ARS8"/>
      <sheetName val="TOTAL_SPK8"/>
      <sheetName val="4-Basic_Price7"/>
      <sheetName val="Faktor_Konversi7"/>
      <sheetName val="PHU_058"/>
      <sheetName val="POS-4_18"/>
      <sheetName val="Rekap_Dc8"/>
      <sheetName val="bhn_8"/>
      <sheetName val="an_el8"/>
      <sheetName val="Bill_of_Qty_MEP8"/>
      <sheetName val="Basement_Estimate8"/>
      <sheetName val="HARGA_ME8"/>
      <sheetName val="Analisa_28"/>
      <sheetName val="HARGA_MATERIAL8"/>
      <sheetName val="rab_me_(by_owner)_8"/>
      <sheetName val="BQ_(by_owner)8"/>
      <sheetName val="rab_me_(fisik)8"/>
      <sheetName val="ELEVATED_SLAB8"/>
      <sheetName val="Memb_Schd8"/>
      <sheetName val="unit_rate-b38"/>
      <sheetName val="rek_det_1-38"/>
      <sheetName val="LIFT_DOM7"/>
      <sheetName val="HB_8"/>
      <sheetName val="daftar_harga8"/>
      <sheetName val="dboard(_asli)7"/>
      <sheetName val="RAB_STR_JETTY_&amp;_F_PENUNJANG7"/>
      <sheetName val="01A-_RAB8"/>
      <sheetName val="Analisa_Upah___Bahan_Plum8"/>
      <sheetName val="Analisa_Harga_Satuan8"/>
      <sheetName val="FORM_3A7"/>
      <sheetName val="Perhitungan_RAB7"/>
      <sheetName val="Daf_18"/>
      <sheetName val="RAB_RIIL_kayu7"/>
      <sheetName val="Supply_Agrmnt8"/>
      <sheetName val="Harga_satuan7"/>
      <sheetName val="Harga_Bahan8"/>
      <sheetName val="Indirect_Cost7"/>
      <sheetName val="SERVICES_FEE7"/>
      <sheetName val="BD_Cvl7"/>
      <sheetName val="Erection_SS7"/>
      <sheetName val="Currency_Rate7"/>
      <sheetName val="Upah_Bahan7"/>
      <sheetName val="Harga_ME_7"/>
      <sheetName val="REF_ONLY8"/>
      <sheetName val="crewlist_S7"/>
      <sheetName val="Analisa_RAB7"/>
      <sheetName val="Unit_Rate_Indirect7"/>
      <sheetName val="3__KONTRAK(stu)7"/>
      <sheetName val="i-j__Pengalaman7"/>
      <sheetName val="HRG_BHN7"/>
      <sheetName val="Time_Schedule7"/>
      <sheetName val="anal_pipa7"/>
      <sheetName val="Harsat_Upah7"/>
      <sheetName val="Fill_this_out_first___7"/>
      <sheetName val="AnalisaSIPIL_RIIL_RAP7"/>
      <sheetName val="SUB_TOTAL___7"/>
      <sheetName val="HSA_&amp;_PAB7"/>
      <sheetName val="Harga_Upah_7"/>
      <sheetName val="bukan_PNS7"/>
      <sheetName val="Mon_Upah7"/>
      <sheetName val="2__Informasi7"/>
      <sheetName val="Analisa_Tekhnis7"/>
      <sheetName val="REKAP_TOTAL7"/>
      <sheetName val="_REKAP_B_GEDUNG_PRAMUKA7"/>
      <sheetName val="A_PENDOPO7"/>
      <sheetName val="B__GEDUNG_PRAMUKA7"/>
      <sheetName val="SURAT_PENAWARAN7"/>
      <sheetName val="_REKAP_A_PENDOPO7"/>
      <sheetName val="Analisa_Prov'077"/>
      <sheetName val="A_Paint_Jotun_Penguard7"/>
      <sheetName val="BOQ_ori7"/>
      <sheetName val="Anal_7"/>
      <sheetName val="17_ALS-saluran+BC7"/>
      <sheetName val="HARGA_UPAH7"/>
      <sheetName val="Sewa_Alat-17"/>
      <sheetName val="Analisa_RAP7"/>
      <sheetName val="Bahan_B7"/>
      <sheetName val="Upah_B7"/>
      <sheetName val="Door_&amp;_Window_Podium7"/>
      <sheetName val="San_PD7"/>
      <sheetName val="FORM_77"/>
      <sheetName val="SBDY_Jemb_Tayan7"/>
      <sheetName val="AHS_(ci,str,ars)7"/>
      <sheetName val="PAKET_17"/>
      <sheetName val="Harga_Sat_Das7"/>
      <sheetName val="D2_47"/>
      <sheetName val="D4_3_(TE)7"/>
      <sheetName val="D5_3_(TF)_7"/>
      <sheetName val="D8_3_(TJ)7"/>
      <sheetName val="Bill_of_Qty7"/>
      <sheetName val="dongia_(2)7"/>
      <sheetName val="THPDMoi__(2)7"/>
      <sheetName val="TONG_HOP_VL-NC7"/>
      <sheetName val="TONGKE3p_7"/>
      <sheetName val="TH_VL,_NC,_DDHT_Thanhphuoc7"/>
      <sheetName val="DON_GIA7"/>
      <sheetName val="t-h_HA_THE7"/>
      <sheetName val="CHITIET_VL-NC-TT_-1p7"/>
      <sheetName val="TONG_HOP_VL-NC_TT7"/>
      <sheetName val="TH_XL7"/>
      <sheetName val="CHITIET_VL-NC7"/>
      <sheetName val="CHITIET_VL-NC-TT-3p7"/>
      <sheetName val="KPVC-BD_7"/>
      <sheetName val="SD_(1)7"/>
      <sheetName val="RENCANA_KERJA7"/>
      <sheetName val="HASAT_DASAR7"/>
      <sheetName val="Uraian_Teknis7"/>
      <sheetName val="Agregat_Halus_&amp;_Kasar7"/>
      <sheetName val="Surat_Pernyataan7"/>
      <sheetName val="HRG_BAHAN_&amp;_UPAH_okk6"/>
      <sheetName val="Analis_Kusen_okk6"/>
      <sheetName val="Ana__PU6"/>
      <sheetName val="610_047"/>
      <sheetName val="Analisa_(ok_punya)5"/>
      <sheetName val="ANALISA_GR?????GAH7"/>
      <sheetName val="Perm__Test6"/>
      <sheetName val="Kuantitas_&amp;_Harga6"/>
      <sheetName val="BQ_PABX5"/>
      <sheetName val="RAB_REVISI5"/>
      <sheetName val="Str_A5"/>
      <sheetName val="Analisa_Tend5"/>
      <sheetName val="struktur_tdk_dipakai7"/>
      <sheetName val="Sumber_Daya5"/>
      <sheetName val="Harga_Bahan_&amp;_Upah6"/>
      <sheetName val="H_Satuan_Dasar6"/>
      <sheetName val="Bill_rekap6"/>
      <sheetName val="Isolasi_Luar_Dalam6"/>
      <sheetName val="Isolasi_Luar6"/>
      <sheetName val="ANALISA_GR5"/>
      <sheetName val="HarDas-Ops_5"/>
      <sheetName val="Hrg_Upah_Bhn5"/>
      <sheetName val="DAFTAR_HARGA_BAHAN_5"/>
      <sheetName val="Harsat_Bahan5"/>
      <sheetName val="DLAT_(2)5"/>
      <sheetName val="Daftar_Staff5"/>
      <sheetName val="AHS_-_Riel7"/>
      <sheetName val="Sec_I_ML5"/>
      <sheetName val="1_B6"/>
      <sheetName val="Anls_Hrg_Sat6"/>
      <sheetName val="Har_Sat6"/>
      <sheetName val="Unit_Cost5"/>
      <sheetName val="DF-7_(2)5"/>
      <sheetName val="ANALISA_GR_____GAH5"/>
      <sheetName val="BAHAN_5"/>
      <sheetName val="Harga_bahan-15"/>
      <sheetName val="DETAIL_POS_1235"/>
      <sheetName val="Rekap_Direct_Cost5"/>
      <sheetName val="Harsat_Pekerjaan5"/>
      <sheetName val="NEX24_DB5"/>
      <sheetName val="H_SAT5"/>
      <sheetName val="fill_in_first5"/>
      <sheetName val="OP__PERJAM5"/>
      <sheetName val="K_Lokal5"/>
      <sheetName val="B__PERSONIL5"/>
      <sheetName val="RANGE_BAHAN5"/>
      <sheetName val="ANALISA_GR_x005f_x0000__x005f_x0000__x00005"/>
      <sheetName val="ANALISA_GR_x005f_x005f_x005f_x0000__x005f_x005f_5"/>
      <sheetName val="DRUP_(ASLI)5"/>
      <sheetName val="BQ_EXTERN5"/>
      <sheetName val="Bill_4_16"/>
      <sheetName val="Kuantitas_&amp;_Harga_Seg_16"/>
      <sheetName val="UP_MINOR5"/>
      <sheetName val="COST_SUMM5"/>
      <sheetName val="HPP_TOTAL5"/>
      <sheetName val="HPP_3_Tower5"/>
      <sheetName val="DFT__HRG_BHN___UPAH5"/>
      <sheetName val="ANALISA_STR___ARS5"/>
      <sheetName val="SAT_EL5"/>
      <sheetName val="Anl_+5"/>
      <sheetName val="Analisa_Harga_Sat5"/>
      <sheetName val="Lamp_-35"/>
      <sheetName val="Lamp_-65"/>
      <sheetName val="PV_Harga_Sat5"/>
      <sheetName val="Analisa_Alat5"/>
      <sheetName val="Analisa_Alat_Dredger5"/>
      <sheetName val="Analisa_Tehnik_15"/>
      <sheetName val="Analisa_Tehnik5"/>
      <sheetName val="Pendukung_15"/>
      <sheetName val="Pek_Tanah5"/>
      <sheetName val="AT_B&amp;B5"/>
      <sheetName val="Master_Edit5"/>
      <sheetName val="Analis_harga5"/>
      <sheetName val="BOQ_SNJ_15"/>
      <sheetName val="DKH_CCO_1A5"/>
      <sheetName val="DKH_CCO_1B_R-15"/>
      <sheetName val="Anal__Alat5"/>
      <sheetName val="PRD_01-6(I-II)5"/>
      <sheetName val="PRD_01-7_alat5"/>
      <sheetName val="PRY_03-1_(Amd1)5"/>
      <sheetName val="10_yr_val5"/>
      <sheetName val="7_1(3)5"/>
      <sheetName val="VAC_BDWN5"/>
      <sheetName val="analisa_el5"/>
      <sheetName val="4__PEK__LUAR5"/>
      <sheetName val="Unit_Price5"/>
      <sheetName val="General_Intem5"/>
      <sheetName val="analisa_panel5"/>
      <sheetName val="TATA_UDARA5"/>
      <sheetName val="1_General_5"/>
      <sheetName val="REKAP__(1)5"/>
      <sheetName val="2703_15"/>
      <sheetName val="Assumption_&amp;_Dashboard_5"/>
      <sheetName val="Daf-3_1_2_Pintu,_Jendela,_TWA5"/>
      <sheetName val="Daf-3_1_4_Plafond_TWA5"/>
      <sheetName val="INPUT_AGST5"/>
      <sheetName val="rkpm_20035"/>
      <sheetName val="Man_Power5"/>
      <sheetName val="Urai___Guide_Post5"/>
      <sheetName val="Urai_Galian_Tanah5"/>
      <sheetName val="Formula_Paket_A5"/>
      <sheetName val="inner_pervious_adjust_5"/>
      <sheetName val="outer_pervious_adjust5"/>
      <sheetName val="Agg_Halus_&amp;_Kasar5"/>
      <sheetName val="Analis_Upah5"/>
      <sheetName val="ANALISA_railing5"/>
      <sheetName val="RAB_AR&amp;STR5"/>
      <sheetName val="Daftar_Upah,_Hrg_Bhn_&amp;_Pralata5"/>
      <sheetName val="Harga_Alat5"/>
      <sheetName val="PENUTUP_ATAP5"/>
      <sheetName val="2_15"/>
      <sheetName val="Daftar_Harga_Upah_dan_Bahan5"/>
      <sheetName val="H_Satuan12"/>
      <sheetName val="REKAP_1_SECTION10"/>
      <sheetName val="DIREC_COST10"/>
      <sheetName val="form_besi10"/>
      <sheetName val="REKAP_STRUCTURE10"/>
      <sheetName val="Master_1_09"/>
      <sheetName val="ANALISA_GRS_TENGAH9"/>
      <sheetName val="lamp__129"/>
      <sheetName val="GRAND_REKAP9"/>
      <sheetName val="A-11_Steel_Str_(2)9"/>
      <sheetName val="Analisa_Upah_&amp;_Bahan_Plum9"/>
      <sheetName val="BAHAN_&amp;_UPAH9"/>
      <sheetName val="HSTANAH_XLS9"/>
      <sheetName val="Analisa_&amp;_Upah9"/>
      <sheetName val="rekap_c9"/>
      <sheetName val="FORM_X_COST9"/>
      <sheetName val="BQ_ARS9"/>
      <sheetName val="PLUMBING_29"/>
      <sheetName val="daftar_Upah9"/>
      <sheetName val="Pos_4-19"/>
      <sheetName val="Harga_9"/>
      <sheetName val="vol__ARS9"/>
      <sheetName val="TOTAL_SPK9"/>
      <sheetName val="4-Basic_Price8"/>
      <sheetName val="Faktor_Konversi8"/>
      <sheetName val="PHU_059"/>
      <sheetName val="POS-4_19"/>
      <sheetName val="Rekap_Dc9"/>
      <sheetName val="bhn_9"/>
      <sheetName val="an_el9"/>
      <sheetName val="Bill_of_Qty_MEP9"/>
      <sheetName val="Basement_Estimate9"/>
      <sheetName val="HARGA_ME9"/>
      <sheetName val="Analisa_29"/>
      <sheetName val="HARGA_MATERIAL9"/>
      <sheetName val="rab_me_(by_owner)_9"/>
      <sheetName val="BQ_(by_owner)9"/>
      <sheetName val="rab_me_(fisik)9"/>
      <sheetName val="ELEVATED_SLAB9"/>
      <sheetName val="Memb_Schd9"/>
      <sheetName val="unit_rate-b39"/>
      <sheetName val="rek_det_1-39"/>
      <sheetName val="LIFT_DOM8"/>
      <sheetName val="HB_9"/>
      <sheetName val="daftar_harga9"/>
      <sheetName val="dboard(_asli)8"/>
      <sheetName val="RAB_STR_JETTY_&amp;_F_PENUNJANG8"/>
      <sheetName val="01A-_RAB9"/>
      <sheetName val="Analisa_Upah___Bahan_Plum9"/>
      <sheetName val="Analisa_Harga_Satuan9"/>
      <sheetName val="FORM_3A8"/>
      <sheetName val="Perhitungan_RAB8"/>
      <sheetName val="Daf_19"/>
      <sheetName val="RAB_RIIL_kayu8"/>
      <sheetName val="Supply_Agrmnt9"/>
      <sheetName val="Harga_satuan8"/>
      <sheetName val="Harga_Bahan9"/>
      <sheetName val="Indirect_Cost8"/>
      <sheetName val="SERVICES_FEE8"/>
      <sheetName val="BD_Cvl8"/>
      <sheetName val="Erection_SS8"/>
      <sheetName val="Currency_Rate8"/>
      <sheetName val="Upah_Bahan8"/>
      <sheetName val="Harga_ME_8"/>
      <sheetName val="REF_ONLY9"/>
      <sheetName val="crewlist_S8"/>
      <sheetName val="Analisa_RAB8"/>
      <sheetName val="Unit_Rate_Indirect8"/>
      <sheetName val="3__KONTRAK(stu)8"/>
      <sheetName val="i-j__Pengalaman8"/>
      <sheetName val="HRG_BHN8"/>
      <sheetName val="Time_Schedule8"/>
      <sheetName val="anal_pipa8"/>
      <sheetName val="Harsat_Upah8"/>
      <sheetName val="Fill_this_out_first___8"/>
      <sheetName val="AnalisaSIPIL_RIIL_RAP8"/>
      <sheetName val="SUB_TOTAL___8"/>
      <sheetName val="HSA_&amp;_PAB8"/>
      <sheetName val="Harga_Upah_8"/>
      <sheetName val="bukan_PNS8"/>
      <sheetName val="Mon_Upah8"/>
      <sheetName val="2__Informasi8"/>
      <sheetName val="Analisa_Tekhnis8"/>
      <sheetName val="REKAP_TOTAL8"/>
      <sheetName val="_REKAP_B_GEDUNG_PRAMUKA8"/>
      <sheetName val="A_PENDOPO8"/>
      <sheetName val="B__GEDUNG_PRAMUKA8"/>
      <sheetName val="SURAT_PENAWARAN8"/>
      <sheetName val="_REKAP_A_PENDOPO8"/>
      <sheetName val="Analisa_Prov'078"/>
      <sheetName val="A_Paint_Jotun_Penguard8"/>
      <sheetName val="BOQ_ori8"/>
      <sheetName val="Anal_8"/>
      <sheetName val="17_ALS-saluran+BC8"/>
      <sheetName val="HARGA_UPAH8"/>
      <sheetName val="Sewa_Alat-18"/>
      <sheetName val="Analisa_RAP8"/>
      <sheetName val="Bahan_B8"/>
      <sheetName val="Upah_B8"/>
      <sheetName val="Door_&amp;_Window_Podium8"/>
      <sheetName val="San_PD8"/>
      <sheetName val="FORM_78"/>
      <sheetName val="SBDY_Jemb_Tayan8"/>
      <sheetName val="AHS_(ci,str,ars)8"/>
      <sheetName val="PAKET_18"/>
      <sheetName val="Harga_Sat_Das8"/>
      <sheetName val="RENCANA_KERJA8"/>
      <sheetName val="struktur_tdk_dipakai8"/>
      <sheetName val="Bill_of_Qty8"/>
      <sheetName val="D2_48"/>
      <sheetName val="D4_3_(TE)8"/>
      <sheetName val="D5_3_(TF)_8"/>
      <sheetName val="D8_3_(TJ)8"/>
      <sheetName val="SD_(1)8"/>
      <sheetName val="Agregat_Halus_&amp;_Kasar8"/>
      <sheetName val="AHS_-_Riel8"/>
      <sheetName val="Sec_I_ML6"/>
      <sheetName val="dongia_(2)8"/>
      <sheetName val="THPDMoi__(2)8"/>
      <sheetName val="TONG_HOP_VL-NC8"/>
      <sheetName val="TONGKE3p_8"/>
      <sheetName val="TH_VL,_NC,_DDHT_Thanhphuoc8"/>
      <sheetName val="DON_GIA8"/>
      <sheetName val="t-h_HA_THE8"/>
      <sheetName val="CHITIET_VL-NC-TT_-1p8"/>
      <sheetName val="TONG_HOP_VL-NC_TT8"/>
      <sheetName val="TH_XL8"/>
      <sheetName val="CHITIET_VL-NC8"/>
      <sheetName val="CHITIET_VL-NC-TT-3p8"/>
      <sheetName val="KPVC-BD_8"/>
      <sheetName val="HASAT_DASAR8"/>
      <sheetName val="Uraian_Teknis8"/>
      <sheetName val="Surat_Pernyataan8"/>
      <sheetName val="HRG_BAHAN_&amp;_UPAH_okk7"/>
      <sheetName val="Analis_Kusen_okk7"/>
      <sheetName val="Ana__PU7"/>
      <sheetName val="1_B7"/>
      <sheetName val="Isolasi_Luar_Dalam7"/>
      <sheetName val="Isolasi_Luar7"/>
      <sheetName val="Anls_Hrg_Sat7"/>
      <sheetName val="Perm__Test7"/>
      <sheetName val="Har_Sat7"/>
      <sheetName val="610_048"/>
      <sheetName val="Harga_Bahan_&amp;_Upah7"/>
      <sheetName val="Kuantitas_&amp;_Harga7"/>
      <sheetName val="Unit_Cost6"/>
      <sheetName val="Str_A6"/>
      <sheetName val="Analisa_Tend6"/>
      <sheetName val="BQ_PABX6"/>
      <sheetName val="ANALISA_GR?????GAH8"/>
      <sheetName val="DF-7_(2)6"/>
      <sheetName val="ANALISA_GR6"/>
      <sheetName val="ANALISA_GR_____GAH6"/>
      <sheetName val="BAHAN_6"/>
      <sheetName val="Harga_bahan-16"/>
      <sheetName val="DETAIL_POS_1236"/>
      <sheetName val="Harsat_Bahan6"/>
      <sheetName val="Rekap_Direct_Cost6"/>
      <sheetName val="Bill_rekap7"/>
      <sheetName val="Harsat_Pekerjaan6"/>
      <sheetName val="NEX24_DB6"/>
      <sheetName val="H_SAT6"/>
      <sheetName val="fill_in_first6"/>
      <sheetName val="Hrg_Upah_Bhn6"/>
      <sheetName val="DAFTAR_HARGA_BAHAN_6"/>
      <sheetName val="OP__PERJAM6"/>
      <sheetName val="K_Lokal6"/>
      <sheetName val="B__PERSONIL6"/>
      <sheetName val="H_Satuan_Dasar7"/>
      <sheetName val="RANGE_BAHAN6"/>
      <sheetName val="Analisa_(ok_punya)6"/>
      <sheetName val="ANALISA_GR_x005f_x0000__x005f_x0000__x00006"/>
      <sheetName val="ANALISA_GR_x005f_x005f_x005f_x0000__x005f_x005f_6"/>
      <sheetName val="DRUP_(ASLI)6"/>
      <sheetName val="BQ_EXTERN6"/>
      <sheetName val="Bill_4_17"/>
      <sheetName val="Kuantitas_&amp;_Harga_Seg_17"/>
      <sheetName val="UP_MINOR6"/>
      <sheetName val="COST_SUMM6"/>
      <sheetName val="HPP_TOTAL6"/>
      <sheetName val="HPP_3_Tower6"/>
      <sheetName val="Sumber_Daya6"/>
      <sheetName val="DFT__HRG_BHN___UPAH6"/>
      <sheetName val="ANALISA_STR___ARS6"/>
      <sheetName val="RAB_REVISI6"/>
      <sheetName val="SAT_EL6"/>
      <sheetName val="Daftar_Staff6"/>
      <sheetName val="Anl_+6"/>
      <sheetName val="HarDas-Ops_6"/>
      <sheetName val="Analisa_Harga_Sat6"/>
      <sheetName val="Lamp_-36"/>
      <sheetName val="Lamp_-66"/>
      <sheetName val="PV_Harga_Sat6"/>
      <sheetName val="Analisa_Alat6"/>
      <sheetName val="Analisa_Alat_Dredger6"/>
      <sheetName val="Analisa_Tehnik_16"/>
      <sheetName val="Analisa_Tehnik6"/>
      <sheetName val="Pendukung_16"/>
      <sheetName val="Pek_Tanah6"/>
      <sheetName val="AT_B&amp;B6"/>
      <sheetName val="Master_Edit6"/>
      <sheetName val="Analis_harga6"/>
      <sheetName val="BOQ_SNJ_16"/>
      <sheetName val="DKH_CCO_1A6"/>
      <sheetName val="DKH_CCO_1B_R-16"/>
      <sheetName val="Anal__Alat6"/>
      <sheetName val="PRD_01-6(I-II)6"/>
      <sheetName val="PRD_01-7_alat6"/>
      <sheetName val="PRY_03-1_(Amd1)6"/>
      <sheetName val="10_yr_val6"/>
      <sheetName val="7_1(3)6"/>
      <sheetName val="VAC_BDWN6"/>
      <sheetName val="DLAT_(2)6"/>
      <sheetName val="analisa_el6"/>
      <sheetName val="4__PEK__LUAR6"/>
      <sheetName val="Unit_Price6"/>
      <sheetName val="General_Intem6"/>
      <sheetName val="analisa_panel6"/>
      <sheetName val="TATA_UDARA6"/>
      <sheetName val="1_General_6"/>
      <sheetName val="REKAP__(1)6"/>
      <sheetName val="2703_16"/>
      <sheetName val="Assumption_&amp;_Dashboard_6"/>
      <sheetName val="Daf-3_1_2_Pintu,_Jendela,_TWA6"/>
      <sheetName val="Daf-3_1_4_Plafond_TWA6"/>
      <sheetName val="INPUT_AGST6"/>
      <sheetName val="rkpm_20036"/>
      <sheetName val="Man_Power6"/>
      <sheetName val="Urai___Guide_Post6"/>
      <sheetName val="Urai_Galian_Tanah6"/>
      <sheetName val="Formula_Paket_A6"/>
      <sheetName val="inner_pervious_adjust_6"/>
      <sheetName val="outer_pervious_adjust6"/>
      <sheetName val="Agg_Halus_&amp;_Kasar6"/>
      <sheetName val="Analis_Upah6"/>
      <sheetName val="ANALISA_railing6"/>
      <sheetName val="RAB_AR&amp;STR6"/>
      <sheetName val="Daftar_Upah,_Hrg_Bhn_&amp;_Pralata6"/>
      <sheetName val="Harga_Alat6"/>
      <sheetName val="PENUTUP_ATAP6"/>
      <sheetName val="2_16"/>
      <sheetName val="Daftar_Harga_Upah_dan_Bahan6"/>
      <sheetName val="H_Satuan13"/>
      <sheetName val="REKAP_1_SECTION11"/>
      <sheetName val="DIREC_COST11"/>
      <sheetName val="form_besi11"/>
      <sheetName val="REKAP_STRUCTURE11"/>
      <sheetName val="Master_1_010"/>
      <sheetName val="ANALISA_GRS_TENGAH10"/>
      <sheetName val="lamp__1210"/>
      <sheetName val="GRAND_REKAP10"/>
      <sheetName val="A-11_Steel_Str_(2)10"/>
      <sheetName val="Analisa_Upah_&amp;_Bahan_Plum10"/>
      <sheetName val="BAHAN_&amp;_UPAH10"/>
      <sheetName val="HSTANAH_XLS10"/>
      <sheetName val="Analisa_&amp;_Upah10"/>
      <sheetName val="rekap_c10"/>
      <sheetName val="FORM_X_COST10"/>
      <sheetName val="BQ_ARS10"/>
      <sheetName val="PLUMBING_210"/>
      <sheetName val="daftar_Upah10"/>
      <sheetName val="Pos_4-110"/>
      <sheetName val="Harga_10"/>
      <sheetName val="vol__ARS10"/>
      <sheetName val="TOTAL_SPK10"/>
      <sheetName val="4-Basic_Price9"/>
      <sheetName val="Faktor_Konversi9"/>
      <sheetName val="PHU_0510"/>
      <sheetName val="POS-4_110"/>
      <sheetName val="Rekap_Dc10"/>
      <sheetName val="bhn_10"/>
      <sheetName val="an_el10"/>
      <sheetName val="Bill_of_Qty_MEP10"/>
      <sheetName val="Basement_Estimate10"/>
      <sheetName val="HARGA_ME10"/>
      <sheetName val="Analisa_210"/>
      <sheetName val="HARGA_MATERIAL10"/>
      <sheetName val="rab_me_(by_owner)_10"/>
      <sheetName val="BQ_(by_owner)10"/>
      <sheetName val="rab_me_(fisik)10"/>
      <sheetName val="ELEVATED_SLAB10"/>
      <sheetName val="Memb_Schd10"/>
      <sheetName val="unit_rate-b310"/>
      <sheetName val="rek_det_1-310"/>
      <sheetName val="LIFT_DOM9"/>
      <sheetName val="HB_10"/>
      <sheetName val="daftar_harga10"/>
      <sheetName val="dboard(_asli)9"/>
      <sheetName val="RAB_STR_JETTY_&amp;_F_PENUNJANG9"/>
      <sheetName val="01A-_RAB10"/>
      <sheetName val="Analisa_Upah___Bahan_Plum10"/>
      <sheetName val="Analisa_Harga_Satuan10"/>
      <sheetName val="FORM_3A9"/>
      <sheetName val="Perhitungan_RAB9"/>
      <sheetName val="Daf_110"/>
      <sheetName val="RAB_RIIL_kayu9"/>
      <sheetName val="Supply_Agrmnt10"/>
      <sheetName val="Harga_satuan9"/>
      <sheetName val="Harga_Bahan10"/>
      <sheetName val="Indirect_Cost9"/>
      <sheetName val="SERVICES_FEE9"/>
      <sheetName val="BD_Cvl9"/>
      <sheetName val="Erection_SS9"/>
      <sheetName val="Currency_Rate9"/>
      <sheetName val="Upah_Bahan9"/>
      <sheetName val="Harga_ME_9"/>
      <sheetName val="REF_ONLY10"/>
      <sheetName val="crewlist_S9"/>
      <sheetName val="Analisa_RAB9"/>
      <sheetName val="Unit_Rate_Indirect9"/>
      <sheetName val="3__KONTRAK(stu)9"/>
      <sheetName val="i-j__Pengalaman9"/>
      <sheetName val="HRG_BHN9"/>
      <sheetName val="Time_Schedule9"/>
      <sheetName val="anal_pipa9"/>
      <sheetName val="Harsat_Upah9"/>
      <sheetName val="Fill_this_out_first___9"/>
      <sheetName val="AnalisaSIPIL_RIIL_RAP9"/>
      <sheetName val="SUB_TOTAL___9"/>
      <sheetName val="HSA_&amp;_PAB9"/>
      <sheetName val="Harga_Upah_9"/>
      <sheetName val="bukan_PNS9"/>
      <sheetName val="Mon_Upah9"/>
      <sheetName val="2__Informasi9"/>
      <sheetName val="Analisa_Tekhnis9"/>
      <sheetName val="REKAP_TOTAL9"/>
      <sheetName val="_REKAP_B_GEDUNG_PRAMUKA9"/>
      <sheetName val="A_PENDOPO9"/>
      <sheetName val="B__GEDUNG_PRAMUKA9"/>
      <sheetName val="SURAT_PENAWARAN9"/>
      <sheetName val="_REKAP_A_PENDOPO9"/>
      <sheetName val="Analisa_Prov'079"/>
      <sheetName val="A_Paint_Jotun_Penguard9"/>
      <sheetName val="BOQ_ori9"/>
      <sheetName val="Anal_9"/>
      <sheetName val="17_ALS-saluran+BC9"/>
      <sheetName val="HARGA_UPAH9"/>
      <sheetName val="Sewa_Alat-19"/>
      <sheetName val="Analisa_RAP9"/>
      <sheetName val="Bahan_B9"/>
      <sheetName val="Upah_B9"/>
      <sheetName val="Door_&amp;_Window_Podium9"/>
      <sheetName val="San_PD9"/>
      <sheetName val="FORM_79"/>
      <sheetName val="SBDY_Jemb_Tayan9"/>
      <sheetName val="AHS_(ci,str,ars)9"/>
      <sheetName val="PAKET_19"/>
      <sheetName val="Harga_Sat_Das9"/>
      <sheetName val="RENCANA_KERJA9"/>
      <sheetName val="struktur_tdk_dipakai9"/>
      <sheetName val="Bill_of_Qty9"/>
      <sheetName val="D2_49"/>
      <sheetName val="D4_3_(TE)9"/>
      <sheetName val="D5_3_(TF)_9"/>
      <sheetName val="D8_3_(TJ)9"/>
      <sheetName val="SD_(1)9"/>
      <sheetName val="Agregat_Halus_&amp;_Kasar9"/>
      <sheetName val="AHS_-_Riel9"/>
      <sheetName val="Sec_I_ML7"/>
      <sheetName val="dongia_(2)9"/>
      <sheetName val="THPDMoi__(2)9"/>
      <sheetName val="TONG_HOP_VL-NC9"/>
      <sheetName val="TONGKE3p_9"/>
      <sheetName val="TH_VL,_NC,_DDHT_Thanhphuoc9"/>
      <sheetName val="DON_GIA9"/>
      <sheetName val="t-h_HA_THE9"/>
      <sheetName val="CHITIET_VL-NC-TT_-1p9"/>
      <sheetName val="TONG_HOP_VL-NC_TT9"/>
      <sheetName val="TH_XL9"/>
      <sheetName val="CHITIET_VL-NC9"/>
      <sheetName val="CHITIET_VL-NC-TT-3p9"/>
      <sheetName val="KPVC-BD_9"/>
      <sheetName val="HASAT_DASAR9"/>
      <sheetName val="Uraian_Teknis9"/>
      <sheetName val="Surat_Pernyataan9"/>
      <sheetName val="HRG_BAHAN_&amp;_UPAH_okk8"/>
      <sheetName val="Analis_Kusen_okk8"/>
      <sheetName val="Ana__PU8"/>
      <sheetName val="1_B8"/>
      <sheetName val="Isolasi_Luar_Dalam8"/>
      <sheetName val="Isolasi_Luar8"/>
      <sheetName val="Anls_Hrg_Sat8"/>
      <sheetName val="Perm__Test8"/>
      <sheetName val="Har_Sat8"/>
      <sheetName val="610_049"/>
      <sheetName val="Harga_Bahan_&amp;_Upah8"/>
      <sheetName val="Kuantitas_&amp;_Harga8"/>
      <sheetName val="Unit_Cost7"/>
      <sheetName val="Str_A7"/>
      <sheetName val="Analisa_Tend7"/>
      <sheetName val="BQ_PABX7"/>
      <sheetName val="ANALISA_GR?????GAH9"/>
      <sheetName val="DF-7_(2)7"/>
      <sheetName val="ANALISA_GR7"/>
      <sheetName val="ANALISA_GR_____GAH7"/>
      <sheetName val="BAHAN_7"/>
      <sheetName val="Harga_bahan-17"/>
      <sheetName val="DETAIL_POS_1237"/>
      <sheetName val="Harsat_Bahan7"/>
      <sheetName val="Rekap_Direct_Cost7"/>
      <sheetName val="Bill_rekap8"/>
      <sheetName val="Harsat_Pekerjaan7"/>
      <sheetName val="NEX24_DB7"/>
      <sheetName val="H_SAT7"/>
      <sheetName val="fill_in_first7"/>
      <sheetName val="Hrg_Upah_Bhn7"/>
      <sheetName val="DAFTAR_HARGA_BAHAN_7"/>
      <sheetName val="OP__PERJAM7"/>
      <sheetName val="K_Lokal7"/>
      <sheetName val="B__PERSONIL7"/>
      <sheetName val="H_Satuan_Dasar8"/>
      <sheetName val="RANGE_BAHAN7"/>
      <sheetName val="Analisa_(ok_punya)7"/>
      <sheetName val="ANALISA_GR_x005f_x0000__x005f_x0000__x00007"/>
      <sheetName val="ANALISA_GR_x005f_x005f_x005f_x0000__x005f_x005f_7"/>
      <sheetName val="DRUP_(ASLI)7"/>
      <sheetName val="BQ_EXTERN7"/>
      <sheetName val="Bill_4_18"/>
      <sheetName val="Kuantitas_&amp;_Harga_Seg_18"/>
      <sheetName val="UP_MINOR7"/>
      <sheetName val="COST_SUMM7"/>
      <sheetName val="HPP_TOTAL7"/>
      <sheetName val="HPP_3_Tower7"/>
      <sheetName val="Sumber_Daya7"/>
      <sheetName val="DFT__HRG_BHN___UPAH7"/>
      <sheetName val="ANALISA_STR___ARS7"/>
      <sheetName val="RAB_REVISI7"/>
      <sheetName val="SAT_EL7"/>
      <sheetName val="Daftar_Staff7"/>
      <sheetName val="Anl_+7"/>
      <sheetName val="HarDas-Ops_7"/>
      <sheetName val="Analisa_Harga_Sat7"/>
      <sheetName val="Lamp_-37"/>
      <sheetName val="Lamp_-67"/>
      <sheetName val="PV_Harga_Sat7"/>
      <sheetName val="Analisa_Alat7"/>
      <sheetName val="Analisa_Alat_Dredger7"/>
      <sheetName val="Analisa_Tehnik_17"/>
      <sheetName val="Analisa_Tehnik7"/>
      <sheetName val="Pendukung_17"/>
      <sheetName val="Pek_Tanah7"/>
      <sheetName val="AT_B&amp;B7"/>
      <sheetName val="Master_Edit7"/>
      <sheetName val="Analis_harga7"/>
      <sheetName val="BOQ_SNJ_17"/>
      <sheetName val="DKH_CCO_1A7"/>
      <sheetName val="DKH_CCO_1B_R-17"/>
      <sheetName val="Anal__Alat7"/>
      <sheetName val="PRD_01-6(I-II)7"/>
      <sheetName val="PRD_01-7_alat7"/>
      <sheetName val="PRY_03-1_(Amd1)7"/>
      <sheetName val="10_yr_val7"/>
      <sheetName val="7_1(3)7"/>
      <sheetName val="VAC_BDWN7"/>
      <sheetName val="DLAT_(2)7"/>
      <sheetName val="analisa_el7"/>
      <sheetName val="4__PEK__LUAR7"/>
      <sheetName val="Unit_Price7"/>
      <sheetName val="General_Intem7"/>
      <sheetName val="analisa_panel7"/>
      <sheetName val="TATA_UDARA7"/>
      <sheetName val="1_General_7"/>
      <sheetName val="REKAP__(1)7"/>
      <sheetName val="2703_17"/>
      <sheetName val="Assumption_&amp;_Dashboard_7"/>
      <sheetName val="Daf-3_1_2_Pintu,_Jendela,_TWA7"/>
      <sheetName val="Daf-3_1_4_Plafond_TWA7"/>
      <sheetName val="INPUT_AGST7"/>
      <sheetName val="rkpm_20037"/>
      <sheetName val="Man_Power7"/>
      <sheetName val="Urai___Guide_Post7"/>
      <sheetName val="Urai_Galian_Tanah7"/>
      <sheetName val="Formula_Paket_A7"/>
      <sheetName val="inner_pervious_adjust_7"/>
      <sheetName val="outer_pervious_adjust7"/>
      <sheetName val="Agg_Halus_&amp;_Kasar7"/>
      <sheetName val="Analis_Upah7"/>
      <sheetName val="ANALISA_railing7"/>
      <sheetName val="RAB_AR&amp;STR7"/>
      <sheetName val="Daftar_Upah,_Hrg_Bhn_&amp;_Pralata7"/>
      <sheetName val="Harga_Alat7"/>
      <sheetName val="PENUTUP_ATAP7"/>
      <sheetName val="2_17"/>
      <sheetName val="Daftar_Harga_Upah_dan_Bahan7"/>
      <sheetName val="Report detil kondisi"/>
      <sheetName val="I-ME"/>
      <sheetName val="Finishing Warehouse"/>
      <sheetName val="Inputdata"/>
      <sheetName val="VK ARS"/>
      <sheetName val="B _ Norelec"/>
      <sheetName val="POS 1"/>
      <sheetName val="POS 2"/>
      <sheetName val="Administration"/>
      <sheetName val="Ware House"/>
      <sheetName val="HELIPAD"/>
      <sheetName val="Hunian Staf"/>
      <sheetName val="Kantin"/>
      <sheetName val="Klinik"/>
      <sheetName val="Mosque"/>
      <sheetName val="Pemadam Kebakaran"/>
      <sheetName val="Gd. Rekreasi &amp; olah Raga"/>
      <sheetName val="Site Plan"/>
      <sheetName val="SPBU"/>
      <sheetName val="Fin-Bengkel"/>
      <sheetName val="Fin-Showroom"/>
      <sheetName val="Hal_Pagar"/>
      <sheetName val="Str-Bengkel"/>
      <sheetName val="Str-Showroom"/>
      <sheetName val="IN_"/>
      <sheetName val="RKP_PLUMBING"/>
      <sheetName val="Hua_Yang_Quarterly"/>
      <sheetName val="Lead_Schedule"/>
      <sheetName val="Gal_tanah"/>
      <sheetName val="Gaji_Pokok"/>
      <sheetName val="T__Proyek-Jabatan"/>
      <sheetName val="T__Lokasi"/>
      <sheetName val="T__Rumah"/>
      <sheetName val="T__Transport"/>
      <sheetName val="B_1"/>
      <sheetName val="B_10"/>
      <sheetName val="B_11"/>
      <sheetName val="B_12"/>
      <sheetName val="B_13"/>
      <sheetName val="B_14"/>
      <sheetName val="B_15"/>
      <sheetName val="B_16"/>
      <sheetName val="B_17"/>
      <sheetName val="B_18"/>
      <sheetName val="B_2"/>
      <sheetName val="B_20"/>
      <sheetName val="B_21"/>
      <sheetName val="B_22"/>
      <sheetName val="B_23"/>
      <sheetName val="B_24"/>
      <sheetName val="B_25"/>
      <sheetName val="B_26"/>
      <sheetName val="B_28"/>
      <sheetName val="B_29"/>
      <sheetName val="B_3"/>
      <sheetName val="B_30"/>
      <sheetName val="B_4"/>
      <sheetName val="B_5"/>
      <sheetName val="Analisa_Harga"/>
      <sheetName val="Pgr_Jl_I_Bale"/>
      <sheetName val="Rekap_Bill"/>
      <sheetName val="15_Irr__Struc_Work"/>
      <sheetName val="16_Pipe_Inst_"/>
      <sheetName val="ANALYS_EXTERN"/>
      <sheetName val="Tuk_Koef"/>
      <sheetName val="D_BOARD"/>
      <sheetName val="PERALATAN_PROYEK_GOL_III_A"/>
      <sheetName val="SUB_&amp;_mandor"/>
      <sheetName val="Tunduk_Panitia"/>
      <sheetName val="Rate_Analysis"/>
      <sheetName val="BQ_Arsit"/>
      <sheetName val="An_HarSatPek"/>
      <sheetName val="Sat_Bah_&amp;_Up"/>
      <sheetName val="Analisa_ME"/>
      <sheetName val="LAL_-_PASAR_PAGI_"/>
      <sheetName val="ANALISA_GR_x005f_x005f_x005f_x005f_x005f_x005f_x0"/>
      <sheetName val="ANALISA_GR_x"/>
      <sheetName val="ANALISA_GR_x0"/>
      <sheetName val="ENC_14"/>
      <sheetName val="2-Genset_print"/>
      <sheetName val="SPREAD_SHEET"/>
      <sheetName val="D_&amp;_W_sizes"/>
      <sheetName val="3_ALS-STR-PDS"/>
      <sheetName val="Upah_&amp;_Bahan"/>
      <sheetName val="Analisa_Quarry"/>
      <sheetName val="B_T"/>
      <sheetName val="Category_detail"/>
      <sheetName val="BQ29"/>
      <sheetName val="SKKP_1"/>
      <sheetName val="Bastille"/>
      <sheetName val="SNI FIX"/>
      <sheetName val="5"/>
      <sheetName val="lh"/>
      <sheetName val="LIST ANHARSAT"/>
      <sheetName val="320000 CABANG VI"/>
      <sheetName val="Input Jurnal."/>
      <sheetName val="Rp Banten"/>
      <sheetName val="Penyusutan Kendaraan"/>
      <sheetName val="DDJAN05"/>
      <sheetName val="Blk-Mnl"/>
      <sheetName val="Klm-Mnl"/>
      <sheetName val="D2(Final)"/>
      <sheetName val="pipa porusc(6&quot;)"/>
      <sheetName val="After LoI"/>
      <sheetName val="uph bhn"/>
      <sheetName val="main summary"/>
      <sheetName val="ABSEN"/>
      <sheetName val="UPAH_B_KAS"/>
      <sheetName val="UPAH_B_KAS _2_"/>
      <sheetName val="T_TANGAN"/>
      <sheetName val="trans"/>
      <sheetName val="RAB NEGO 17.01.18"/>
      <sheetName val="Param"/>
      <sheetName val="Monitor"/>
      <sheetName val="AnAlat"/>
      <sheetName val="hasat"/>
      <sheetName val="HPP_19_"/>
      <sheetName val="029Cikeas00"/>
      <sheetName val="KPB-Alat"/>
      <sheetName val="KPB-BAHAN"/>
      <sheetName val="KPB-BANK"/>
      <sheetName val="KPB-BUA"/>
      <sheetName val="KPB-PP"/>
      <sheetName val="KPB-SAR"/>
      <sheetName val="KPB-SUBKON"/>
      <sheetName val="KPB-UPAH"/>
      <sheetName val="KRB-BUA"/>
      <sheetName val="KRB-ALT"/>
      <sheetName val="KRB-BANK"/>
      <sheetName val="KRB-PP"/>
      <sheetName val="KRB-SAR"/>
      <sheetName val="KRB-SUB"/>
      <sheetName val="KRB-UPH"/>
      <sheetName val="Prd 1-01"/>
      <sheetName val="Prd 1-02"/>
      <sheetName val="PDCC"/>
      <sheetName val="TRBP"/>
      <sheetName val="SPI GMBH"/>
      <sheetName val="UK"/>
      <sheetName val="SPI"/>
      <sheetName val="SSI"/>
      <sheetName val="Syntegra"/>
      <sheetName val="Tariptunda"/>
      <sheetName val="Install Time+Cost"/>
      <sheetName val="Break Down Alat"/>
      <sheetName val="HARVEST02"/>
      <sheetName val="Mark UP"/>
      <sheetName val="Jdw A_M_T"/>
      <sheetName val="Lamp -5"/>
      <sheetName val="Pivot 1"/>
      <sheetName val="Pivot 1 (2)"/>
      <sheetName val="Pivot 1 (3)"/>
      <sheetName val="Pivot 1 (4)"/>
      <sheetName val="Analisa Tehnik Alat"/>
      <sheetName val="ANAL.PROD.ALAT"/>
      <sheetName val="Earth, Concrete, Pile"/>
      <sheetName val="Soil factor"/>
      <sheetName val="ITEM"/>
      <sheetName val="BL"/>
      <sheetName val="ANA-TOOLS-KKA"/>
      <sheetName val="Pekerjaan "/>
      <sheetName val="bill_3_9"/>
      <sheetName val="ANALISA_GR???1"/>
      <sheetName val="BOM_BMS1"/>
      <sheetName val="Harga_Kabel1"/>
      <sheetName val="Unit_Rate1"/>
      <sheetName val="Rekap_Biaya1"/>
      <sheetName val="Pemindahan_Penduduk_1"/>
      <sheetName val="BQ_Pivot_utk_Analisa_&amp;_SDBP_"/>
      <sheetName val="M+U_Pivot"/>
      <sheetName val="Fin_Sum"/>
      <sheetName val="DATA_BASE"/>
      <sheetName val="Bill_Of_Quantity"/>
      <sheetName val="2_3"/>
      <sheetName val="2_4"/>
      <sheetName val="2_5"/>
      <sheetName val="2_6"/>
      <sheetName val="2_7"/>
      <sheetName val="3_1"/>
      <sheetName val="3_10"/>
      <sheetName val="3_11"/>
      <sheetName val="3_12"/>
      <sheetName val="3_2"/>
      <sheetName val="3_3"/>
      <sheetName val="3_4"/>
      <sheetName val="3_8"/>
      <sheetName val="3_9"/>
      <sheetName val="Pek_persiapan"/>
      <sheetName val="F_ALARM"/>
      <sheetName val="Daftar_Alat1"/>
      <sheetName val="Up_&amp;_bhn"/>
      <sheetName val="7_공정표1"/>
      <sheetName val="iNT__Kotak_Lt_3"/>
      <sheetName val="Soi_081"/>
      <sheetName val="BQ_All_2"/>
      <sheetName val="Daftar_Harga_Satuan_Gaji"/>
      <sheetName val="Daftar_Harga_Satuan_Bahan"/>
      <sheetName val="3_2_2_(Rincian)1"/>
      <sheetName val="AN__SCAFOLDING1"/>
      <sheetName val="box_culvert"/>
      <sheetName val="TJ_JATI"/>
      <sheetName val="RBP-_2"/>
      <sheetName val="Galian_11"/>
      <sheetName val="DIV_81"/>
      <sheetName val="AnalisaSIPIL_RIIL1"/>
      <sheetName val="NP_(4)"/>
      <sheetName val="Hardas_Material"/>
      <sheetName val="Hardas_Upah+Subkon"/>
      <sheetName val="Form_I"/>
      <sheetName val="SP_Kapasitas_TD"/>
      <sheetName val="Total_Harga"/>
      <sheetName val="BIIL_ASLI"/>
      <sheetName val="ANALISA_A-Persiapan"/>
      <sheetName val="ANALISA_B-Pek_tanah"/>
      <sheetName val="ANALISA_C-Pek__pondasi"/>
      <sheetName val="ANALISA_D-Dinding"/>
      <sheetName val="ANALISA_E-Plesteran"/>
      <sheetName val="ANALISA_F-Pek_Kayu"/>
      <sheetName val="ANALISA_G-Pek__beton"/>
      <sheetName val="ANALISA_J-Pek__Sanitasi"/>
      <sheetName val="ANALISA_K-Besi_n_aluminium"/>
      <sheetName val="ANALISA_N-Pek__pengecatan"/>
      <sheetName val="ANALISA_Q-Pek__Air_Bersih"/>
      <sheetName val="Isian_Biodata"/>
      <sheetName val="Data_Upah"/>
      <sheetName val="Satuan_Dasar"/>
      <sheetName val="TE_TS_FA_LAN_MATV"/>
      <sheetName val="Perhitungan_KC_ke_SUBKON"/>
      <sheetName val="surat_"/>
      <sheetName val="ANALISA_SNI'12_"/>
      <sheetName val="Titik_kabel"/>
      <sheetName val="Mk Marka"/>
      <sheetName val="Mk Base"/>
      <sheetName val="Tabel Bantu &amp; Lembar Soal"/>
      <sheetName val="1.1.Barrette pile"/>
      <sheetName val="Qty_pile"/>
      <sheetName val="Steel_slab"/>
      <sheetName val="Steel_tank"/>
      <sheetName val="Steel_wall"/>
      <sheetName val="D2.2"/>
      <sheetName val="NP umum"/>
      <sheetName val="pivot"/>
      <sheetName val="Formulir_7_6"/>
      <sheetName val="REK_S-CURVE"/>
      <sheetName val="NP (2)"/>
      <sheetName val="Daf Peralatan"/>
      <sheetName val="Daf Upah &amp; Bahan"/>
      <sheetName val="Mercu Bulat"/>
      <sheetName val="Olak USBR"/>
      <sheetName val="L.3"/>
      <sheetName val="REKAP MC 1"/>
      <sheetName val="BILL MC 1"/>
      <sheetName val="Mob (2)"/>
      <sheetName val="TSS"/>
      <sheetName val="prod"/>
      <sheetName val="An_1"/>
      <sheetName val="An_3"/>
      <sheetName val="An_2"/>
      <sheetName val="Alat_B"/>
      <sheetName val="a_h_ars_sum"/>
      <sheetName val="a_h_ars"/>
      <sheetName val="Harsat_Alat"/>
      <sheetName val="REG_TOTAL"/>
      <sheetName val="DIV_1"/>
      <sheetName val="HRG-_UPAH"/>
      <sheetName val="Alat_(1)"/>
      <sheetName val="LAM_3"/>
      <sheetName val="HRG_DSR_APP"/>
      <sheetName val="ANALISA_WIKA"/>
      <sheetName val="Schedulle_"/>
      <sheetName val="adukan_"/>
      <sheetName val="Vol_K_225"/>
      <sheetName val="Rekap_Anl"/>
      <sheetName val="Schedule_Master"/>
      <sheetName val="HGS_Jan_2007"/>
      <sheetName val="PENYAMBUNGAN_DAYA"/>
      <sheetName val="M2_SQUARE_(C)"/>
      <sheetName val="Marka_Jalan"/>
      <sheetName val="PAGAR_PEMBATAS_JALAN"/>
      <sheetName val="Rigid_Beton"/>
      <sheetName val="Separator_"/>
      <sheetName val="ST_CAROLUS_(C)"/>
      <sheetName val="C_S_A"/>
      <sheetName val="RAB_(A)_(2)"/>
      <sheetName val="Pay_Items"/>
      <sheetName val="FIRE_FIGHTING"/>
      <sheetName val="REKAP_A_BESAR"/>
      <sheetName val="qc_reading"/>
      <sheetName val="Pivot_Table"/>
      <sheetName val="anal-drainase,tanah&amp;ps_batu"/>
      <sheetName val="Grand_summary"/>
      <sheetName val="tb__besi"/>
      <sheetName val="Harga_bahan___upah"/>
      <sheetName val="SNI_21-3-09"/>
      <sheetName val="Rincian_Biaya_RKM_I"/>
      <sheetName val="kriteria_sgl"/>
      <sheetName val="12_ANS"/>
      <sheetName val="REKAP_Package_I"/>
      <sheetName val="Daf_Alat"/>
      <sheetName val="Jdw_Alat"/>
      <sheetName val="S_Penawar"/>
      <sheetName val="ANALIS_WIL_1"/>
      <sheetName val="PLATE_bataco"/>
      <sheetName val="MAP_1-2"/>
      <sheetName val="Analisa_"/>
      <sheetName val="RAB_ME"/>
      <sheetName val="analis_RSUD"/>
      <sheetName val="Urugan_Pasir"/>
      <sheetName val="KAN__LOKAL"/>
      <sheetName val="Report_detil_kondisi"/>
      <sheetName val="TS_(A3)"/>
      <sheetName val="INPUT_HARIAN"/>
      <sheetName val="BQ_(M&amp;E)"/>
      <sheetName val="A,_B,_C,_D,_E"/>
      <sheetName val="Finishing_Warehouse"/>
      <sheetName val="2016-405_MR"/>
      <sheetName val="Reloc_&amp;_Living_Cost"/>
      <sheetName val="Analisa_K"/>
      <sheetName val="310000_CABANG_V"/>
      <sheetName val="Alat_Berat"/>
      <sheetName val="D.Kf"/>
      <sheetName val="1977"/>
      <sheetName val="D.H.1"/>
      <sheetName val="D.H.10"/>
      <sheetName val="D.H.11"/>
      <sheetName val="D.H.12"/>
      <sheetName val="D.H.13"/>
      <sheetName val="D.H.2"/>
      <sheetName val="D.H.3"/>
      <sheetName val="D.H.4"/>
      <sheetName val="D.H.5"/>
      <sheetName val="D.H.6"/>
      <sheetName val="D.H.7"/>
      <sheetName val="D.H.8"/>
      <sheetName val="D.H.9"/>
      <sheetName val="Rekapan Divisi 7.3 (Rev)"/>
      <sheetName val="Pernyataan"/>
      <sheetName val="ph"/>
      <sheetName val="HD Material"/>
      <sheetName val="HPS Sub Upah"/>
      <sheetName val="HSD Bahan"/>
      <sheetName val="HSD Alat"/>
      <sheetName val="Sum IF"/>
      <sheetName val="HSD Upah"/>
      <sheetName val="Materials"/>
      <sheetName val="Vol Pek"/>
      <sheetName val="Labour"/>
      <sheetName val="Equipment"/>
      <sheetName val="4-MVAC"/>
      <sheetName val="Meth "/>
      <sheetName val="Consumable"/>
      <sheetName val="Labor"/>
      <sheetName val="8410(Kerb)"/>
      <sheetName val="Input monthly capex"/>
      <sheetName val="EVAL-ANAL"/>
      <sheetName val="div-6"/>
      <sheetName val="div-2"/>
      <sheetName val="MAIN BQ"/>
      <sheetName val="SBDY"/>
      <sheetName val="Hrg Dsr"/>
      <sheetName val="HDasar"/>
      <sheetName val="3(Prog2)"/>
      <sheetName val="5(Prog3&amp;Escl.stup)"/>
      <sheetName val="6(prog4)"/>
      <sheetName val="7(prog5)"/>
      <sheetName val="1b.bill"/>
      <sheetName val="a.2"/>
      <sheetName val="habis"/>
      <sheetName val="kalender"/>
      <sheetName val="HU P BARU"/>
      <sheetName val="HU P LAMA"/>
      <sheetName val="Daftar Upah,Bhn,&amp; alat"/>
      <sheetName val="Assumptions"/>
      <sheetName val="DbCost"/>
      <sheetName val="Ind.MP Sch."/>
      <sheetName val="内訳"/>
      <sheetName val="luar"/>
      <sheetName val="RINC FIN T4  _3_"/>
      <sheetName val="RINC FIN T4  _2_"/>
      <sheetName val="RINC hotel"/>
      <sheetName val="RINC FIN T4 "/>
      <sheetName val="Rekap_Prelim2"/>
      <sheetName val="bhn_FINAL2"/>
      <sheetName val="Analisa_Gabungan2"/>
      <sheetName val="Valve_PL2"/>
      <sheetName val="Peralatan_PL2"/>
      <sheetName val="Irregular_Income2"/>
      <sheetName val="FE-1770_P12"/>
      <sheetName val="B_-_Norelec2"/>
      <sheetName val="_SAT_PL2"/>
      <sheetName val="RAB_SEKRETARIAT_(1)2"/>
      <sheetName val="an__12"/>
      <sheetName val="anls_space_frame2"/>
      <sheetName val="Analisa_SNI_STANDART_2"/>
      <sheetName val="Analis_Kusen_1_ESKALASI2"/>
      <sheetName val="H_Sat_Jembatan2"/>
      <sheetName val="Hrn_I2"/>
      <sheetName val="Hrn_II2"/>
      <sheetName val="Hrn_III2"/>
      <sheetName val="Pjk_Kend_&amp;_Parkir&amp;Tanah2"/>
      <sheetName val="Pak_Din(510)2"/>
      <sheetName val="P_Didik&amp;BinaPeg_2"/>
      <sheetName val="Bgn-Ingg_PLANTATION2"/>
      <sheetName val="ANALISA_GR_x005f_x0000__x2"/>
      <sheetName val="ANALISA_GR_x005f_x005f_x02"/>
      <sheetName val="DIV_22"/>
      <sheetName val="IV__Arsitek_(MC_0)"/>
      <sheetName val="DESBT"/>
      <sheetName val="Df-Kuan"/>
      <sheetName val="3.3b"/>
      <sheetName val="QSS"/>
      <sheetName val="H-Dasar"/>
      <sheetName val="Analisa-H"/>
      <sheetName val="tul"/>
      <sheetName val="AN-SNI"/>
      <sheetName val="DHSD"/>
      <sheetName val="PO-2"/>
      <sheetName val="An. ang"/>
      <sheetName val="Anal_Pek"/>
      <sheetName val="Appendix 2(SatDas)"/>
      <sheetName val="STD Lanjutan"/>
      <sheetName val="NS Lanjutan"/>
      <sheetName val="An Biaya"/>
      <sheetName val="A.HARSAT ARS"/>
      <sheetName val="Rekap BQ-Pompong"/>
      <sheetName val="DAF-4"/>
      <sheetName val="bahan,upah,alat"/>
      <sheetName val="analisa_rev"/>
      <sheetName val="Rekap-L3"/>
      <sheetName val="BQ-Tenis"/>
      <sheetName val="Arsitektur"/>
      <sheetName val="BOQ_Aula"/>
      <sheetName val="S_Suramadu"/>
      <sheetName val="Koordinat"/>
      <sheetName val="Manthos"/>
      <sheetName val="011C101"/>
      <sheetName val="UPH-1"/>
      <sheetName val="Ven"/>
      <sheetName val="RAPI"/>
      <sheetName val="HARDAS-ALAT"/>
      <sheetName val="STA"/>
      <sheetName val="PCG"/>
      <sheetName val="DSN"/>
      <sheetName val="TPT"/>
      <sheetName val="Factor"/>
      <sheetName val="PROCURE"/>
      <sheetName val="KUANTITY"/>
      <sheetName val="system &amp; LOOK_UP_FUNC"/>
      <sheetName val="Progress Tables"/>
      <sheetName val="Bahan I"/>
      <sheetName val="RAB TIANG + NAMA"/>
      <sheetName val="jdw"/>
      <sheetName val="DAF.UP&amp;BHN"/>
      <sheetName val="1. Rekap A"/>
      <sheetName val="F3a"/>
      <sheetName val="G1"/>
      <sheetName val="G3"/>
      <sheetName val="G4a"/>
      <sheetName val="UPH. BHN"/>
      <sheetName val="Upah revisi"/>
      <sheetName val="BAG_2"/>
      <sheetName val="DivVI"/>
      <sheetName val="LP3,h_dsr"/>
      <sheetName val="an_tek1"/>
      <sheetName val="BoQ(APBN)"/>
      <sheetName val="per span 35"/>
      <sheetName val=" anal hrg sat"/>
      <sheetName val="Anls K"/>
      <sheetName val="Anls E"/>
      <sheetName val="Harga Sat Dasar"/>
      <sheetName val="REKAP K3"/>
      <sheetName val="Hrg_APD"/>
      <sheetName val="Bank"/>
      <sheetName val="BU"/>
      <sheetName val="Bunga"/>
      <sheetName val="Upah,Bahan,Alat"/>
      <sheetName val="Daf.Harga"/>
      <sheetName val="Bahan  SNI"/>
      <sheetName val="OE-8,4(3).A Skampal"/>
      <sheetName val="D5ok"/>
      <sheetName val="AnaAlat"/>
      <sheetName val="UB-SNI"/>
      <sheetName val="MC1,2 fd"/>
      <sheetName val="MU"/>
      <sheetName val="__Users_debby_Documents_TA.2021"/>
      <sheetName val=" E3_ELEVATED_ELEVATED SLAB.xls_"/>
      <sheetName val="_Recovered_SheetName_97_"/>
      <sheetName val="_Recovered_SheetName_98_"/>
      <sheetName val="_Recovered_SheetName_99_"/>
      <sheetName val="_Recovered_SheetName_100_"/>
      <sheetName val="_Recovered_SheetName_101_"/>
      <sheetName val="_Recovered_SheetName_102_"/>
      <sheetName val="_Recovered_SheetName_103_"/>
      <sheetName val="_Recovered_SheetName_104_"/>
      <sheetName val="_Recovered_SheetName_105_"/>
      <sheetName val="_Recovered_SheetName_106_"/>
      <sheetName val="_Recovered_SheetName_107_"/>
      <sheetName val="_Recovered_SheetName_108_"/>
      <sheetName val="_Recovered_SheetName_109_"/>
      <sheetName val="_Recovered_SheetName_110_"/>
      <sheetName val="_Recovered_SheetName_111_"/>
      <sheetName val="_Recovered_SheetName_112_"/>
      <sheetName val="_Recovered_SheetName_113_"/>
      <sheetName val="_Recovered_SheetName_114_"/>
      <sheetName val="_Recovered_SheetName_115_"/>
      <sheetName val="_Recovered_SheetName_116_"/>
      <sheetName val="_Recovered_SheetName_117_"/>
      <sheetName val="_Recovered_SheetName_118_"/>
      <sheetName val="_Recovered_SheetName_119_"/>
      <sheetName val="_Recovered_SheetName_120_"/>
      <sheetName val="_Recovered_SheetName_121_"/>
      <sheetName val="_Recovered_SheetName_122_"/>
      <sheetName val="_Recovered_SheetName_123_"/>
      <sheetName val="_Recovered_SheetName_124_"/>
      <sheetName val="_Recovered_SheetName_125_"/>
      <sheetName val="_Recovered_SheetName_126_"/>
      <sheetName val="_Recovered_SheetName_127_"/>
      <sheetName val="_Recovered_SheetName_128_"/>
      <sheetName val="_Recovered_SheetName_129_"/>
      <sheetName val="_Recovered_SheetName_130_"/>
      <sheetName val="_Recovered_SheetName_131_"/>
      <sheetName val="_Recovered_SheetName_132_"/>
      <sheetName val="_Recovered_SheetName_133_"/>
      <sheetName val="_Recovered_SheetName_134_"/>
      <sheetName val="_Recovered_SheetName_135_"/>
      <sheetName val="_Recovered_SheetName_136_"/>
      <sheetName val="_Recovered_SheetName_137_"/>
      <sheetName val="_Recovered_SheetName_138_"/>
      <sheetName val="_Recovered_SheetName_139_"/>
      <sheetName val="_Recovered_SheetName_140_"/>
      <sheetName val="_Recovered_SheetName_141_"/>
      <sheetName val="_Recovered_SheetName_142_"/>
      <sheetName val="_Recovered_SheetName_143_"/>
      <sheetName val="_Recovered_SheetName_144_"/>
      <sheetName val="_Recovered_SheetName_145_"/>
      <sheetName val="_Recovered_SheetName_146_"/>
      <sheetName val="_Recovered_SheetName_147_"/>
      <sheetName val="_Recovered_SheetName_148_"/>
      <sheetName val="_Recovered_SheetName_149_"/>
      <sheetName val="_Recovered_SheetName_150_"/>
      <sheetName val="_Recovered_SheetName_151_"/>
      <sheetName val="_Recovered_SheetName_152_"/>
      <sheetName val="_Recovered_SheetName_153_"/>
      <sheetName val="_Recovered_SheetName_154_"/>
      <sheetName val="_Recovered_SheetName_155_"/>
      <sheetName val="_Recovered_SheetName_156_"/>
      <sheetName val="_Recovered_SheetName_157_"/>
      <sheetName val="_Recovered_SheetName_158_"/>
      <sheetName val="_Recovered_SheetName_159_"/>
      <sheetName val="_Recovered_SheetName_160_"/>
      <sheetName val="_Recovered_SheetName_161_"/>
      <sheetName val="_Recovered_SheetName_162_"/>
      <sheetName val="_Recovered_SheetName_163_"/>
      <sheetName val="_Recovered_SheetName_164_"/>
      <sheetName val="_Recovered_SheetName_165_"/>
      <sheetName val="_Recovered_SheetName_166_"/>
      <sheetName val="_Recovered_SheetName_167_"/>
      <sheetName val="_Recovered_SheetName_168_"/>
      <sheetName val="_Recovered_SheetName_169_"/>
      <sheetName val="_Recovered_SheetName_170_"/>
      <sheetName val="_Recovered_SheetName_171_"/>
      <sheetName val="_Recovered_SheetName_172_"/>
      <sheetName val="_Recovered_SheetName_173_"/>
      <sheetName val="_Recovered_SheetName_174_"/>
      <sheetName val="_Recovered_SheetName_175_"/>
      <sheetName val="_Recovered_SheetName_176_"/>
      <sheetName val="_Recovered_SheetName_177_"/>
      <sheetName val="_Recovered_SheetName_178_"/>
      <sheetName val="_Recovered_SheetName_179_"/>
      <sheetName val="_Recovered_SheetName_180_"/>
      <sheetName val="_Recovered_SheetName_181_"/>
      <sheetName val="_Recovered_SheetName_182_"/>
      <sheetName val="_Recovered_SheetName_183_"/>
      <sheetName val="_Recovered_SheetName_184_"/>
      <sheetName val="_Recovered_SheetName_185_"/>
      <sheetName val="_Recovered_SheetName_186_"/>
      <sheetName val="_Recovered_SheetName_187_"/>
      <sheetName val="_Recovered_SheetName_188_"/>
      <sheetName val="_Recovered_SheetName_189_"/>
      <sheetName val="_Recovered_SheetName_190_"/>
      <sheetName val="_Recovered_SheetName_191_"/>
      <sheetName val="_Recovered_SheetName_192_"/>
      <sheetName val="_Recovered_SheetName_193_"/>
      <sheetName val="_Recovered_SheetName_194_"/>
      <sheetName val="_Recovered_SheetName_195_"/>
      <sheetName val="_Recovered_SheetName_196_"/>
      <sheetName val="_Recovered_SheetName_197_"/>
      <sheetName val="_Recovered_SheetName_198_"/>
      <sheetName val="_Recovered_SheetName_199_"/>
      <sheetName val="_Recovered_SheetName_200_"/>
      <sheetName val="_Recovered_SheetName_201_"/>
      <sheetName val="_Recovered_SheetName_202_"/>
      <sheetName val="_Recovered_SheetName_203_"/>
      <sheetName val="_Recovered_SheetName_204_"/>
      <sheetName val="_Recovered_SheetName_205_"/>
      <sheetName val="_Recovered_SheetName_206_"/>
      <sheetName val="_Recovered_SheetName_207_"/>
      <sheetName val="_Recovered_SheetName_208_"/>
      <sheetName val="_Recovered_SheetName_209_"/>
      <sheetName val="_Recovered_SheetName_210_"/>
      <sheetName val="_Recovered_SheetName_211_"/>
      <sheetName val="_Recovered_SheetName_212_"/>
      <sheetName val="_Recovered_SheetName_213_"/>
      <sheetName val="_Recovered_SheetName_214_"/>
      <sheetName val="_Recovered_SheetName_215_"/>
      <sheetName val="_Recovered_SheetName_216_"/>
      <sheetName val="_Recovered_SheetName_217_"/>
      <sheetName val="_Recovered_SheetName_218_"/>
      <sheetName val="_Recovered_SheetName_219_"/>
      <sheetName val="_Recovered_SheetName_220_"/>
      <sheetName val="_Recovered_SheetName_221_"/>
      <sheetName val="_Recovered_SheetName_222_"/>
      <sheetName val="_Recovered_SheetName_223_"/>
      <sheetName val="_Recovered_SheetName_224_"/>
      <sheetName val="_Recovered_SheetName_225_"/>
      <sheetName val="_Recovered_SheetName_226_"/>
      <sheetName val="_Recovered_SheetName_227_"/>
      <sheetName val="_Recovered_SheetName_228_"/>
      <sheetName val="_Recovered_SheetName_229_"/>
      <sheetName val="_Recovered_SheetName_230_"/>
      <sheetName val="_Recovered_SheetName_231_"/>
      <sheetName val="_Recovered_SheetName_232_"/>
      <sheetName val="_Recovered_SheetName_233_"/>
      <sheetName val="_Recovered_SheetName_234_"/>
      <sheetName val="_Recovered_SheetName_235_"/>
      <sheetName val="_Recovered_SheetName_236_"/>
      <sheetName val="_Recovered_SheetName_237_"/>
      <sheetName val="_Recovered_SheetName_238_"/>
      <sheetName val="_Recovered_SheetName_239_"/>
      <sheetName val="_Recovered_SheetName_240_"/>
      <sheetName val="_Recovered_SheetName_241_"/>
      <sheetName val="_Recovered_SheetName_242_"/>
      <sheetName val="_Recovered_SheetName_243_"/>
      <sheetName val="_Recovered_SheetName_244_"/>
      <sheetName val="_Recovered_SheetName_245_"/>
      <sheetName val="_Recovered_SheetName_246_"/>
      <sheetName val="_Recovered_SheetName_247_"/>
      <sheetName val="_Recovered_SheetName_248_"/>
      <sheetName val="_Recovered_SheetName_249_"/>
      <sheetName val="_Recovered_SheetName_250_"/>
      <sheetName val="_Recovered_SheetName_251_"/>
      <sheetName val="_Recovered_SheetName_252_"/>
      <sheetName val="_Recovered_SheetName_253_"/>
      <sheetName val="_Recovered_SheetName_254_"/>
      <sheetName val="_Recovered_SheetName_255_"/>
      <sheetName val="_Recovered_SheetName_256_"/>
      <sheetName val="_Recovered_SheetName_257_"/>
      <sheetName val="_Recovered_SheetName_258_"/>
      <sheetName val="_Recovered_SheetName_259_"/>
      <sheetName val="_Recovered_SheetName_260_"/>
      <sheetName val="_Recovered_SheetName_261_"/>
      <sheetName val="_Recovered_SheetName_262_"/>
      <sheetName val="_Recovered_SheetName_263_"/>
      <sheetName val="_Recovered_SheetName_264_"/>
      <sheetName val="_Recovered_SheetName_265_"/>
      <sheetName val="_Recovered_SheetName_266_"/>
      <sheetName val="_Recovered_SheetName_267_"/>
      <sheetName val="_Recovered_SheetName_268_"/>
      <sheetName val="_Recovered_SheetName_269_"/>
      <sheetName val="_Recovered_SheetName_270_"/>
      <sheetName val="_Recovered_SheetName_271_"/>
      <sheetName val="_Recovered_SheetName_272_"/>
      <sheetName val="_Recovered_SheetName_273_"/>
      <sheetName val="_Recovered_SheetName_274_"/>
      <sheetName val="_Recovered_SheetName_275_"/>
      <sheetName val="_Recovered_SheetName_276_"/>
      <sheetName val="_Recovered_SheetName_277_"/>
      <sheetName val="_Recovered_SheetName_278_"/>
      <sheetName val="_Recovered_SheetName_279_"/>
      <sheetName val="_Recovered_SheetName_280_"/>
      <sheetName val="_Recovered_SheetName_281_"/>
      <sheetName val="_Recovered_SheetName_282_"/>
      <sheetName val="_Recovered_SheetName_283_"/>
      <sheetName val="_Recovered_SheetName_284_"/>
      <sheetName val="_Recovered_SheetName_285_"/>
      <sheetName val="_Recovered_SheetName_286_"/>
      <sheetName val="_Recovered_SheetName_287_"/>
      <sheetName val="_Recovered_SheetName_288_"/>
      <sheetName val="_Recovered_SheetName_289_"/>
      <sheetName val="_Recovered_SheetName_290_"/>
      <sheetName val="_Recovered_SheetName_291_"/>
      <sheetName val="_Recovered_SheetName_292_"/>
      <sheetName val="_Recovered_SheetName_293_"/>
      <sheetName val="_Recovered_SheetName_294_"/>
      <sheetName val="_Recovered_SheetName_295_"/>
      <sheetName val="_Recovered_SheetName_296_"/>
      <sheetName val="_Recovered_SheetName_297_"/>
      <sheetName val="_Recovered_SheetName_298_"/>
      <sheetName val="_Recovered_SheetName_299_"/>
      <sheetName val="_Recovered_SheetName_300_"/>
      <sheetName val="_Recovered_SheetName_301_"/>
      <sheetName val="_Recovered_SheetName_302_"/>
      <sheetName val="_Recovered_SheetName_303_"/>
      <sheetName val="_Recovered_SheetName_304_"/>
      <sheetName val="_Recovered_SheetName_305_"/>
      <sheetName val="_Recovered_SheetName_306_"/>
      <sheetName val="_Recovered_SheetName_307_"/>
      <sheetName val="_Recovered_SheetName_308_"/>
      <sheetName val="_Recovered_SheetName_309_"/>
      <sheetName val="_Recovered_SheetName_310_"/>
      <sheetName val="_Recovered_SheetName_311_"/>
      <sheetName val="_Recovered_SheetName_312_"/>
      <sheetName val="_Recovered_SheetName_313_"/>
      <sheetName val="_Recovered_SheetName_314_"/>
      <sheetName val="_Recovered_SheetName_315_"/>
      <sheetName val="_Recovered_SheetName_316_"/>
      <sheetName val="_Recovered_SheetName_317_"/>
      <sheetName val="_Recovered_SheetName_318_"/>
      <sheetName val="_Recovered_SheetName_319_"/>
      <sheetName val="_Recovered_SheetName_320_"/>
      <sheetName val="_Recovered_SheetName_321_"/>
      <sheetName val="_Recovered_SheetName_322_"/>
      <sheetName val="_Recovered_SheetName_323_"/>
      <sheetName val="_Recovered_SheetName_324_"/>
      <sheetName val="_Recovered_SheetName_325_"/>
      <sheetName val="_Recovered_SheetName_326_"/>
      <sheetName val="_Recovered_SheetName_327_"/>
      <sheetName val="_Recovered_SheetName_328_"/>
      <sheetName val="_Recovered_SheetName_329_"/>
      <sheetName val="_Recovered_SheetName_330_"/>
      <sheetName val="_Recovered_SheetName_331_"/>
      <sheetName val="_Recovered_SheetName_332_"/>
      <sheetName val="_Recovered_SheetName_333_"/>
      <sheetName val="_Recovered_SheetName_334_"/>
      <sheetName val="_Recovered_SheetName_335_"/>
      <sheetName val="_Recovered_SheetName_336_"/>
      <sheetName val="_Recovered_SheetName_337_"/>
      <sheetName val="_Recovered_SheetName_338_"/>
      <sheetName val="_Recovered_SheetName_339_"/>
      <sheetName val="_Recovered_SheetName_340_"/>
      <sheetName val="_Recovered_SheetName_341_"/>
      <sheetName val="_Recovered_SheetName_342_"/>
      <sheetName val="_Recovered_SheetName_343_"/>
      <sheetName val="_Recovered_SheetName_344_"/>
      <sheetName val="_Recovered_SheetName_345_"/>
      <sheetName val="_Recovered_SheetName_346_"/>
      <sheetName val="_Recovered_SheetName_347_"/>
      <sheetName val="_Recovered_SheetName_348_"/>
      <sheetName val="_Recovered_SheetName_349_"/>
      <sheetName val="_Recovered_SheetName_350_"/>
      <sheetName val="_Recovered_SheetName_351_"/>
      <sheetName val="_Recovered_SheetName_352_"/>
      <sheetName val="_Recovered_SheetName_353_"/>
      <sheetName val="_Recovered_SheetName_354_"/>
      <sheetName val="_Recovered_SheetName_355_"/>
      <sheetName val="_Recovered_SheetName_356_"/>
      <sheetName val="_Recovered_SheetName_357_"/>
      <sheetName val="_Recovered_SheetName_358_"/>
      <sheetName val="_Recovered_SheetName_359_"/>
      <sheetName val="_Recovered_SheetName_360_"/>
      <sheetName val="_Recovered_SheetName_361_"/>
      <sheetName val="_Recovered_SheetName_362_"/>
      <sheetName val="_Recovered_SheetName_363_"/>
      <sheetName val="_Recovered_SheetName_364_"/>
      <sheetName val="_Recovered_SheetName_365_"/>
      <sheetName val="_Recovered_SheetName_366_"/>
      <sheetName val="_Recovered_SheetName_367_"/>
      <sheetName val="_Recovered_SheetName_368_"/>
      <sheetName val="_Recovered_SheetName_369_"/>
      <sheetName val="_Recovered_SheetName_370_"/>
      <sheetName val="_Recovered_SheetName_371_"/>
      <sheetName val="_Recovered_SheetName_372_"/>
      <sheetName val="_Recovered_SheetName_373_"/>
      <sheetName val="_Recovered_SheetName_374_"/>
      <sheetName val="_Recovered_SheetName_375_"/>
      <sheetName val="_Recovered_SheetName_376_"/>
      <sheetName val="_Recovered_SheetName_377_"/>
      <sheetName val="_Recovered_SheetName_378_"/>
      <sheetName val="_Recovered_SheetName_379_"/>
      <sheetName val="_Recovered_SheetName_380_"/>
      <sheetName val="_Recovered_SheetName_381_"/>
      <sheetName val="_Recovered_SheetName_382_"/>
      <sheetName val="_Recovered_SheetName_383_"/>
      <sheetName val="_Recovered_SheetName_384_"/>
      <sheetName val="_Recovered_SheetName_385_"/>
      <sheetName val="_Recovered_SheetName_386_"/>
      <sheetName val="Data Pendukung"/>
      <sheetName val="Nama"/>
      <sheetName val="L2"/>
      <sheetName val="LHR"/>
      <sheetName val="ALEK"/>
      <sheetName val="c"/>
      <sheetName val="f"/>
      <sheetName val="Harga Dasar Material"/>
      <sheetName val="Harga Dasar UpahSubkon"/>
      <sheetName val="likuiditas"/>
      <sheetName val="progres sub unv"/>
      <sheetName val="CCO"/>
      <sheetName val="Holidays"/>
      <sheetName val="ocean voyage"/>
      <sheetName val="res200"/>
      <sheetName val="SPK"/>
      <sheetName val="Analisa HS"/>
      <sheetName val="HPS PC"/>
      <sheetName val="Pag_hal"/>
      <sheetName val="SKAT"/>
      <sheetName val="bum"/>
      <sheetName val="RENPEN"/>
      <sheetName val="기초자료"/>
      <sheetName val="Summary Sheets"/>
      <sheetName val="RAW MATERIALS "/>
      <sheetName val="산출서(HMC)"/>
      <sheetName val="AsumsiDasar"/>
      <sheetName val="Dokumentasi"/>
      <sheetName val="BLOK-BJR"/>
      <sheetName val="BETON"/>
      <sheetName val="SEP"/>
      <sheetName val="JM"/>
      <sheetName val="KEB-MAT"/>
      <sheetName val="DAF-3"/>
      <sheetName val="fcsp-w"/>
      <sheetName val="MAPP"/>
      <sheetName val="Analysis"/>
      <sheetName val="DAF-5"/>
      <sheetName val="Material&amp;Upah"/>
      <sheetName val="bd"/>
      <sheetName val="CFWork"/>
      <sheetName val="rab me by owner"/>
      <sheetName val="hrg_upah(Dipakai)"/>
      <sheetName val="Production"/>
      <sheetName val="N Tnh"/>
      <sheetName val="Application"/>
      <sheetName val="Inputs"/>
      <sheetName val="DDB"/>
      <sheetName val="Rek.Analisa"/>
      <sheetName val="KIB C GEDUNG &amp; BANGUNAN"/>
      <sheetName val="KITZ"/>
      <sheetName val="analisa ARS"/>
      <sheetName val="10"/>
      <sheetName val="MPEL"/>
      <sheetName val="Penwrn"/>
      <sheetName val="sat-jadi"/>
      <sheetName val="U.anal2"/>
      <sheetName val="NYATDOK"/>
      <sheetName val="DSP"/>
      <sheetName val="div62"/>
      <sheetName val="Prod.Alat (Cianten-1)"/>
      <sheetName val="H &amp; U"/>
      <sheetName val="PRIMCOAT"/>
      <sheetName val="BIALANG"/>
      <sheetName val="DafHrgSatuan"/>
      <sheetName val="AnBiaya OperasionalAlat"/>
      <sheetName val="brd2"/>
      <sheetName val="Analisa PEMB. UTAMA"/>
      <sheetName val="ANLSA"/>
      <sheetName val="Rekap ARP"/>
      <sheetName val="10. Harsat Dasar"/>
      <sheetName val="DaftarHS"/>
      <sheetName val="Enc14"/>
      <sheetName val="Currency"/>
      <sheetName val="Upah, alat &amp; harsat"/>
      <sheetName val="SKEDUL AV-05"/>
      <sheetName val="Lamp BAP"/>
      <sheetName val="RAB alternatif (2) mendekati ok"/>
      <sheetName val="permohonan"/>
      <sheetName val="HGB DUMAI"/>
      <sheetName val="hit_BKMM"/>
      <sheetName val="INFORMASI_UMUM"/>
      <sheetName val="rab_lt_2_bo"/>
      <sheetName val="hrg-sat_pek"/>
      <sheetName val="Bea_Op_Alat"/>
      <sheetName val="Peta_Quarry"/>
      <sheetName val="Perhitungan_Mobilisasi_Alat"/>
      <sheetName val="Lalu_Lintas"/>
      <sheetName val="Jembatan_Sementara"/>
      <sheetName val="Analisa_K3"/>
      <sheetName val="4-Analisa_Quarry"/>
      <sheetName val="4-Formulir_harga_bahan"/>
      <sheetName val="Peta_Quarry_(2)"/>
      <sheetName val="Agg_A"/>
      <sheetName val="Agg_B_dan_S"/>
      <sheetName val="Agg_C"/>
      <sheetName val="Agg__CBR_60"/>
      <sheetName val="Rekap_(2)"/>
      <sheetName val="BOQ_(2)"/>
      <sheetName val="jangka_aktu_pelaksanaan_(2)"/>
      <sheetName val="D6_(2)"/>
      <sheetName val="D10_LS-Rutin"/>
      <sheetName val="D10_Kuantitas"/>
      <sheetName val="D10_Analisa_HSP"/>
      <sheetName val="RD_dokter_ORNG_3_70"/>
      <sheetName val="HASIL_USAHA_2011"/>
      <sheetName val="Master_Schedule"/>
      <sheetName val="Permanent_info"/>
      <sheetName val="S_BAHAN"/>
      <sheetName val="S_UPAH"/>
      <sheetName val="Rekap_Analisa"/>
      <sheetName val="PL_SPP_per_ton"/>
      <sheetName val="Uraian_Upah"/>
      <sheetName val="input_data_umum"/>
      <sheetName val="A+Supl_"/>
      <sheetName val="HRGA_SATUAN_UPAH-BAHAN"/>
      <sheetName val="REKAP_ARSITEKTUR_"/>
      <sheetName val="analisa_SNI"/>
      <sheetName val="KH_L"/>
      <sheetName val="7_L"/>
      <sheetName val="AK-2004_(2)"/>
      <sheetName val="T_material"/>
      <sheetName val="Metod_TWR"/>
      <sheetName val="EARTH_WORKS"/>
      <sheetName val="DHS_AC"/>
      <sheetName val="Analisa__(2)"/>
      <sheetName val="Tracking_Schedule_R-1"/>
      <sheetName val="Volume_1"/>
      <sheetName val="analisa_print"/>
      <sheetName val="Har-sat_finish"/>
      <sheetName val="D-3_(M)"/>
      <sheetName val="D-7_(M)"/>
      <sheetName val="Sat_JAdi"/>
      <sheetName val="DPPN"/>
      <sheetName val="Instrument"/>
      <sheetName val="MP MOB"/>
      <sheetName val="Harga Mat "/>
      <sheetName val="Panel"/>
      <sheetName val="Eng_Hrs (HO)"/>
      <sheetName val="Bayar (2)"/>
      <sheetName val="ANALISA PNL"/>
      <sheetName val="Muncraaat-6"/>
      <sheetName val="BOX KACAB RM"/>
      <sheetName val="H_S_BAHAN"/>
      <sheetName val="B.P"/>
      <sheetName val="urtek mpu"/>
      <sheetName val="Sheet15"/>
      <sheetName val="Data Info"/>
      <sheetName val="Huruf"/>
      <sheetName val="harga pipa dan acc "/>
      <sheetName val="PERHITUNGAN LUMPSUM"/>
      <sheetName val="ANALISA SNI_BOW"/>
      <sheetName val="RAB_STR"/>
      <sheetName val="Hrg_Bahan"/>
      <sheetName val="ES-aLL"/>
      <sheetName val="HARSAT UPAH BAHAN"/>
      <sheetName val="ongkos_kirim"/>
      <sheetName val="Div.2 Pek. tanah"/>
      <sheetName val="Div.3 Pek.pondasi"/>
      <sheetName val="Divisi 3 pek.beton"/>
      <sheetName val="Divisi 4 Pek. Besi &amp; Alumunium"/>
      <sheetName val="Div.4 Pek. Pasangan dinding"/>
      <sheetName val="Divisi 4 Pekerjaan Plesteran "/>
      <sheetName val="Div.4 Pek.Penutup lantai&amp;ding"/>
      <sheetName val="Div.4 Penutup atap"/>
      <sheetName val="Div.4 Pek. Kayu"/>
      <sheetName val="Div.4 Pek. kunci&amp;kaca"/>
      <sheetName val="Div.4 Pek. Pengecatan"/>
      <sheetName val="Div.5 Pek. Sanitasi dlm gedung"/>
      <sheetName val="Divisi 2 pekerjaan persiapan"/>
      <sheetName val="paving"/>
      <sheetName val="Pek.Listrik"/>
      <sheetName val="Ongkos Angkut"/>
      <sheetName val="TOKO UPAH &amp; BAHAN"/>
      <sheetName val="Ls"/>
      <sheetName val="BSA"/>
      <sheetName val="Harga Bahan,Upah dan alat"/>
      <sheetName val="Analisa Q"/>
      <sheetName val="BACK"/>
      <sheetName val="conc-mix"/>
      <sheetName val="ANALISA persiapn"/>
      <sheetName val="ANALISA pek.tanah"/>
      <sheetName val="ANALISA pek. pondasi"/>
      <sheetName val="ANALISA dinding"/>
      <sheetName val="ANALISA plesteran"/>
      <sheetName val="ANALISA Pek.Kayu"/>
      <sheetName val="ANALISA Pek. beton"/>
      <sheetName val="ANALISA Pek.penutup atap"/>
      <sheetName val="ANALISA Pek. langit2"/>
      <sheetName val="ANALISA Pek. sanitasi"/>
      <sheetName val="ANALISA besi n aluminium"/>
      <sheetName val="ANALISA Pek. kunci n kaca"/>
      <sheetName val="ANALISA Pek. lantai n dinding"/>
      <sheetName val="ANALISA Pek. pengecatan"/>
      <sheetName val="ANALISA Pek. Listrik"/>
      <sheetName val="K.225"/>
      <sheetName val="k617"/>
      <sheetName val="k618"/>
      <sheetName val="k725"/>
      <sheetName val="k225a"/>
      <sheetName val="Girder-30"/>
      <sheetName val="PRINT-UAB (2)"/>
      <sheetName val="Daf-Har-Pening"/>
      <sheetName val="DP"/>
      <sheetName val="ANALISIS"/>
      <sheetName val="PERHITUNGAN PDAM"/>
      <sheetName val="septiktank"/>
      <sheetName val="RUMUS TERBILANG"/>
      <sheetName val="FE"/>
      <sheetName val="L-4 Rutin"/>
      <sheetName val="5-Analisa Peralatan"/>
      <sheetName val="Inword"/>
      <sheetName val="DAY"/>
      <sheetName val="7.3.1 PD"/>
      <sheetName val="Anls teknis"/>
      <sheetName val="MARGIN"/>
      <sheetName val="HS-1"/>
      <sheetName val="610.05"/>
      <sheetName val="610.06"/>
      <sheetName val="610.07"/>
      <sheetName val="610.08"/>
      <sheetName val="harsat sdy"/>
      <sheetName val="dwa-01"/>
      <sheetName val="Inv_Ind"/>
      <sheetName val="RinciBab1_Seksi1"/>
      <sheetName val="EXTERNAL  (revisi 1)"/>
      <sheetName val="HS1b"/>
      <sheetName val="DATA 2009"/>
      <sheetName val="TARGET RAKER "/>
      <sheetName val="target raker 1"/>
      <sheetName val="HS KALIJATI"/>
      <sheetName val="Galian"/>
      <sheetName val="TIE-INS"/>
      <sheetName val="HargaSat"/>
      <sheetName val="absen mekanik&amp;log"/>
      <sheetName val="An_AC_&amp;_Plb1"/>
      <sheetName val="BILL_OF_QUAN2"/>
      <sheetName val="analisa_asumsi_Me2"/>
      <sheetName val="Prod_15-8_str2"/>
      <sheetName val="Prod_15-72"/>
      <sheetName val="Prod_15-62"/>
      <sheetName val="Prod_15-52"/>
      <sheetName val="STR_-_2B2"/>
      <sheetName val="Prod_021"/>
      <sheetName val="Stock_Material1"/>
      <sheetName val="HS_Alat1"/>
      <sheetName val="Div_9_-_Harian1"/>
      <sheetName val="Div_2_-_Drainase1"/>
      <sheetName val="Input_Data1"/>
      <sheetName val="DIV_92"/>
      <sheetName val="HARGA_DASAR2"/>
      <sheetName val="Sales_Parameter2"/>
      <sheetName val="PRIST_LIST2"/>
      <sheetName val="DIV_32"/>
      <sheetName val="harga_sat1"/>
      <sheetName val="dayvol_WEDI1"/>
      <sheetName val="dayvol_adibarat1"/>
      <sheetName val="rab_-_persiapan_&amp;_lantai-11"/>
      <sheetName val="DIVISI_31"/>
      <sheetName val="No_Item1"/>
      <sheetName val="analisa_BM1"/>
      <sheetName val="rap_rinci1"/>
      <sheetName val="h_sat-bbm1"/>
      <sheetName val="ANAL-SEC_II1"/>
      <sheetName val="ANAL-SEC_III1"/>
      <sheetName val="2_21"/>
      <sheetName val="FORM_BQ_TL_PRATU_4cct1"/>
      <sheetName val="meth_hsl_nego1"/>
      <sheetName val="Rekap_1"/>
      <sheetName val="Harga_Sat_1"/>
      <sheetName val="Kurva_S1"/>
      <sheetName val="ITB_COST1"/>
      <sheetName val="Tie_Beam_GN1"/>
      <sheetName val="Tangga_GN1"/>
      <sheetName val="BoQ_C41"/>
      <sheetName val="_1"/>
      <sheetName val="LD_calc1"/>
      <sheetName val="COSTING_Option_11"/>
      <sheetName val="D_BOARD1"/>
      <sheetName val="PERALATAN_PROYEK_GOL_III_A1"/>
      <sheetName val="SUB_&amp;_mandor1"/>
      <sheetName val="Tunduk_Panitia1"/>
      <sheetName val="15_Irr__Struc_Work1"/>
      <sheetName val="16_Pipe_Inst_1"/>
      <sheetName val="B_19"/>
      <sheetName val="B_101"/>
      <sheetName val="B_111"/>
      <sheetName val="B_121"/>
      <sheetName val="B_131"/>
      <sheetName val="B_141"/>
      <sheetName val="B_151"/>
      <sheetName val="B_161"/>
      <sheetName val="B_171"/>
      <sheetName val="B_181"/>
      <sheetName val="B_27"/>
      <sheetName val="B_201"/>
      <sheetName val="B_211"/>
      <sheetName val="B_221"/>
      <sheetName val="B_231"/>
      <sheetName val="B_241"/>
      <sheetName val="B_251"/>
      <sheetName val="B_261"/>
      <sheetName val="B_281"/>
      <sheetName val="B_291"/>
      <sheetName val="B_31"/>
      <sheetName val="B_301"/>
      <sheetName val="B_41"/>
      <sheetName val="B_51"/>
      <sheetName val="B_61"/>
      <sheetName val="B_71"/>
      <sheetName val="B_81"/>
      <sheetName val="Analisa_Harga1"/>
      <sheetName val="Pgr_Jl_I_Bale1"/>
      <sheetName val="Rekap_Bill1"/>
      <sheetName val="ANALYS_EXTERN1"/>
      <sheetName val="Analisa_Quarry1"/>
      <sheetName val="Analisa_ME1"/>
      <sheetName val="IN_1"/>
      <sheetName val="Upah_&amp;_Bahan1"/>
      <sheetName val="ANALISA_GR_x005f_x0000__x005f_x005f_x1"/>
      <sheetName val="D_&amp;_W_sizes1"/>
      <sheetName val="HARGA_SATUAN_UPAH_&amp;_BAHAN"/>
      <sheetName val="BIAYA_ALAT"/>
      <sheetName val="RKP_PLUMBING1"/>
      <sheetName val="Hua_Yang_Quarterly1"/>
      <sheetName val="Lead_Schedule1"/>
      <sheetName val="Gal_tanah1"/>
      <sheetName val="Tuk_Koef1"/>
      <sheetName val="Gaji_Pokok1"/>
      <sheetName val="T__Proyek-Jabatan1"/>
      <sheetName val="T__Lokasi1"/>
      <sheetName val="T__Rumah1"/>
      <sheetName val="T__Transport1"/>
      <sheetName val="Rate_Analysis1"/>
      <sheetName val="LAL_-_PASAR_PAGI_1"/>
      <sheetName val="ANALISA_GR_x005f_x005f_x005f_x005f_x005f_x005f_x1"/>
      <sheetName val="ANALISA_GR___1"/>
      <sheetName val="ANALISA_GR_x01"/>
      <sheetName val="ENC_141"/>
      <sheetName val="SPREAD_SHEET1"/>
      <sheetName val="3_ALS-STR-PDS1"/>
      <sheetName val="B_T1"/>
      <sheetName val="Alat_R"/>
      <sheetName val="HS_BHN&amp;UPAH"/>
      <sheetName val="K__111"/>
      <sheetName val="K_311A"/>
      <sheetName val="K__810"/>
      <sheetName val="EXTERNAL_WORK"/>
      <sheetName val="STOK_MAT"/>
      <sheetName val="MAP_GAB"/>
      <sheetName val="Sales_Rental"/>
      <sheetName val="HR_Detail"/>
      <sheetName val="RAB_&amp;_RCO_OWNER_VERS_"/>
      <sheetName val="Bill_2_3"/>
      <sheetName val="Bill_2_5B"/>
      <sheetName val="Bill_2_1"/>
      <sheetName val="Category_detail1"/>
      <sheetName val="1__Rekap_B"/>
      <sheetName val="UPAH_B_KAS__2_"/>
      <sheetName val="TOTAL_UPAH"/>
      <sheetName val="RAB_NEGO_17_01_18"/>
      <sheetName val="Prd_1-01"/>
      <sheetName val="Prd_1-02"/>
      <sheetName val="SPI_GMBH"/>
      <sheetName val="ANAL_BOW"/>
      <sheetName val="Hrg_Satuan"/>
      <sheetName val="PRY_01-8"/>
      <sheetName val="610_05"/>
      <sheetName val="610_06"/>
      <sheetName val="610_07"/>
      <sheetName val="610_08"/>
      <sheetName val="Form_1"/>
      <sheetName val="uph_bhn"/>
      <sheetName val="Daftar_Upah,Bhn,&amp;_alat"/>
      <sheetName val="BQ_Arsit1"/>
      <sheetName val="An_HarSatPek1"/>
      <sheetName val="Sat_Bah_&amp;_Up1"/>
      <sheetName val="2-Genset_print1"/>
      <sheetName val="absen_mekanik&amp;log"/>
      <sheetName val="An_AC_&amp;_Plb2"/>
      <sheetName val="BILL_OF_QUAN3"/>
      <sheetName val="analisa_asumsi_Me3"/>
      <sheetName val="Prod_15-8_str3"/>
      <sheetName val="Prod_15-73"/>
      <sheetName val="Prod_15-63"/>
      <sheetName val="Prod_15-53"/>
      <sheetName val="STR_-_2B3"/>
      <sheetName val="Prod_022"/>
      <sheetName val="Stock_Material2"/>
      <sheetName val="HS_Alat2"/>
      <sheetName val="Div_9_-_Harian2"/>
      <sheetName val="Div_2_-_Drainase2"/>
      <sheetName val="Input_Data2"/>
      <sheetName val="DIV_93"/>
      <sheetName val="HARGA_DASAR3"/>
      <sheetName val="Sales_Parameter3"/>
      <sheetName val="PRIST_LIST3"/>
      <sheetName val="DIV_33"/>
      <sheetName val="harga_sat2"/>
      <sheetName val="Daftar_Alat2"/>
      <sheetName val="dayvol_WEDI2"/>
      <sheetName val="dayvol_adibarat2"/>
      <sheetName val="rab_-_persiapan_&amp;_lantai-12"/>
      <sheetName val="Pjk_Kend_&amp;_Parkir&amp;Tanah3"/>
      <sheetName val="Pak_Din(510)3"/>
      <sheetName val="P_Didik&amp;BinaPeg_3"/>
      <sheetName val="Rekap_Prelim3"/>
      <sheetName val="DIVISI_32"/>
      <sheetName val="No_Item2"/>
      <sheetName val="Rekap_Biaya2"/>
      <sheetName val="Unit_Rate2"/>
      <sheetName val="analisa_BM2"/>
      <sheetName val="rap_rinci2"/>
      <sheetName val="7_공정표2"/>
      <sheetName val="h_sat-bbm2"/>
      <sheetName val="ANAL-SEC_II2"/>
      <sheetName val="ANAL-SEC_III2"/>
      <sheetName val="2_22"/>
      <sheetName val="FORM_BQ_TL_PRATU_4cct2"/>
      <sheetName val="meth_hsl_nego2"/>
      <sheetName val="Harga_Sat_2"/>
      <sheetName val="Kurva_S2"/>
      <sheetName val="Pemindahan_Penduduk_2"/>
      <sheetName val="Harga_Kabel2"/>
      <sheetName val="ITB_COST2"/>
      <sheetName val="ANALISA_GR???2"/>
      <sheetName val="BOM_BMS2"/>
      <sheetName val="Tie_Beam_GN2"/>
      <sheetName val="Tangga_GN2"/>
      <sheetName val="BoQ_C42"/>
      <sheetName val="_2"/>
      <sheetName val="LD_calc2"/>
      <sheetName val="COSTING_Option_12"/>
      <sheetName val="D_BOARD2"/>
      <sheetName val="PERALATAN_PROYEK_GOL_III_A2"/>
      <sheetName val="SUB_&amp;_mandor2"/>
      <sheetName val="Pek_persiapan1"/>
      <sheetName val="Up_&amp;_bhn1"/>
      <sheetName val="LIST_MATERIAL1"/>
      <sheetName val="Tunduk_Panitia2"/>
      <sheetName val="box_culvert1"/>
      <sheetName val="NP_(4)1"/>
      <sheetName val="15_Irr__Struc_Work2"/>
      <sheetName val="16_Pipe_Inst_2"/>
      <sheetName val="B_110"/>
      <sheetName val="B_102"/>
      <sheetName val="B_112"/>
      <sheetName val="B_122"/>
      <sheetName val="B_132"/>
      <sheetName val="B_142"/>
      <sheetName val="B_152"/>
      <sheetName val="B_162"/>
      <sheetName val="B_172"/>
      <sheetName val="B_182"/>
      <sheetName val="B_210"/>
      <sheetName val="B_202"/>
      <sheetName val="B_212"/>
      <sheetName val="B_222"/>
      <sheetName val="B_232"/>
      <sheetName val="B_242"/>
      <sheetName val="B_252"/>
      <sheetName val="B_262"/>
      <sheetName val="B_282"/>
      <sheetName val="B_292"/>
      <sheetName val="B_32"/>
      <sheetName val="B_302"/>
      <sheetName val="B_42"/>
      <sheetName val="B_52"/>
      <sheetName val="B_62"/>
      <sheetName val="B_72"/>
      <sheetName val="B_82"/>
      <sheetName val="Analisa_Harga2"/>
      <sheetName val="Pgr_Jl_I_Bale2"/>
      <sheetName val="Rekap_Bill2"/>
      <sheetName val="ANALYS_EXTERN2"/>
      <sheetName val="Alat_B1"/>
      <sheetName val="a_h_ars_sum1"/>
      <sheetName val="a_h_ars1"/>
      <sheetName val="qc_reading1"/>
      <sheetName val="Analisa_Quarry2"/>
      <sheetName val="Analisa_ME2"/>
      <sheetName val="Daftar_Harga_Satuan_Gaji1"/>
      <sheetName val="Daftar_Harga_Satuan_Bahan1"/>
      <sheetName val="IN_2"/>
      <sheetName val="Master_Schedule1"/>
      <sheetName val="Permanent_info1"/>
      <sheetName val="S_BAHAN1"/>
      <sheetName val="S_UPAH1"/>
      <sheetName val="Rekap_Analisa1"/>
      <sheetName val="PL_SPP_per_ton1"/>
      <sheetName val="Uraian_Upah1"/>
      <sheetName val="input_data_umum1"/>
      <sheetName val="Upah_&amp;_Bahan2"/>
      <sheetName val="Alat_(1)1"/>
      <sheetName val="REKAP_A_BESAR1"/>
      <sheetName val="ANALISA_GR_x005f_x0000__x005f_x005f_x2"/>
      <sheetName val="D_&amp;_W_sizes2"/>
      <sheetName val="HARGA_SATUAN_UPAH_&amp;_BAHAN1"/>
      <sheetName val="BIAYA_ALAT1"/>
      <sheetName val="RKP_PLUMBING2"/>
      <sheetName val="Hua_Yang_Quarterly2"/>
      <sheetName val="Lead_Schedule2"/>
      <sheetName val="Gal_tanah2"/>
      <sheetName val="Tuk_Koef2"/>
      <sheetName val="Gaji_Pokok2"/>
      <sheetName val="T__Proyek-Jabatan2"/>
      <sheetName val="T__Lokasi2"/>
      <sheetName val="T__Rumah2"/>
      <sheetName val="T__Transport2"/>
      <sheetName val="Galian_12"/>
      <sheetName val="Rate_Analysis2"/>
      <sheetName val="LAL_-_PASAR_PAGI_2"/>
      <sheetName val="ANALISA_GR_x005f_x005f_x005f_x005f_x005f_x005f_x2"/>
      <sheetName val="ANALISA_GR___2"/>
      <sheetName val="ANALISA_GR_x02"/>
      <sheetName val="ENC_142"/>
      <sheetName val="Gorong_Aramco1"/>
      <sheetName val="SPREAD_SHEET2"/>
      <sheetName val="bill_3_91"/>
      <sheetName val="3_ALS-STR-PDS2"/>
      <sheetName val="BQ_All_21"/>
      <sheetName val="Alat_Berat1"/>
      <sheetName val="BQ_Pivot_utk_Analisa_&amp;_SDBP_1"/>
      <sheetName val="M+U_Pivot1"/>
      <sheetName val="Fin_Sum1"/>
      <sheetName val="iNT__Kotak_Lt_31"/>
      <sheetName val="DIV_82"/>
      <sheetName val="3_2_2_(Rincian)2"/>
      <sheetName val="AN__SCAFOLDING2"/>
      <sheetName val="AnalisaSIPIL_RIIL2"/>
      <sheetName val="T_material1"/>
      <sheetName val="2_31"/>
      <sheetName val="2_41"/>
      <sheetName val="2_51"/>
      <sheetName val="2_61"/>
      <sheetName val="2_71"/>
      <sheetName val="3_13"/>
      <sheetName val="3_101"/>
      <sheetName val="3_111"/>
      <sheetName val="3_121"/>
      <sheetName val="3_21"/>
      <sheetName val="3_31"/>
      <sheetName val="3_41"/>
      <sheetName val="3_81"/>
      <sheetName val="3_91"/>
      <sheetName val="Isian_Biodata1"/>
      <sheetName val="LAM_31"/>
      <sheetName val="Formulir_7_61"/>
      <sheetName val="REK_S-CURVE1"/>
      <sheetName val="Data_Upah1"/>
      <sheetName val="B_T2"/>
      <sheetName val="MAP_1-21"/>
      <sheetName val="Peta_Quarry1"/>
      <sheetName val="Perhitungan_Mobilisasi_Alat1"/>
      <sheetName val="Lalu_Lintas1"/>
      <sheetName val="Jembatan_Sementara1"/>
      <sheetName val="Analisa_K31"/>
      <sheetName val="4-Analisa_Quarry1"/>
      <sheetName val="4-Formulir_harga_bahan1"/>
      <sheetName val="Peta_Quarry_(2)1"/>
      <sheetName val="Agg_A1"/>
      <sheetName val="Agg_B_dan_S1"/>
      <sheetName val="Agg_C1"/>
      <sheetName val="Agg__CBR_601"/>
      <sheetName val="Rekap_(2)1"/>
      <sheetName val="BOQ_(2)1"/>
      <sheetName val="jangka_aktu_pelaksanaan_(2)1"/>
      <sheetName val="D6_(2)1"/>
      <sheetName val="D10_LS-Rutin1"/>
      <sheetName val="D10_Kuantitas1"/>
      <sheetName val="D10_Analisa_HSP1"/>
      <sheetName val="Daf_Alat1"/>
      <sheetName val="Jdw_Alat1"/>
      <sheetName val="S_Penawar1"/>
      <sheetName val="RD_dokter_ORNG_3_701"/>
      <sheetName val="Alat_R1"/>
      <sheetName val="C_S_A1"/>
      <sheetName val="RAB_(A)_(2)1"/>
      <sheetName val="Pay_Items1"/>
      <sheetName val="FIRE_FIGHTING1"/>
      <sheetName val="HS_BHN&amp;UPAH1"/>
      <sheetName val="Analisa_K1"/>
      <sheetName val="HASIL_USAHA_20111"/>
      <sheetName val="hrg-sat_pek1"/>
      <sheetName val="K__1111"/>
      <sheetName val="K_311A1"/>
      <sheetName val="K__8101"/>
      <sheetName val="EXTERNAL_WORK1"/>
      <sheetName val="STOK_MAT1"/>
      <sheetName val="MAP_GAB1"/>
      <sheetName val="Sales_Rental1"/>
      <sheetName val="HR_Detail1"/>
      <sheetName val="RAB_&amp;_RCO_OWNER_VERS_1"/>
      <sheetName val="REKAP_Package_I1"/>
      <sheetName val="Bill_Of_Quantity1"/>
      <sheetName val="Form_I1"/>
      <sheetName val="SP_Kapasitas_TD1"/>
      <sheetName val="Bill_2_31"/>
      <sheetName val="Bill_2_5B1"/>
      <sheetName val="Bill_2_11"/>
      <sheetName val="HGS_Jan_20071"/>
      <sheetName val="PENYAMBUNGAN_DAYA1"/>
      <sheetName val="M2_SQUARE_(C)1"/>
      <sheetName val="Marka_Jalan1"/>
      <sheetName val="PAGAR_PEMBATAS_JALAN1"/>
      <sheetName val="Rigid_Beton1"/>
      <sheetName val="Separator_1"/>
      <sheetName val="ST_CAROLUS_(C)1"/>
      <sheetName val="Category_detail2"/>
      <sheetName val="Schedule_Master1"/>
      <sheetName val="DATA_BASE1"/>
      <sheetName val="INPUT_HARIAN1"/>
      <sheetName val="BQ_(M&amp;E)1"/>
      <sheetName val="IV__Arsitek_(MC_0)1"/>
      <sheetName val="1__Rekap_B1"/>
      <sheetName val="Hrg_Satuan1"/>
      <sheetName val="PRY_01-81"/>
      <sheetName val="TOTAL_UPAH1"/>
      <sheetName val="610_051"/>
      <sheetName val="610_061"/>
      <sheetName val="610_071"/>
      <sheetName val="610_081"/>
      <sheetName val="UPAH_B_KAS__2_1"/>
      <sheetName val="RAB_NEGO_17_01_181"/>
      <sheetName val="Prd_1-011"/>
      <sheetName val="Prd_1-021"/>
      <sheetName val="SPI_GMBH1"/>
      <sheetName val="ANAL_BOW1"/>
      <sheetName val="tb__besi1"/>
      <sheetName val="Schedulle_1"/>
      <sheetName val="F_ALARM1"/>
      <sheetName val="2016-405_MR1"/>
      <sheetName val="Reloc_&amp;_Living_Cost1"/>
      <sheetName val="TS_(A3)1"/>
      <sheetName val="310000_CABANG_V1"/>
      <sheetName val="Soi_082"/>
      <sheetName val="DIV_11"/>
      <sheetName val="adukan_1"/>
      <sheetName val="Vol_K_2251"/>
      <sheetName val="Total_Harga1"/>
      <sheetName val="KH_L1"/>
      <sheetName val="7_L1"/>
      <sheetName val="TJ_JATI1"/>
      <sheetName val="RBP-_21"/>
      <sheetName val="HRG_DSR_APP1"/>
      <sheetName val="ANALISA_WIKA1"/>
      <sheetName val="A+Supl_1"/>
      <sheetName val="HRGA_SATUAN_UPAH-BAHAN1"/>
      <sheetName val="REKAP_ARSITEKTUR_1"/>
      <sheetName val="12_ANS1"/>
      <sheetName val="KAN__LOKAL1"/>
      <sheetName val="Grand_summary1"/>
      <sheetName val="Hardas_Material1"/>
      <sheetName val="Hardas_Upah+Subkon1"/>
      <sheetName val="Satuan_Dasar1"/>
      <sheetName val="TE_TS_FA_LAN_MATV1"/>
      <sheetName val="rab_lt_2_bo1"/>
      <sheetName val="Form_11"/>
      <sheetName val="HRG-_UPAH1"/>
      <sheetName val="Perhitungan_KC_ke_SUBKON1"/>
      <sheetName val="surat_1"/>
      <sheetName val="ANALISA_SNI'12_1"/>
      <sheetName val="Titik_kabel1"/>
      <sheetName val="Harga_bahan___upah1"/>
      <sheetName val="SNI_21-3-091"/>
      <sheetName val="Rincian_Biaya_RKM_I1"/>
      <sheetName val="kriteria_sgl1"/>
      <sheetName val="Daftar_Upah,Bhn,&amp;_alat1"/>
      <sheetName val="BQ_Arsit2"/>
      <sheetName val="An_HarSatPek2"/>
      <sheetName val="Sat_Bah_&amp;_Up2"/>
      <sheetName val="2-Genset_print2"/>
      <sheetName val="uph_bhn1"/>
      <sheetName val="BIIL_ASLI1"/>
      <sheetName val="ANALISA_A-Persiapan1"/>
      <sheetName val="ANALISA_B-Pek_tanah1"/>
      <sheetName val="ANALISA_C-Pek__pondasi1"/>
      <sheetName val="ANALISA_D-Dinding1"/>
      <sheetName val="ANALISA_E-Plesteran1"/>
      <sheetName val="ANALISA_F-Pek_Kayu1"/>
      <sheetName val="ANALISA_G-Pek__beton1"/>
      <sheetName val="ANALISA_J-Pek__Sanitasi1"/>
      <sheetName val="ANALISA_K-Besi_n_aluminium1"/>
      <sheetName val="ANALISA_N-Pek__pengecatan1"/>
      <sheetName val="ANALISA_Q-Pek__Air_Bersih1"/>
      <sheetName val="hit_BKMM1"/>
      <sheetName val="INFORMASI_UMUM1"/>
      <sheetName val="A,_B,_C,_D,_E1"/>
      <sheetName val="Bea_Op_Alat1"/>
      <sheetName val="absen_mekanik&amp;log1"/>
      <sheetName val="Harga_Satuan_Bahan"/>
      <sheetName val="LIST_ANHARSAT"/>
      <sheetName val="Mark_UP"/>
      <sheetName val="Jdw_A_M_T"/>
      <sheetName val="Lamp_-5"/>
      <sheetName val="Pivot_1"/>
      <sheetName val="Pivot_1_(2)"/>
      <sheetName val="Pivot_1_(3)"/>
      <sheetName val="Pivot_1_(4)"/>
      <sheetName val="Analisa_Tehnik_Alat"/>
      <sheetName val="ANAL_PROD_ALAT"/>
      <sheetName val="Earth,_Concrete,_Pile"/>
      <sheetName val="Soil_factor"/>
      <sheetName val="Price_Persiapan_dan_Penunjang"/>
      <sheetName val="rincian_A"/>
      <sheetName val="BAHAN_2017"/>
      <sheetName val="Anls_K"/>
      <sheetName val="Anls_E"/>
      <sheetName val="upah_bahan_"/>
      <sheetName val="ANALISA_OKE"/>
      <sheetName val="anal alat"/>
      <sheetName val="JUNI"/>
      <sheetName val="PAD-F"/>
      <sheetName val="sheet"/>
      <sheetName val="SEC-6"/>
      <sheetName val="610.03a 15-7"/>
      <sheetName val="SCH12"/>
      <sheetName val="DB-PU"/>
      <sheetName val="Alat tanah dan Struktur (10-05)"/>
      <sheetName val="Alat tanah dan Struktur (03-09)"/>
      <sheetName val="HPP_20_"/>
      <sheetName val="RPP01 6"/>
      <sheetName val="841"/>
      <sheetName val="cons workpapers"/>
      <sheetName val="equity of abacus"/>
      <sheetName val="PERS"/>
      <sheetName val="ANALISA TENDER"/>
      <sheetName val="Marshal -1"/>
      <sheetName val="trf-d-w"/>
      <sheetName val="trf d-i"/>
      <sheetName val="HS Dasar "/>
      <sheetName val="DKH-S3"/>
      <sheetName val="details"/>
      <sheetName val="RINC"/>
      <sheetName val="kontak"/>
      <sheetName val="ED-Prod-02-2015"/>
      <sheetName val="DATA2015"/>
      <sheetName val="DATA2016"/>
      <sheetName val="old"/>
      <sheetName val="Irregular_Income3"/>
      <sheetName val="FE-1770_P13"/>
      <sheetName val="B_-_Norelec3"/>
      <sheetName val="bhn_FINAL3"/>
      <sheetName val="Analisa_Gabungan3"/>
      <sheetName val="Valve_PL3"/>
      <sheetName val="Peralatan_PL3"/>
      <sheetName val="_SAT_PL3"/>
      <sheetName val="RAB_SEKRETARIAT_(1)3"/>
      <sheetName val="an__13"/>
      <sheetName val="Analisa_SNI_STANDART_3"/>
      <sheetName val="H_Sat_Jembatan3"/>
      <sheetName val="anls_space_frame3"/>
      <sheetName val="Analis_Kusen_1_ESKALASI3"/>
      <sheetName val="DIV_23"/>
      <sheetName val="ANALISA_GR_x005f_x0000__x3"/>
      <sheetName val="ANALISA_GR_x005f_x005f_x03"/>
      <sheetName val="Hrn_I3"/>
      <sheetName val="Hrn_II3"/>
      <sheetName val="Hrn_III3"/>
      <sheetName val="Bgn-Ingg_PLANTATION3"/>
      <sheetName val="An_11"/>
      <sheetName val="An_31"/>
      <sheetName val="An_21"/>
      <sheetName val="Harsat_Alat1"/>
      <sheetName val="D_Harga1"/>
      <sheetName val="REG_TOTAL1"/>
      <sheetName val="LEMBAR4"/>
      <sheetName val="DEKAN"/>
      <sheetName val="M.Pekerjaan"/>
      <sheetName val="TS_MINGGUAN_rev_(2)"/>
      <sheetName val="KontrakPayung3TenagaAhli"/>
      <sheetName val="ELEC STIS"/>
      <sheetName val="compaction"/>
      <sheetName val="bialangsung"/>
      <sheetName val="41,9&amp;36,3"/>
      <sheetName val="1. BQ"/>
      <sheetName val="KOR-10"/>
      <sheetName val="KOR-9"/>
      <sheetName val="mat-onsite"/>
      <sheetName val="Plafond"/>
      <sheetName val="E.Adm"/>
      <sheetName val="Harga-upah"/>
      <sheetName val="Perhit.Alat"/>
      <sheetName val="Schedulle Reh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/>
      <sheetData sheetId="287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 refreshError="1"/>
      <sheetData sheetId="645"/>
      <sheetData sheetId="646"/>
      <sheetData sheetId="647"/>
      <sheetData sheetId="648"/>
      <sheetData sheetId="649" refreshError="1"/>
      <sheetData sheetId="650"/>
      <sheetData sheetId="651"/>
      <sheetData sheetId="652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/>
      <sheetData sheetId="663" refreshError="1"/>
      <sheetData sheetId="664" refreshError="1"/>
      <sheetData sheetId="665" refreshError="1"/>
      <sheetData sheetId="666"/>
      <sheetData sheetId="667"/>
      <sheetData sheetId="668" refreshError="1"/>
      <sheetData sheetId="669" refreshError="1"/>
      <sheetData sheetId="670"/>
      <sheetData sheetId="67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/>
      <sheetData sheetId="874" refreshError="1"/>
      <sheetData sheetId="875" refreshError="1"/>
      <sheetData sheetId="876" refreshError="1"/>
      <sheetData sheetId="877"/>
      <sheetData sheetId="878" refreshError="1"/>
      <sheetData sheetId="879" refreshError="1"/>
      <sheetData sheetId="880" refreshError="1"/>
      <sheetData sheetId="881" refreshError="1"/>
      <sheetData sheetId="882"/>
      <sheetData sheetId="883"/>
      <sheetData sheetId="884"/>
      <sheetData sheetId="885" refreshError="1"/>
      <sheetData sheetId="886" refreshError="1"/>
      <sheetData sheetId="887" refreshError="1"/>
      <sheetData sheetId="888" refreshError="1"/>
      <sheetData sheetId="889"/>
      <sheetData sheetId="890"/>
      <sheetData sheetId="891"/>
      <sheetData sheetId="892" refreshError="1"/>
      <sheetData sheetId="893"/>
      <sheetData sheetId="894" refreshError="1"/>
      <sheetData sheetId="895" refreshError="1"/>
      <sheetData sheetId="896" refreshError="1"/>
      <sheetData sheetId="897" refreshError="1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/>
      <sheetData sheetId="1082"/>
      <sheetData sheetId="1083" refreshError="1"/>
      <sheetData sheetId="1084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/>
      <sheetData sheetId="1154" refreshError="1"/>
      <sheetData sheetId="1155" refreshError="1"/>
      <sheetData sheetId="1156" refreshError="1"/>
      <sheetData sheetId="1157" refreshError="1"/>
      <sheetData sheetId="1158"/>
      <sheetData sheetId="1159"/>
      <sheetData sheetId="1160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/>
      <sheetData sheetId="1208" refreshError="1"/>
      <sheetData sheetId="1209" refreshError="1"/>
      <sheetData sheetId="1210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/>
      <sheetData sheetId="1400"/>
      <sheetData sheetId="1401"/>
      <sheetData sheetId="1402"/>
      <sheetData sheetId="1403" refreshError="1"/>
      <sheetData sheetId="1404" refreshError="1"/>
      <sheetData sheetId="1405" refreshError="1"/>
      <sheetData sheetId="1406" refreshError="1"/>
      <sheetData sheetId="1407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/>
      <sheetData sheetId="1642"/>
      <sheetData sheetId="1643"/>
      <sheetData sheetId="1644"/>
      <sheetData sheetId="1645"/>
      <sheetData sheetId="1646"/>
      <sheetData sheetId="1647" refreshError="1"/>
      <sheetData sheetId="1648" refreshError="1"/>
      <sheetData sheetId="1649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>
        <row r="32">
          <cell r="A32">
            <v>0</v>
          </cell>
        </row>
      </sheetData>
      <sheetData sheetId="1719">
        <row r="32">
          <cell r="A32">
            <v>0</v>
          </cell>
        </row>
      </sheetData>
      <sheetData sheetId="1720">
        <row r="32">
          <cell r="A32">
            <v>0</v>
          </cell>
        </row>
      </sheetData>
      <sheetData sheetId="1721"/>
      <sheetData sheetId="1722">
        <row r="32">
          <cell r="A32">
            <v>0</v>
          </cell>
        </row>
      </sheetData>
      <sheetData sheetId="1723">
        <row r="32">
          <cell r="A32">
            <v>0</v>
          </cell>
        </row>
      </sheetData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/>
      <sheetData sheetId="1747"/>
      <sheetData sheetId="1748"/>
      <sheetData sheetId="1749" refreshError="1"/>
      <sheetData sheetId="1750" refreshError="1"/>
      <sheetData sheetId="1751"/>
      <sheetData sheetId="1752">
        <row r="32">
          <cell r="A32">
            <v>0</v>
          </cell>
        </row>
      </sheetData>
      <sheetData sheetId="1753">
        <row r="32">
          <cell r="A32">
            <v>0</v>
          </cell>
        </row>
      </sheetData>
      <sheetData sheetId="1754">
        <row r="32">
          <cell r="A32">
            <v>0</v>
          </cell>
        </row>
      </sheetData>
      <sheetData sheetId="1755">
        <row r="32">
          <cell r="A32">
            <v>0</v>
          </cell>
        </row>
      </sheetData>
      <sheetData sheetId="1756">
        <row r="32">
          <cell r="A32">
            <v>0</v>
          </cell>
        </row>
      </sheetData>
      <sheetData sheetId="1757">
        <row r="32">
          <cell r="A32">
            <v>0</v>
          </cell>
        </row>
      </sheetData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/>
      <sheetData sheetId="1788" refreshError="1"/>
      <sheetData sheetId="1789" refreshError="1"/>
      <sheetData sheetId="1790" refreshError="1"/>
      <sheetData sheetId="1791" refreshError="1"/>
      <sheetData sheetId="1792"/>
      <sheetData sheetId="1793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 refreshError="1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 refreshError="1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 refreshError="1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 refreshError="1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 refreshError="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 refreshError="1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 refreshError="1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 refreshError="1"/>
      <sheetData sheetId="4765" refreshError="1"/>
      <sheetData sheetId="4766" refreshError="1"/>
      <sheetData sheetId="4767" refreshError="1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 refreshError="1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 refreshError="1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 refreshError="1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 refreshError="1"/>
      <sheetData sheetId="4819" refreshError="1"/>
      <sheetData sheetId="4820" refreshError="1"/>
      <sheetData sheetId="4821" refreshError="1"/>
      <sheetData sheetId="4822" refreshError="1"/>
      <sheetData sheetId="4823" refreshError="1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 refreshError="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 refreshError="1"/>
      <sheetData sheetId="4924" refreshError="1"/>
      <sheetData sheetId="4925" refreshError="1"/>
      <sheetData sheetId="4926" refreshError="1"/>
      <sheetData sheetId="4927" refreshError="1"/>
      <sheetData sheetId="4928" refreshError="1"/>
      <sheetData sheetId="4929" refreshError="1"/>
      <sheetData sheetId="4930" refreshError="1"/>
      <sheetData sheetId="4931" refreshError="1"/>
      <sheetData sheetId="4932" refreshError="1"/>
      <sheetData sheetId="4933" refreshError="1"/>
      <sheetData sheetId="4934" refreshError="1"/>
      <sheetData sheetId="4935" refreshError="1"/>
      <sheetData sheetId="4936" refreshError="1"/>
      <sheetData sheetId="4937" refreshError="1"/>
      <sheetData sheetId="4938" refreshError="1"/>
      <sheetData sheetId="4939" refreshError="1"/>
      <sheetData sheetId="4940" refreshError="1"/>
      <sheetData sheetId="4941" refreshError="1"/>
      <sheetData sheetId="4942" refreshError="1"/>
      <sheetData sheetId="4943" refreshError="1"/>
      <sheetData sheetId="4944" refreshError="1"/>
      <sheetData sheetId="4945" refreshError="1"/>
      <sheetData sheetId="4946" refreshError="1"/>
      <sheetData sheetId="4947" refreshError="1"/>
      <sheetData sheetId="4948" refreshError="1"/>
      <sheetData sheetId="4949" refreshError="1"/>
      <sheetData sheetId="4950" refreshError="1"/>
      <sheetData sheetId="4951" refreshError="1"/>
      <sheetData sheetId="4952" refreshError="1"/>
      <sheetData sheetId="4953" refreshError="1"/>
      <sheetData sheetId="4954" refreshError="1"/>
      <sheetData sheetId="4955" refreshError="1"/>
      <sheetData sheetId="4956" refreshError="1"/>
      <sheetData sheetId="4957" refreshError="1"/>
      <sheetData sheetId="4958" refreshError="1"/>
      <sheetData sheetId="4959" refreshError="1"/>
      <sheetData sheetId="4960" refreshError="1"/>
      <sheetData sheetId="4961" refreshError="1"/>
      <sheetData sheetId="4962" refreshError="1"/>
      <sheetData sheetId="4963" refreshError="1"/>
      <sheetData sheetId="4964" refreshError="1"/>
      <sheetData sheetId="4965" refreshError="1"/>
      <sheetData sheetId="4966" refreshError="1"/>
      <sheetData sheetId="4967" refreshError="1"/>
      <sheetData sheetId="4968" refreshError="1"/>
      <sheetData sheetId="4969" refreshError="1"/>
      <sheetData sheetId="4970" refreshError="1"/>
      <sheetData sheetId="4971" refreshError="1"/>
      <sheetData sheetId="4972" refreshError="1"/>
      <sheetData sheetId="4973" refreshError="1"/>
      <sheetData sheetId="4974" refreshError="1"/>
      <sheetData sheetId="4975" refreshError="1"/>
      <sheetData sheetId="4976" refreshError="1"/>
      <sheetData sheetId="4977" refreshError="1"/>
      <sheetData sheetId="4978" refreshError="1"/>
      <sheetData sheetId="4979" refreshError="1"/>
      <sheetData sheetId="4980" refreshError="1"/>
      <sheetData sheetId="4981" refreshError="1"/>
      <sheetData sheetId="4982" refreshError="1"/>
      <sheetData sheetId="4983" refreshError="1"/>
      <sheetData sheetId="4984" refreshError="1"/>
      <sheetData sheetId="4985" refreshError="1"/>
      <sheetData sheetId="4986" refreshError="1"/>
      <sheetData sheetId="4987" refreshError="1"/>
      <sheetData sheetId="4988" refreshError="1"/>
      <sheetData sheetId="4989" refreshError="1"/>
      <sheetData sheetId="4990" refreshError="1"/>
      <sheetData sheetId="4991" refreshError="1"/>
      <sheetData sheetId="4992" refreshError="1"/>
      <sheetData sheetId="4993" refreshError="1"/>
      <sheetData sheetId="4994" refreshError="1"/>
      <sheetData sheetId="4995" refreshError="1"/>
      <sheetData sheetId="4996" refreshError="1"/>
      <sheetData sheetId="4997" refreshError="1"/>
      <sheetData sheetId="4998" refreshError="1"/>
      <sheetData sheetId="4999" refreshError="1"/>
      <sheetData sheetId="5000" refreshError="1"/>
      <sheetData sheetId="5001" refreshError="1"/>
      <sheetData sheetId="5002" refreshError="1"/>
      <sheetData sheetId="5003" refreshError="1"/>
      <sheetData sheetId="5004" refreshError="1"/>
      <sheetData sheetId="5005" refreshError="1"/>
      <sheetData sheetId="5006" refreshError="1"/>
      <sheetData sheetId="5007" refreshError="1"/>
      <sheetData sheetId="5008" refreshError="1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 refreshError="1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 refreshError="1"/>
      <sheetData sheetId="5217" refreshError="1"/>
      <sheetData sheetId="5218" refreshError="1"/>
      <sheetData sheetId="5219" refreshError="1"/>
      <sheetData sheetId="5220" refreshError="1"/>
      <sheetData sheetId="5221" refreshError="1"/>
      <sheetData sheetId="5222" refreshError="1"/>
      <sheetData sheetId="5223" refreshError="1"/>
      <sheetData sheetId="5224" refreshError="1"/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 refreshError="1"/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 refreshError="1"/>
      <sheetData sheetId="5258" refreshError="1"/>
      <sheetData sheetId="5259" refreshError="1"/>
      <sheetData sheetId="5260" refreshError="1"/>
      <sheetData sheetId="5261" refreshError="1"/>
      <sheetData sheetId="5262" refreshError="1"/>
      <sheetData sheetId="5263" refreshError="1"/>
      <sheetData sheetId="5264" refreshError="1"/>
      <sheetData sheetId="5265" refreshError="1"/>
      <sheetData sheetId="5266" refreshError="1"/>
      <sheetData sheetId="5267" refreshError="1"/>
      <sheetData sheetId="5268" refreshError="1"/>
      <sheetData sheetId="5269" refreshError="1"/>
      <sheetData sheetId="5270" refreshError="1"/>
      <sheetData sheetId="5271" refreshError="1"/>
      <sheetData sheetId="5272" refreshError="1"/>
      <sheetData sheetId="5273" refreshError="1"/>
      <sheetData sheetId="5274" refreshError="1"/>
      <sheetData sheetId="5275" refreshError="1"/>
      <sheetData sheetId="5276" refreshError="1"/>
      <sheetData sheetId="5277" refreshError="1"/>
      <sheetData sheetId="5278" refreshError="1"/>
      <sheetData sheetId="5279" refreshError="1"/>
      <sheetData sheetId="5280" refreshError="1"/>
      <sheetData sheetId="5281" refreshError="1"/>
      <sheetData sheetId="5282" refreshError="1"/>
      <sheetData sheetId="5283" refreshError="1"/>
      <sheetData sheetId="5284" refreshError="1"/>
      <sheetData sheetId="5285" refreshError="1"/>
      <sheetData sheetId="5286" refreshError="1"/>
      <sheetData sheetId="5287" refreshError="1"/>
      <sheetData sheetId="5288" refreshError="1"/>
      <sheetData sheetId="5289" refreshError="1"/>
      <sheetData sheetId="5290" refreshError="1"/>
      <sheetData sheetId="5291" refreshError="1"/>
      <sheetData sheetId="5292" refreshError="1"/>
      <sheetData sheetId="5293" refreshError="1"/>
      <sheetData sheetId="5294" refreshError="1"/>
      <sheetData sheetId="5295" refreshError="1"/>
      <sheetData sheetId="5296" refreshError="1"/>
      <sheetData sheetId="5297" refreshError="1"/>
      <sheetData sheetId="5298" refreshError="1"/>
      <sheetData sheetId="5299" refreshError="1"/>
      <sheetData sheetId="5300" refreshError="1"/>
      <sheetData sheetId="5301" refreshError="1"/>
      <sheetData sheetId="5302" refreshError="1"/>
      <sheetData sheetId="5303" refreshError="1"/>
      <sheetData sheetId="5304" refreshError="1"/>
      <sheetData sheetId="5305" refreshError="1"/>
      <sheetData sheetId="5306" refreshError="1"/>
      <sheetData sheetId="5307" refreshError="1"/>
      <sheetData sheetId="5308" refreshError="1"/>
      <sheetData sheetId="5309" refreshError="1"/>
      <sheetData sheetId="5310" refreshError="1"/>
      <sheetData sheetId="5311" refreshError="1"/>
      <sheetData sheetId="5312" refreshError="1"/>
      <sheetData sheetId="5313" refreshError="1"/>
      <sheetData sheetId="5314" refreshError="1"/>
      <sheetData sheetId="5315" refreshError="1"/>
      <sheetData sheetId="5316" refreshError="1"/>
      <sheetData sheetId="5317" refreshError="1"/>
      <sheetData sheetId="5318" refreshError="1"/>
      <sheetData sheetId="5319" refreshError="1"/>
      <sheetData sheetId="5320" refreshError="1"/>
      <sheetData sheetId="5321" refreshError="1"/>
      <sheetData sheetId="5322" refreshError="1"/>
      <sheetData sheetId="5323" refreshError="1"/>
      <sheetData sheetId="5324" refreshError="1"/>
      <sheetData sheetId="5325" refreshError="1"/>
      <sheetData sheetId="5326" refreshError="1"/>
      <sheetData sheetId="5327" refreshError="1"/>
      <sheetData sheetId="5328" refreshError="1"/>
      <sheetData sheetId="5329" refreshError="1"/>
      <sheetData sheetId="5330" refreshError="1"/>
      <sheetData sheetId="5331" refreshError="1"/>
      <sheetData sheetId="5332" refreshError="1"/>
      <sheetData sheetId="5333" refreshError="1"/>
      <sheetData sheetId="5334" refreshError="1"/>
      <sheetData sheetId="5335" refreshError="1"/>
      <sheetData sheetId="5336" refreshError="1"/>
      <sheetData sheetId="5337" refreshError="1"/>
      <sheetData sheetId="5338" refreshError="1"/>
      <sheetData sheetId="5339" refreshError="1"/>
      <sheetData sheetId="5340" refreshError="1"/>
      <sheetData sheetId="5341" refreshError="1"/>
      <sheetData sheetId="5342" refreshError="1"/>
      <sheetData sheetId="5343" refreshError="1"/>
      <sheetData sheetId="5344" refreshError="1"/>
      <sheetData sheetId="5345" refreshError="1"/>
      <sheetData sheetId="5346" refreshError="1"/>
      <sheetData sheetId="5347" refreshError="1"/>
      <sheetData sheetId="5348" refreshError="1"/>
      <sheetData sheetId="5349" refreshError="1"/>
      <sheetData sheetId="5350" refreshError="1"/>
      <sheetData sheetId="5351" refreshError="1"/>
      <sheetData sheetId="5352" refreshError="1"/>
      <sheetData sheetId="5353" refreshError="1"/>
      <sheetData sheetId="5354" refreshError="1"/>
      <sheetData sheetId="5355" refreshError="1"/>
      <sheetData sheetId="5356" refreshError="1"/>
      <sheetData sheetId="5357" refreshError="1"/>
      <sheetData sheetId="5358" refreshError="1"/>
      <sheetData sheetId="5359" refreshError="1"/>
      <sheetData sheetId="5360" refreshError="1"/>
      <sheetData sheetId="5361" refreshError="1"/>
      <sheetData sheetId="5362" refreshError="1"/>
      <sheetData sheetId="5363" refreshError="1"/>
      <sheetData sheetId="5364" refreshError="1"/>
      <sheetData sheetId="5365" refreshError="1"/>
      <sheetData sheetId="5366" refreshError="1"/>
      <sheetData sheetId="5367" refreshError="1"/>
      <sheetData sheetId="5368" refreshError="1"/>
      <sheetData sheetId="5369" refreshError="1"/>
      <sheetData sheetId="5370" refreshError="1"/>
      <sheetData sheetId="5371" refreshError="1"/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 refreshError="1"/>
      <sheetData sheetId="5384" refreshError="1"/>
      <sheetData sheetId="5385" refreshError="1"/>
      <sheetData sheetId="5386" refreshError="1"/>
      <sheetData sheetId="5387" refreshError="1"/>
      <sheetData sheetId="5388" refreshError="1"/>
      <sheetData sheetId="5389" refreshError="1"/>
      <sheetData sheetId="5390" refreshError="1"/>
      <sheetData sheetId="5391" refreshError="1"/>
      <sheetData sheetId="5392" refreshError="1"/>
      <sheetData sheetId="5393" refreshError="1"/>
      <sheetData sheetId="5394" refreshError="1"/>
      <sheetData sheetId="5395" refreshError="1"/>
      <sheetData sheetId="5396" refreshError="1"/>
      <sheetData sheetId="5397" refreshError="1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 refreshError="1"/>
      <sheetData sheetId="5408" refreshError="1"/>
      <sheetData sheetId="5409" refreshError="1"/>
      <sheetData sheetId="5410" refreshError="1"/>
      <sheetData sheetId="5411" refreshError="1"/>
      <sheetData sheetId="5412" refreshError="1"/>
      <sheetData sheetId="5413" refreshError="1"/>
      <sheetData sheetId="5414" refreshError="1"/>
      <sheetData sheetId="5415" refreshError="1"/>
      <sheetData sheetId="5416" refreshError="1"/>
      <sheetData sheetId="5417" refreshError="1"/>
      <sheetData sheetId="5418" refreshError="1"/>
      <sheetData sheetId="5419" refreshError="1"/>
      <sheetData sheetId="5420" refreshError="1"/>
      <sheetData sheetId="5421" refreshError="1"/>
      <sheetData sheetId="5422" refreshError="1"/>
      <sheetData sheetId="5423" refreshError="1"/>
      <sheetData sheetId="5424" refreshError="1"/>
      <sheetData sheetId="5425" refreshError="1"/>
      <sheetData sheetId="5426" refreshError="1"/>
      <sheetData sheetId="5427" refreshError="1"/>
      <sheetData sheetId="5428" refreshError="1"/>
      <sheetData sheetId="5429" refreshError="1"/>
      <sheetData sheetId="5430" refreshError="1"/>
      <sheetData sheetId="5431" refreshError="1"/>
      <sheetData sheetId="5432" refreshError="1"/>
      <sheetData sheetId="5433" refreshError="1"/>
      <sheetData sheetId="5434" refreshError="1"/>
      <sheetData sheetId="5435" refreshError="1"/>
      <sheetData sheetId="5436" refreshError="1"/>
      <sheetData sheetId="5437" refreshError="1"/>
      <sheetData sheetId="5438" refreshError="1"/>
      <sheetData sheetId="5439" refreshError="1"/>
      <sheetData sheetId="5440" refreshError="1"/>
      <sheetData sheetId="5441" refreshError="1"/>
      <sheetData sheetId="5442" refreshError="1"/>
      <sheetData sheetId="5443" refreshError="1"/>
      <sheetData sheetId="5444" refreshError="1"/>
      <sheetData sheetId="5445" refreshError="1"/>
      <sheetData sheetId="5446" refreshError="1"/>
      <sheetData sheetId="5447" refreshError="1"/>
      <sheetData sheetId="5448" refreshError="1"/>
      <sheetData sheetId="5449" refreshError="1"/>
      <sheetData sheetId="5450" refreshError="1"/>
      <sheetData sheetId="5451" refreshError="1"/>
      <sheetData sheetId="5452" refreshError="1"/>
      <sheetData sheetId="5453" refreshError="1"/>
      <sheetData sheetId="5454" refreshError="1"/>
      <sheetData sheetId="5455" refreshError="1"/>
      <sheetData sheetId="5456" refreshError="1"/>
      <sheetData sheetId="5457" refreshError="1"/>
      <sheetData sheetId="5458" refreshError="1"/>
      <sheetData sheetId="5459" refreshError="1"/>
      <sheetData sheetId="5460" refreshError="1"/>
      <sheetData sheetId="5461" refreshError="1"/>
      <sheetData sheetId="5462" refreshError="1"/>
      <sheetData sheetId="5463" refreshError="1"/>
      <sheetData sheetId="5464" refreshError="1"/>
      <sheetData sheetId="5465" refreshError="1"/>
      <sheetData sheetId="5466" refreshError="1"/>
      <sheetData sheetId="5467" refreshError="1"/>
      <sheetData sheetId="5468" refreshError="1"/>
      <sheetData sheetId="5469" refreshError="1"/>
      <sheetData sheetId="5470" refreshError="1"/>
      <sheetData sheetId="5471" refreshError="1"/>
      <sheetData sheetId="5472" refreshError="1"/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 refreshError="1"/>
      <sheetData sheetId="5479" refreshError="1"/>
      <sheetData sheetId="5480" refreshError="1"/>
      <sheetData sheetId="5481" refreshError="1"/>
      <sheetData sheetId="5482" refreshError="1"/>
      <sheetData sheetId="5483" refreshError="1"/>
      <sheetData sheetId="5484" refreshError="1"/>
      <sheetData sheetId="5485" refreshError="1"/>
      <sheetData sheetId="5486" refreshError="1"/>
      <sheetData sheetId="5487" refreshError="1"/>
      <sheetData sheetId="5488" refreshError="1"/>
      <sheetData sheetId="5489" refreshError="1"/>
      <sheetData sheetId="5490" refreshError="1"/>
      <sheetData sheetId="5491" refreshError="1"/>
      <sheetData sheetId="5492" refreshError="1"/>
      <sheetData sheetId="5493" refreshError="1"/>
      <sheetData sheetId="5494" refreshError="1"/>
      <sheetData sheetId="5495" refreshError="1"/>
      <sheetData sheetId="5496" refreshError="1"/>
      <sheetData sheetId="5497" refreshError="1"/>
      <sheetData sheetId="5498" refreshError="1"/>
      <sheetData sheetId="5499" refreshError="1"/>
      <sheetData sheetId="5500" refreshError="1"/>
      <sheetData sheetId="5501" refreshError="1"/>
      <sheetData sheetId="5502" refreshError="1"/>
      <sheetData sheetId="5503" refreshError="1"/>
      <sheetData sheetId="5504" refreshError="1"/>
      <sheetData sheetId="5505" refreshError="1"/>
      <sheetData sheetId="5506" refreshError="1"/>
      <sheetData sheetId="5507" refreshError="1"/>
      <sheetData sheetId="5508" refreshError="1"/>
      <sheetData sheetId="5509" refreshError="1"/>
      <sheetData sheetId="5510" refreshError="1"/>
      <sheetData sheetId="5511" refreshError="1"/>
      <sheetData sheetId="5512" refreshError="1"/>
      <sheetData sheetId="5513" refreshError="1"/>
      <sheetData sheetId="5514" refreshError="1"/>
      <sheetData sheetId="5515" refreshError="1"/>
      <sheetData sheetId="5516" refreshError="1"/>
      <sheetData sheetId="5517" refreshError="1"/>
      <sheetData sheetId="5518" refreshError="1"/>
      <sheetData sheetId="5519" refreshError="1"/>
      <sheetData sheetId="5520" refreshError="1"/>
      <sheetData sheetId="5521" refreshError="1"/>
      <sheetData sheetId="5522" refreshError="1"/>
      <sheetData sheetId="5523" refreshError="1"/>
      <sheetData sheetId="5524" refreshError="1"/>
      <sheetData sheetId="5525" refreshError="1"/>
      <sheetData sheetId="5526" refreshError="1"/>
      <sheetData sheetId="5527" refreshError="1"/>
      <sheetData sheetId="5528" refreshError="1"/>
      <sheetData sheetId="5529" refreshError="1"/>
      <sheetData sheetId="5530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Hal.ii"/>
      <sheetName val="Hal.iii"/>
      <sheetName val="Sekat I(UMUM)"/>
      <sheetName val="Hal.01-03"/>
      <sheetName val="Hal.04"/>
      <sheetName val="Hal.05"/>
      <sheetName val="Hal.06"/>
      <sheetName val="Sekat II(KPELFIS)"/>
      <sheetName val="Hal.07"/>
      <sheetName val="Hal.08Schedule"/>
      <sheetName val="Hal.09"/>
      <sheetName val="Hal.010MUKAMC"/>
      <sheetName val="Sekat III(KPENGTEK)"/>
      <sheetName val="Hal.11"/>
      <sheetName val="Hal.012"/>
      <sheetName val="Hal.013"/>
      <sheetName val="Hal.014"/>
      <sheetName val="Sekat IV(LAMP)"/>
      <sheetName val="LK-SE"/>
      <sheetName val="LK-INSP"/>
      <sheetName val="LK-MT"/>
      <sheetName val="Fo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lar_AC"/>
      <sheetName val="kap_bed"/>
      <sheetName val="kap_wl"/>
      <sheetName val="s_cr"/>
      <sheetName val="amp"/>
      <sheetName val="spread_pro"/>
      <sheetName val="mixpro"/>
      <sheetName val="hauling_pro"/>
      <sheetName val="Franco BC"/>
      <sheetName val="crushing_pro"/>
      <sheetName val="Angkut"/>
      <sheetName val="H.Satuan"/>
      <sheetName val="Proses"/>
      <sheetName val="bahan"/>
      <sheetName val="A2B"/>
      <sheetName val="Subkon"/>
      <sheetName val="vol_box"/>
      <sheetName val="DR_04"/>
      <sheetName val="H_Satuan"/>
      <sheetName val="Bahan1"/>
      <sheetName val="Surat"/>
      <sheetName val="rekap"/>
      <sheetName val="d-kwantitas"/>
      <sheetName val="AHS1"/>
      <sheetName val="PROGRESS BU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P"/>
      <sheetName val="MUKAMC"/>
      <sheetName val="REKAPMC"/>
      <sheetName val="REKAP"/>
      <sheetName val="MOBILISASI"/>
      <sheetName val="P_LALIN"/>
      <sheetName val="GALIAN TANAH"/>
      <sheetName val="TIMBUNAN BIASA"/>
      <sheetName val="LPA"/>
      <sheetName val="LPB"/>
      <sheetName val="PREM"/>
      <sheetName val="TACK"/>
      <sheetName val="ATB"/>
      <sheetName val="MCADAM"/>
      <sheetName val="BETON K-250"/>
      <sheetName val="BETON K-125"/>
      <sheetName val="PEMBESIAN"/>
      <sheetName val="CERUCUK"/>
      <sheetName val="PAS_BATU"/>
      <sheetName val="PEMBONGKARAN JBT LAMA"/>
      <sheetName val="PERANCAH"/>
      <sheetName val="PATOK PENUNTUN"/>
      <sheetName val="PENGECATAN"/>
      <sheetName val="PEMBONGKARAN PB_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"/>
      <sheetName val="SRT"/>
      <sheetName val="REK"/>
      <sheetName val="BOQ"/>
      <sheetName val="LMP.12"/>
      <sheetName val="SCH"/>
      <sheetName val="ANA-BAB-02"/>
      <sheetName val="GALI DRAIN"/>
      <sheetName val="PAS BT MORTAR"/>
      <sheetName val="GORONG2 50"/>
      <sheetName val="GORONG2  100"/>
      <sheetName val="GORONG2 20"/>
      <sheetName val="GEOTEX"/>
      <sheetName val="PIPA POROUS"/>
      <sheetName val="ANA-BAB-03"/>
      <sheetName val="GALI BIASA"/>
      <sheetName val="GALI BATU"/>
      <sheetName val="GALI STR 0-2M"/>
      <sheetName val="GALI STR 2-4M "/>
      <sheetName val="COLD MILL"/>
      <sheetName val="TNP COLD MILL"/>
      <sheetName val="TMBH ANGK"/>
      <sheetName val="TIMB"/>
      <sheetName val="TIMB PIL"/>
      <sheetName val="TIMB RAWA"/>
      <sheetName val="SUBGRADE"/>
      <sheetName val="ANA-BAB-04"/>
      <sheetName val="AGG A BAHU"/>
      <sheetName val="AGG B BAHU"/>
      <sheetName val="ANA-BAB-05"/>
      <sheetName val="AGG A"/>
      <sheetName val="AGG B"/>
      <sheetName val="ANA-BAB-06"/>
      <sheetName val="PRIME CT"/>
      <sheetName val="TACK CT"/>
      <sheetName val="ACWC"/>
      <sheetName val="ACWC MOD"/>
      <sheetName val="ACWC LEVELING"/>
      <sheetName val=" ACWC MOD LEVELING"/>
      <sheetName val="ACBC"/>
      <sheetName val="ACBC MOD"/>
      <sheetName val="ACBC LEVELING"/>
      <sheetName val="ACBC MOD LEVELING "/>
      <sheetName val="ACBASE"/>
      <sheetName val="ACBASE MOD"/>
      <sheetName val="ACBASE LEVELING"/>
      <sheetName val="ACBASE MOD LEVELING "/>
      <sheetName val="MACADAM"/>
      <sheetName val="ANA-BAB-07"/>
      <sheetName val="BETON K400"/>
      <sheetName val="BETON K350"/>
      <sheetName val="BETON K250"/>
      <sheetName val="BETON K175"/>
      <sheetName val="BETON SIKLOP K175"/>
      <sheetName val="U24 MANUAL"/>
      <sheetName val="U24 MEKANIK"/>
      <sheetName val="U32 MANUAL"/>
      <sheetName val="U32 MEKANIK"/>
      <sheetName val="D32 MANUAL"/>
      <sheetName val="D32 MEKANIK"/>
      <sheetName val="D39 MANUAL"/>
      <sheetName val="D39 MEKANIK"/>
      <sheetName val="PENY.PANC.BAJA"/>
      <sheetName val="PEM. PANC.BAJA"/>
      <sheetName val="PENY.PANC.BETON"/>
      <sheetName val="PEM. PANC.BETON"/>
      <sheetName val="TIANG BOR BETON"/>
      <sheetName val="PAS BATU MEKANIK"/>
      <sheetName val="PAS BATU MANUAL"/>
      <sheetName val="PAS BATU KOS DIISI"/>
      <sheetName val="PAS BATU KOS"/>
      <sheetName val="BRONJONG"/>
      <sheetName val="ANA-BAB-08"/>
      <sheetName val="AGG A MINOR"/>
      <sheetName val="AGG B MINOR"/>
      <sheetName val="CAMP.ASP.PANAS"/>
      <sheetName val="MACADAM MINOR"/>
      <sheetName val="GALIAN BH MINOR"/>
      <sheetName val="RAMBU JLN ENG"/>
      <sheetName val="RAMBU JLN HIGH GRADE"/>
      <sheetName val="MARKA NON THERMO "/>
      <sheetName val="MARKA THERMO"/>
      <sheetName val="PATOK PENGARAH"/>
      <sheetName val="PATOK KM"/>
      <sheetName val="REL PENGAMAN"/>
      <sheetName val="KERB"/>
      <sheetName val="HSD"/>
      <sheetName val="MOS"/>
      <sheetName val="ANA mob"/>
      <sheetName val="ANA LS rutin"/>
      <sheetName val="konfir"/>
      <sheetName val="DPU"/>
      <sheetName val="data"/>
      <sheetName val="alat"/>
      <sheetName val="staff"/>
      <sheetName val="SUBkon"/>
      <sheetName val="MET-BAB-7.5(3)"/>
      <sheetName val="IND"/>
      <sheetName val="SCH backup"/>
      <sheetName val="metod"/>
      <sheetName val="MET-BAB-06b"/>
      <sheetName val="alat min"/>
      <sheetName val="alat backup"/>
      <sheetName val="Kar"/>
      <sheetName val="BALT"/>
      <sheetName val="judul"/>
      <sheetName val="Sheet1"/>
      <sheetName val="Sheet1 (2)"/>
      <sheetName val="HSD (2)"/>
      <sheetName val="Met Rtn"/>
      <sheetName val="RTN"/>
      <sheetName val="MET-bab-08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"/>
      <sheetName val="Major"/>
      <sheetName val="Lamp2"/>
      <sheetName val="Lamp.3"/>
      <sheetName val="SRT"/>
      <sheetName val="REK"/>
      <sheetName val="BQ"/>
      <sheetName val="ANA"/>
      <sheetName val="Meth "/>
      <sheetName val="HSD"/>
      <sheetName val="MOS"/>
      <sheetName val="Staf"/>
      <sheetName val="Alat"/>
      <sheetName val="SCHE"/>
      <sheetName val="LN"/>
      <sheetName val="sub"/>
      <sheetName val="KOMP"/>
      <sheetName val="Peng."/>
      <sheetName val="Modal"/>
      <sheetName val="Sipil"/>
      <sheetName val="Hitung"/>
      <sheetName val="BOQ"/>
      <sheetName val="STF (2)"/>
      <sheetName val="alt-cimangkok"/>
      <sheetName val="SCH"/>
      <sheetName val="MET"/>
      <sheetName val="DLM"/>
      <sheetName val="MJR"/>
      <sheetName val="BALT"/>
      <sheetName val="LMP.1"/>
      <sheetName val="LMP.2"/>
      <sheetName val="RTN"/>
      <sheetName val="ANA (BAK)"/>
      <sheetName val="MET (BAK)"/>
      <sheetName val="IND"/>
      <sheetName val="CMK"/>
      <sheetName val="T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pul"/>
      <sheetName val="Schedule"/>
      <sheetName val="LT&amp;Plafond"/>
      <sheetName val="Dinding"/>
      <sheetName val="Sanitair"/>
      <sheetName val="Kusen"/>
      <sheetName val="ANKusen"/>
      <sheetName val="Sch-Kusen"/>
      <sheetName val="QTY-Kusen"/>
      <sheetName val="Struktur"/>
      <sheetName val="Pilecaps"/>
      <sheetName val="Tie Beam"/>
      <sheetName val="Balok"/>
      <sheetName val="Cover"/>
      <sheetName val="Kolom"/>
      <sheetName val="Plat"/>
      <sheetName val="Tangga"/>
      <sheetName val="ANPrelim"/>
      <sheetName val="Lain-2"/>
      <sheetName val="M&amp;E"/>
      <sheetName val="AN-M&amp;E"/>
      <sheetName val="Analisa"/>
      <sheetName val="Rekap"/>
      <sheetName val="BOQ KJ-D &amp; KJ-E"/>
      <sheetName val="BOQ KJ-D &amp; K_x0000__x0000_E"/>
      <sheetName val="BAG_2"/>
      <sheetName val="BAG-2"/>
      <sheetName val="BOQ KJ-D &amp; K??E"/>
      <sheetName val="B - Norelec"/>
      <sheetName val="TOWN"/>
      <sheetName val="BOQ KJ-D &amp; K"/>
      <sheetName val="Tie_Beam1"/>
      <sheetName val="BOQ_KJ-D_&amp;_KJ-E1"/>
      <sheetName val="BOQ_KJ-D_&amp;_KE"/>
      <sheetName val="Tie_Beam"/>
      <sheetName val="BOQ_KJ-D_&amp;_KJ-E"/>
      <sheetName val="HB"/>
      <sheetName val="BOQ KJ-D &amp; K__E"/>
      <sheetName val="UMUM"/>
      <sheetName val="Kuantitas &amp; Harga"/>
      <sheetName val="AHS Marka"/>
      <sheetName val="TSS"/>
      <sheetName val="CPar"/>
      <sheetName val="ALAT"/>
      <sheetName val="7.PEK-STRUKTUR"/>
      <sheetName val="Daf 1"/>
      <sheetName val="KODE"/>
      <sheetName val="HRPar"/>
      <sheetName val="hrg-dsr"/>
      <sheetName val="SDAYA"/>
      <sheetName val="K"/>
      <sheetName val="H.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 Biaya"/>
      <sheetName val="Kuantitas &amp; Harga"/>
      <sheetName val="Vol"/>
      <sheetName val="Sketsa Takaras 1"/>
      <sheetName val="CROSS"/>
      <sheetName val="Pas. Batu"/>
      <sheetName val="Pekerjaan Utama"/>
      <sheetName val="%"/>
      <sheetName val="Compatibility Rep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heet3"/>
      <sheetName val="RAB3RKB+WC"/>
      <sheetName val="ANALISA"/>
      <sheetName val="Sheet1"/>
      <sheetName val="HARGA"/>
      <sheetName val="Harga (region) (3)"/>
      <sheetName val="Analisa ALATChainsaw"/>
      <sheetName val="tebas tebang"/>
      <sheetName val="cOVER"/>
      <sheetName val="RAB"/>
      <sheetName val="Bersih"/>
      <sheetName val="Galian"/>
      <sheetName val="Exca"/>
      <sheetName val="Perataan"/>
      <sheetName val="BASIC PRICE 2010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Rekap"/>
      <sheetName val="Bill"/>
      <sheetName val="Material"/>
      <sheetName val="Upah"/>
      <sheetName val="Furniture"/>
      <sheetName val="Summery ME"/>
      <sheetName val="Bill Item Ac"/>
      <sheetName val="Lift"/>
      <sheetName val="Khusus"/>
      <sheetName val="Electrical"/>
      <sheetName val="Mekanikal"/>
      <sheetName val="Sheet1"/>
      <sheetName val="Analisa"/>
      <sheetName val="3-DIV5"/>
      <sheetName val="harsat"/>
      <sheetName val="HARGA SATUAN"/>
      <sheetName val="bahan"/>
      <sheetName val="BQ"/>
      <sheetName val="Ans Kom Precast"/>
      <sheetName val="UPAH &amp; BHN"/>
      <sheetName val="Divisi1"/>
      <sheetName val="data"/>
      <sheetName val="SUM"/>
      <sheetName val="ANALISA HARGA SATUAN"/>
      <sheetName val="BTL-Bau"/>
      <sheetName val="D6"/>
      <sheetName val="D7"/>
      <sheetName val="Management"/>
      <sheetName val="harsat_"/>
      <sheetName val="Koef"/>
      <sheetName val="H.Satuan"/>
      <sheetName val="REKAP_VOLUME"/>
      <sheetName val="DAFTAR_8"/>
      <sheetName val="TOTAL"/>
      <sheetName val="DAFTAR 7"/>
      <sheetName val="LO"/>
      <sheetName val="Rekap Direct Cost"/>
      <sheetName val="DU-5"/>
      <sheetName val="Bill of Qty"/>
      <sheetName val="RAB ME"/>
      <sheetName val="FINISHING"/>
      <sheetName val="SJRH KENAIKAN"/>
      <sheetName val="ANAL"/>
      <sheetName val="HRG BHN"/>
      <sheetName val="Analisa &amp; Upah"/>
      <sheetName val="Basic"/>
      <sheetName val="C-OFF"/>
      <sheetName val="Rekapitulasi"/>
      <sheetName val="alt 2 TAMPIL RAKOR"/>
      <sheetName val="formminat"/>
      <sheetName val="B - Norelec"/>
      <sheetName val="PAD-F"/>
      <sheetName val="HARGA MATERIAL"/>
      <sheetName val="Embong-Malang"/>
      <sheetName val="A"/>
      <sheetName val="Upah&amp;Bahan"/>
      <sheetName val="ONSIDE MTRL"/>
      <sheetName val="Daf.Harga-Upah"/>
      <sheetName val="BOQ KSN"/>
      <sheetName val="PRY.02 (LAPRN- WK)"/>
      <sheetName val="Harsat BHN AR,M"/>
      <sheetName val="Harga Bahan &amp; Upah"/>
      <sheetName val="BREAKDOWN"/>
      <sheetName val="BTL-Persiapan"/>
      <sheetName val="BTL-alat"/>
      <sheetName val="BTL-Rupa"/>
      <sheetName val="dft-harga"/>
      <sheetName val="Tabels"/>
      <sheetName val="daf-3(OK)"/>
      <sheetName val="daf-7(OK)"/>
      <sheetName val="metode"/>
      <sheetName val="Bahan "/>
      <sheetName val="Pekerjaan "/>
      <sheetName val="Analisa 2"/>
      <sheetName val="Ahs.2"/>
      <sheetName val="Ahs.1"/>
      <sheetName val="ANALISA PEK.UMUM"/>
      <sheetName val="TE TS FA LAN MATV"/>
      <sheetName val="div3"/>
      <sheetName val="Summery_ME"/>
      <sheetName val="Bill_Item_Ac"/>
      <sheetName val="B_-_Norelec"/>
      <sheetName val="H_Satuan"/>
      <sheetName val="Koefisien"/>
      <sheetName val="An.Ars"/>
      <sheetName val="RAB"/>
      <sheetName val="UPAH DAN BAHAN"/>
      <sheetName val="Analisa rata"/>
      <sheetName val="Upah_borong"/>
      <sheetName val="Memb Schd"/>
      <sheetName val="BM"/>
      <sheetName val="Harga Bahan"/>
      <sheetName val="LISTRIK"/>
      <sheetName val="bahan-upah"/>
      <sheetName val="HSBU ANA"/>
      <sheetName val="SUMMARY"/>
      <sheetName val="REKAP.VOLUME"/>
      <sheetName val="HB"/>
      <sheetName val="AN-ME"/>
      <sheetName val="UPAHBAHAN"/>
      <sheetName val="Isolasi Luar Dalam"/>
      <sheetName val="Isolasi Luar"/>
      <sheetName val="DAF-1"/>
      <sheetName val="DAF-7"/>
      <sheetName val="Rupiah"/>
      <sheetName val="3-DIV2"/>
      <sheetName val="BasicPrice"/>
      <sheetName val="NP (4)"/>
      <sheetName val="DIV7-BM"/>
      <sheetName val="B"/>
      <sheetName val="H Satuan Dasar"/>
      <sheetName val="Analisa Teknik"/>
      <sheetName val="SUM_Steel-Strc"/>
      <sheetName val="DPRD"/>
      <sheetName val="Anl_Kosen"/>
      <sheetName val="Bhn_Analisa"/>
      <sheetName val="Summery_ME1"/>
      <sheetName val="Bill_Item_Ac1"/>
      <sheetName val="Summery_ME2"/>
      <sheetName val="Bill_Item_Ac2"/>
      <sheetName val="SEX"/>
      <sheetName val="Tie Beam GN"/>
      <sheetName val="PileCap"/>
      <sheetName val="Harsat Upah"/>
      <sheetName val="HS"/>
      <sheetName val="UPAH BAHAN "/>
      <sheetName val="Back Up Pagar "/>
      <sheetName val="analis"/>
      <sheetName val="Harga S Dasar UNTUK IDISI"/>
      <sheetName val="REK.ITEM PUTRA"/>
      <sheetName val="REK.ITEM KELAS"/>
      <sheetName val="RAB ARS,STR PUTRA"/>
      <sheetName val="RAB ARS,STR TRIBUN"/>
      <sheetName val="RAB ME KELAS "/>
      <sheetName val="RAB ME TRIBUN"/>
      <sheetName val="VOL ARST"/>
      <sheetName val="Harsat Pekerjaan Permen"/>
      <sheetName val="AHS-EL3"/>
      <sheetName val="Analisa Harga"/>
      <sheetName val="HB "/>
      <sheetName val="Analisa Alat"/>
      <sheetName val="326BQSTC"/>
      <sheetName val="予算票"/>
      <sheetName val="Hrg_Sat"/>
      <sheetName val="hrg-dsr"/>
      <sheetName val="RAP"/>
      <sheetName val="srtberkas"/>
      <sheetName val="Ch"/>
      <sheetName val="S.BAHAN"/>
      <sheetName val="S.UPAH"/>
      <sheetName val="SITE-UTL"/>
      <sheetName val="HSP swk"/>
      <sheetName val="UPAH_BAHAN"/>
      <sheetName val="HSP"/>
      <sheetName val="REKAP_ARSITEKTUR."/>
      <sheetName val="SKN"/>
      <sheetName val="Daf-Har-Pening"/>
      <sheetName val="Basic Price"/>
      <sheetName val="KOEFISIEN TEKNIS"/>
      <sheetName val="SAT-BHN"/>
      <sheetName val="18+900 - 19+075 (R)"/>
      <sheetName val="Por"/>
      <sheetName val="Master 1.0"/>
      <sheetName val="ANALYSIS"/>
      <sheetName val="TSS"/>
      <sheetName val="Abk (ok!)"/>
      <sheetName val="Data PJ"/>
      <sheetName val="Plumbing"/>
      <sheetName val="HRG-PIP2-OKE"/>
      <sheetName val="1.Neo_pbersih-lap"/>
      <sheetName val="Harsat Pekerjaan"/>
      <sheetName val="DASH"/>
      <sheetName val="mg7"/>
      <sheetName val="HARIAN OKTOBER"/>
      <sheetName val="HARGA"/>
      <sheetName val="Harga Bahan &amp; Upah "/>
      <sheetName val="input"/>
      <sheetName val="SAT.DASAR"/>
      <sheetName val="HS BHN&amp;UPAH"/>
      <sheetName val="2.1"/>
      <sheetName val="Sch"/>
      <sheetName val="HSTANAH.XLS"/>
      <sheetName val="ganda"/>
      <sheetName val="Estimate"/>
      <sheetName val="U&amp;B"/>
      <sheetName val="Hrg"/>
      <sheetName val="3-DIV3"/>
      <sheetName val="D4"/>
      <sheetName val="D8"/>
      <sheetName val="Upah&amp;Bhn "/>
      <sheetName val="beton"/>
      <sheetName val="MAP"/>
      <sheetName val="Cover"/>
      <sheetName val="5-Peralatan"/>
      <sheetName val="div71"/>
      <sheetName val="div7"/>
      <sheetName val="div2"/>
      <sheetName val="div31"/>
      <sheetName val="hargaSatuan"/>
      <sheetName val="Galian 1"/>
      <sheetName val="Perm. Test"/>
      <sheetName val="Harga_Satuan"/>
      <sheetName val="Bahan_"/>
      <sheetName val="Pekerjaan_"/>
      <sheetName val="Analisa_2"/>
      <sheetName val="Ahs_2"/>
      <sheetName val="Ahs_1"/>
      <sheetName val="TE_TS_FA_LAN_MATV"/>
      <sheetName val="ANALISA_PEK_UMUM"/>
      <sheetName val="Harga_Satuan1"/>
      <sheetName val="Bahan_1"/>
      <sheetName val="Pekerjaan_1"/>
      <sheetName val="Analisa_21"/>
      <sheetName val="Ahs_21"/>
      <sheetName val="Ahs_11"/>
      <sheetName val="TE_TS_FA_LAN_MATV1"/>
      <sheetName val="ANALISA_PEK_UMUM1"/>
      <sheetName val="Volume"/>
      <sheetName val="Master Edit"/>
      <sheetName val="UR-TEKNIS"/>
      <sheetName val="DIV.1"/>
      <sheetName val="UPH,BHN,ALT"/>
      <sheetName val="Analis harga"/>
      <sheetName val="RBP-3.1-2"/>
      <sheetName val="Analisa HSP"/>
      <sheetName val="ANALISA-HST"/>
      <sheetName val="AHS"/>
      <sheetName val="PRICE"/>
      <sheetName val="pricing"/>
      <sheetName val="SD (1)"/>
      <sheetName val="Mat"/>
      <sheetName val="dasar"/>
      <sheetName val="Rate"/>
      <sheetName val="Pipe"/>
      <sheetName val="BOQ"/>
      <sheetName val="SUMBER"/>
      <sheetName val="Info"/>
      <sheetName val="Bill_of_Qty"/>
      <sheetName val="Ans_Kom_Precast"/>
      <sheetName val="UPAH_&amp;_BHN"/>
      <sheetName val="ANALISA_HARGA_SATUAN"/>
      <sheetName val="DAFTAR_7"/>
      <sheetName val="Rekap_Direct_Cost"/>
      <sheetName val="Analisa_&amp;_Upah"/>
      <sheetName val="SJRH_KENAIKAN"/>
      <sheetName val="HRG_BHN"/>
      <sheetName val="PRY_02_(LAPRN-_WK)"/>
      <sheetName val="alt_2_TAMPIL_RAKOR"/>
      <sheetName val="Harsat_BHN_AR,M"/>
      <sheetName val="Daf_Harga-Upah"/>
      <sheetName val="RAB_ME"/>
      <sheetName val="Harga_Bahan_&amp;_Upah"/>
      <sheetName val="BOQ_KSN"/>
      <sheetName val="HARGA_MATERIAL"/>
      <sheetName val="Master_Edit"/>
      <sheetName val="DIV_1"/>
      <sheetName val="Bill_of_Qty1"/>
      <sheetName val="H_Satuan1"/>
      <sheetName val="B_-_Norelec1"/>
      <sheetName val="Ans_Kom_Precast1"/>
      <sheetName val="UPAH_&amp;_BHN1"/>
      <sheetName val="ANALISA_HARGA_SATUAN1"/>
      <sheetName val="DAFTAR_71"/>
      <sheetName val="Rekap_Direct_Cost1"/>
      <sheetName val="Analisa_&amp;_Upah1"/>
      <sheetName val="SJRH_KENAIKAN1"/>
      <sheetName val="HRG_BHN1"/>
      <sheetName val="PRY_02_(LAPRN-_WK)1"/>
      <sheetName val="alt_2_TAMPIL_RAKOR1"/>
      <sheetName val="Harsat_BHN_AR,M1"/>
      <sheetName val="Daf_Harga-Upah1"/>
      <sheetName val="RAB_ME1"/>
      <sheetName val="Harga_Bahan_&amp;_Upah1"/>
      <sheetName val="BOQ_KSN1"/>
      <sheetName val="HARGA_MATERIAL1"/>
      <sheetName val="Master_Edit1"/>
      <sheetName val="DIV_11"/>
      <sheetName val="kontribusi"/>
      <sheetName val="Manajerial"/>
      <sheetName val="revenue"/>
      <sheetName val="rework"/>
      <sheetName val="MB"/>
      <sheetName val="alat"/>
      <sheetName val="DATA PROYEK"/>
      <sheetName val="BAB_5_13_Anal"/>
      <sheetName val="BAB_5_2_BiaLang"/>
      <sheetName val="An.3"/>
      <sheetName val="An.1"/>
      <sheetName val="An.2"/>
      <sheetName val="UNIT PRICE"/>
      <sheetName val="Cover-3"/>
      <sheetName val="3"/>
      <sheetName val="AnBayarUtama"/>
      <sheetName val="5-ALAT(1)"/>
      <sheetName val="4-Basic Price"/>
      <sheetName val="HrgMat"/>
      <sheetName val="Rkp"/>
      <sheetName val="UPAH PEKERJA"/>
      <sheetName val="urain teknis"/>
      <sheetName val="MPEL"/>
      <sheetName val="upah bahan"/>
      <sheetName val="Kuantitas &amp; Harga"/>
      <sheetName val="induk1"/>
      <sheetName val="Upah Bahan Alat"/>
      <sheetName val="ANA-TOOLS-KKA (2)"/>
      <sheetName val="Jenis Kontrak"/>
      <sheetName val="Output"/>
      <sheetName val="Provinsi"/>
      <sheetName val="Tematik"/>
      <sheetName val="Rekap Analisa"/>
      <sheetName val="Upah dan Bahan "/>
      <sheetName val="divII"/>
      <sheetName val="Quarry-rangas"/>
      <sheetName val="Analisa-Harga"/>
      <sheetName val="NP7"/>
      <sheetName val="Prioritas"/>
      <sheetName val="Bill No 6 Koord &amp; Attendance"/>
      <sheetName val="TATA UDARA"/>
      <sheetName val="ELEKTRIKAL"/>
      <sheetName val="HSD"/>
      <sheetName val="RAB-SPL2"/>
      <sheetName val="Anls Hrg"/>
      <sheetName val="AGG"/>
      <sheetName val="B_6"/>
      <sheetName val="B_7"/>
      <sheetName val="B_8"/>
      <sheetName val="B_9"/>
      <sheetName val="B_10 (4)"/>
      <sheetName val="MT"/>
      <sheetName val="Rigid"/>
      <sheetName val="Peralatan"/>
      <sheetName val="Drainase"/>
      <sheetName val="Div6a"/>
      <sheetName val="L2MO(1)"/>
      <sheetName val="Isian Biodata"/>
      <sheetName val="M1"/>
      <sheetName val="SatDas"/>
      <sheetName val="SAT-DAS"/>
      <sheetName val="NP"/>
      <sheetName val="Harsat Bahan"/>
      <sheetName val="Informasi"/>
      <sheetName val="CekList"/>
      <sheetName val="Sch Tender"/>
      <sheetName val="BID9697"/>
      <sheetName val="Load"/>
      <sheetName val="DATAJUNI"/>
      <sheetName val="기둥(원형)"/>
      <sheetName val="Rutin"/>
      <sheetName val="DATE"/>
      <sheetName val="MOTOR"/>
      <sheetName val="일반공사"/>
      <sheetName val="단가"/>
      <sheetName val="시설물일위"/>
      <sheetName val="Pay Items"/>
      <sheetName val="내역서"/>
      <sheetName val="기구표"/>
      <sheetName val="rekapan"/>
      <sheetName val="정부노임단가"/>
      <sheetName val="SIMPRO(AGST)"/>
      <sheetName val="M+MC"/>
      <sheetName val="C &amp; G RHS"/>
      <sheetName val="D3"/>
      <sheetName val="10.1 (1)"/>
      <sheetName val="10.1 (2)"/>
      <sheetName val="10.1 (3)"/>
      <sheetName val="10.1 (4)"/>
      <sheetName val="10.1 (5)"/>
      <sheetName val="LMW-PEG"/>
      <sheetName val="XL4Poppy"/>
      <sheetName val="DATA BASE"/>
      <sheetName val="PERHIT VOLUME"/>
      <sheetName val="RKP RAB"/>
      <sheetName val="B&amp;U"/>
      <sheetName val="MUKAMC"/>
      <sheetName val="REK"/>
      <sheetName val="LISA"/>
      <sheetName val="DAF_7"/>
      <sheetName val="Analisa Upah &amp; Bahan Plum"/>
      <sheetName val="AC"/>
      <sheetName val="villa"/>
      <sheetName val="PAD_F"/>
      <sheetName val="Vol Admin&amp;Canteen"/>
      <sheetName val="ME(LB)"/>
      <sheetName val="DRUP (ASLI)"/>
      <sheetName val="Daftar Harga"/>
      <sheetName val="FORMA2A2"/>
      <sheetName val="FORMB2"/>
      <sheetName val="UPAH PRINT"/>
      <sheetName val="UPAH&amp;BHN"/>
      <sheetName val="ISIAN"/>
      <sheetName val="RINCIAN HAR06"/>
      <sheetName val="compaction"/>
      <sheetName val="Meto"/>
      <sheetName val="TPI"/>
      <sheetName val="schalt"/>
      <sheetName val="schtng"/>
      <sheetName val="schbhn"/>
      <sheetName val="Tanaman"/>
      <sheetName val="Grading Tahap 1"/>
      <sheetName val="MT_an"/>
      <sheetName val="BA Arit"/>
      <sheetName val="KH-Q1,Q2,01"/>
      <sheetName val="MC0"/>
      <sheetName val="K.7XX"/>
      <sheetName val="Summery_ME3"/>
      <sheetName val="Bill_Item_Ac3"/>
      <sheetName val="An_Ars"/>
      <sheetName val="bahu-argawastu"/>
      <sheetName val="Daftar Upah n Bahan"/>
      <sheetName val="DAF-9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9">
          <cell r="F9">
            <v>35000</v>
          </cell>
        </row>
        <row r="33">
          <cell r="F33">
            <v>20000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 refreshError="1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/>
      <sheetData sheetId="406"/>
      <sheetData sheetId="407"/>
      <sheetData sheetId="408" refreshError="1"/>
      <sheetData sheetId="409" refreshError="1"/>
      <sheetData sheetId="410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"/>
      <sheetName val="SRT"/>
      <sheetName val="lamp.7"/>
      <sheetName val="lamp.8"/>
      <sheetName val="ALT(lamp.9)"/>
      <sheetName val="subkon(lamp.11)"/>
      <sheetName val="lamp.12a"/>
      <sheetName val="lamp.13"/>
      <sheetName val="REK"/>
      <sheetName val="BOQ"/>
      <sheetName val="SCH"/>
      <sheetName val="HSD"/>
      <sheetName val="ANA"/>
      <sheetName val="ANA 2b"/>
      <sheetName val="MET"/>
      <sheetName val="MET (BAK)"/>
      <sheetName val="MOB"/>
      <sheetName val="MOS"/>
      <sheetName val="STF"/>
      <sheetName val="DLM"/>
      <sheetName val="BALT"/>
      <sheetName val="LMP.1"/>
      <sheetName val="LMP.2"/>
      <sheetName val="IND"/>
      <sheetName val="CMK"/>
      <sheetName val="TM"/>
      <sheetName val="PE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Str-Ars"/>
      <sheetName val="int-fur"/>
      <sheetName val="Koefisien"/>
      <sheetName val="Tulangan"/>
      <sheetName val="Sheet1"/>
      <sheetName val="Bahan"/>
      <sheetName val="Material"/>
      <sheetName val="Upah"/>
      <sheetName val="DAF-1"/>
      <sheetName val="Mall"/>
      <sheetName val="Rekap Prelim"/>
      <sheetName val="BQ"/>
    </sheetNames>
    <sheetDataSet>
      <sheetData sheetId="0"/>
      <sheetData sheetId="1"/>
      <sheetData sheetId="2"/>
      <sheetData sheetId="3" refreshError="1">
        <row r="8">
          <cell r="J8">
            <v>1.07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"/>
      <sheetName val="RMH"/>
      <sheetName val="REK "/>
      <sheetName val="BHN"/>
      <sheetName val="UP"/>
      <sheetName val="ANS"/>
      <sheetName val="RINCIAN BIAYA (2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 Biaya"/>
      <sheetName val="Kuantitas &amp; Harga"/>
      <sheetName val="Vol"/>
      <sheetName val="Sketsa Takaras 1"/>
      <sheetName val="CROSS"/>
      <sheetName val="Pas. Batu"/>
      <sheetName val="Pekerjaan Utama"/>
      <sheetName val="%"/>
      <sheetName val="Compatibility Rep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.List"/>
      <sheetName val="SPH"/>
      <sheetName val="Sheet1"/>
      <sheetName val="Lamp"/>
      <sheetName val="Adm."/>
      <sheetName val="Jadwal"/>
      <sheetName val="Rekap"/>
      <sheetName val="Bill"/>
      <sheetName val="ahs-1"/>
      <sheetName val="AHS"/>
      <sheetName val="Har.Sat"/>
      <sheetName val="Major"/>
      <sheetName val="Mob"/>
      <sheetName val="Equipm."/>
      <sheetName val=" Staff"/>
      <sheetName val="Organ."/>
      <sheetName val="Subcont"/>
      <sheetName val="Koefisien"/>
      <sheetName val="Material"/>
      <sheetName val="Upa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"/>
      <sheetName val="surat "/>
      <sheetName val="LMP.12"/>
      <sheetName val="REK"/>
      <sheetName val="BOQ"/>
      <sheetName val="HSD"/>
      <sheetName val="DMPU"/>
      <sheetName val="ANA"/>
      <sheetName val="staf"/>
      <sheetName val="alat"/>
      <sheetName val="Met-02"/>
      <sheetName val="MET-BAB-04"/>
      <sheetName val="MET-BAB-06"/>
      <sheetName val="SUBkon"/>
      <sheetName val="SCH"/>
      <sheetName val="MET-BAB-06b"/>
      <sheetName val="Met-Bab-08"/>
      <sheetName val="Met-master"/>
      <sheetName val="ANA LS"/>
      <sheetName val="RTN"/>
      <sheetName val="Met Rtn"/>
      <sheetName val="MOS"/>
      <sheetName val="LMP.6"/>
      <sheetName val="Kar"/>
      <sheetName val="BALT"/>
      <sheetName val="IND"/>
      <sheetName val="Sheet2"/>
      <sheetName val="Sheet2 (2)"/>
      <sheetName val="Sheet1"/>
      <sheetName val="Sheet1 (2)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UB KON"/>
      <sheetName val="Komponen"/>
      <sheetName val="On Site_Besi ulir"/>
      <sheetName val="AHS HRS-WC"/>
      <sheetName val="Urai _Resap pengikat"/>
      <sheetName val="Met_LPA"/>
      <sheetName val="On Site_aspal"/>
      <sheetName val="AHS Lapon Klas A"/>
      <sheetName val="bq"/>
      <sheetName val="Upah, Bahan dan Alat "/>
      <sheetName val="Rekap"/>
      <sheetName val="On Site_Besi"/>
      <sheetName val="Met_Hrs base"/>
      <sheetName val="On Site_Semen"/>
      <sheetName val="ALAT"/>
      <sheetName val="Met-HRS AC"/>
      <sheetName val="AHS HRS-BASE"/>
      <sheetName val="AHS Ps Batu"/>
      <sheetName val="Met Pas Batu"/>
      <sheetName val="On Site_Batu pecah"/>
      <sheetName val="On Site_Pasir"/>
      <sheetName val="On Site_Pasir Beton"/>
      <sheetName val="On Site_Agregat B"/>
      <sheetName val="STAF"/>
      <sheetName val="Ahs LPB"/>
      <sheetName val="Urai_LPB)"/>
      <sheetName val="Ahs Resap Pengikat"/>
      <sheetName val="Ahs Resap Perekat "/>
      <sheetName val="Urai _Lapis Perekat"/>
      <sheetName val="Schdl"/>
      <sheetName val="Urai_(HRS-BASE) "/>
      <sheetName val="Urai Pas Batu"/>
      <sheetName val="BAG-2"/>
      <sheetName val="Material"/>
      <sheetName val="Metod TWR"/>
      <sheetName val="analisa"/>
      <sheetName val="SAT-BHN"/>
      <sheetName val="BOQ"/>
      <sheetName val="C"/>
      <sheetName val="MT"/>
      <sheetName val="Rekap Direct Cost"/>
      <sheetName val="BQ (by owner)"/>
      <sheetName val="rab me (fisik)"/>
      <sheetName val="rab me (by owner) "/>
      <sheetName val="Currency Rate"/>
      <sheetName val="LOADDAT"/>
      <sheetName val="tifico"/>
      <sheetName val="Basic Price"/>
      <sheetName val="Anls"/>
      <sheetName val="PERSIAPAN"/>
      <sheetName val="Analisa STR"/>
      <sheetName val="Bill 2"/>
      <sheetName val="main summary"/>
      <sheetName val="Cover Daf-2"/>
      <sheetName val="Cover Daf_2"/>
      <sheetName val="Cover"/>
      <sheetName val="Rek-Mec"/>
      <sheetName val="unit_rate"/>
      <sheetName val="DAF-MATERIAL"/>
      <sheetName val="STRUKTUR"/>
      <sheetName val="AC"/>
      <sheetName val="I-KAMAR"/>
      <sheetName val="I_KAMAR"/>
      <sheetName val="MVC"/>
      <sheetName val="H.Satuan"/>
      <sheetName val="rekap1"/>
      <sheetName val="Kuantitas &amp; Harga"/>
      <sheetName val="Ana"/>
      <sheetName val="PO2"/>
      <sheetName val="PBK-01"/>
      <sheetName val="terendah"/>
      <sheetName val="SEX"/>
      <sheetName val="K"/>
      <sheetName val="Kuantitas &amp; Harga "/>
      <sheetName val="Hargamat"/>
      <sheetName val="Elektrikal"/>
      <sheetName val="H-BHN"/>
      <sheetName val="ESCON"/>
      <sheetName val="RAB"/>
      <sheetName val="S_DAYA"/>
      <sheetName val="Met_Pas Batu"/>
      <sheetName val="Met_ Minor"/>
      <sheetName val="Mobilisasi"/>
      <sheetName val="Hrg Mat dasar"/>
      <sheetName val="Koefisien"/>
      <sheetName val="HB"/>
      <sheetName val="Bahan"/>
      <sheetName val="UPAH"/>
      <sheetName val="Harsat Rek"/>
      <sheetName val="SAT"/>
      <sheetName val="Anal"/>
      <sheetName val="REK"/>
      <sheetName val="Analisa Biaya Alat"/>
      <sheetName val="RAPlenk"/>
      <sheetName val="Harsat"/>
      <sheetName val="FINISHING"/>
      <sheetName val="Harga satuan"/>
      <sheetName val="3-DIV2"/>
      <sheetName val="Anl. Mobilisasi"/>
    </sheetNames>
    <sheetDataSet>
      <sheetData sheetId="0"/>
      <sheetData sheetId="1" refreshError="1"/>
      <sheetData sheetId="2" refreshError="1"/>
      <sheetData sheetId="3"/>
      <sheetData sheetId="4"/>
      <sheetData sheetId="5">
        <row r="12">
          <cell r="G12" t="str">
            <v>L</v>
          </cell>
        </row>
      </sheetData>
      <sheetData sheetId="6"/>
      <sheetData sheetId="7"/>
      <sheetData sheetId="8">
        <row r="132">
          <cell r="D132" t="str">
            <v>WAKTU PELAKSANAAN YANG DIPERLUKAN</v>
          </cell>
        </row>
      </sheetData>
      <sheetData sheetId="9"/>
      <sheetData sheetId="10"/>
      <sheetData sheetId="11"/>
      <sheetData sheetId="12"/>
      <sheetData sheetId="13">
        <row r="12">
          <cell r="G12" t="str">
            <v>L</v>
          </cell>
        </row>
      </sheetData>
      <sheetData sheetId="14"/>
      <sheetData sheetId="15"/>
      <sheetData sheetId="16"/>
      <sheetData sheetId="17"/>
      <sheetData sheetId="18">
        <row r="12">
          <cell r="G12" t="str">
            <v>L</v>
          </cell>
        </row>
      </sheetData>
      <sheetData sheetId="19">
        <row r="12">
          <cell r="G12" t="str">
            <v>L</v>
          </cell>
        </row>
      </sheetData>
      <sheetData sheetId="20">
        <row r="12">
          <cell r="G12" t="str">
            <v>L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>
        <row r="12">
          <cell r="G12" t="str">
            <v>L</v>
          </cell>
        </row>
      </sheetData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_CODES"/>
      <sheetName val="SUMMARY"/>
      <sheetName val="Indirect_PMS"/>
      <sheetName val="MP_PMS"/>
      <sheetName val="Travell_PMS"/>
      <sheetName val="Indirect_Eng"/>
      <sheetName val="MP_ENG"/>
      <sheetName val="Travel_Eng"/>
      <sheetName val="Indirect_Const"/>
      <sheetName val="MP_Const"/>
      <sheetName val="Travel_Constr"/>
      <sheetName val="Mechanical"/>
      <sheetName val="Constr_Equip't_forMech"/>
      <sheetName val="Painting_Mech"/>
      <sheetName val="Insulation&amp;RubberLining"/>
      <sheetName val="Piping_Mat"/>
      <sheetName val="Piping_Erection"/>
      <sheetName val="Civil_Package"/>
      <sheetName val="Electrical"/>
      <sheetName val="Instrument"/>
      <sheetName val="Scope_Work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Estimate"/>
      <sheetName val="mobilisasi"/>
      <sheetName val="D3"/>
      <sheetName val="D4"/>
      <sheetName val="D6"/>
      <sheetName val="D7"/>
      <sheetName val="D8"/>
      <sheetName val="rutin"/>
      <sheetName val="10.1 (1)"/>
      <sheetName val="10.1 (2)"/>
      <sheetName val="10.1 (3)"/>
      <sheetName val="10.1 (4)"/>
      <sheetName val="10.1 (5)"/>
      <sheetName val="Harga S Dasar"/>
      <sheetName val="alat"/>
      <sheetName val="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kap Biaya"/>
      <sheetName val="Daftar Kuantitas &amp; Harga"/>
      <sheetName val="Skedul Terinci"/>
      <sheetName val="Skedul Terinci rev 1"/>
      <sheetName val="Mob Plan Material"/>
      <sheetName val="Mob Plan Material rev 1"/>
      <sheetName val="Mob Plan Alat"/>
      <sheetName val="Mob Plan Alat rev 1"/>
      <sheetName val="Skedul Mobilisasi SC n AMP"/>
      <sheetName val="Material"/>
      <sheetName val="Material rev 1"/>
      <sheetName val="Mobilisasi"/>
      <sheetName val="D2"/>
      <sheetName val="D3"/>
      <sheetName val="D4"/>
      <sheetName val="D5"/>
      <sheetName val="D6"/>
      <sheetName val="D7"/>
      <sheetName val="D8"/>
      <sheetName val="10.1 (1)"/>
      <sheetName val="10.1 (2)"/>
      <sheetName val="10.1 (3)"/>
      <sheetName val="10.1 (4)"/>
      <sheetName val="agregat"/>
      <sheetName val="quary"/>
      <sheetName val="D9"/>
      <sheetName val="D10"/>
      <sheetName val="Rekap Rutin"/>
      <sheetName val="Lump Sum Rutin"/>
      <sheetName val="Kap Pemecah Batu"/>
      <sheetName val="Kap AMP"/>
      <sheetName val="Harga S Dasar"/>
      <sheetName val="Material O Site"/>
      <sheetName val="Kebutuhan Alat"/>
      <sheetName val="Jadual"/>
      <sheetName val="Jadual alat"/>
      <sheetName val="Jadual bahan"/>
      <sheetName val="Mata Pem Utama"/>
      <sheetName val="Sub Kon"/>
      <sheetName val="Daftar Lamp"/>
      <sheetName val="Alat"/>
      <sheetName val="Data Kontrak"/>
      <sheetName val="Data Proye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PU"/>
      <sheetName val="Daf_alat"/>
      <sheetName val="Subkon"/>
      <sheetName val="Jadual(T)"/>
      <sheetName val="Summary"/>
      <sheetName val="Estimate"/>
      <sheetName val="mobilisasi"/>
      <sheetName val="D4"/>
      <sheetName val="D6"/>
      <sheetName val="D7"/>
      <sheetName val="D8"/>
      <sheetName val="rutin"/>
      <sheetName val="10.1 (1)"/>
      <sheetName val="10.1 (2)"/>
      <sheetName val="10.1 (3)"/>
      <sheetName val="10.1 (4)"/>
      <sheetName val="10.1 (5)"/>
      <sheetName val="Harga S Dasar"/>
      <sheetName val="Daftar Harga Sa"/>
      <sheetName val="alat"/>
      <sheetName val="."/>
      <sheetName val="Daftar Harga Bahan"/>
      <sheetName val="indirect"/>
      <sheetName val="Subcont"/>
      <sheetName val="Koefisien"/>
      <sheetName val="Material"/>
      <sheetName val="Anl"/>
      <sheetName val="Demak-Godong-Purwodadi_BQ"/>
      <sheetName val="41,9&amp;36,3"/>
      <sheetName val="H_BATU"/>
      <sheetName val="H_BE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t-bnt"/>
      <sheetName val="Summary"/>
      <sheetName val="BQ"/>
      <sheetName val="Estimate"/>
      <sheetName val="mobilisasi"/>
      <sheetName val="D2"/>
      <sheetName val="D3"/>
      <sheetName val="D4"/>
      <sheetName val="D5"/>
      <sheetName val="D6"/>
      <sheetName val="D7"/>
      <sheetName val="D8"/>
      <sheetName val="rutin"/>
      <sheetName val="10.1 (1)"/>
      <sheetName val="10.1 (2)"/>
      <sheetName val="10.1 (3)"/>
      <sheetName val="10.1 (4)"/>
      <sheetName val="10.1 (5)"/>
      <sheetName val="."/>
      <sheetName val="Harga S Dasar"/>
      <sheetName val="alat"/>
      <sheetName val="agregat"/>
      <sheetName val="quary"/>
      <sheetName val="D9"/>
      <sheetName val="D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RAB"/>
      <sheetName val="Analisa"/>
      <sheetName val="Harga Satuan"/>
      <sheetName val="BAHAN_STR"/>
      <sheetName val="Hrg.Sat"/>
      <sheetName val="D3_1"/>
      <sheetName val="D3.1"/>
      <sheetName val="listrik"/>
      <sheetName val="Koefisien"/>
      <sheetName val="KOLAM RENANG"/>
      <sheetName val="jalan akses"/>
      <sheetName val="GRC BELAKANG"/>
      <sheetName val="vo 90 plafon driveway"/>
      <sheetName val="vo 90 plafon driveway (2)"/>
      <sheetName val="D4"/>
      <sheetName val="D6"/>
      <sheetName val="D7"/>
      <sheetName val="D8"/>
      <sheetName val="H.Satuan"/>
      <sheetName val="UPAH PEKERJA"/>
      <sheetName val="3"/>
      <sheetName val="H-Dasar"/>
      <sheetName val="HB"/>
      <sheetName val="Meto"/>
      <sheetName val="Harga_Satuan"/>
      <sheetName val="D3_11"/>
      <sheetName val="KOLAM_RENANG"/>
      <sheetName val="jalan_akses"/>
      <sheetName val="GRC_BELAKANG"/>
      <sheetName val="vo_90_plafon_driveway"/>
      <sheetName val="vo_90_plafon_driveway_(2)"/>
      <sheetName val="Material"/>
      <sheetName val="10.1 (4)"/>
      <sheetName val="10.1 (5)"/>
      <sheetName val="SELL-SUMM-COST"/>
      <sheetName val="Ana"/>
      <sheetName val="harsat_upah"/>
      <sheetName val="Rekap Prelim"/>
      <sheetName val="DAF-1"/>
      <sheetName val="harsat&amp;upah"/>
      <sheetName val="Rekap Direct Cost"/>
      <sheetName val="D2.2"/>
      <sheetName val="Metod TWR"/>
      <sheetName val="Hrg_Sat"/>
      <sheetName val="RAB_RS"/>
      <sheetName val="UPAH + ALAT"/>
      <sheetName val="BAHAN"/>
      <sheetName val="Lap Mingguan"/>
      <sheetName val="Basic P"/>
      <sheetName val="BQ (by owner)"/>
      <sheetName val="rab me (fisik)"/>
      <sheetName val="D2"/>
      <sheetName val="D5"/>
      <sheetName val="Harga S Dasar"/>
      <sheetName val="Upah"/>
      <sheetName val="Hargamat"/>
      <sheetName val="MTa"/>
      <sheetName val="rab me (by owner) "/>
      <sheetName val="summary "/>
      <sheetName val="ana_str"/>
      <sheetName val="Div3"/>
      <sheetName val="BREAKER"/>
      <sheetName val="Basic Price"/>
      <sheetName val="B.T"/>
      <sheetName val="326BQSTC"/>
      <sheetName val="trf 7 jht"/>
      <sheetName val="Rekap DBAK"/>
      <sheetName val="ME UMY"/>
      <sheetName val="harsat"/>
      <sheetName val="strukturC"/>
      <sheetName val="Tataudara"/>
      <sheetName val="000000"/>
      <sheetName val="Sheet1"/>
      <sheetName val="rab-SAPHIR"/>
      <sheetName val="AHS"/>
      <sheetName val="B.2.1 NON STD_PEMAT &amp; DDG PNHN"/>
      <sheetName val="DAFMAT"/>
      <sheetName val="Elektrikal"/>
      <sheetName val="③赤紙(日文)"/>
      <sheetName val="Analisa HS"/>
      <sheetName val="당초"/>
      <sheetName val="DAF-9"/>
      <sheetName val="HARGA MATERIAL"/>
      <sheetName val="Hrg Satuan"/>
      <sheetName val="MT_an"/>
      <sheetName val="Vibro_Roller"/>
      <sheetName val="HB me"/>
      <sheetName val="Master Edit"/>
      <sheetName val="D3"/>
      <sheetName val="upah bahan"/>
      <sheetName val="MUNAV"/>
      <sheetName val="Marketing"/>
      <sheetName val="Upah+Bahan"/>
      <sheetName val="CF-satu"/>
      <sheetName val="CF Rp-USD"/>
      <sheetName val="H-Bahan"/>
      <sheetName val="Harga Upah"/>
      <sheetName val="SUMMARY"/>
      <sheetName val="Daf.Harga-Upah"/>
      <sheetName val="Management"/>
      <sheetName val="Anal"/>
      <sheetName val="UPAH _ ALAT"/>
      <sheetName val="Analis_LapisPermukaan"/>
      <sheetName val="Analis_Tanah"/>
      <sheetName val="Analis_Drainase"/>
      <sheetName val="Rekap_Direct_Cost"/>
      <sheetName val="Cover"/>
      <sheetName val="HARGA SAT"/>
      <sheetName val="Formula"/>
      <sheetName val="D2.2.1"/>
      <sheetName val="Paint Type B"/>
      <sheetName val="예가표"/>
      <sheetName val="Total"/>
      <sheetName val="Data Alat"/>
      <sheetName val="MS"/>
      <sheetName val="DIVI6"/>
      <sheetName val="Anls-ME Tampil"/>
      <sheetName val="Basic"/>
      <sheetName val="Harga"/>
      <sheetName val="Analis harga"/>
      <sheetName val="UPH,BHN,ALT"/>
      <sheetName val="Panel,feeder,elek"/>
      <sheetName val="H-BHN"/>
      <sheetName val="Piping"/>
      <sheetName val="00_Jumlah Total"/>
      <sheetName val="Analisa Tend (2)"/>
      <sheetName val="ANALISA STRUKTUR "/>
      <sheetName val="REKAP ANALISA TO PRINT"/>
      <sheetName val="H-Bahan &amp; Tenaga"/>
      <sheetName val="lap-bulan"/>
      <sheetName val="hardas"/>
      <sheetName val="own"/>
      <sheetName val="BQ"/>
      <sheetName val="AnMobilisasi"/>
      <sheetName val="I.AB"/>
      <sheetName val="Plumbing"/>
      <sheetName val="KET"/>
      <sheetName val="HRG BHN"/>
      <sheetName val="Daftar Harga"/>
      <sheetName val="koef"/>
      <sheetName val="ARSITEKTUR"/>
      <sheetName val="unit_rate"/>
      <sheetName val="Prelim"/>
      <sheetName val="Kontrak"/>
      <sheetName val="REPORT"/>
      <sheetName val="LABEL"/>
      <sheetName val="D HARGA"/>
      <sheetName val="DB"/>
      <sheetName val="Data"/>
      <sheetName val="Analisa -Baku"/>
      <sheetName val="ALT"/>
      <sheetName val="full"/>
      <sheetName val="LUMPSUM"/>
      <sheetName val="REKAP MEK-PERPUS"/>
      <sheetName val="NP"/>
      <sheetName val="PT."/>
      <sheetName val="Harga_Satuan2"/>
      <sheetName val="Lap_Mingguan1"/>
      <sheetName val="KOLAM_RENANG2"/>
      <sheetName val="jalan_akses2"/>
      <sheetName val="GRC_BELAKANG2"/>
      <sheetName val="vo_90_plafon_driveway2"/>
      <sheetName val="vo_90_plafon_driveway_(2)2"/>
      <sheetName val="Rekap_Direct_Cost2"/>
      <sheetName val="D2_21"/>
      <sheetName val="D3_13"/>
      <sheetName val="UPAH_PEKERJA1"/>
      <sheetName val="Hrg_Sat2"/>
      <sheetName val="Basic_P1"/>
      <sheetName val="H_Satuan1"/>
      <sheetName val="10_1_(4)1"/>
      <sheetName val="10_1_(5)1"/>
      <sheetName val="Rekap_Prelim1"/>
      <sheetName val="Metod_TWR1"/>
      <sheetName val="UPAH_+_ALAT1"/>
      <sheetName val="HB_me1"/>
      <sheetName val="Rekap_DBAK1"/>
      <sheetName val="ME_UMY1"/>
      <sheetName val="Master_Edit1"/>
      <sheetName val="BQ_(by_owner)1"/>
      <sheetName val="rab_me_(fisik)1"/>
      <sheetName val="rab_me_(by_owner)_1"/>
      <sheetName val="upah_bahan1"/>
      <sheetName val="summary_1"/>
      <sheetName val="Analisa_HS1"/>
      <sheetName val="Data_Alat1"/>
      <sheetName val="B_2_1_NON_STD_PEMAT_&amp;_DDG_PNHN1"/>
      <sheetName val="HARGA_SAT1"/>
      <sheetName val="00_Jumlah_Total1"/>
      <sheetName val="Analisa_Tend_(2)1"/>
      <sheetName val="ANALISA_STRUKTUR_1"/>
      <sheetName val="REKAP_ANALISA_TO_PRINT1"/>
      <sheetName val="H-Bahan_&amp;_Tenaga1"/>
      <sheetName val="B_T1"/>
      <sheetName val="Harga_Upah1"/>
      <sheetName val="I_AB1"/>
      <sheetName val="HARGA_MATERIAL1"/>
      <sheetName val="Hrg_Satuan1"/>
      <sheetName val="UPAH___ALAT1"/>
      <sheetName val="Basic_Price1"/>
      <sheetName val="CF_Rp-USD1"/>
      <sheetName val="D2_2_11"/>
      <sheetName val="Anls-ME_Tampil1"/>
      <sheetName val="Daf_Harga-Upah1"/>
      <sheetName val="Paint_Type_B1"/>
      <sheetName val="Analis_harga1"/>
      <sheetName val="HRG_BHN1"/>
      <sheetName val="Daftar_Harga1"/>
      <sheetName val="D_HARGA1"/>
      <sheetName val="Harga_Satuan1"/>
      <sheetName val="Lap_Mingguan"/>
      <sheetName val="KOLAM_RENANG1"/>
      <sheetName val="jalan_akses1"/>
      <sheetName val="GRC_BELAKANG1"/>
      <sheetName val="vo_90_plafon_driveway1"/>
      <sheetName val="vo_90_plafon_driveway_(2)1"/>
      <sheetName val="Rekap_Direct_Cost1"/>
      <sheetName val="D2_2"/>
      <sheetName val="D3_12"/>
      <sheetName val="UPAH_PEKERJA"/>
      <sheetName val="Hrg_Sat1"/>
      <sheetName val="Basic_P"/>
      <sheetName val="H_Satuan"/>
      <sheetName val="10_1_(4)"/>
      <sheetName val="10_1_(5)"/>
      <sheetName val="Rekap_Prelim"/>
      <sheetName val="Metod_TWR"/>
      <sheetName val="UPAH_+_ALAT"/>
      <sheetName val="HB_me"/>
      <sheetName val="Rekap_DBAK"/>
      <sheetName val="ME_UMY"/>
      <sheetName val="Master_Edit"/>
      <sheetName val="BQ_(by_owner)"/>
      <sheetName val="rab_me_(fisik)"/>
      <sheetName val="rab_me_(by_owner)_"/>
      <sheetName val="upah_bahan"/>
      <sheetName val="summary_"/>
      <sheetName val="Analisa_HS"/>
      <sheetName val="Data_Alat"/>
      <sheetName val="B_2_1_NON_STD_PEMAT_&amp;_DDG_PNHN"/>
      <sheetName val="HARGA_SAT"/>
      <sheetName val="00_Jumlah_Total"/>
      <sheetName val="Analisa_Tend_(2)"/>
      <sheetName val="ANALISA_STRUKTUR_"/>
      <sheetName val="REKAP_ANALISA_TO_PRINT"/>
      <sheetName val="H-Bahan_&amp;_Tenaga"/>
      <sheetName val="B_T"/>
      <sheetName val="Harga_Upah"/>
      <sheetName val="I_AB"/>
      <sheetName val="HARGA_MATERIAL"/>
      <sheetName val="Hrg_Satuan"/>
      <sheetName val="UPAH___ALAT"/>
      <sheetName val="Basic_Price"/>
      <sheetName val="CF_Rp-USD"/>
      <sheetName val="D2_2_1"/>
      <sheetName val="Anls-ME_Tampil"/>
      <sheetName val="Daf_Harga-Upah"/>
      <sheetName val="Paint_Type_B"/>
      <sheetName val="Analis_harga"/>
      <sheetName val="HRG_BHN"/>
      <sheetName val="Daftar_Harga"/>
      <sheetName val="D_HARGA"/>
      <sheetName val="Harga_Satuan3"/>
      <sheetName val="Lap_Mingguan2"/>
      <sheetName val="KOLAM_RENANG3"/>
      <sheetName val="jalan_akses3"/>
      <sheetName val="GRC_BELAKANG3"/>
      <sheetName val="vo_90_plafon_driveway3"/>
      <sheetName val="vo_90_plafon_driveway_(2)3"/>
      <sheetName val="Rekap_Direct_Cost3"/>
      <sheetName val="D2_22"/>
      <sheetName val="D3_14"/>
      <sheetName val="UPAH_PEKERJA2"/>
      <sheetName val="Hrg_Sat3"/>
      <sheetName val="Basic_P2"/>
      <sheetName val="H_Satuan2"/>
      <sheetName val="10_1_(4)2"/>
      <sheetName val="10_1_(5)2"/>
      <sheetName val="Rekap_Prelim2"/>
      <sheetName val="Metod_TWR2"/>
      <sheetName val="UPAH_+_ALAT2"/>
      <sheetName val="HB_me2"/>
      <sheetName val="Rekap_DBAK2"/>
      <sheetName val="ME_UMY2"/>
      <sheetName val="Master_Edit2"/>
      <sheetName val="BQ_(by_owner)2"/>
      <sheetName val="rab_me_(fisik)2"/>
      <sheetName val="rab_me_(by_owner)_2"/>
      <sheetName val="upah_bahan2"/>
      <sheetName val="summary_2"/>
      <sheetName val="Analisa_HS2"/>
      <sheetName val="Data_Alat2"/>
      <sheetName val="B_2_1_NON_STD_PEMAT_&amp;_DDG_PNHN2"/>
      <sheetName val="HARGA_SAT2"/>
      <sheetName val="00_Jumlah_Total2"/>
      <sheetName val="Analisa_Tend_(2)2"/>
      <sheetName val="ANALISA_STRUKTUR_2"/>
      <sheetName val="REKAP_ANALISA_TO_PRINT2"/>
      <sheetName val="H-Bahan_&amp;_Tenaga2"/>
      <sheetName val="B_T2"/>
      <sheetName val="Harga_Upah2"/>
      <sheetName val="I_AB2"/>
      <sheetName val="HARGA_MATERIAL2"/>
      <sheetName val="Hrg_Satuan2"/>
      <sheetName val="UPAH___ALAT2"/>
      <sheetName val="Basic_Price2"/>
      <sheetName val="CF_Rp-USD2"/>
      <sheetName val="D2_2_12"/>
      <sheetName val="Anls-ME_Tampil2"/>
      <sheetName val="Daf_Harga-Upah2"/>
      <sheetName val="Paint_Type_B2"/>
      <sheetName val="Analis_harga2"/>
      <sheetName val="HRG_BHN2"/>
      <sheetName val="Daftar_Harga2"/>
      <sheetName val="D_HARGA2"/>
      <sheetName val="Harga_Satuan4"/>
      <sheetName val="Lap_Mingguan3"/>
      <sheetName val="KOLAM_RENANG4"/>
      <sheetName val="jalan_akses4"/>
      <sheetName val="GRC_BELAKANG4"/>
      <sheetName val="vo_90_plafon_driveway4"/>
      <sheetName val="vo_90_plafon_driveway_(2)4"/>
      <sheetName val="Rekap_Direct_Cost4"/>
      <sheetName val="D2_23"/>
      <sheetName val="D3_15"/>
      <sheetName val="UPAH_PEKERJA3"/>
      <sheetName val="Hrg_Sat4"/>
      <sheetName val="Basic_P3"/>
      <sheetName val="H_Satuan3"/>
      <sheetName val="10_1_(4)3"/>
      <sheetName val="10_1_(5)3"/>
      <sheetName val="Rekap_Prelim3"/>
      <sheetName val="Metod_TWR3"/>
      <sheetName val="UPAH_+_ALAT3"/>
      <sheetName val="HB_me3"/>
      <sheetName val="Rekap_DBAK3"/>
      <sheetName val="ME_UMY3"/>
      <sheetName val="Master_Edit3"/>
      <sheetName val="BQ_(by_owner)3"/>
      <sheetName val="rab_me_(fisik)3"/>
      <sheetName val="rab_me_(by_owner)_3"/>
      <sheetName val="upah_bahan3"/>
      <sheetName val="summary_3"/>
      <sheetName val="Analisa_HS3"/>
      <sheetName val="Data_Alat3"/>
      <sheetName val="B_2_1_NON_STD_PEMAT_&amp;_DDG_PNHN3"/>
      <sheetName val="HARGA_SAT3"/>
      <sheetName val="00_Jumlah_Total3"/>
      <sheetName val="Analisa_Tend_(2)3"/>
      <sheetName val="ANALISA_STRUKTUR_3"/>
      <sheetName val="REKAP_ANALISA_TO_PRINT3"/>
      <sheetName val="H-Bahan_&amp;_Tenaga3"/>
      <sheetName val="B_T3"/>
      <sheetName val="Harga_Upah3"/>
      <sheetName val="I_AB3"/>
      <sheetName val="HARGA_MATERIAL3"/>
      <sheetName val="Hrg_Satuan3"/>
      <sheetName val="UPAH___ALAT3"/>
      <sheetName val="Basic_Price3"/>
      <sheetName val="CF_Rp-USD3"/>
      <sheetName val="D2_2_13"/>
      <sheetName val="Anls-ME_Tampil3"/>
      <sheetName val="Daf_Harga-Upah3"/>
      <sheetName val="Paint_Type_B3"/>
      <sheetName val="Analis_harga3"/>
      <sheetName val="HRG_BHN3"/>
      <sheetName val="Daftar_Harga3"/>
      <sheetName val="D_HARGA3"/>
      <sheetName val="REKAP_MEK-PERPUS"/>
      <sheetName val="Rek-Mec"/>
      <sheetName val="ERECTION"/>
      <sheetName val="DAFT_ALAT,UPAH &amp; MAT"/>
      <sheetName val="tifico"/>
      <sheetName val="I-KAMAR"/>
      <sheetName val="I_KAMAR"/>
      <sheetName val="4. aktivitas proyek"/>
      <sheetName val="BIIL ASLI"/>
      <sheetName val="STAF"/>
      <sheetName val="Faktor"/>
      <sheetName val="Rates"/>
      <sheetName val="coef"/>
      <sheetName val="DATE"/>
      <sheetName val="CH"/>
      <sheetName val="Rekap A"/>
      <sheetName val="??"/>
      <sheetName val="???"/>
      <sheetName val="???(??)"/>
      <sheetName val="__"/>
      <sheetName val="___"/>
      <sheetName val="___(__)"/>
      <sheetName val="Duc-3"/>
      <sheetName val="Duc_3"/>
      <sheetName val="H_Bahan"/>
      <sheetName val="R.  Elektronikal"/>
      <sheetName val="AC"/>
      <sheetName val="factor"/>
      <sheetName val="BHN"/>
      <sheetName val="BQ asli"/>
      <sheetName val="DASH"/>
      <sheetName val="RAW MATERIALS "/>
      <sheetName val="COST-PERSON-J.O."/>
      <sheetName val="RENTAL1"/>
      <sheetName val="analys"/>
      <sheetName val="TU"/>
      <sheetName val="RUKO TYPE 1"/>
      <sheetName val="PO-2"/>
      <sheetName val="DEKAN"/>
      <sheetName val="BARU-3"/>
      <sheetName val="BARU-4 "/>
      <sheetName val="Indirect_Const"/>
      <sheetName val="M+MC"/>
      <sheetName val="atap"/>
      <sheetName val="Pipa Bakrie"/>
      <sheetName val="Valve-Hyd"/>
      <sheetName val="Sheet"/>
      <sheetName val="indirect"/>
      <sheetName val="SUM"/>
      <sheetName val="hs_ars"/>
      <sheetName val="Ganti Freon"/>
      <sheetName val="an_price"/>
      <sheetName val="B - Norelec"/>
      <sheetName val="A-BANTU"/>
      <sheetName val="HS BAHAN"/>
      <sheetName val="ESCON"/>
      <sheetName val="Penjumlahan"/>
      <sheetName val="FORM X COST"/>
      <sheetName val="Pricing"/>
      <sheetName val="Rate"/>
      <sheetName val="Harga Bahan &amp; Upah"/>
      <sheetName val="ANALISAGATE"/>
      <sheetName val="time scedul "/>
      <sheetName val="SBhn"/>
      <sheetName val="MU"/>
      <sheetName val="Harga S Dasar UNTUK IDISI"/>
      <sheetName val="GRADASI KELAS A (2)"/>
      <sheetName val="Informasi"/>
      <sheetName val="Analis"/>
      <sheetName val="D7  okee"/>
      <sheetName val="SAT-UP"/>
      <sheetName val="BOX PANEL"/>
      <sheetName val="HSD"/>
      <sheetName val="4-Basic Price"/>
      <sheetName val="idc"/>
      <sheetName val="1001_15a (2)"/>
      <sheetName val="H-SAT"/>
      <sheetName val="EQ_an"/>
      <sheetName val="BIAYA PERALATAN"/>
      <sheetName val="Summary IP"/>
      <sheetName val="HS Alat"/>
      <sheetName val="Div 9 - Harian"/>
      <sheetName val="HS Upah"/>
      <sheetName val="MT0"/>
      <sheetName val="Lamp.13"/>
      <sheetName val="HB "/>
      <sheetName val="Lap Bulanan"/>
      <sheetName val="ES STG"/>
      <sheetName val="REKAP UTAMA"/>
      <sheetName val="Indeks"/>
      <sheetName val="CF-Rp-USD"/>
      <sheetName val="Man Power"/>
      <sheetName val="RKP PLUMBING"/>
      <sheetName val="PPC"/>
      <sheetName val="bhn "/>
      <sheetName val="MT"/>
      <sheetName val="Resume-Analisa"/>
      <sheetName val="Graph (LGEN)"/>
      <sheetName val="out_prog"/>
      <sheetName val="선적schedule (2)"/>
      <sheetName val="Metode 1"/>
      <sheetName val="analisa upah_bahan"/>
      <sheetName val="Asrama Lt.1"/>
      <sheetName val="III"/>
      <sheetName val="Analisa Harga Satuan"/>
      <sheetName val="FORM 7"/>
      <sheetName val="Kuantitas &amp; Harga"/>
      <sheetName val="dft harga"/>
      <sheetName val="K.0XX"/>
      <sheetName val="K.1XX"/>
      <sheetName val="K.2XX"/>
      <sheetName val="K.3XX"/>
      <sheetName val="K.6XX"/>
      <sheetName val="K.8XX"/>
      <sheetName val="SURAT PENAWARAN"/>
      <sheetName val="F ALARM"/>
      <sheetName val="Pipe"/>
      <sheetName val="Lt 1"/>
      <sheetName val="Peralatan"/>
      <sheetName val="MP"/>
      <sheetName val="bahan dan upah"/>
      <sheetName val="Bab 6 -3(5)"/>
      <sheetName val="2.3(2) Gor"/>
      <sheetName val="8.4.2 Rambu"/>
      <sheetName val="SAT-DAS"/>
      <sheetName val="EQ"/>
      <sheetName val="STA"/>
      <sheetName val="PCG"/>
      <sheetName val="DSN"/>
      <sheetName val="Lamp-4 Sat-Das"/>
      <sheetName val="Isian Biodata"/>
      <sheetName val="Valid"/>
      <sheetName val="extern"/>
      <sheetName val="BOQ"/>
      <sheetName val="NP7"/>
      <sheetName val="alat"/>
      <sheetName val="10.1 (1)"/>
      <sheetName val="10.1 (3)"/>
      <sheetName val="ANALIS TRUNA"/>
      <sheetName val="COSTING Option 1"/>
      <sheetName val="RA"/>
      <sheetName val="dafharbhn"/>
      <sheetName val="Analtanah"/>
      <sheetName val="Jenis Kontrak"/>
      <sheetName val="Output"/>
      <sheetName val="Provinsi"/>
      <sheetName val="Satuan"/>
      <sheetName val="Tematik"/>
      <sheetName val="Perhitungan RAB"/>
      <sheetName val="PT_"/>
      <sheetName val="PT_1"/>
      <sheetName val="PT_2"/>
      <sheetName val="PT_3"/>
      <sheetName val="Harga_Satuan5"/>
      <sheetName val="PT_4"/>
      <sheetName val="D3_16"/>
      <sheetName val="KOLAM_RENANG5"/>
      <sheetName val="jalan_akses5"/>
      <sheetName val="GRC_BELAKANG5"/>
      <sheetName val="vo_90_plafon_driveway5"/>
      <sheetName val="vo_90_plafon_driveway_(2)5"/>
      <sheetName val="10_1_(4)4"/>
      <sheetName val="10_1_(5)4"/>
      <sheetName val="Hrg_Sat5"/>
      <sheetName val="H_Satuan4"/>
      <sheetName val="Rekap_Prelim4"/>
      <sheetName val="Rekap_DBAK4"/>
      <sheetName val="ME_UMY4"/>
      <sheetName val="Basic_P4"/>
      <sheetName val="UPAH_PEKERJA4"/>
      <sheetName val="D2_24"/>
      <sheetName val="Basic_Price4"/>
      <sheetName val="Lap_Mingguan4"/>
      <sheetName val="D2_2_14"/>
      <sheetName val="Anls-ME_Tampil4"/>
      <sheetName val="UPAH_+_ALAT4"/>
      <sheetName val="Metod_TWR4"/>
      <sheetName val="Analisa_HS4"/>
      <sheetName val="Daf_Harga-Upah4"/>
      <sheetName val="UPAH___ALAT4"/>
      <sheetName val="BQ_(by_owner)4"/>
      <sheetName val="rab_me_(fisik)4"/>
      <sheetName val="rab_me_(by_owner)_4"/>
      <sheetName val="summary_4"/>
      <sheetName val="B_2_1_NON_STD_PEMAT_&amp;_DDG_PNHN4"/>
      <sheetName val="HRG_BHN4"/>
      <sheetName val="Paint_Type_B4"/>
      <sheetName val="B_T4"/>
      <sheetName val="Harga_Satuan6"/>
      <sheetName val="PT_5"/>
      <sheetName val="D3_17"/>
      <sheetName val="10_1_(4)5"/>
      <sheetName val="10_1_(5)5"/>
      <sheetName val="KOLAM_RENANG6"/>
      <sheetName val="jalan_akses6"/>
      <sheetName val="GRC_BELAKANG6"/>
      <sheetName val="vo_90_plafon_driveway6"/>
      <sheetName val="vo_90_plafon_driveway_(2)6"/>
      <sheetName val="Hrg_Sat6"/>
      <sheetName val="H_Satuan5"/>
      <sheetName val="Rekap_Direct_Cost5"/>
      <sheetName val="Rekap_DBAK5"/>
      <sheetName val="ME_UMY5"/>
      <sheetName val="Rekap_Prelim5"/>
      <sheetName val="Basic_Price5"/>
      <sheetName val="Basic_P5"/>
      <sheetName val="UPAH_PEKERJA5"/>
      <sheetName val="D2_25"/>
      <sheetName val="Lap_Mingguan5"/>
      <sheetName val="D2_2_15"/>
      <sheetName val="Anls-ME_Tampil5"/>
      <sheetName val="UPAH_+_ALAT5"/>
      <sheetName val="Metod_TWR5"/>
      <sheetName val="Analisa_HS5"/>
      <sheetName val="Daf_Harga-Upah5"/>
      <sheetName val="UPAH___ALAT5"/>
      <sheetName val="BQ_(by_owner)5"/>
      <sheetName val="rab_me_(fisik)5"/>
      <sheetName val="rab_me_(by_owner)_5"/>
      <sheetName val="summary_5"/>
      <sheetName val="B_2_1_NON_STD_PEMAT_&amp;_DDG_PNHN5"/>
      <sheetName val="HRG_BHN5"/>
      <sheetName val="Paint_Type_B5"/>
      <sheetName val="B_T5"/>
      <sheetName val="Harga_Satuan7"/>
      <sheetName val="PT_6"/>
      <sheetName val="D3_18"/>
      <sheetName val="10_1_(4)6"/>
      <sheetName val="10_1_(5)6"/>
      <sheetName val="KOLAM_RENANG7"/>
      <sheetName val="jalan_akses7"/>
      <sheetName val="GRC_BELAKANG7"/>
      <sheetName val="vo_90_plafon_driveway7"/>
      <sheetName val="vo_90_plafon_driveway_(2)7"/>
      <sheetName val="Hrg_Sat7"/>
      <sheetName val="H_Satuan6"/>
      <sheetName val="Rekap_Direct_Cost6"/>
      <sheetName val="Rekap_DBAK6"/>
      <sheetName val="ME_UMY6"/>
      <sheetName val="Rekap_Prelim6"/>
      <sheetName val="Basic_Price6"/>
      <sheetName val="Basic_P6"/>
      <sheetName val="UPAH_PEKERJA6"/>
      <sheetName val="D2_26"/>
      <sheetName val="Lap_Mingguan6"/>
      <sheetName val="D2_2_16"/>
      <sheetName val="Anls-ME_Tampil6"/>
      <sheetName val="UPAH_+_ALAT6"/>
      <sheetName val="Metod_TWR6"/>
      <sheetName val="NP (4)"/>
      <sheetName val="air gumba"/>
      <sheetName val="Rekap Anl"/>
    </sheetNames>
    <sheetDataSet>
      <sheetData sheetId="0" refreshError="1">
        <row r="13">
          <cell r="S13">
            <v>1.1000000000000001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/>
      <sheetData sheetId="470"/>
      <sheetData sheetId="47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"/>
      <sheetName val="SRT"/>
      <sheetName val="REK"/>
      <sheetName val="BOQ"/>
      <sheetName val="SCH"/>
      <sheetName val="HSD"/>
      <sheetName val="BHN"/>
      <sheetName val="konfir"/>
      <sheetName val="DPU"/>
      <sheetName val="STF"/>
      <sheetName val="SUBkon"/>
      <sheetName val="ANA"/>
      <sheetName val="MET-bab2"/>
      <sheetName val="MET-BAB-5.6(1)"/>
      <sheetName val="MET-bab6"/>
      <sheetName val="MET-BAB-7 (2)"/>
      <sheetName val="MET-BAB-06"/>
      <sheetName val="Met-PU-2.2"/>
      <sheetName val="MET-BAB-7"/>
      <sheetName val="ALT"/>
      <sheetName val="RTN"/>
      <sheetName val="MOS"/>
      <sheetName val="DLM"/>
      <sheetName val="MET-bab3"/>
      <sheetName val="MET-bab4"/>
      <sheetName val="MET-bab5"/>
      <sheetName val="MET-bab8"/>
      <sheetName val="BALT"/>
      <sheetName val="LMP.1"/>
      <sheetName val="LMP.2"/>
      <sheetName val="ANA (BAK)"/>
      <sheetName val="MET (BAK)"/>
      <sheetName val="IND"/>
      <sheetName val="CMK"/>
      <sheetName val="TM"/>
      <sheetName val="Perhitungan RAB"/>
      <sheetName val="Rekap"/>
      <sheetName val="BQ ARS"/>
      <sheetName val="Analisa ME"/>
      <sheetName val="DATA"/>
    </sheetNames>
    <sheetDataSet>
      <sheetData sheetId="0">
        <row r="8">
          <cell r="C8" t="str">
            <v>Peningkatan Jalan Setiabudhi (P = 1,750 Km, L = 2 x 7 M)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"/>
      <sheetName val="SCHE"/>
      <sheetName val="Minat"/>
      <sheetName val="SRT"/>
      <sheetName val="Rek"/>
      <sheetName val="BQ"/>
      <sheetName val="ANA"/>
      <sheetName val="Ana.Maj"/>
      <sheetName val="Met.baru"/>
      <sheetName val="1.20"/>
      <sheetName val="1.19"/>
      <sheetName val="Recyling"/>
      <sheetName val="Meth"/>
      <sheetName val="hsd"/>
      <sheetName val="Lamp.Meth"/>
      <sheetName val="Ana.Non "/>
      <sheetName val="Meth.Non"/>
      <sheetName val="MOS"/>
      <sheetName val="AN-E"/>
      <sheetName val="ALAT"/>
      <sheetName val="Major"/>
      <sheetName val="CHECK"/>
      <sheetName val="GEL"/>
      <sheetName val="STAF"/>
      <sheetName val="ORG2"/>
      <sheetName val="CUR"/>
      <sheetName val="Peta"/>
      <sheetName val="KOP"/>
      <sheetName val="cov.2"/>
      <sheetName val="Person"/>
      <sheetName val="IND"/>
      <sheetName val="PENG.3"/>
      <sheetName val="PENG.2"/>
      <sheetName val="PENG."/>
      <sheetName val="rekap"/>
      <sheetName val="kuantitas"/>
      <sheetName val="analisa F-X"/>
      <sheetName val="metode-F-X"/>
      <sheetName val="MET"/>
      <sheetName val="metode-4"/>
      <sheetName val="Lamp.Meth (2)"/>
      <sheetName val="upah"/>
      <sheetName val="bahan"/>
      <sheetName val="Rupiah"/>
      <sheetName val="GRAND REKAP"/>
      <sheetName val="REKAPITULASI"/>
      <sheetName val="DATA"/>
    </sheetNames>
    <sheetDataSet>
      <sheetData sheetId="0" refreshError="1">
        <row r="6">
          <cell r="A6" t="str">
            <v>Pekerjaan Pelapisan Ulang (Overlay) Jalan Tol Jagorawi</v>
          </cell>
        </row>
        <row r="7">
          <cell r="A7" t="str">
            <v>09/PAN-OVL.JGR/2003</v>
          </cell>
        </row>
        <row r="8">
          <cell r="A8" t="str">
            <v>12 Mei 2003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tod"/>
      <sheetName val="CH"/>
      <sheetName val="LMP.12"/>
      <sheetName val="surat "/>
      <sheetName val="REK"/>
      <sheetName val="BOQ"/>
      <sheetName val="SCH"/>
      <sheetName val="ANA.1"/>
      <sheetName val="ANA"/>
      <sheetName val="HSD"/>
      <sheetName val="ANA LS"/>
      <sheetName val="RTN"/>
      <sheetName val="Met Rtn"/>
      <sheetName val="MOS"/>
      <sheetName val="LMP.6"/>
      <sheetName val="LMP 7"/>
      <sheetName val="alat"/>
      <sheetName val="staf"/>
      <sheetName val="Kar"/>
      <sheetName val="SUBkon"/>
      <sheetName val="MET-BAB-04"/>
      <sheetName val="MET-BAB-06"/>
      <sheetName val="MET-BAB-06b"/>
      <sheetName val="MET-bab-08"/>
      <sheetName val="BALT"/>
      <sheetName val="IND"/>
      <sheetName val="Sheet2"/>
      <sheetName val="Sheet2 (2)"/>
      <sheetName val="Sheet1"/>
      <sheetName val="Sheet1 (2)"/>
      <sheetName val="INFO"/>
      <sheetName val="Cover"/>
      <sheetName val="Analisa BOW"/>
      <sheetName val="MET"/>
    </sheetNames>
    <sheetDataSet>
      <sheetData sheetId="0"/>
      <sheetData sheetId="1" refreshError="1">
        <row r="8">
          <cell r="C8" t="str">
            <v>PENINGKATAN JALAN SURADE - TEGALBULEUD KM.BDG. 213+714 - KM.BDG. 217+714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o"/>
      <sheetName val="PENG"/>
      <sheetName val="MODAL"/>
      <sheetName val="CH"/>
      <sheetName val="SRT"/>
      <sheetName val="Lamp"/>
      <sheetName val="lamp.6"/>
      <sheetName val="lamp.7"/>
      <sheetName val="Lamp.8"/>
      <sheetName val="lamp.9"/>
      <sheetName val="Alat"/>
      <sheetName val="lamp.10"/>
      <sheetName val="cv"/>
      <sheetName val="lamp.11"/>
      <sheetName val="nonABRI"/>
      <sheetName val="REK"/>
      <sheetName val="REK (anak)"/>
      <sheetName val="BOQ"/>
      <sheetName val="BOQ (anak)"/>
      <sheetName val="ANA(2a)"/>
      <sheetName val="ANA (2b)"/>
      <sheetName val="MOB"/>
      <sheetName val="RTN"/>
      <sheetName val="MOS"/>
      <sheetName val="HSD"/>
      <sheetName val="BALT"/>
      <sheetName val="SCH-anak"/>
      <sheetName val="SCH -INDUK"/>
      <sheetName val="SCH (alat)"/>
      <sheetName val="SCH (orang)"/>
      <sheetName val="SCH (2)"/>
      <sheetName val="SCH (3)"/>
      <sheetName val="%"/>
      <sheetName val="ANA (2b) (bak)"/>
      <sheetName val="ANA (BAK)"/>
      <sheetName val="MET"/>
      <sheetName val="MET (BAK)"/>
      <sheetName val="DLM"/>
      <sheetName val="LMP.1"/>
      <sheetName val="IND"/>
      <sheetName val="CMK"/>
      <sheetName val="T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RAB"/>
      <sheetName val="ANALISA"/>
      <sheetName val="DAFTAR HARGA"/>
      <sheetName val="JADWAL"/>
      <sheetName val="ANALISA ALAT"/>
      <sheetName val="METODE"/>
      <sheetName val="STAFF"/>
      <sheetName val="Sheet1"/>
      <sheetName val="ALAT"/>
      <sheetName val="LAMPIRAN"/>
      <sheetName val="DAFT KONTRAK"/>
      <sheetName val="KONFIRMASI"/>
      <sheetName val="JDW"/>
      <sheetName val="DAFT PE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B Jl STP)"/>
      <sheetName val="HU"/>
      <sheetName val="RAB Jl Ling"/>
      <sheetName val="RAB Sal"/>
      <sheetName val="HARGA"/>
      <sheetName val="ANALIS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"/>
      <sheetName val="Lamp"/>
      <sheetName val="lamp.6"/>
      <sheetName val="MPU"/>
      <sheetName val="Lamp.8"/>
      <sheetName val="lamp.9"/>
      <sheetName val="Alat"/>
      <sheetName val="lamp.10"/>
      <sheetName val="Subkon"/>
      <sheetName val="REK (anak)"/>
      <sheetName val="BOQ"/>
      <sheetName val="ANA(2a)"/>
      <sheetName val="ANA (2b)"/>
      <sheetName val="HSD"/>
      <sheetName val="SCH"/>
      <sheetName val="SCH ALAT"/>
      <sheetName val="MOB (2)"/>
      <sheetName val="MOB"/>
      <sheetName val="Sheet2"/>
      <sheetName val="Sheet1"/>
      <sheetName val="BOQ ril"/>
      <sheetName val="RTN"/>
      <sheetName val="MOS"/>
      <sheetName val="BALT"/>
      <sheetName val="SCH (5)"/>
      <sheetName val="SCH-anak"/>
      <sheetName val="SCH -INDUK"/>
      <sheetName val="SCH (alat)"/>
      <sheetName val="SCH (orang)"/>
      <sheetName val="SCH (2)"/>
      <sheetName val="SCH (3)"/>
      <sheetName val="ANA (2b) (bak)"/>
      <sheetName val="ANA (BAK)"/>
      <sheetName val="MET"/>
      <sheetName val="MET (BAK)"/>
      <sheetName val="DLM"/>
      <sheetName val="LMP.1"/>
      <sheetName val="IND"/>
      <sheetName val="IND (2)"/>
      <sheetName val="CMK"/>
      <sheetName val="TM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P"/>
      <sheetName val="Additional"/>
      <sheetName val="Gal_Cold Milling"/>
      <sheetName val="Gal_Jack Hammer"/>
      <sheetName val="BOQ"/>
      <sheetName val="5-ALAT(1)"/>
      <sheetName val="4-Basic Price"/>
      <sheetName val="Anls teknis"/>
      <sheetName val="A"/>
      <sheetName val="Current"/>
      <sheetName val="Basic Price"/>
      <sheetName val="Kuantitas &amp; Harga"/>
      <sheetName val="GEN1"/>
      <sheetName val="7.3.1 PD"/>
      <sheetName val="BOQPUSJAL"/>
      <sheetName val="3-DIV5"/>
      <sheetName val="3-DIV2"/>
      <sheetName val="5-Peralatan"/>
      <sheetName val="HARGA ALAT"/>
      <sheetName val="3-DIV3"/>
      <sheetName val="3-DIV8"/>
      <sheetName val="DAFTAR HARGA"/>
      <sheetName val="Alat"/>
      <sheetName val="Basic"/>
      <sheetName val="Alat (2)"/>
      <sheetName val="Input Data"/>
      <sheetName val="An-2"/>
      <sheetName val="An-4"/>
      <sheetName val="HIDRO"/>
      <sheetName val="ANALISA"/>
      <sheetName val="HSTANAH.XLS"/>
      <sheetName val="3-DIV4"/>
      <sheetName val="D7"/>
      <sheetName val="GASATAGG.XLS"/>
      <sheetName val="koef-beton"/>
      <sheetName val="bab7"/>
      <sheetName val="bab9"/>
      <sheetName val="bab3"/>
      <sheetName val="bab2"/>
      <sheetName val="bab6"/>
      <sheetName val="bab8"/>
      <sheetName val="bab4"/>
      <sheetName val="bab5"/>
      <sheetName val="ANASATDAS"/>
      <sheetName val="Harga Bahan &amp; Upah "/>
      <sheetName val="Time schedulle"/>
      <sheetName val="Harga"/>
      <sheetName val="rab (2)"/>
      <sheetName val="BHN-UPH-ALT"/>
      <sheetName val="REKAP."/>
      <sheetName val="Hrg Upah Bhn"/>
      <sheetName val="Rekap total"/>
      <sheetName val="H_Satuan"/>
      <sheetName val="SCHEDULE "/>
      <sheetName val="Bhn"/>
      <sheetName val="Rkp"/>
      <sheetName val="Shedule"/>
      <sheetName val="INPUT"/>
      <sheetName val="H.Satuan"/>
      <sheetName val="metode "/>
      <sheetName val="ganda"/>
      <sheetName val="Schedule"/>
      <sheetName val="L. Hr"/>
      <sheetName val="HARGA DSR"/>
      <sheetName val="CH"/>
      <sheetName val="REQDELTA"/>
      <sheetName val="LO"/>
    </sheetNames>
    <sheetDataSet>
      <sheetData sheetId="0">
        <row r="841">
          <cell r="T841" t="str">
            <v>Analisa EI-322</v>
          </cell>
        </row>
        <row r="843">
          <cell r="L843" t="str">
            <v>FORMULIR STANDAR UNTUK</v>
          </cell>
        </row>
        <row r="844">
          <cell r="L844" t="str">
            <v>PEREKAMAN ANALISA MASING-MASING HARGA SATUAN</v>
          </cell>
        </row>
        <row r="845">
          <cell r="L845" t="str">
            <v xml:space="preserve">                                                                                                            </v>
          </cell>
        </row>
        <row r="848">
          <cell r="L848" t="str">
            <v>PROYEK</v>
          </cell>
          <cell r="O848" t="str">
            <v>: Proyek Pembangunan Jalan Pantai Utara  Jawa Barat</v>
          </cell>
        </row>
        <row r="849">
          <cell r="L849" t="str">
            <v>No. PAKET KONTRAK</v>
          </cell>
          <cell r="O849" t="str">
            <v xml:space="preserve">: </v>
          </cell>
        </row>
        <row r="850">
          <cell r="L850" t="str">
            <v>NAMA PAKET</v>
          </cell>
          <cell r="O850" t="str">
            <v>:  Flyover  Pamanukan</v>
          </cell>
        </row>
        <row r="851">
          <cell r="L851" t="str">
            <v>PROP / KAB / KODYA</v>
          </cell>
          <cell r="O851" t="str">
            <v>: Jawa Barat</v>
          </cell>
        </row>
        <row r="852">
          <cell r="L852" t="str">
            <v>ITEM PEMBAYARAN NO.</v>
          </cell>
          <cell r="O852" t="str">
            <v>:  3.2 (2)</v>
          </cell>
          <cell r="R852" t="str">
            <v>PERKIRAAN VOL. PEK.</v>
          </cell>
          <cell r="T852" t="str">
            <v>:</v>
          </cell>
          <cell r="U852">
            <v>6571.2013500000003</v>
          </cell>
        </row>
        <row r="853">
          <cell r="L853" t="str">
            <v>JENIS PEKERJAAN</v>
          </cell>
          <cell r="O853" t="str">
            <v>:  Timbunan Pilihan</v>
          </cell>
          <cell r="R853" t="str">
            <v>TOTAL HARGA (Rp.)</v>
          </cell>
          <cell r="T853" t="str">
            <v>:</v>
          </cell>
          <cell r="U853">
            <v>359628773.19481355</v>
          </cell>
        </row>
        <row r="854">
          <cell r="L854" t="str">
            <v>SATUAN PEMBAYARAN</v>
          </cell>
          <cell r="O854" t="str">
            <v>:  M3</v>
          </cell>
          <cell r="R854" t="str">
            <v>% THD. BIAYA PROYEK</v>
          </cell>
          <cell r="T854" t="str">
            <v>:</v>
          </cell>
          <cell r="U854">
            <v>0.70465720727372594</v>
          </cell>
        </row>
        <row r="857">
          <cell r="Q857" t="str">
            <v>PERKIRAAN</v>
          </cell>
          <cell r="R857" t="str">
            <v>HARGA</v>
          </cell>
          <cell r="S857" t="str">
            <v>JUMLAH</v>
          </cell>
        </row>
        <row r="858">
          <cell r="L858" t="str">
            <v>NO.</v>
          </cell>
          <cell r="N858" t="str">
            <v>KOMPONEN</v>
          </cell>
          <cell r="P858" t="str">
            <v>SATUAN</v>
          </cell>
          <cell r="Q858" t="str">
            <v>KUANTITAS</v>
          </cell>
          <cell r="R858" t="str">
            <v>SATUAN</v>
          </cell>
          <cell r="S858" t="str">
            <v>HARGA</v>
          </cell>
        </row>
        <row r="859">
          <cell r="R859" t="str">
            <v>(Rp.)</v>
          </cell>
          <cell r="S859" t="str">
            <v>(Rp.)</v>
          </cell>
        </row>
        <row r="862">
          <cell r="L862" t="str">
            <v>A.</v>
          </cell>
          <cell r="N862" t="str">
            <v>TENAGA</v>
          </cell>
        </row>
        <row r="864">
          <cell r="L864" t="str">
            <v>1.</v>
          </cell>
          <cell r="N864" t="str">
            <v>Pekerja</v>
          </cell>
          <cell r="O864" t="str">
            <v>(L01)</v>
          </cell>
          <cell r="P864" t="str">
            <v>Jam</v>
          </cell>
          <cell r="Q864">
            <v>7.1396697902721989E-2</v>
          </cell>
          <cell r="R864">
            <v>2750</v>
          </cell>
          <cell r="U864">
            <v>196.34091923248548</v>
          </cell>
        </row>
        <row r="865">
          <cell r="L865" t="str">
            <v>2.</v>
          </cell>
          <cell r="N865" t="str">
            <v>Mandor</v>
          </cell>
          <cell r="O865" t="str">
            <v>(L03)</v>
          </cell>
          <cell r="P865" t="str">
            <v>Jam</v>
          </cell>
          <cell r="Q865">
            <v>1.7849174475680497E-2</v>
          </cell>
          <cell r="R865">
            <v>4000</v>
          </cell>
          <cell r="U865">
            <v>71.396697902721996</v>
          </cell>
        </row>
        <row r="868">
          <cell r="Q868" t="str">
            <v xml:space="preserve">JUMLAH HARGA TENAGA   </v>
          </cell>
          <cell r="U868">
            <v>267.73761713520747</v>
          </cell>
        </row>
        <row r="870">
          <cell r="L870" t="str">
            <v>B.</v>
          </cell>
          <cell r="N870" t="str">
            <v>BAHAN</v>
          </cell>
        </row>
        <row r="872">
          <cell r="L872" t="str">
            <v>1.</v>
          </cell>
          <cell r="N872" t="str">
            <v>Bahan pilihan   (M09)</v>
          </cell>
          <cell r="O872" t="str">
            <v>(M09)</v>
          </cell>
          <cell r="P872" t="str">
            <v>M3</v>
          </cell>
          <cell r="Q872">
            <v>1.2</v>
          </cell>
          <cell r="R872">
            <v>21000</v>
          </cell>
          <cell r="U872">
            <v>25200</v>
          </cell>
        </row>
        <row r="878">
          <cell r="Q878" t="str">
            <v xml:space="preserve">JUMLAH HARGA BAHAN   </v>
          </cell>
          <cell r="U878">
            <v>25200</v>
          </cell>
        </row>
        <row r="880">
          <cell r="L880" t="str">
            <v>C.</v>
          </cell>
          <cell r="N880" t="str">
            <v>PERALATAN</v>
          </cell>
        </row>
        <row r="881">
          <cell r="L881" t="str">
            <v>1.</v>
          </cell>
          <cell r="N881" t="str">
            <v>Wheel  Loader</v>
          </cell>
          <cell r="O881" t="str">
            <v>(E15)</v>
          </cell>
          <cell r="P881" t="str">
            <v>Jam</v>
          </cell>
          <cell r="Q881">
            <v>1.7849174475680497E-2</v>
          </cell>
          <cell r="R881">
            <v>181182.97084330328</v>
          </cell>
          <cell r="U881">
            <v>3233.9664586042527</v>
          </cell>
        </row>
        <row r="882">
          <cell r="L882" t="str">
            <v>2.</v>
          </cell>
          <cell r="N882" t="str">
            <v>Dump Truck</v>
          </cell>
          <cell r="O882" t="str">
            <v>(E08)</v>
          </cell>
          <cell r="P882" t="str">
            <v>Jam</v>
          </cell>
          <cell r="Q882">
            <v>0.16265060240963855</v>
          </cell>
          <cell r="R882">
            <v>90902.327191025077</v>
          </cell>
          <cell r="U882">
            <v>14785.318278058296</v>
          </cell>
        </row>
        <row r="883">
          <cell r="L883" t="str">
            <v>3.</v>
          </cell>
          <cell r="N883" t="str">
            <v>Motor Grader</v>
          </cell>
          <cell r="O883" t="str">
            <v>(E13)</v>
          </cell>
          <cell r="P883" t="str">
            <v>Jam</v>
          </cell>
          <cell r="Q883">
            <v>1.5618027666220438E-2</v>
          </cell>
          <cell r="R883">
            <v>249349.23784774702</v>
          </cell>
          <cell r="U883">
            <v>3894.3432952570934</v>
          </cell>
        </row>
        <row r="884">
          <cell r="L884" t="str">
            <v>3.</v>
          </cell>
          <cell r="N884" t="str">
            <v>Vibro Roller</v>
          </cell>
          <cell r="O884" t="str">
            <v>(E19)</v>
          </cell>
          <cell r="P884" t="str">
            <v>Jam</v>
          </cell>
          <cell r="Q884">
            <v>1.6064257028112448E-2</v>
          </cell>
          <cell r="R884">
            <v>105030.97519263501</v>
          </cell>
          <cell r="U884">
            <v>1687.2445814077912</v>
          </cell>
        </row>
        <row r="885">
          <cell r="L885" t="str">
            <v>4.</v>
          </cell>
          <cell r="N885" t="str">
            <v>Water Tanker</v>
          </cell>
          <cell r="O885" t="str">
            <v>(E23)</v>
          </cell>
          <cell r="P885" t="str">
            <v>Jam</v>
          </cell>
          <cell r="Q885">
            <v>7.0281124497991983E-3</v>
          </cell>
          <cell r="R885">
            <v>85958.879632794691</v>
          </cell>
          <cell r="U885">
            <v>604.12867211803507</v>
          </cell>
        </row>
        <row r="886">
          <cell r="L886" t="str">
            <v>5.</v>
          </cell>
          <cell r="N886" t="str">
            <v>Alat  Bantu</v>
          </cell>
          <cell r="P886" t="str">
            <v>Ls</v>
          </cell>
          <cell r="Q886">
            <v>1</v>
          </cell>
          <cell r="R886">
            <v>80</v>
          </cell>
          <cell r="U886">
            <v>80</v>
          </cell>
        </row>
        <row r="890">
          <cell r="Q890" t="str">
            <v xml:space="preserve">JUMLAH HARGA PERALATAN   </v>
          </cell>
          <cell r="U890">
            <v>24285.001285445473</v>
          </cell>
        </row>
        <row r="892">
          <cell r="L892" t="str">
            <v>D.</v>
          </cell>
          <cell r="N892" t="str">
            <v>JUMLAH HARGA TENAGA, BAHAN DAN PERALATAN  ( A + B + C )</v>
          </cell>
          <cell r="U892">
            <v>49752.738902580677</v>
          </cell>
        </row>
        <row r="893">
          <cell r="L893" t="str">
            <v>E.</v>
          </cell>
          <cell r="N893" t="str">
            <v>OVERHEAD &amp; PROFIT</v>
          </cell>
          <cell r="P893">
            <v>10</v>
          </cell>
          <cell r="Q893" t="str">
            <v>%  x  D</v>
          </cell>
          <cell r="U893">
            <v>4975.2738902580677</v>
          </cell>
        </row>
        <row r="894">
          <cell r="L894" t="str">
            <v>F.</v>
          </cell>
          <cell r="N894" t="str">
            <v>HARGA SATUAN PEKERJAAN  ( D + E )</v>
          </cell>
          <cell r="U894">
            <v>54728.012792838745</v>
          </cell>
        </row>
        <row r="895">
          <cell r="L895" t="str">
            <v>Note: 1</v>
          </cell>
          <cell r="N895" t="str">
            <v>SATUAN dapat berdasarkan atas jam operasi untuk Tenaga Kerja dan Peralatan, volume dan/atau ukuran</v>
          </cell>
        </row>
        <row r="896">
          <cell r="N896" t="str">
            <v>berat untuk bahan-bahan.</v>
          </cell>
        </row>
        <row r="897">
          <cell r="L897">
            <v>2</v>
          </cell>
          <cell r="N897" t="str">
            <v>Kuantitas satuan adalah kuantitas setiap komponen untuk menyelesaikan satu satuan pekerjaan dari nomor</v>
          </cell>
        </row>
        <row r="898">
          <cell r="N898" t="str">
            <v>mata pembayaran.</v>
          </cell>
        </row>
        <row r="899">
          <cell r="L899">
            <v>3</v>
          </cell>
          <cell r="N899" t="str">
            <v>Biaya satuan untuk peralatan sudah termasuk bahan bakar, bahan habis dipakai dan operator.</v>
          </cell>
        </row>
        <row r="900">
          <cell r="L900">
            <v>4</v>
          </cell>
          <cell r="N900" t="str">
            <v>Biaya satuan sudah termasuk pengeluaran untuk seluruh pajak yang berkaitan (tetapi tidak termasuk PPN</v>
          </cell>
        </row>
        <row r="901">
          <cell r="N901" t="str">
            <v>yang dibayar dari kontrak) dan biaya-biaya lainnya.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RAB"/>
      <sheetName val="PENGUKURAN"/>
      <sheetName val="H-SAT-"/>
      <sheetName val="SAT-JADI"/>
      <sheetName val="ANAL-"/>
      <sheetName val="Alat"/>
      <sheetName val="CCO"/>
      <sheetName val="BAP"/>
      <sheetName val="BA-AJ"/>
      <sheetName val="Bend II"/>
      <sheetName val="SKO"/>
      <sheetName val="BA BAYAR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Q (2)"/>
      <sheetName val="CH"/>
      <sheetName val="SRT (2)"/>
      <sheetName val="Schedule"/>
      <sheetName val="DPU"/>
      <sheetName val="REK"/>
      <sheetName val="BOQ"/>
      <sheetName val="HSD"/>
      <sheetName val="MOB"/>
      <sheetName val="ANA"/>
      <sheetName val="MET"/>
      <sheetName val="MOS"/>
      <sheetName val="RTN"/>
      <sheetName val="ALT"/>
      <sheetName val="STF"/>
      <sheetName val="SUB"/>
      <sheetName val="kon"/>
      <sheetName val="LMP.13"/>
      <sheetName val="LMP 8"/>
      <sheetName val="IND"/>
      <sheetName val="TM"/>
      <sheetName val="ana alat"/>
      <sheetName val="I Kualifikasi"/>
      <sheetName val="SRT PER"/>
      <sheetName val="LMP.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.Satuan (2)"/>
      <sheetName val="2000-bln"/>
      <sheetName val="1000-bln"/>
      <sheetName val="ATB-2000"/>
      <sheetName val="ATB-1000"/>
      <sheetName val="H.Satuan"/>
      <sheetName val="Analisa-1"/>
      <sheetName val="cold mill"/>
      <sheetName val="Sheet3"/>
      <sheetName val="Sheet4"/>
      <sheetName val="Sheet5"/>
      <sheetName val="Sheet6"/>
      <sheetName val="Sheet7"/>
      <sheetName val="H_Satuan"/>
      <sheetName val="Rekap"/>
      <sheetName val="Daftar Subkon"/>
      <sheetName val="ANA-C"/>
      <sheetName val="rekap ahs"/>
      <sheetName val="rekap-bialat"/>
      <sheetName val="BQ"/>
      <sheetName val="DAF-1"/>
      <sheetName val="Analisa 2"/>
      <sheetName val="A"/>
      <sheetName val="Koefisien"/>
      <sheetName val="SBDY"/>
      <sheetName val="DAPRO"/>
      <sheetName val="Rekap Biaya"/>
      <sheetName val="Price Biaya Cadangan"/>
      <sheetName val="BQ.Rekapitulasi  Akhir"/>
      <sheetName val="8LT 12"/>
      <sheetName val="ENG-101"/>
      <sheetName val="Man Power"/>
      <sheetName val="HARGA MATERIAL"/>
      <sheetName val="A-12"/>
      <sheetName val="Mall"/>
      <sheetName val="ANALISA TENDER"/>
      <sheetName val="AHSbj"/>
      <sheetName val="BOQ KSN"/>
      <sheetName val="Rekap-Bdg"/>
      <sheetName val="ANALISA PEK.UMUM"/>
      <sheetName val="Rekap Direct Cost"/>
      <sheetName val="harga"/>
      <sheetName val="Concrete"/>
      <sheetName val="Daftar Upah"/>
      <sheetName val="Tataudara"/>
      <sheetName val="MEK"/>
      <sheetName val="Cover Daf-2"/>
      <sheetName val="A(Rev.3)"/>
      <sheetName val="Plumbing"/>
      <sheetName val="D4"/>
      <sheetName val="D6"/>
      <sheetName val="D7"/>
      <sheetName val="D8"/>
      <sheetName val="ANALISA"/>
      <sheetName val="Agregat Halus &amp; Kasar"/>
      <sheetName val="BQ ARS"/>
      <sheetName val="RINCIAN SD."/>
      <sheetName val="HarSat"/>
      <sheetName val="DC HOT MIX2"/>
      <sheetName val="BQ-Str"/>
      <sheetName val="Faktor"/>
      <sheetName val="플랜트 설치"/>
      <sheetName val="Kuantitas &amp; Harga"/>
      <sheetName val="Sales"/>
      <sheetName val="Cover"/>
      <sheetName val="LS_Rutin"/>
      <sheetName val="000000"/>
      <sheetName val="112-885"/>
      <sheetName val="Rkp"/>
      <sheetName val="AC"/>
      <sheetName val="Rate"/>
      <sheetName val="Form-3.3"/>
      <sheetName val="rincian per proyek"/>
      <sheetName val="boq"/>
      <sheetName val="RAB"/>
      <sheetName val="ALAT"/>
      <sheetName val="Supl.X"/>
      <sheetName val="PAD_F"/>
      <sheetName val="Input Data"/>
      <sheetName val="MAP"/>
      <sheetName val="ALOKASI"/>
      <sheetName val="DESBT"/>
      <sheetName val="Sumber Daya"/>
      <sheetName val="Daftar Harga"/>
      <sheetName val="BOQ "/>
      <sheetName val="BQ-1A"/>
      <sheetName val="SEX"/>
      <sheetName val="BQ.Rekapitulasi Akhir"/>
      <sheetName val="Material"/>
      <sheetName val="BHN"/>
      <sheetName val="Fill this out first___"/>
      <sheetName val="AUG02"/>
      <sheetName val="HRG BHN"/>
      <sheetName val="SUB TOTAL___"/>
      <sheetName val="RAB.SEKRETARIAT (1)"/>
      <sheetName val="PROGRESS"/>
      <sheetName val="PO-2"/>
      <sheetName val="H.DASAR"/>
      <sheetName val="Markup"/>
      <sheetName val="Sumda1"/>
      <sheetName val="CIVIL_1"/>
      <sheetName val="S_Suramadu"/>
      <sheetName val="Sheet2"/>
      <sheetName val="A-ars"/>
      <sheetName val="URAIAN"/>
      <sheetName val="LS-Rutin"/>
      <sheetName val="견적기준"/>
      <sheetName val="Hrg"/>
      <sheetName val="Hargamat"/>
      <sheetName val="Upah"/>
      <sheetName val="H_Satuan_(2)"/>
      <sheetName val="H_Satuan1"/>
      <sheetName val="cold_mill"/>
      <sheetName val="Analisa_2"/>
      <sheetName val="RANGKUM"/>
      <sheetName val="REF.ONLY"/>
      <sheetName val="Fins_Beng_Fas"/>
      <sheetName val="Fins-Beng&amp;Fas"/>
      <sheetName val="Pag_hal_pos"/>
      <sheetName val="TOWN"/>
      <sheetName val="index"/>
      <sheetName val="beton"/>
      <sheetName val="Embong-Malang"/>
      <sheetName val="BQ PL "/>
      <sheetName val="BQ_Rekapitulasi  Akhir"/>
      <sheetName val="rekap2"/>
      <sheetName val="RKP-2"/>
      <sheetName val="Daft upah, bahan &amp;alat"/>
      <sheetName val="Daftar_Subkon"/>
      <sheetName val="Rekap_Biaya"/>
      <sheetName val="Price_Biaya_Cadangan"/>
      <sheetName val="BQ_Rekapitulasi__Akhir"/>
      <sheetName val="Cover_Daf-2"/>
      <sheetName val="8LT_12"/>
      <sheetName val="STR"/>
      <sheetName val="Rkap Bya"/>
      <sheetName val="SCH"/>
      <sheetName val="SUMDA"/>
      <sheetName val="Basic P"/>
      <sheetName val="RFP003D"/>
      <sheetName val="Weight Bridge"/>
      <sheetName val="RKP-BOQ"/>
      <sheetName val="Harsat Bahan"/>
      <sheetName val="Alat &amp; Bahan"/>
      <sheetName val="master schedule"/>
      <sheetName val="Div2"/>
      <sheetName val="HRG-DASAR"/>
      <sheetName val="U. div 2"/>
      <sheetName val="Grand Sum BT"/>
      <sheetName val="Analisa RAP"/>
      <sheetName val="Sum IF"/>
      <sheetName val="INPUT"/>
      <sheetName val="schalat"/>
      <sheetName val="cash flow"/>
      <sheetName val="Harga S Dasar"/>
      <sheetName val="tbl-ska"/>
      <sheetName val="ELEMENT SUM"/>
      <sheetName val="lokasari_el"/>
      <sheetName val="DW"/>
      <sheetName val="#REF"/>
      <sheetName val="??? ??"/>
      <sheetName val="STR(CANCEL)"/>
      <sheetName val="CABLE BULK"/>
      <sheetName val="TOEC"/>
      <sheetName val="An.PLB"/>
      <sheetName val="rekap index eskalasi"/>
      <sheetName val="AN-E"/>
      <sheetName val="perbandingan"/>
      <sheetName val="AC-2"/>
      <sheetName val="PROD-MAT"/>
      <sheetName val="SUMBER"/>
      <sheetName val="GENERAL"/>
      <sheetName val="Pricing"/>
      <sheetName val="bahan "/>
      <sheetName val="prog-mgu"/>
      <sheetName val="AKP-01"/>
      <sheetName val="DAF-2"/>
      <sheetName val="Kantor_Str_Ars_Tmbh"/>
      <sheetName val="WF"/>
      <sheetName val="Data"/>
      <sheetName val="D-3"/>
      <sheetName val="INDIR"/>
      <sheetName val="TABEL"/>
      <sheetName val="gvl"/>
      <sheetName val="TE TS FA LAN MATV"/>
      <sheetName val="為替レ－ト "/>
      <sheetName val="NP"/>
      <sheetName val="Combinned &amp; Grafic HB"/>
      <sheetName val="B Q 2007"/>
      <sheetName val="SAT-DAS"/>
      <sheetName val="Vol. Mat SC"/>
      <sheetName val="pt-perso"/>
      <sheetName val="Analisa Baku ME"/>
      <sheetName val="2.10"/>
      <sheetName val="VAC BDWN"/>
      <sheetName val="telp"/>
      <sheetName val="Perm. Test"/>
      <sheetName val="hardas"/>
      <sheetName val="UM"/>
      <sheetName val="Sat Bah _ Up"/>
      <sheetName val="Indirect"/>
      <sheetName val="Daft 2.1"/>
      <sheetName val="Cover Daf_2"/>
      <sheetName val="Analisa ARS"/>
      <sheetName val="PAD-F"/>
      <sheetName val="UPAL"/>
      <sheetName val="Price Persiapan dan Penunjang"/>
      <sheetName val="II. TAHANAN UMUM"/>
      <sheetName val="UNIT PRICE"/>
      <sheetName val="subkon"/>
      <sheetName val="supporting data"/>
      <sheetName val="Dist_analys"/>
      <sheetName val="Rek.Analisa"/>
      <sheetName val="DP"/>
      <sheetName val="Estimate"/>
      <sheetName val="HRG DSR"/>
      <sheetName val="Unit Rate"/>
      <sheetName val=" SAT PL"/>
      <sheetName val="ANALISA SNI'08(ubh bgsting)"/>
      <sheetName val="Master Edit"/>
      <sheetName val="breakdown"/>
      <sheetName val="RBP_ 2"/>
      <sheetName val="rekap_bialat"/>
      <sheetName val="3-DIV8"/>
      <sheetName val="ana_str"/>
      <sheetName val="HB"/>
      <sheetName val="RUCIKA&amp;WAVIN"/>
      <sheetName val="PBK-01"/>
      <sheetName val="Harga Satuan"/>
      <sheetName val="EE-PROP"/>
      <sheetName val="Upah&amp;Bahan"/>
      <sheetName val="VOL"/>
      <sheetName val="Rekap Sal"/>
      <sheetName val="Mandor"/>
      <sheetName val="SCHEDULE "/>
      <sheetName val="HSD"/>
      <sheetName val="bahan"/>
      <sheetName val="bum"/>
      <sheetName val="BASIC PRICE "/>
      <sheetName val="Harsat Upah"/>
      <sheetName val="SURAT"/>
      <sheetName val="Orgs Proy"/>
      <sheetName val="Part A + B"/>
      <sheetName val="struktur tdk dipakai"/>
      <sheetName val="Sub"/>
      <sheetName val="RAP"/>
      <sheetName val="RENTAL1"/>
      <sheetName val="Upah_Bahan"/>
      <sheetName val="Page 1"/>
      <sheetName val="str-Rab"/>
      <sheetName val="MUA"/>
      <sheetName val="UPAHBAHAN"/>
      <sheetName val="Lamp_V"/>
      <sheetName val="inv"/>
      <sheetName val="SPH"/>
      <sheetName val="Conn. Lib"/>
      <sheetName val="TOTAL"/>
      <sheetName val="16-AC-27JULI"/>
      <sheetName val="cl_cc21"/>
      <sheetName val="analysis2"/>
      <sheetName val="basic price"/>
      <sheetName val="Jadwal Kerja Bln"/>
      <sheetName val="___ __"/>
      <sheetName val="CV"/>
      <sheetName val="HargaDasar"/>
      <sheetName val="Cashflow"/>
      <sheetName val="SPK"/>
      <sheetName val="Pt"/>
      <sheetName val="BQ Elektrikal"/>
      <sheetName val="BARU-4 "/>
      <sheetName val="Muncraaat-6"/>
      <sheetName val="bahan upah"/>
      <sheetName val="STR_CANCEL_"/>
      <sheetName val="DAFTAR 7"/>
      <sheetName val="DAFTAR_8"/>
      <sheetName val="DAF_1"/>
      <sheetName val="REQDELTA"/>
      <sheetName val="COA"/>
      <sheetName val="Sheet1"/>
      <sheetName val="BM"/>
      <sheetName val="Ratios"/>
      <sheetName val="Summary"/>
      <sheetName val="REKAP_ARSITEKTUR."/>
      <sheetName val="A+Supl."/>
      <sheetName val="Connections"/>
      <sheetName val="DWTables"/>
      <sheetName val="Cable Data from Attachment-C"/>
      <sheetName val="1"/>
      <sheetName val="RENPEN"/>
      <sheetName val="Terbilang"/>
      <sheetName val="Galian batu"/>
      <sheetName val="Rekap DKH"/>
      <sheetName val="Text"/>
      <sheetName val="mA THP III"/>
      <sheetName val="MOBILISASI"/>
      <sheetName val="Fill this out first..."/>
      <sheetName val="BQ_Rekapitulasi Akhir"/>
      <sheetName val="BASIC"/>
      <sheetName val="RLB"/>
      <sheetName val="SUR-HARGA"/>
      <sheetName val="PENAWARAN"/>
      <sheetName val="A(Rev_3)"/>
      <sheetName val="Agregat_Halus_&amp;_Kasar"/>
      <sheetName val="ANALISA_TENDER"/>
      <sheetName val="Daftar_Harga"/>
      <sheetName val="Supl_X"/>
      <sheetName val="HARGA_MATERIAL"/>
      <sheetName val="Form-3_3"/>
      <sheetName val="Rekap_Direct_Cost"/>
      <sheetName val="Sumber_Daya"/>
      <sheetName val="H_DASAR"/>
      <sheetName val="BQ_ARS"/>
      <sheetName val="DC_HOT_MIX2"/>
      <sheetName val="Man_Power"/>
      <sheetName val="BOQ_KSN"/>
      <sheetName val="Daftar_Upah"/>
      <sheetName val="ANALISA_PEK_UMUM"/>
      <sheetName val="RINCIAN_SD_"/>
      <sheetName val="BQ_Rekapitulasi_Akhir"/>
      <sheetName val="rekap_ahs"/>
      <sheetName val="플랜트_설치"/>
      <sheetName val="Input_Data"/>
      <sheetName val="RekBq"/>
      <sheetName val="HARGA ALAT"/>
      <sheetName val="ALAT-1"/>
      <sheetName val="AGG, C"/>
      <sheetName val="UMUM"/>
      <sheetName val="bq.T.Abang"/>
      <sheetName val="RAB Jalan"/>
      <sheetName val="Calcu 02"/>
      <sheetName val="Monitor"/>
      <sheetName val="Kont-1"/>
      <sheetName val="H_Satuan_(2)1"/>
      <sheetName val="H_Satuan2"/>
      <sheetName val="cold_mill1"/>
      <sheetName val="Daftar_Subkon1"/>
      <sheetName val="Analisa_21"/>
      <sheetName val="Rekap_Biaya1"/>
      <sheetName val="Price_Biaya_Cadangan1"/>
      <sheetName val="BQ_Rekapitulasi__Akhir1"/>
      <sheetName val="8LT_121"/>
      <sheetName val="Cover_Daf-21"/>
      <sheetName val="Fill_this_out_first___"/>
      <sheetName val="Sum_IF"/>
      <sheetName val="U__div_2"/>
      <sheetName val="Grand_Sum_BT"/>
      <sheetName val="Analisa_RAP"/>
      <sheetName val="Basic_P"/>
      <sheetName val="RBP__2"/>
      <sheetName val="cash_flow"/>
      <sheetName val="Kuantitas_&amp;_Harga"/>
      <sheetName val="HRG_BHN"/>
      <sheetName val="SUB_TOTAL___"/>
      <sheetName val="RAB_SEKRETARIAT_(1)"/>
      <sheetName val="TE_TS_FA_LAN_MATV"/>
      <sheetName val="bahan_"/>
      <sheetName val="BOQ_"/>
      <sheetName val="為替レ－ト_"/>
      <sheetName val="B_Q_2007"/>
      <sheetName val="Combinned_&amp;_Grafic_HB"/>
      <sheetName val="Harsat_Bahan"/>
      <sheetName val="BQ_PL_"/>
      <sheetName val="BQ_Rekapitulasi__Akhir2"/>
      <sheetName val="Vol__Mat_SC"/>
      <sheetName val="REF_ONLY"/>
      <sheetName val="Daft_upah,_bahan_&amp;alat"/>
      <sheetName val="Rkap_Bya"/>
      <sheetName val="Weight_Bridge"/>
      <sheetName val="Harga_S_Dasar"/>
      <sheetName val="ELEMENT_SUM"/>
      <sheetName val="???_??"/>
      <sheetName val="CABLE_BULK"/>
      <sheetName val="An_PLB"/>
      <sheetName val="rekap_index_eskalasi"/>
      <sheetName val="UNIT_PRICE"/>
      <sheetName val="supporting_data"/>
      <sheetName val="BARU-3"/>
      <sheetName val="LAMA-3"/>
      <sheetName val="LAMA-4"/>
      <sheetName val="Meth"/>
      <sheetName val="4-Basic Price"/>
      <sheetName val="rekap konst"/>
      <sheetName val="Ope FC"/>
      <sheetName val="Opening"/>
      <sheetName val="Panel"/>
      <sheetName val="ELEKTRONIK"/>
      <sheetName val="RAB Kantin"/>
      <sheetName val="RAB Rektorat"/>
      <sheetName val="RAB Masjid"/>
      <sheetName val="RAB Gd Kuliah"/>
      <sheetName val="RAB Asrama Putri"/>
      <sheetName val="RAB Asrama Putra"/>
      <sheetName val="RAB Cottage 45"/>
      <sheetName val="RAB Cottage 70"/>
      <sheetName val="RAB Cottage 140"/>
      <sheetName val="7-STAIRWAY"/>
      <sheetName val="Rinc.Ged.A (G.Utama)"/>
      <sheetName val="諸経費"/>
      <sheetName val="清水計算営業税率関連"/>
      <sheetName val="個案9411"/>
      <sheetName val="SD"/>
      <sheetName val="DHrg"/>
      <sheetName val="Hargamaterial"/>
      <sheetName val="Dafhrg"/>
      <sheetName val="Hrg Satuan &amp; Upah"/>
      <sheetName val="Satuan"/>
      <sheetName val="Daftarharga"/>
      <sheetName val="MUTASI"/>
      <sheetName val="REGISTER(1)"/>
      <sheetName val="RAPA"/>
      <sheetName val="SHAPE"/>
      <sheetName val="2017"/>
      <sheetName val="An H.Sat Pek.Ut"/>
      <sheetName val="PERSI"/>
      <sheetName val="Apr '15"/>
      <sheetName val="Aug '14"/>
      <sheetName val="Des '14"/>
      <sheetName val="Feb '15"/>
      <sheetName val="Jan '15"/>
      <sheetName val="Jul '14"/>
      <sheetName val="Jun '14"/>
      <sheetName val="Mar '15"/>
      <sheetName val="Mei '14"/>
      <sheetName val="Mei '15"/>
      <sheetName val="Nov '14"/>
      <sheetName val="Oct '14"/>
      <sheetName val="Sep '14"/>
      <sheetName val="CUACA"/>
      <sheetName val="Urai _Resap pengikat"/>
      <sheetName val="Anl.+"/>
      <sheetName val="rab_analisa"/>
      <sheetName val="RAB ME"/>
      <sheetName val="Scd_RAB"/>
      <sheetName val="REKAP_AN"/>
      <sheetName val="SUM"/>
      <sheetName val="tabel profil"/>
      <sheetName val="tidak dipakai"/>
      <sheetName val="REKAPUTAMA_R1_"/>
      <sheetName val="PRELIM"/>
      <sheetName val="RSTR"/>
      <sheetName val="RBONG"/>
      <sheetName val="BONGKARAN"/>
      <sheetName val="Rev Type"/>
      <sheetName val="LBK"/>
      <sheetName val="H-BHN"/>
      <sheetName val="TENAGA"/>
      <sheetName val="P.M(Monitoring Sche)"/>
      <sheetName val="Lab Sche (Summary)."/>
      <sheetName val="2.1 受電設備棟"/>
      <sheetName val="2.2 受・防火水槽"/>
      <sheetName val="2.3 排水処理設備棟"/>
      <sheetName val="2.4 倉庫棟"/>
      <sheetName val="2.5 守衛棟"/>
      <sheetName val="TOSHIBA-Structure"/>
      <sheetName val="Sheet"/>
      <sheetName val="RAB &amp; RCO OWNER VERS."/>
      <sheetName val="Pag_hal"/>
      <sheetName val="EQT-ESTN"/>
      <sheetName val="BCPAB"/>
      <sheetName val="SITE-E"/>
      <sheetName val="MGG3"/>
      <sheetName val="sliprt"/>
      <sheetName val="H"/>
      <sheetName val="ANALISA KUSEN"/>
      <sheetName val="KALK_GES"/>
      <sheetName val="Parameter"/>
      <sheetName val="DI-ESTI"/>
      <sheetName val="T. Cs Log P III"/>
      <sheetName val="Kabel"/>
      <sheetName val="HRG SAT UPH BHN PU 2012"/>
      <sheetName val="3-DIV2"/>
      <sheetName val="abcdef"/>
      <sheetName val="AHS Aspal"/>
      <sheetName val="Satuan Dasar"/>
      <sheetName val="DK&amp;H"/>
      <sheetName val="MAP-2"/>
      <sheetName val="Daft_2_1"/>
      <sheetName val="Part_A_+_B"/>
      <sheetName val="Harga_Satuan"/>
      <sheetName val="II__TAHANAN_UMUM"/>
      <sheetName val="Analisa_ARS"/>
      <sheetName val="Orgs_Proy"/>
      <sheetName val="Alat_&amp;_Bahan"/>
      <sheetName val="Price_Persiapan_dan_Penunjang"/>
      <sheetName val="Cover_Daf_2"/>
      <sheetName val="Page_1"/>
      <sheetName val="2_10"/>
      <sheetName val="rincian_per_proyek"/>
      <sheetName val="BEBAN P DITAIL"/>
      <sheetName val="H. Dasar"/>
      <sheetName val="BAR SCREEN"/>
      <sheetName val="HRG BAHAN"/>
      <sheetName val="DKH"/>
      <sheetName val="Hrg.Sat"/>
      <sheetName val="SCORE_RC_Code"/>
      <sheetName val="Cost Summary"/>
      <sheetName val="AR"/>
      <sheetName val="S.roomToyota"/>
      <sheetName val="DAF-4"/>
      <sheetName val="Isolasi Luar"/>
      <sheetName val="Isolasi Luar Dalam"/>
      <sheetName val="Tanpa Isolasi"/>
      <sheetName val="INFO"/>
      <sheetName val="CAT-HARGA"/>
      <sheetName val="DAF-3"/>
      <sheetName val="Informasi"/>
      <sheetName val="RAB Gedung Utama"/>
      <sheetName val="srtberkas"/>
      <sheetName val="notasi"/>
      <sheetName val="TPI"/>
      <sheetName val="SAPON"/>
      <sheetName val="KK2"/>
      <sheetName val="Menu"/>
      <sheetName val="Option List"/>
      <sheetName val="HASAT DASAR"/>
      <sheetName val="SELISIH HARGA"/>
      <sheetName val="CH"/>
      <sheetName val="R.A.B."/>
      <sheetName val="BAG_2"/>
      <sheetName val="#REF!"/>
      <sheetName val="STRUKTUR-1"/>
      <sheetName val="FINISHING"/>
      <sheetName val="har-sat"/>
      <sheetName val="MATERIAL ANALISA"/>
      <sheetName val="Database"/>
      <sheetName val="MVC"/>
      <sheetName val="Rencana vs Realisasi"/>
      <sheetName val="unitprice"/>
      <sheetName val="D.79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2"/>
      <sheetName val="D.93"/>
      <sheetName val="D.94"/>
      <sheetName val="D.95"/>
      <sheetName val="D.96"/>
      <sheetName val="7.공정표"/>
      <sheetName val="H-Dasar"/>
      <sheetName val="61004"/>
      <sheetName val="Master 1.0"/>
      <sheetName val="HAl 27"/>
      <sheetName val="RESOURCES-6"/>
      <sheetName val="Pay"/>
      <sheetName val="PRY01-1"/>
      <sheetName val="NP (2)"/>
      <sheetName val="Referensi"/>
      <sheetName val="Mekanikal"/>
      <sheetName val="BOW"/>
      <sheetName val="Pipe"/>
      <sheetName val="POL"/>
      <sheetName val="anal.P"/>
      <sheetName val="Pen Macadam"/>
      <sheetName val="RAB-2006-Total"/>
      <sheetName val="KH-Q1,Q2,01"/>
      <sheetName val="12CGOU"/>
      <sheetName val="pry 05 Pegawai"/>
      <sheetName val="anl.sa"/>
      <sheetName val="B.as"/>
      <sheetName val="TIE-INS"/>
      <sheetName val="RAB (I)"/>
      <sheetName val="Df-Kuan"/>
      <sheetName val="RPP-6"/>
      <sheetName val="H_Satuan_(2)2"/>
      <sheetName val="H_Satuan3"/>
      <sheetName val="cold_mill2"/>
      <sheetName val="Analisa_22"/>
      <sheetName val="Daftar_Subkon2"/>
      <sheetName val="Price_Biaya_Cadangan2"/>
      <sheetName val="BQ_Rekapitulasi__Akhir3"/>
      <sheetName val="Rekap_Biaya2"/>
      <sheetName val="8LT_122"/>
      <sheetName val="Cover_Daf-22"/>
      <sheetName val="A(Rev_3)1"/>
      <sheetName val="Agregat_Halus_&amp;_Kasar1"/>
      <sheetName val="Rekap_Direct_Cost1"/>
      <sheetName val="Form-3_31"/>
      <sheetName val="BOQ_KSN1"/>
      <sheetName val="HARGA_MATERIAL1"/>
      <sheetName val="ANALISA_TENDER1"/>
      <sheetName val="DC_HOT_MIX21"/>
      <sheetName val="Man_Power1"/>
      <sheetName val="Daftar_Upah1"/>
      <sheetName val="ANALISA_PEK_UMUM1"/>
      <sheetName val="Sumber_Daya1"/>
      <sheetName val="Supl_X1"/>
      <sheetName val="Daftar_Harga1"/>
      <sheetName val="RINCIAN_SD_1"/>
      <sheetName val="BQ_ARS1"/>
      <sheetName val="rekap_ahs1"/>
      <sheetName val="Daft_2_11"/>
      <sheetName val="Input_Data1"/>
      <sheetName val="플랜트_설치1"/>
      <sheetName val="BOQ_1"/>
      <sheetName val="rekap_index_eskalasi1"/>
      <sheetName val="Basic_P1"/>
      <sheetName val="HRG_BHN1"/>
      <sheetName val="SUB_TOTAL___1"/>
      <sheetName val="Harsat_Bahan1"/>
      <sheetName val="BQ_Rekapitulasi_Akhir1"/>
      <sheetName val="H_DASAR1"/>
      <sheetName val="Daft_upah,_bahan_&amp;alat1"/>
      <sheetName val="II__TAHANAN_UMUM1"/>
      <sheetName val="Fill_this_out_first___1"/>
      <sheetName val="Kuantitas_&amp;_Harga1"/>
      <sheetName val="REF_ONLY1"/>
      <sheetName val="Weight_Bridge1"/>
      <sheetName val="BQ_Rekapitulasi__Akhir4"/>
      <sheetName val="BQ_PL_1"/>
      <sheetName val="Analisa_ARS1"/>
      <sheetName val="為替レ－ト_1"/>
      <sheetName val="RAB_SEKRETARIAT_(1)1"/>
      <sheetName val="Part_A_+_B1"/>
      <sheetName val="Harga_Satuan1"/>
      <sheetName val="TE_TS_FA_LAN_MATV1"/>
      <sheetName val="ELEMENT_SUM1"/>
      <sheetName val="Rkap_Bya1"/>
      <sheetName val="???_??1"/>
      <sheetName val="CABLE_BULK1"/>
      <sheetName val="An_PLB1"/>
      <sheetName val="Orgs_Proy1"/>
      <sheetName val="bahan_1"/>
      <sheetName val="rincian_per_proyek1"/>
      <sheetName val="Harga_S_Dasar1"/>
      <sheetName val="Urai__Resap_pengikat"/>
      <sheetName val="HRG_DSR"/>
      <sheetName val="Unit_Rate"/>
      <sheetName val="B_Q_20071"/>
      <sheetName val="Combinned_&amp;_Grafic_HB1"/>
      <sheetName val="Vol__Mat_SC1"/>
      <sheetName val="Alat_&amp;_Bahan1"/>
      <sheetName val="Sat_Bah___Up"/>
      <sheetName val="cash_flow1"/>
      <sheetName val="UNIT_PRICE1"/>
      <sheetName val="supporting_data1"/>
      <sheetName val="Cover_Daf_21"/>
      <sheetName val="Price_Persiapan_dan_Penunjang1"/>
      <sheetName val="Page_11"/>
      <sheetName val="Apr_'15"/>
      <sheetName val="Aug_'14"/>
      <sheetName val="Des_'14"/>
      <sheetName val="Feb_'15"/>
      <sheetName val="Jan_'15"/>
      <sheetName val="Jul_'14"/>
      <sheetName val="Jun_'14"/>
      <sheetName val="Mar_'15"/>
      <sheetName val="Mei_'14"/>
      <sheetName val="Mei_'15"/>
      <sheetName val="Nov_'14"/>
      <sheetName val="Oct_'14"/>
      <sheetName val="Sep_'14"/>
      <sheetName val="ANALISA_KUSEN"/>
      <sheetName val="Perm__Test"/>
      <sheetName val="Analisa_Baku_ME"/>
      <sheetName val="2_101"/>
      <sheetName val="AN-K"/>
      <sheetName val="______"/>
      <sheetName val="UPAH&amp;BHN"/>
      <sheetName val="ISIAN"/>
      <sheetName val="3"/>
      <sheetName val="4"/>
      <sheetName val="Batal"/>
      <sheetName val="A) Psiapan"/>
      <sheetName val="rekap-ans"/>
      <sheetName val="3-DIV5"/>
      <sheetName val="ganda"/>
      <sheetName val="RINCI"/>
      <sheetName val="II"/>
      <sheetName val="III"/>
      <sheetName val="REKAP RAP"/>
      <sheetName val="5-ALAT(1)"/>
      <sheetName val="ANALISAGATE"/>
      <sheetName val="Reference"/>
      <sheetName val="HARGA DSR"/>
      <sheetName val="D2"/>
      <sheetName val="B_U"/>
      <sheetName val="K - Drywall-Presd"/>
      <sheetName val="3-DIV4"/>
      <sheetName val="extern"/>
      <sheetName val="Formula Paket A"/>
      <sheetName val="reso"/>
      <sheetName val="SAA"/>
      <sheetName val="HS ALAT"/>
      <sheetName val="Peralatan"/>
      <sheetName val="DivVII"/>
      <sheetName val="HRG BAHAN-UPAH"/>
      <sheetName val="MC"/>
      <sheetName val="DIV.1"/>
      <sheetName val="DIV_1"/>
      <sheetName val="산근"/>
      <sheetName val="Sensitivitas"/>
      <sheetName val="Rekap-Kintoko"/>
      <sheetName val="Rev. RBP-KP"/>
      <sheetName val="Rev RBP-1 "/>
      <sheetName val="L. Hr"/>
      <sheetName val="BasicPrice"/>
      <sheetName val="1.1 ALAT TULIS KANTOR"/>
      <sheetName val="Sat~Bahu"/>
      <sheetName val="Rek. Mob"/>
      <sheetName val="Rekap _2_"/>
      <sheetName val="lamp 9"/>
      <sheetName val="ANALALAT"/>
      <sheetName val="REKAP ANALISA"/>
      <sheetName val="ARSUtM "/>
      <sheetName val="k-9"/>
      <sheetName val="HSBU ANA"/>
      <sheetName val="anal_hs"/>
      <sheetName val="RAB 1"/>
      <sheetName val="SNI-17-3-09"/>
      <sheetName val="PEMBESIAN BALOK INDUK!"/>
      <sheetName val="D985"/>
      <sheetName val="SORT"/>
      <sheetName val="Analisa ME "/>
      <sheetName val="DAFTAR BESI KANAL C SIKU"/>
      <sheetName val="M.Pekerjaan"/>
      <sheetName val="Koto Panjang"/>
      <sheetName val="dasar"/>
      <sheetName val="Super"/>
      <sheetName val="REKAP PAGAR DEPAN"/>
      <sheetName val="REKAP LOKAL"/>
      <sheetName val="REKAP PAGAR SAMPING"/>
      <sheetName val="REKAP GERBANG"/>
      <sheetName val="Signage Detail"/>
      <sheetName val="sat dasar"/>
      <sheetName val="Analysis"/>
      <sheetName val="SheetGMP"/>
      <sheetName val="SheetGMT"/>
      <sheetName val="JADI"/>
      <sheetName val="PI"/>
      <sheetName val="lokasari-el"/>
      <sheetName val="plint"/>
      <sheetName val="MC DPU BI"/>
      <sheetName val="UPBH AB"/>
      <sheetName val="Daft 2_1"/>
      <sheetName val="anal Lamp 4a"/>
      <sheetName val="RAB-SPL2"/>
      <sheetName val="Harga Dasar"/>
      <sheetName val="rhsp"/>
      <sheetName val="LMW-PEG"/>
      <sheetName val="PNT"/>
      <sheetName val="8.4.2 Rambu"/>
      <sheetName val="Combined"/>
      <sheetName val="Front end"/>
      <sheetName val="Back End"/>
      <sheetName val="Rek-Analisa"/>
      <sheetName val="AnalisaSIPIL RIIL"/>
      <sheetName val="HIDRO"/>
      <sheetName val="anal rab"/>
      <sheetName val="D3"/>
      <sheetName val="MPU-D4"/>
      <sheetName val="MPU-D6"/>
      <sheetName val="DKDH"/>
      <sheetName val="HS"/>
      <sheetName val="I-KAMAR"/>
      <sheetName val="REKAP AHSP.A"/>
      <sheetName val="Analisa Harga Satuan"/>
      <sheetName val="backup mc_0"/>
      <sheetName val="DAFTAR  BESI IWF"/>
      <sheetName val="Ana"/>
      <sheetName val="Skedul"/>
      <sheetName val="@nalisa E"/>
      <sheetName val="DB"/>
      <sheetName val="PRY 01-1"/>
      <sheetName val="Tenaker"/>
      <sheetName val="B.UMUM"/>
      <sheetName val="Currency"/>
      <sheetName val="DATA 2"/>
      <sheetName val="REKAP beton"/>
      <sheetName val="Sch-5"/>
      <sheetName val="PRY02"/>
      <sheetName val="Soil Report"/>
      <sheetName val="PriceList"/>
      <sheetName val="INPUT HARGA"/>
      <sheetName val="Rekap Anl"/>
      <sheetName val="예산작성기준(전기)"/>
      <sheetName val="Elektrikal"/>
      <sheetName val="Bahan &amp; Upah 2012"/>
      <sheetName val="HB "/>
      <sheetName val="analis"/>
      <sheetName val="bahan SNI"/>
      <sheetName val="Uraian Pekerjaan"/>
      <sheetName val="ANALISA SNI'07(Bangli)"/>
      <sheetName val="H-Bahan"/>
      <sheetName val="Anal"/>
      <sheetName val="Analtanah"/>
      <sheetName val="dafharbhn"/>
      <sheetName val="Anls"/>
      <sheetName val="Analisa Gabungan"/>
      <sheetName val="D2.2"/>
      <sheetName val="MAIN BQ"/>
      <sheetName val="Petunjuk Ngisi (2)"/>
      <sheetName val="Analisa Teknik"/>
      <sheetName val="LPA-C"/>
      <sheetName val="FORMULA"/>
      <sheetName val="ASPAL (14)"/>
      <sheetName val="iTEM hARSAT"/>
      <sheetName val="Arsitektur"/>
      <sheetName val="AnMobilisasi"/>
      <sheetName val="MASTER_BOQ"/>
      <sheetName val="ESCON"/>
      <sheetName val="REKAP_STRUKTUR"/>
      <sheetName val="Produksi &amp; Scedule"/>
      <sheetName val="merger"/>
      <sheetName val="PERHITUNGAN QUANTITY "/>
      <sheetName val="Floor"/>
      <sheetName val="Paint Type B"/>
      <sheetName val="3.4-PIPE"/>
      <sheetName val="6. CCTV"/>
      <sheetName val="7. Data"/>
      <sheetName val="11. PMK"/>
      <sheetName val="HS. Upah"/>
      <sheetName val="HALAMAN 1-60"/>
      <sheetName val="As"/>
      <sheetName val="List"/>
      <sheetName val="Indek Kemahalan"/>
      <sheetName val="Cost_Of_Fund"/>
      <sheetName val="Sch1"/>
      <sheetName val="K'9"/>
      <sheetName val="Biaya"/>
      <sheetName val="Pemindahan Penduduk "/>
      <sheetName val="TS"/>
      <sheetName val="Rekap. ME"/>
      <sheetName val="Surat Penw. "/>
      <sheetName val="Pek. Elektrikal"/>
      <sheetName val="Pek-ARS"/>
      <sheetName val="LIFT DAN TRAVELATOR"/>
      <sheetName val="Instalasi Tata Udara"/>
      <sheetName val="rekap ARS"/>
      <sheetName val="61005"/>
      <sheetName val="61006"/>
      <sheetName val="61007"/>
      <sheetName val="61008"/>
      <sheetName val="Isian Biodata"/>
      <sheetName val="PO2"/>
      <sheetName val="tblpAKET-1_2"/>
      <sheetName val="Volume"/>
      <sheetName val="ALT"/>
      <sheetName val="JBAHAN"/>
      <sheetName val="HSD_Alat"/>
      <sheetName val="analisa print"/>
      <sheetName val="Upah bhn mat"/>
      <sheetName val="Harsat_El"/>
      <sheetName val="rab strktr ars print"/>
      <sheetName val="UPH,BHN,ALT"/>
      <sheetName val="Harsat.Alat"/>
      <sheetName val="A-11 Steel Str"/>
      <sheetName val="A-03 Pile"/>
      <sheetName val="schbhn"/>
      <sheetName val="variable"/>
      <sheetName val="Spec ME"/>
      <sheetName val="Steel Material List"/>
      <sheetName val="BD Steel"/>
      <sheetName val="breakdown cable tray"/>
      <sheetName val="Pekerjaan Pabrik Utama"/>
      <sheetName val="Pekerjaan Pabrik Utama-Add"/>
      <sheetName val="Pekerjaan Bangunan TPS"/>
      <sheetName val="Pekerjaan Bangunan TPS (2)"/>
      <sheetName val="Pekerjaan Area Luar Jalan"/>
      <sheetName val="IV.1. Str. Office"/>
      <sheetName val="IV.2. Str. Serbaguna,GWT&amp;Wisma"/>
      <sheetName val="IV.3. Str. Gudang Rokok &amp; Promo"/>
      <sheetName val="IV.4. Str. Gudang Cengkeh"/>
      <sheetName val="IV.6. Str. R Genset"/>
      <sheetName val="IV.7. Str. Parkir Mobil"/>
      <sheetName val="IV.8. Str. Parkir Motor Kantor"/>
      <sheetName val="IV.9. Str. Parkir Motor Karyawa"/>
      <sheetName val="HRG BAHAN &amp; UPAH okk"/>
      <sheetName val="Analis Kusen okk"/>
      <sheetName val="SPKsd190518"/>
      <sheetName val="RAB "/>
      <sheetName val="ANL"/>
      <sheetName val="수입"/>
      <sheetName val="man_PEP"/>
      <sheetName val="Analisa copy"/>
      <sheetName val="BREAKER"/>
      <sheetName val="TOEVOER"/>
      <sheetName val="AHS TITIK ME"/>
      <sheetName val="ANALISA railing"/>
      <sheetName val="SCHEDULE"/>
      <sheetName val="Parem"/>
      <sheetName val="Target Raker(10)"/>
      <sheetName val="KUB-01(10)"/>
      <sheetName val="IBASE"/>
      <sheetName val="M+MC"/>
      <sheetName val="Wiw"/>
      <sheetName val="Bendung"/>
      <sheetName val="Plat Lantai Trestle"/>
      <sheetName val="name"/>
      <sheetName val="Analisa SNI STANDART "/>
      <sheetName val="% Prog"/>
      <sheetName val="Data Alat"/>
      <sheetName val="daya"/>
      <sheetName val="ANGGARAN"/>
      <sheetName val="RKP 01"/>
      <sheetName val="DRAFT KONSUMEN"/>
      <sheetName val="sai"/>
      <sheetName val="PL (MONTHLY)"/>
      <sheetName val="Cover-01"/>
      <sheetName val="Mobilindo"/>
      <sheetName val="L.BA blok"/>
      <sheetName val="Proyeksi"/>
      <sheetName val="Trading Comps"/>
      <sheetName val="Valuation"/>
      <sheetName val="Supporting"/>
      <sheetName val="5-Peralatan"/>
      <sheetName val="Posisi Biaya"/>
      <sheetName val="C_Flow"/>
      <sheetName val="Daftar upah &amp; material"/>
      <sheetName val="Sat Upah"/>
      <sheetName val="PO2 ok"/>
      <sheetName val="SIMPRO(AGST)"/>
      <sheetName val="VAC_BDWN"/>
      <sheetName val="_SAT_PL"/>
      <sheetName val="ANALISA_SNI'08(ubh_bgsting)"/>
      <sheetName val="Rekap_Sal"/>
      <sheetName val="SCHEDULE_"/>
      <sheetName val="BASIC_PRICE_"/>
      <sheetName val="mA_THP_III"/>
      <sheetName val="BEBAN_P_DITAIL"/>
      <sheetName val="H__Dasar"/>
      <sheetName val="BAR_SCREEN"/>
      <sheetName val="HRG_BAHAN"/>
      <sheetName val="Conn__Lib"/>
      <sheetName val="DAFTAR_7"/>
      <sheetName val="RAB_Jalan"/>
      <sheetName val="basic_price"/>
      <sheetName val="D_79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2"/>
      <sheetName val="D_93"/>
      <sheetName val="D_94"/>
      <sheetName val="D_95"/>
      <sheetName val="D_96"/>
      <sheetName val="7_공정표"/>
      <sheetName val="Master_1_0"/>
      <sheetName val="Ope_FC"/>
      <sheetName val="Harsat_Upah"/>
      <sheetName val="Galian_batu"/>
      <sheetName val="Rekap_DKH"/>
      <sheetName val="Fill_this_out_first___2"/>
      <sheetName val="BARU-4_"/>
      <sheetName val="Master_Edit"/>
      <sheetName val="Rek_Analisa"/>
      <sheetName val="BQ_Elektrikal"/>
      <sheetName val="4-Basic_Price"/>
      <sheetName val="struktur_tdk_dipakai"/>
      <sheetName val="Isolasi_Luar"/>
      <sheetName val="Isolasi_Luar_Dalam"/>
      <sheetName val="Tanpa_Isolasi"/>
      <sheetName val="RAB_Gedung_Utama"/>
      <sheetName val="Option_List"/>
      <sheetName val="HASAT_DASAR"/>
      <sheetName val="SELISIH_HARGA"/>
      <sheetName val="R_A_B_"/>
      <sheetName val="MATERIAL_ANALISA"/>
      <sheetName val="bq_T_Abang"/>
      <sheetName val="Hrg_Satuan_&amp;_Upah"/>
      <sheetName val="P_M(Monitoring_Sche)"/>
      <sheetName val="Lab_Sche_(Summary)_"/>
      <sheetName val="2_1_受電設備棟"/>
      <sheetName val="2_2_受・防火水槽"/>
      <sheetName val="2_3_排水処理設備棟"/>
      <sheetName val="2_4_倉庫棟"/>
      <sheetName val="2_5_守衛棟"/>
      <sheetName val="Terb1"/>
      <sheetName val="UnitRateA.1.II"/>
      <sheetName val="RINCIAN"/>
      <sheetName val="subbase"/>
      <sheetName val="EXTERNAL  (revisi 1)"/>
      <sheetName val="HS1b"/>
      <sheetName val="D.BOARD"/>
      <sheetName val="Analisa HSP"/>
      <sheetName val="BPS"/>
      <sheetName val="RESUME"/>
      <sheetName val="WBS 2005"/>
      <sheetName val="BK-PU"/>
      <sheetName val="est proy"/>
      <sheetName val="AnAlat"/>
      <sheetName val="DaftarHS"/>
      <sheetName val="Enc14"/>
      <sheetName val="351BQMCN"/>
      <sheetName val="BIALANG"/>
      <sheetName val="Rek.An"/>
      <sheetName val="Print"/>
      <sheetName val="AHS"/>
      <sheetName val="Z"/>
      <sheetName val="MT_an"/>
      <sheetName val="schalt"/>
      <sheetName val="schtng"/>
      <sheetName val=""/>
      <sheetName val="bd"/>
      <sheetName val="BQ-E20-02(Rp)"/>
      <sheetName val="hrg-dsr"/>
      <sheetName val="Foundation"/>
      <sheetName val="3-DIV3"/>
      <sheetName val="hARGA SAT"/>
      <sheetName val="RAB VOL"/>
      <sheetName val="****00"/>
      <sheetName val="GSMTOWER"/>
      <sheetName val="COGMPL"/>
      <sheetName val="Jm"/>
      <sheetName val="Upah&amp; Bahan"/>
      <sheetName val="Analisa Upah &amp; Bahan Plum"/>
      <sheetName val="div3"/>
      <sheetName val="REKAPITULASI"/>
      <sheetName val="LAP. MINGG"/>
      <sheetName val="XLR_NoRangeSheet"/>
      <sheetName val="SKD"/>
      <sheetName val="etraksi"/>
      <sheetName val="Rawat Inap"/>
      <sheetName val="Notes"/>
      <sheetName val="REKAPITULASI HARGA SATUAN"/>
      <sheetName val="DIV-3"/>
      <sheetName val="DIV-7"/>
      <sheetName val="B"/>
      <sheetName val="an me"/>
      <sheetName val="CATS Codes"/>
      <sheetName val="PLANT"/>
      <sheetName val="Base Info"/>
      <sheetName val="Ana. PU"/>
      <sheetName val="HRG UPAH BAHAN"/>
      <sheetName val="Analisa BOW 07"/>
      <sheetName val="BAHAN &amp; ALAT"/>
      <sheetName val="Urut kabupaten"/>
      <sheetName val="DHSBU"/>
      <sheetName val="simak"/>
      <sheetName val="konf.kap"/>
      <sheetName val="schedulle"/>
      <sheetName val="flowchart"/>
      <sheetName val="MPU"/>
      <sheetName val="SUBCON"/>
      <sheetName val="STAFINTI"/>
      <sheetName val="USULALAT"/>
      <sheetName val="2"/>
      <sheetName val="5"/>
      <sheetName val="d7bton"/>
      <sheetName val="D"/>
      <sheetName val="D8 kerblma"/>
      <sheetName val="Harga S Dasar UNTUK IDISI"/>
      <sheetName val="quary"/>
      <sheetName val="agregat"/>
      <sheetName val="rutin"/>
      <sheetName val="10.1 (1)"/>
      <sheetName val="10.1 (2)"/>
      <sheetName val="10.1 (3)"/>
      <sheetName val="10.1 (4)"/>
      <sheetName val="10.1 (5)"/>
      <sheetName val="D10"/>
      <sheetName val="1. Rekap A"/>
      <sheetName val="Lap. Minggu 81 (JUNI)"/>
      <sheetName val="FL-Cl"/>
      <sheetName val="Brick+Finish"/>
      <sheetName val="s"/>
      <sheetName val="Tabel HSP"/>
      <sheetName val="Kerja"/>
      <sheetName val="pek tanah utk irigasi"/>
      <sheetName val="Uba"/>
      <sheetName val="CE Elec"/>
      <sheetName val="rekap_konst"/>
      <sheetName val="W-NAD"/>
      <sheetName val="Anls 1"/>
      <sheetName val="DON GIA"/>
      <sheetName val="CHITIET VL_NC"/>
      <sheetName val="Tiepdia"/>
      <sheetName val="TDTKP"/>
      <sheetName val="TONGKE3p "/>
      <sheetName val="VCV_BE_TONG"/>
      <sheetName val="TNHCHINH"/>
      <sheetName val="Kuantitas"/>
      <sheetName val="Ahs.2"/>
      <sheetName val="Ahs.1"/>
      <sheetName val="Sum_IF1"/>
      <sheetName val="U__div_21"/>
      <sheetName val="Grand_Sum_BT1"/>
      <sheetName val="Analisa_RAP1"/>
      <sheetName val="______1"/>
      <sheetName val="RBP__21"/>
      <sheetName val="REKAP_beton"/>
      <sheetName val="REKAP_ARSITEKTUR_"/>
      <sheetName val="HAl_27"/>
      <sheetName val="L__Hr"/>
      <sheetName val="master_schedule"/>
      <sheetName val="Rev__RBP-KP"/>
      <sheetName val="Rev_RBP-1_"/>
      <sheetName val="Cable_Data_from_Attachment-C"/>
      <sheetName val="Daft_2_12"/>
      <sheetName val="AHS_Aspal"/>
      <sheetName val="BQ_Rekapitulasi_Akhir2"/>
      <sheetName val="anal_P"/>
      <sheetName val="Pen_Macadam"/>
      <sheetName val="pry_05_Pegawai"/>
      <sheetName val="Jadwal_Kerja_Bln"/>
      <sheetName val="8_4_2_Rambu"/>
      <sheetName val="Rek_An"/>
      <sheetName val="Formula_Paket_A"/>
      <sheetName val="Front_end"/>
      <sheetName val="Back_End"/>
      <sheetName val="RAB_(I)"/>
      <sheetName val="pek_tanah_utk_irigasi"/>
      <sheetName val="anl_sa"/>
      <sheetName val="B_as"/>
      <sheetName val="Hrg_Sat"/>
      <sheetName val="Satuan_Dasar"/>
      <sheetName val="tabel_profil"/>
      <sheetName val="Cost_Summary"/>
      <sheetName val="A+Supl_"/>
      <sheetName val="Rev_Type"/>
      <sheetName val="Anl_+"/>
      <sheetName val="Rinc_Ged_A_(G_Utama)"/>
      <sheetName val="Signage_Detail"/>
      <sheetName val="sat_dasar"/>
      <sheetName val="UnitRateA_1_II"/>
      <sheetName val="S_roomToyota"/>
      <sheetName val="PRY_01-1"/>
      <sheetName val="DATA_2"/>
      <sheetName val="Calcu_02"/>
      <sheetName val="An_H_Sat_Pek_Ut"/>
      <sheetName val="Data_Alat"/>
      <sheetName val="LEP AWAL DES 11"/>
      <sheetName val="TEST CASE"/>
      <sheetName val="anl hsmpu"/>
      <sheetName val="RBP- 2"/>
      <sheetName val="BAHN"/>
      <sheetName val="MEJA"/>
      <sheetName val="Rumus"/>
      <sheetName val="analisa nya"/>
      <sheetName val="tbl_tarip"/>
      <sheetName val="Produksi_&amp;_Scedule"/>
      <sheetName val="PL_(MONTHLY)"/>
      <sheetName val="L_BA_blok"/>
      <sheetName val="Trading_Comps"/>
      <sheetName val="AnalisaSIPIL_RIIL"/>
      <sheetName val="HRG_BAHAN_&amp;_UPAH_okk"/>
      <sheetName val="Analis_Kusen_okk"/>
      <sheetName val="bahan_upah"/>
      <sheetName val="1_1_ALAT_TULIS_KANTOR"/>
      <sheetName val="tidak_dipakai"/>
      <sheetName val="HARGA_ALAT"/>
      <sheetName val="AGG,_C"/>
      <sheetName val="U&amp;B"/>
      <sheetName val="coef"/>
      <sheetName val="H_Satuan_(2)3"/>
      <sheetName val="H_Satuan4"/>
      <sheetName val="cold_mill3"/>
      <sheetName val="Daftar_Subkon3"/>
      <sheetName val="Rekap_Biaya3"/>
      <sheetName val="Analisa_23"/>
      <sheetName val="Price_Biaya_Cadangan3"/>
      <sheetName val="BQ_Rekapitulasi__Akhir5"/>
      <sheetName val="Cover_Daf-23"/>
      <sheetName val="8LT_123"/>
      <sheetName val="A(Rev_3)2"/>
      <sheetName val="Agregat_Halus_&amp;_Kasar2"/>
      <sheetName val="Rekap_Direct_Cost2"/>
      <sheetName val="Form-3_32"/>
      <sheetName val="Sumber_Daya2"/>
      <sheetName val="Supl_X2"/>
      <sheetName val="ANALISA_TENDER2"/>
      <sheetName val="HARGA_MATERIAL2"/>
      <sheetName val="Daftar_Harga2"/>
      <sheetName val="BOQ_KSN2"/>
      <sheetName val="DC_HOT_MIX22"/>
      <sheetName val="Man_Power2"/>
      <sheetName val="Daftar_Upah2"/>
      <sheetName val="ANALISA_PEK_UMUM2"/>
      <sheetName val="RINCIAN_SD_2"/>
      <sheetName val="BQ_ARS2"/>
      <sheetName val="BQ_Rekapitulasi_Akhir3"/>
      <sheetName val="플랜트_설치2"/>
      <sheetName val="HRG_BHN2"/>
      <sheetName val="SUB_TOTAL___2"/>
      <sheetName val="Input_Data2"/>
      <sheetName val="Rkap_Bya2"/>
      <sheetName val="HAl_271"/>
      <sheetName val="H_DASAR2"/>
      <sheetName val="rekap_ahs2"/>
      <sheetName val="Weight_Bridge2"/>
      <sheetName val="Harga_Satuan2"/>
      <sheetName val="BQ_Rekapitulasi__Akhir6"/>
      <sheetName val="Produksi_&amp;_Scedule1"/>
      <sheetName val="mA_THP_III1"/>
      <sheetName val="PL_(MONTHLY)1"/>
      <sheetName val="Galian_batu1"/>
      <sheetName val="BOQ_2"/>
      <sheetName val="Price_Persiapan_dan_Penunjang2"/>
      <sheetName val="TE_TS_FA_LAN_MATV2"/>
      <sheetName val="Cable_Data_from_Attachment-C1"/>
      <sheetName val="REF_ONLY2"/>
      <sheetName val="BQ_PL_2"/>
      <sheetName val="Daft_upah,_bahan_&amp;alat2"/>
      <sheetName val="Harsat_Bahan2"/>
      <sheetName val="Kuantitas_&amp;_Harga2"/>
      <sheetName val="UNIT_PRICE2"/>
      <sheetName val="supporting_data2"/>
      <sheetName val="L_BA_blok1"/>
      <sheetName val="cash_flow2"/>
      <sheetName val="Trading_Comps1"/>
      <sheetName val="AnalisaSIPIL_RIIL1"/>
      <sheetName val="HRG_BAHAN_&amp;_UPAH_okk1"/>
      <sheetName val="Analis_Kusen_okk1"/>
      <sheetName val="bahan_2"/>
      <sheetName val="rincian_per_proyek2"/>
      <sheetName val="rekap_index_eskalasi2"/>
      <sheetName val="Basic_P2"/>
      <sheetName val="Fill_this_out_first___3"/>
      <sheetName val="RAB_SEKRETARIAT_(1)2"/>
      <sheetName val="Harga_S_Dasar2"/>
      <sheetName val="ELEMENT_SUM2"/>
      <sheetName val="???_??2"/>
      <sheetName val="CABLE_BULK2"/>
      <sheetName val="An_PLB2"/>
      <sheetName val="Unit_Rate1"/>
      <sheetName val="Sat_Bah___Up1"/>
      <sheetName val="_SAT_PL1"/>
      <sheetName val="Grand_Sum_BT2"/>
      <sheetName val="Cover_Daf_22"/>
      <sheetName val="Analisa_ARS2"/>
      <sheetName val="HRG_DSR1"/>
      <sheetName val="Sum_IF2"/>
      <sheetName val="ANALISA_SNI'08(ubh_bgsting)1"/>
      <sheetName val="為替レ－ト_2"/>
      <sheetName val="B_Q_20072"/>
      <sheetName val="Rekap_Sal1"/>
      <sheetName val="II__TAHANAN_UMUM2"/>
      <sheetName val="SCHEDULE_1"/>
      <sheetName val="U__div_22"/>
      <sheetName val="Analisa_RAP2"/>
      <sheetName val="BASIC_PRICE_1"/>
      <sheetName val="Vol__Mat_SC2"/>
      <sheetName val="Combinned_&amp;_Grafic_HB2"/>
      <sheetName val="Perm__Test1"/>
      <sheetName val="2_102"/>
      <sheetName val="Alat_&amp;_Bahan2"/>
      <sheetName val="Analisa_Baku_ME1"/>
      <sheetName val="Page_12"/>
      <sheetName val="Jadwal_Kerja_Bln1"/>
      <sheetName val="Harsat_Upah1"/>
      <sheetName val="VAC_BDWN1"/>
      <sheetName val="RAB_Jalan1"/>
      <sheetName val="basic_price1"/>
      <sheetName val="Orgs_Proy2"/>
      <sheetName val="bq_T_Abang1"/>
      <sheetName val="Master_Edit1"/>
      <sheetName val="Rek_Analisa1"/>
      <sheetName val="BARU-4_1"/>
      <sheetName val="RBP__22"/>
      <sheetName val="Conn__Lib1"/>
      <sheetName val="AHS_Aspal1"/>
      <sheetName val="Part_A_+_B2"/>
      <sheetName val="Urai__Resap_pengikat1"/>
      <sheetName val="BQ_Rekapitulasi_Akhir4"/>
      <sheetName val="BQ_Elektrikal1"/>
      <sheetName val="Hrg_Sat1"/>
      <sheetName val="Fill_this_out_first___4"/>
      <sheetName val="DAFTAR_71"/>
      <sheetName val="Ope_FC1"/>
      <sheetName val="Rekap_DKH1"/>
      <sheetName val="REKAP_ARSITEKTUR_1"/>
      <sheetName val="tabel_profil1"/>
      <sheetName val="Cost_Summary1"/>
      <sheetName val="Apr_'151"/>
      <sheetName val="Aug_'141"/>
      <sheetName val="Des_'141"/>
      <sheetName val="Feb_'151"/>
      <sheetName val="Jan_'151"/>
      <sheetName val="Jul_'141"/>
      <sheetName val="Jun_'141"/>
      <sheetName val="Mar_'151"/>
      <sheetName val="Mei_'141"/>
      <sheetName val="Mei_'151"/>
      <sheetName val="Nov_'141"/>
      <sheetName val="Oct_'141"/>
      <sheetName val="Sep_'141"/>
      <sheetName val="D_791"/>
      <sheetName val="D_811"/>
      <sheetName val="D_821"/>
      <sheetName val="D_831"/>
      <sheetName val="D_841"/>
      <sheetName val="D_851"/>
      <sheetName val="D_861"/>
      <sheetName val="D_871"/>
      <sheetName val="D_881"/>
      <sheetName val="D_891"/>
      <sheetName val="D_921"/>
      <sheetName val="D_931"/>
      <sheetName val="D_941"/>
      <sheetName val="D_951"/>
      <sheetName val="D_961"/>
      <sheetName val="7_공정표1"/>
      <sheetName val="Master_1_01"/>
      <sheetName val="Hrg_Satuan_&amp;_Upah1"/>
      <sheetName val="4-Basic_Price1"/>
      <sheetName val="struktur_tdk_dipakai1"/>
      <sheetName val="bahan_upah1"/>
      <sheetName val="rekap_konst1"/>
      <sheetName val="Satuan_Dasar1"/>
      <sheetName val="1_1_ALAT_TULIS_KANTOR1"/>
      <sheetName val="ANALISA_KUSEN1"/>
      <sheetName val="REKAP_beton1"/>
      <sheetName val="A+Supl_1"/>
      <sheetName val="Anl_+1"/>
      <sheetName val="tidak_dipakai1"/>
      <sheetName val="Rev_Type1"/>
      <sheetName val="HARGA_ALAT1"/>
      <sheetName val="AGG,_C1"/>
      <sheetName val="Rinc_Ged_A_(G_Utama)1"/>
      <sheetName val="Signage_Detail1"/>
      <sheetName val="NP_(2)"/>
      <sheetName val="Analisa_SNI_STANDART_"/>
      <sheetName val="%_Prog"/>
      <sheetName val="REKAP_PAGAR_DEPAN"/>
      <sheetName val="REKAP_LOKAL"/>
      <sheetName val="REKAP_PAGAR_SAMPING"/>
      <sheetName val="REKAP_GERBANG"/>
      <sheetName val="RAB_&amp;_RCO_OWNER_VERS_"/>
      <sheetName val="HS_ALAT"/>
      <sheetName val="H_Satuan_(2)4"/>
      <sheetName val="H_Satuan5"/>
      <sheetName val="cold_mill4"/>
      <sheetName val="Daftar_Subkon4"/>
      <sheetName val="Rekap_Biaya4"/>
      <sheetName val="Analisa_24"/>
      <sheetName val="Price_Biaya_Cadangan4"/>
      <sheetName val="BQ_Rekapitulasi__Akhir7"/>
      <sheetName val="Cover_Daf-24"/>
      <sheetName val="8LT_124"/>
      <sheetName val="A(Rev_3)3"/>
      <sheetName val="Agregat_Halus_&amp;_Kasar3"/>
      <sheetName val="Rekap_Direct_Cost3"/>
      <sheetName val="Form-3_33"/>
      <sheetName val="Sumber_Daya3"/>
      <sheetName val="Supl_X3"/>
      <sheetName val="ANALISA_TENDER3"/>
      <sheetName val="HARGA_MATERIAL3"/>
      <sheetName val="Daftar_Harga3"/>
      <sheetName val="BOQ_KSN3"/>
      <sheetName val="DC_HOT_MIX23"/>
      <sheetName val="Man_Power3"/>
      <sheetName val="Daftar_Upah3"/>
      <sheetName val="ANALISA_PEK_UMUM3"/>
      <sheetName val="RINCIAN_SD_3"/>
      <sheetName val="BQ_ARS3"/>
      <sheetName val="BQ_Rekapitulasi_Akhir5"/>
      <sheetName val="플랜트_설치3"/>
      <sheetName val="HRG_BHN3"/>
      <sheetName val="SUB_TOTAL___3"/>
      <sheetName val="Input_Data3"/>
      <sheetName val="Rkap_Bya3"/>
      <sheetName val="HAl_272"/>
      <sheetName val="H_DASAR3"/>
      <sheetName val="rekap_ahs3"/>
      <sheetName val="Weight_Bridge3"/>
      <sheetName val="Harga_Satuan3"/>
      <sheetName val="BQ_Rekapitulasi__Akhir8"/>
      <sheetName val="Produksi_&amp;_Scedule2"/>
      <sheetName val="mA_THP_III2"/>
      <sheetName val="PL_(MONTHLY)2"/>
      <sheetName val="Galian_batu2"/>
      <sheetName val="BOQ_3"/>
      <sheetName val="Price_Persiapan_dan_Penunjang3"/>
      <sheetName val="TE_TS_FA_LAN_MATV3"/>
      <sheetName val="Cable_Data_from_Attachment-C2"/>
      <sheetName val="REF_ONLY3"/>
      <sheetName val="BQ_PL_3"/>
      <sheetName val="Daft_upah,_bahan_&amp;alat3"/>
      <sheetName val="Harsat_Bahan3"/>
      <sheetName val="Kuantitas_&amp;_Harga3"/>
      <sheetName val="UNIT_PRICE3"/>
      <sheetName val="supporting_data3"/>
      <sheetName val="L_BA_blok2"/>
      <sheetName val="cash_flow3"/>
      <sheetName val="Trading_Comps2"/>
      <sheetName val="AnalisaSIPIL_RIIL2"/>
      <sheetName val="HRG_BAHAN_&amp;_UPAH_okk2"/>
      <sheetName val="Analis_Kusen_okk2"/>
      <sheetName val="bahan_3"/>
      <sheetName val="rincian_per_proyek3"/>
      <sheetName val="rekap_index_eskalasi3"/>
      <sheetName val="Basic_P3"/>
      <sheetName val="Fill_this_out_first___5"/>
      <sheetName val="RAB_SEKRETARIAT_(1)3"/>
      <sheetName val="Harga_S_Dasar3"/>
      <sheetName val="ELEMENT_SUM3"/>
      <sheetName val="???_??3"/>
      <sheetName val="CABLE_BULK3"/>
      <sheetName val="An_PLB3"/>
      <sheetName val="Unit_Rate2"/>
      <sheetName val="Sat_Bah___Up2"/>
      <sheetName val="_SAT_PL2"/>
      <sheetName val="Grand_Sum_BT3"/>
      <sheetName val="Daft_2_13"/>
      <sheetName val="Cover_Daf_23"/>
      <sheetName val="Analisa_ARS3"/>
      <sheetName val="HRG_DSR2"/>
      <sheetName val="Sum_IF3"/>
      <sheetName val="ANALISA_SNI'08(ubh_bgsting)2"/>
      <sheetName val="為替レ－ト_3"/>
      <sheetName val="B_Q_20073"/>
      <sheetName val="Rekap_Sal2"/>
      <sheetName val="II__TAHANAN_UMUM3"/>
      <sheetName val="SCHEDULE_2"/>
      <sheetName val="U__div_23"/>
      <sheetName val="Analisa_RAP3"/>
      <sheetName val="BASIC_PRICE_2"/>
      <sheetName val="Vol__Mat_SC3"/>
      <sheetName val="Combinned_&amp;_Grafic_HB3"/>
      <sheetName val="Perm__Test2"/>
      <sheetName val="2_103"/>
      <sheetName val="Alat_&amp;_Bahan3"/>
      <sheetName val="Analisa_Baku_ME2"/>
      <sheetName val="Page_13"/>
      <sheetName val="Jadwal_Kerja_Bln2"/>
      <sheetName val="Harsat_Upah2"/>
      <sheetName val="VAC_BDWN2"/>
      <sheetName val="RAB_Jalan2"/>
      <sheetName val="basic_price2"/>
      <sheetName val="Orgs_Proy3"/>
      <sheetName val="bq_T_Abang2"/>
      <sheetName val="Master_Edit2"/>
      <sheetName val="Rek_Analisa2"/>
      <sheetName val="BARU-4_2"/>
      <sheetName val="RBP__23"/>
      <sheetName val="Conn__Lib2"/>
      <sheetName val="AHS_Aspal2"/>
      <sheetName val="Part_A_+_B3"/>
      <sheetName val="Urai__Resap_pengikat2"/>
      <sheetName val="BQ_Rekapitulasi_Akhir6"/>
      <sheetName val="BQ_Elektrikal2"/>
      <sheetName val="Hrg_Sat2"/>
      <sheetName val="______2"/>
      <sheetName val="Fill_this_out_first___6"/>
      <sheetName val="DAFTAR_72"/>
      <sheetName val="Ope_FC2"/>
      <sheetName val="Rekap_DKH2"/>
      <sheetName val="REKAP_ARSITEKTUR_2"/>
      <sheetName val="tabel_profil2"/>
      <sheetName val="Cost_Summary2"/>
      <sheetName val="Apr_'152"/>
      <sheetName val="Aug_'142"/>
      <sheetName val="Des_'142"/>
      <sheetName val="Feb_'152"/>
      <sheetName val="Jan_'152"/>
      <sheetName val="Jul_'142"/>
      <sheetName val="Jun_'142"/>
      <sheetName val="Mar_'152"/>
      <sheetName val="Mei_'142"/>
      <sheetName val="Mei_'152"/>
      <sheetName val="Nov_'142"/>
      <sheetName val="Oct_'142"/>
      <sheetName val="Sep_'142"/>
      <sheetName val="D_792"/>
      <sheetName val="D_812"/>
      <sheetName val="D_822"/>
      <sheetName val="D_832"/>
      <sheetName val="D_842"/>
      <sheetName val="D_852"/>
      <sheetName val="D_862"/>
      <sheetName val="D_872"/>
      <sheetName val="D_882"/>
      <sheetName val="D_892"/>
      <sheetName val="D_922"/>
      <sheetName val="D_932"/>
      <sheetName val="D_942"/>
      <sheetName val="D_952"/>
      <sheetName val="D_962"/>
      <sheetName val="7_공정표2"/>
      <sheetName val="Master_1_02"/>
      <sheetName val="Hrg_Satuan_&amp;_Upah2"/>
      <sheetName val="4-Basic_Price2"/>
      <sheetName val="struktur_tdk_dipakai2"/>
      <sheetName val="bahan_upah2"/>
      <sheetName val="rekap_konst2"/>
      <sheetName val="Satuan_Dasar2"/>
      <sheetName val="1_1_ALAT_TULIS_KANTOR2"/>
      <sheetName val="ANALISA_KUSEN2"/>
      <sheetName val="REKAP_beton2"/>
      <sheetName val="A+Supl_2"/>
      <sheetName val="Anl_+2"/>
      <sheetName val="tidak_dipakai2"/>
      <sheetName val="Rev_Type2"/>
      <sheetName val="HARGA_ALAT2"/>
      <sheetName val="AGG,_C2"/>
      <sheetName val="Rinc_Ged_A_(G_Utama)2"/>
      <sheetName val="Signage_Detail2"/>
      <sheetName val="NP_(2)1"/>
      <sheetName val="L__Hr1"/>
      <sheetName val="Analisa_SNI_STANDART_1"/>
      <sheetName val="%_Prog1"/>
      <sheetName val="master_schedule1"/>
      <sheetName val="Calcu_021"/>
      <sheetName val="REKAP_PAGAR_DEPAN1"/>
      <sheetName val="REKAP_LOKAL1"/>
      <sheetName val="REKAP_PAGAR_SAMPING1"/>
      <sheetName val="REKAP_GERBANG1"/>
      <sheetName val="P_M(Monitoring_Sche)1"/>
      <sheetName val="Lab_Sche_(Summary)_1"/>
      <sheetName val="2_1_受電設備棟1"/>
      <sheetName val="2_2_受・防火水槽1"/>
      <sheetName val="2_3_排水処理設備棟1"/>
      <sheetName val="2_4_倉庫棟1"/>
      <sheetName val="2_5_守衛棟1"/>
      <sheetName val="RAB_&amp;_RCO_OWNER_VERS_1"/>
      <sheetName val="HRG_BAHAN1"/>
      <sheetName val="Isolasi_Luar1"/>
      <sheetName val="Isolasi_Luar_Dalam1"/>
      <sheetName val="Tanpa_Isolasi1"/>
      <sheetName val="RAB_Gedung_Utama1"/>
      <sheetName val="Option_List1"/>
      <sheetName val="HASAT_DASAR1"/>
      <sheetName val="SELISIH_HARGA1"/>
      <sheetName val="R_A_B_1"/>
      <sheetName val="MATERIAL_ANALISA1"/>
      <sheetName val="BEBAN_P_DITAIL1"/>
      <sheetName val="H__Dasar1"/>
      <sheetName val="BAR_SCREEN1"/>
      <sheetName val="HS_ALAT1"/>
      <sheetName val="단가"/>
      <sheetName val="시설물일위"/>
      <sheetName val="수목데이타"/>
      <sheetName val="99노임기준"/>
      <sheetName val="단가대비표"/>
      <sheetName val="일위대가"/>
      <sheetName val="화재 탐지 설비"/>
      <sheetName val="JUCKEYK"/>
      <sheetName val="DSBDY"/>
      <sheetName val="CBD-PRICE"/>
      <sheetName val="2000전체분"/>
      <sheetName val="2000년1차"/>
      <sheetName val="투찰"/>
      <sheetName val="D5"/>
      <sheetName val="1.REK"/>
      <sheetName val="DATE"/>
      <sheetName val="MU2"/>
      <sheetName val="List Material"/>
      <sheetName val="RAB PENAWARAN"/>
      <sheetName val="BQ1"/>
      <sheetName val="Bab10"/>
      <sheetName val="Source"/>
      <sheetName val="RAB_ASRAMA_(7.A)"/>
      <sheetName val="D7(1)"/>
      <sheetName val="HASAT"/>
      <sheetName val="Master"/>
      <sheetName val="Encl -14A"/>
      <sheetName val="Encl-7"/>
      <sheetName val="SUM-IF"/>
      <sheetName val="SCH12"/>
      <sheetName val="Asumsi"/>
      <sheetName val="IPA1"/>
      <sheetName val="Harga Satuan Bahan "/>
      <sheetName val="REKAP TOTAL MEPEQ "/>
      <sheetName val="REKAP PERSIAPAN"/>
      <sheetName val="Persiapan"/>
      <sheetName val="REKAP PLUMBING"/>
      <sheetName val="Air Bersih"/>
      <sheetName val="Air Panas"/>
      <sheetName val="Air Buangan"/>
      <sheetName val="Air Hujan"/>
      <sheetName val="Gas"/>
      <sheetName val="STP"/>
      <sheetName val="REKAP VAC"/>
      <sheetName val="Ventilasi"/>
      <sheetName val="Air Conditioning"/>
      <sheetName val="Chiller Plant"/>
      <sheetName val="REKAP PEMADAM"/>
      <sheetName val="Hydrant"/>
      <sheetName val="Splinker"/>
      <sheetName val="REKAP ELEKTRIKAL"/>
      <sheetName val="Grounding &amp; Penyalur petir"/>
      <sheetName val="GENSET"/>
      <sheetName val="REKAP ELEKTRONIK"/>
      <sheetName val="Fire Alarm"/>
      <sheetName val="Sound System"/>
      <sheetName val="G-Phone"/>
      <sheetName val="CCTV"/>
      <sheetName val="BAS"/>
      <sheetName val="REKAP LIFT"/>
      <sheetName val="Pengadaan"/>
      <sheetName val="Pemasangan"/>
      <sheetName val="GONDOLA"/>
      <sheetName val="ADD"/>
      <sheetName val="bhn,uph,alt"/>
      <sheetName val="F.1 1.G.ST.1A"/>
      <sheetName val="Upah &amp; bahan"/>
      <sheetName val="공사금액 내역 (1)"/>
      <sheetName val="96.12"/>
      <sheetName val="BQawal"/>
      <sheetName val="Testing"/>
      <sheetName val="BHN1"/>
      <sheetName val="form evaluasi"/>
      <sheetName val="Upah+Bahan"/>
      <sheetName val="data-pendukung"/>
      <sheetName val="ASat"/>
      <sheetName val="6.PEK ASPAL"/>
      <sheetName val="TSS"/>
      <sheetName val="____00"/>
      <sheetName val="GH Quantity"/>
      <sheetName val="Gal_Jack Hammer"/>
      <sheetName val="HSP dengan Alat"/>
      <sheetName val="SCD_ADD I"/>
      <sheetName val="1.B"/>
      <sheetName val="Hrg Sat"/>
      <sheetName val="lamp. 12"/>
      <sheetName val="REKAP SPENT CATALYS"/>
      <sheetName val="GRAND REKAP"/>
      <sheetName val="FD"/>
      <sheetName val="GI"/>
      <sheetName val="EE (3)"/>
      <sheetName val="PAVEMENT"/>
      <sheetName val="TRAFFIC"/>
      <sheetName val="BISMILLAH"/>
      <sheetName val="TRNS-C1"/>
      <sheetName val="Rekap Prelim"/>
      <sheetName val="perhit.alat"/>
      <sheetName val="RAP FLAT"/>
      <sheetName val="Analisa Tend"/>
      <sheetName val="21"/>
      <sheetName val="AN Tdr"/>
      <sheetName val="REKAP BQ "/>
      <sheetName val="Daf 1"/>
      <sheetName val="영업소실적"/>
      <sheetName val="Konfirm"/>
      <sheetName val="Spec1"/>
      <sheetName val="BUL"/>
      <sheetName val="Temporary"/>
      <sheetName val="tifico"/>
      <sheetName val="Sewa Alat"/>
      <sheetName val="Bill Item Ac"/>
      <sheetName val="Lift"/>
      <sheetName val="Khusus"/>
      <sheetName val="Electrical"/>
      <sheetName val="EARTH"/>
      <sheetName val="Analis SNI"/>
      <sheetName val="FORM-01"/>
      <sheetName val="New MADC"/>
      <sheetName val="HD ALAT"/>
      <sheetName val="MAPP"/>
      <sheetName val="610.04a"/>
      <sheetName val="Sales Parameter"/>
      <sheetName val="PRIST LIST"/>
      <sheetName val="H-SAT"/>
      <sheetName val="Param"/>
      <sheetName val="Bore"/>
      <sheetName val="mapdc"/>
      <sheetName val="Peralatan (2)"/>
      <sheetName val="air gumba"/>
      <sheetName val="HSU_KMPT"/>
      <sheetName val="DIV.2"/>
      <sheetName val="KWTANSI"/>
      <sheetName val="anl.summary"/>
      <sheetName val="BAJA TUL"/>
      <sheetName val="Hargabahan"/>
      <sheetName val="Alat Berat"/>
      <sheetName val="UPAH &amp; BHN ARS"/>
      <sheetName val="DIV_12"/>
      <sheetName val="Faktor Konversi"/>
      <sheetName val="MARK UP"/>
      <sheetName val="Rekap Rutin"/>
      <sheetName val="Rekap Rutin Jembatan"/>
      <sheetName val="Grading Tahap 1"/>
      <sheetName val="STAF"/>
      <sheetName val="metode "/>
      <sheetName val="Perhitungan RAB"/>
      <sheetName val="rekap anl "/>
      <sheetName val="depan"/>
      <sheetName val="TENGAH"/>
      <sheetName val="LPP-201"/>
      <sheetName val="TIME"/>
      <sheetName val="Summary "/>
      <sheetName val="BAHAN &amp; UPAH"/>
      <sheetName val="HRG AGRGT"/>
      <sheetName val="harga.bahan"/>
      <sheetName val="Analisa K"/>
      <sheetName val="HARGA.SATUAN VLOOKUP"/>
      <sheetName val="Jadwal"/>
      <sheetName val="Daf-Bahan"/>
      <sheetName val="Dafkua"/>
      <sheetName val="upah bahan "/>
      <sheetName val="HR SAT"/>
      <sheetName val="Rekap "/>
      <sheetName val="Kuantitas _ Harga"/>
      <sheetName val="BIIL ASLI"/>
      <sheetName val="meth hsl nego"/>
      <sheetName val="MTa"/>
      <sheetName val="hrg dasar"/>
      <sheetName val="Bangunan Utama"/>
      <sheetName val="upah bahan"/>
      <sheetName val="HYPOTHESES"/>
      <sheetName val="Divisi 2 pekerjaan persiapan"/>
      <sheetName val="Div.2 Pek. tanah"/>
      <sheetName val="Div.3 Pek.pondasi"/>
      <sheetName val="Divisi 3 pek.beton"/>
      <sheetName val="Divisi 4 Pek. Besi &amp; Alumunium"/>
      <sheetName val="Div.4 Pek. Pasangan dinding"/>
      <sheetName val="Divisi 4 Pekerjaan Plesteran "/>
      <sheetName val="Div.4 Pek.Penutup lantai&amp;ding"/>
      <sheetName val="Div 4. Pek. Plafond"/>
      <sheetName val="Div.4 Penutup atap"/>
      <sheetName val="Div.4 Pek. Kayu"/>
      <sheetName val="Div.4 Pek. kunci&amp;kaca"/>
      <sheetName val="Div.4 Pek. Pengecatan"/>
      <sheetName val="Div.5 Pek. Sanitasi dlm gedung"/>
      <sheetName val="paving"/>
      <sheetName val="begesting modif 2"/>
      <sheetName val="galvalum"/>
      <sheetName val="Pek.Listrik"/>
      <sheetName val="daun alumunium "/>
      <sheetName val="saluran u20 + gorong2"/>
      <sheetName val="septiktank"/>
      <sheetName val="bak kontrol"/>
      <sheetName val="BQ &amp; Harga"/>
      <sheetName val="BAHAN~"/>
      <sheetName val="UPAH~K"/>
      <sheetName val="Resume_Analisa"/>
      <sheetName val="Bag_1"/>
      <sheetName val="analisa_gedung"/>
      <sheetName val="8"/>
      <sheetName val="BQ All-2"/>
      <sheetName val="rk_an_k"/>
      <sheetName val="RAB.1"/>
      <sheetName val="RAB.2"/>
      <sheetName val="RAB.4"/>
      <sheetName val="RAB.5"/>
      <sheetName val="RAB.6"/>
      <sheetName val="C-OFF"/>
      <sheetName val="DAF_7"/>
      <sheetName val="B.2."/>
      <sheetName val="Kata Pengantar"/>
      <sheetName val="______3"/>
      <sheetName val="sub kont"/>
      <sheetName val="dasboard"/>
      <sheetName val="LAMP-C3"/>
      <sheetName val="ARP-7"/>
      <sheetName val="SUM-VOL"/>
      <sheetName val="schman"/>
      <sheetName val="schmat"/>
      <sheetName val="3.1 (3)"/>
      <sheetName val="LAP. MINGGUAN"/>
      <sheetName val="Rencana_vs_Realisasi"/>
      <sheetName val="Kantor"/>
      <sheetName val="Analisa Alat"/>
      <sheetName val="rms huruf"/>
      <sheetName val="D5 - telford"/>
      <sheetName val="Schedule 02"/>
      <sheetName val="RBP.4"/>
      <sheetName val="HSD (Rate)"/>
      <sheetName val="RBP.3"/>
      <sheetName val="Lamp. 1 "/>
      <sheetName val="Lamp. 2"/>
      <sheetName val="Lap__Minggu_81_(JUNI)"/>
      <sheetName val="Unit-P"/>
      <sheetName val="Uph&amp;bhn"/>
      <sheetName val="Prod.Alat"/>
      <sheetName val="Rek.Cianten3"/>
      <sheetName val="IB"/>
      <sheetName val="41,9&amp;36,3"/>
      <sheetName val="HARGA-UPAH"/>
      <sheetName val="BILAL2"/>
      <sheetName val="DAFTAR HARGA UPAH"/>
      <sheetName val="schedule1a"/>
      <sheetName val="Lampiran BA MC"/>
      <sheetName val="HS-1"/>
      <sheetName val="DICA AKTIF"/>
      <sheetName val="harga bahan"/>
      <sheetName val="Analis Upah"/>
      <sheetName val="RAB JALUR Lend.tinggi"/>
      <sheetName val="Data-Pdk"/>
      <sheetName val="An-Lat"/>
      <sheetName val="PTMELINT (AC-WC)"/>
      <sheetName val="MgN"/>
      <sheetName val="Standar Detail"/>
      <sheetName val="Kode rekening Belanja"/>
      <sheetName val="Kode Rekening Pembiayaan"/>
      <sheetName val="Kode Rekening Pdapatn Kab.kota"/>
      <sheetName val="Qty_pile"/>
      <sheetName val="Steel_slab"/>
      <sheetName val="Steel_tank"/>
      <sheetName val="Steel_wall"/>
      <sheetName val="Analisa STR"/>
      <sheetName val="HDS"/>
      <sheetName val="RAB_(I)1"/>
      <sheetName val="anl_sa1"/>
      <sheetName val="B_as1"/>
      <sheetName val="Data_Alat1"/>
      <sheetName val="Harsat_Alat"/>
      <sheetName val="A-11_Steel_Str"/>
      <sheetName val="A-03_Pile"/>
      <sheetName val="S_roomToyota1"/>
      <sheetName val="Target_Raker(10)"/>
      <sheetName val="pry_05_Pegawai1"/>
      <sheetName val="anal_P1"/>
      <sheetName val="Pen_Macadam1"/>
      <sheetName val="8_4_2_Rambu1"/>
      <sheetName val="Front_end1"/>
      <sheetName val="Back_End1"/>
      <sheetName val="T__Cs_Log_P_III"/>
      <sheetName val="MC_DPU_BI"/>
      <sheetName val="UnitRateA_1_II1"/>
      <sheetName val="Rek_An1"/>
      <sheetName val="Formula_Paket_A1"/>
      <sheetName val="pek_tanah_utk_irigasi1"/>
      <sheetName val="EXTERNAL__(revisi_1)"/>
      <sheetName val="D_BOARD"/>
      <sheetName val="WBS_2005"/>
      <sheetName val="est_proy"/>
      <sheetName val="CATS_Codes"/>
      <sheetName val="PRY_01-11"/>
      <sheetName val="B_UMUM"/>
      <sheetName val="Rev__RBP-KP1"/>
      <sheetName val="Rev_RBP-1_1"/>
      <sheetName val="Daft_2_14"/>
      <sheetName val="DATA_21"/>
      <sheetName val="An_H_Sat_Pek_Ut1"/>
      <sheetName val="sat_dasar1"/>
      <sheetName val="HRG_UPAH_BAHAN"/>
      <sheetName val="Base_Info"/>
      <sheetName val="Ana__PU"/>
      <sheetName val="LEP_AWAL_DES_11"/>
      <sheetName val="HSBU_ANA"/>
      <sheetName val="RAB_Kantin"/>
      <sheetName val="RAB_Rektorat"/>
      <sheetName val="RAB_Masjid"/>
      <sheetName val="RAB_Gd_Kuliah"/>
      <sheetName val="RAB_Asrama_Putri"/>
      <sheetName val="RAB_Asrama_Putra"/>
      <sheetName val="RAB_Cottage_45"/>
      <sheetName val="RAB_Cottage_70"/>
      <sheetName val="RAB_Cottage_140"/>
      <sheetName val="RAB_ME"/>
      <sheetName val="HRG_BAHAN-UPAH"/>
      <sheetName val="Plat_Lantai_Trestle"/>
      <sheetName val="HRG_SAT_UPH_BHN_PU_2012"/>
      <sheetName val="Daftar_upah_&amp;_material"/>
      <sheetName val="Analisa_Teknik"/>
      <sheetName val="Sat_Upah"/>
      <sheetName val="PO2_ok"/>
      <sheetName val="Soil_Report"/>
      <sheetName val="Rekap_Analisa"/>
      <sheetName val="RAB_"/>
      <sheetName val="Posisi_Biaya"/>
      <sheetName val="Ahs_2"/>
      <sheetName val="Ahs_1"/>
      <sheetName val="TEST_CASE"/>
      <sheetName val="anl_hsmpu"/>
      <sheetName val="RBP-_2"/>
      <sheetName val="harga_dasar"/>
      <sheetName val="LAP__MINGG"/>
      <sheetName val="HB_"/>
      <sheetName val="Salary"/>
      <sheetName val="IDC-RUSUN"/>
      <sheetName val="RWD-02"/>
      <sheetName val="RekapLEP"/>
      <sheetName val="Material&amp;Alat"/>
      <sheetName val="MATAUANG"/>
      <sheetName val="HS-2"/>
      <sheetName val="HRPar"/>
      <sheetName val="ABSEN"/>
      <sheetName val="UPAH_B_KAS"/>
      <sheetName val="UPAH_B_KAS _2_"/>
      <sheetName val="T_TANGAN"/>
      <sheetName val="fcsp-w"/>
      <sheetName val="DASH"/>
      <sheetName val="HSBahan"/>
      <sheetName val="GP-WB"/>
      <sheetName val="bbt-1999"/>
      <sheetName val="igp_alt4"/>
      <sheetName val="DEF"/>
      <sheetName val="Schedule 11a"/>
      <sheetName val="RPP01 6"/>
      <sheetName val="Septick tank"/>
      <sheetName val="input data umum"/>
      <sheetName val="8.2工内"/>
      <sheetName val="D HARGA"/>
      <sheetName val="GIRDER 2"/>
      <sheetName val="REKAP READYMIX"/>
      <sheetName val="7.1(3)"/>
      <sheetName val="jalur-TH-INI"/>
      <sheetName val="jalur-th-lalu"/>
      <sheetName val="Summary Sheets"/>
      <sheetName val="sche MJ sari"/>
      <sheetName val="Summary 6.4"/>
      <sheetName val="Anal-1"/>
      <sheetName val="PL SPP per ton"/>
      <sheetName val="Target Raker TW III"/>
      <sheetName val="HPP X Q'TY"/>
      <sheetName val="BHN-ALAT"/>
      <sheetName val="BLOK-BJR"/>
      <sheetName val="RINCIAN-SC"/>
      <sheetName val="PERALATAN PROYEK GOL III A"/>
      <sheetName val="Sales Rental"/>
      <sheetName val="029Cikeas00"/>
      <sheetName val="KEB-MAT"/>
      <sheetName val="7"/>
      <sheetName val="DUB"/>
      <sheetName val="ANALISA OK"/>
      <sheetName val="HRGBHN"/>
      <sheetName val="PRD01-5"/>
      <sheetName val="CIVIL-W"/>
      <sheetName val="B.T"/>
      <sheetName val="TEKNIS"/>
      <sheetName val="6-AGREGAT"/>
      <sheetName val="trans"/>
      <sheetName val="Kinerja Proyek"/>
      <sheetName val="Har Sat"/>
      <sheetName val="Rekap 1"/>
      <sheetName val="LMKC"/>
      <sheetName val="Laba JO"/>
      <sheetName val="LINK-MAST. BASIC PRICE"/>
      <sheetName val="HPS Demak"/>
      <sheetName val="Cost Analysis"/>
      <sheetName val="Cost Range"/>
      <sheetName val="Equipment Data"/>
      <sheetName val="3-DIV1"/>
      <sheetName val="bilangan"/>
      <sheetName val="LR-NOP-06"/>
      <sheetName val="divI"/>
      <sheetName val="divII"/>
      <sheetName val="Mobilisasi (2)"/>
      <sheetName val="Div4"/>
      <sheetName val="Div5"/>
      <sheetName val="Div6"/>
      <sheetName val="Div7"/>
      <sheetName val="Div8"/>
      <sheetName val="Div9"/>
      <sheetName val="Mobilisasi_(2)"/>
      <sheetName val="Kode"/>
      <sheetName val="Resources"/>
      <sheetName val="Vibro_Roller"/>
      <sheetName val="dc"/>
      <sheetName val="Master Dat"/>
      <sheetName val="boq2"/>
      <sheetName val="uraian analisa"/>
      <sheetName val="Schedule Yasmin"/>
      <sheetName val="Schedule Lingkar Barat"/>
      <sheetName val="Schedule Daan Mogot"/>
      <sheetName val="2-Genset print"/>
      <sheetName val="S-Curve"/>
      <sheetName val="div10"/>
      <sheetName val="JAD-PEL"/>
      <sheetName val="ANdiafragma"/>
      <sheetName val="P.3-5"/>
      <sheetName val="BAG-2"/>
      <sheetName val="ana-alat"/>
      <sheetName val="Analisa Harga"/>
      <sheetName val="HARSAT-lain"/>
      <sheetName val="HARSAT-tanah"/>
      <sheetName val="PRICE"/>
      <sheetName val="BHN.DSR"/>
      <sheetName val="MB"/>
      <sheetName val="DATA PROYEK"/>
      <sheetName val="BOQ_Aula"/>
      <sheetName val="DHSD"/>
      <sheetName val="Div 10"/>
      <sheetName val="List-Physik-Pay"/>
      <sheetName val="AMP"/>
      <sheetName val="ANTEK-AGGA"/>
      <sheetName val="BURDA"/>
      <sheetName val="ANTEK-GAL"/>
      <sheetName val="HRS-ATB"/>
      <sheetName val="ANTEK-PRIME"/>
      <sheetName val="ANTEK-TIMB"/>
      <sheetName val="BIA-LUMPSUM"/>
      <sheetName val="Mobilisasi_(2)1"/>
      <sheetName val="Master_Dat"/>
      <sheetName val="uraian_analisa"/>
      <sheetName val="P_3-5"/>
      <sheetName val="Schedule_Yasmin"/>
      <sheetName val="Schedule_Lingkar_Barat"/>
      <sheetName val="Schedule_Daan_Mogot"/>
      <sheetName val="2-Genset_print"/>
      <sheetName val="DIV1"/>
      <sheetName val="schedule (2)"/>
      <sheetName val="BAB_5_2_BiaLang"/>
      <sheetName val="BAB_5_13_Anal"/>
      <sheetName val="Analisa_Harga"/>
      <sheetName val="BHN_DSR"/>
      <sheetName val="L2MO"/>
      <sheetName val="Lamp. 3.Analisa"/>
      <sheetName val="SDM"/>
      <sheetName val="Section 2 MastlisteRev02"/>
      <sheetName val="Proof Def Tax"/>
      <sheetName val="P"/>
      <sheetName val="610.04"/>
      <sheetName val="610.05"/>
      <sheetName val="610.06"/>
      <sheetName val="610.07"/>
      <sheetName val="610.08"/>
      <sheetName val="RKP_BOQ"/>
      <sheetName val="P-2"/>
      <sheetName val="P-5"/>
      <sheetName val="P-6"/>
      <sheetName val="Rupiah"/>
      <sheetName val="SAP"/>
      <sheetName val="Sch_5"/>
      <sheetName val="Harga "/>
      <sheetName val="Wil-2"/>
      <sheetName val="BUSWAY"/>
      <sheetName val="Pricing-2"/>
      <sheetName val="PRY 01-3"/>
      <sheetName val="Assetdb"/>
      <sheetName val="AssetPar"/>
      <sheetName val="Marshal"/>
      <sheetName val="KOEF"/>
      <sheetName val="Divisi1"/>
      <sheetName val="Temporer"/>
      <sheetName val="LKVL-CK-HT-GD1"/>
      <sheetName val="TONG HOP VL-NC"/>
      <sheetName val="chitiet"/>
      <sheetName val="TH VL, NC, DDHT Thanhphuoc"/>
      <sheetName val="DONGIA"/>
      <sheetName val="DG"/>
      <sheetName val="CHITIET VL-NC"/>
      <sheetName val="VCV-BE-TONG"/>
      <sheetName val="AnalisaHarga"/>
      <sheetName val="SATDASAR"/>
      <sheetName val="MAJOR"/>
      <sheetName val="pivot"/>
      <sheetName val="VAT out"/>
      <sheetName val="Permanent info"/>
      <sheetName val="LUMPSUM"/>
      <sheetName val="smt"/>
      <sheetName val="UPH"/>
      <sheetName val="Lookup"/>
      <sheetName val="validation"/>
      <sheetName val="TABEL-DETASIR"/>
      <sheetName val="TL"/>
      <sheetName val="Mobdemobalat"/>
      <sheetName val="HD BAHAN"/>
      <sheetName val="BOQ CONTRACT WK"/>
      <sheetName val="TBM"/>
      <sheetName val="RincianQ3_Q4"/>
      <sheetName val="Rekaman"/>
      <sheetName val="PROD"/>
      <sheetName val="pivotscd"/>
      <sheetName val="Hsatuan-OK"/>
      <sheetName val="WT-LIST"/>
      <sheetName val="TOTAL UPAH"/>
      <sheetName val="SDE"/>
      <sheetName val="ANALIS2"/>
      <sheetName val="nc-m"/>
      <sheetName val="sche"/>
      <sheetName val="3.a. Lap Hasil Usaha"/>
      <sheetName val="NC-CM"/>
      <sheetName val="URTEK"/>
      <sheetName val="HarAlat"/>
      <sheetName val="L-Mechanical"/>
      <sheetName val="Penwrn"/>
      <sheetName val="LMKC_01"/>
      <sheetName val="LKP"/>
      <sheetName val="Satdas"/>
      <sheetName val="Inputs"/>
      <sheetName val="Scenarios"/>
      <sheetName val="BONUS"/>
      <sheetName val="Daf Harga"/>
      <sheetName val="Uraian Teknis"/>
      <sheetName val="urut"/>
      <sheetName val="MV"/>
      <sheetName val="Freezers"/>
      <sheetName val="Realty"/>
      <sheetName val="ANalisa "/>
      <sheetName val=" ANL. bw"/>
      <sheetName val="Meto"/>
      <sheetName val="DATUM"/>
      <sheetName val="Galian 1"/>
      <sheetName val="Bill rekap"/>
      <sheetName val="AN_Tdr"/>
      <sheetName val="REKAP_BQ_"/>
      <sheetName val="REKAP_ELEKTRIKAL"/>
      <sheetName val="I_KAMAR"/>
      <sheetName val="D-1"/>
      <sheetName val="Statement"/>
      <sheetName val="ANL_TEK.6"/>
      <sheetName val="BAP"/>
      <sheetName val="Quantity"/>
      <sheetName val="갑지"/>
      <sheetName val="INPUT HARIAN"/>
      <sheetName val="S-Curve (2017)"/>
      <sheetName val="keb-BHN"/>
      <sheetName val="Quary1"/>
      <sheetName val="ANALISA HARGA SATUAN EL DAN EC"/>
      <sheetName val="Harsat Pekerjaan"/>
      <sheetName val="Overhead"/>
      <sheetName val="Resume utk Extern"/>
      <sheetName val="WorkSheet"/>
      <sheetName val="villa"/>
      <sheetName val="Income tax"/>
      <sheetName val="B - Norelec"/>
      <sheetName val="SAT-BHN"/>
      <sheetName val="PEF16_0D"/>
      <sheetName val="Pro-Base"/>
      <sheetName val="7_16"/>
      <sheetName val="REKAP PER BUILDING"/>
      <sheetName val="Allowance"/>
      <sheetName val="SPJ"/>
      <sheetName val="Std-Prod KS"/>
      <sheetName val="gaji"/>
      <sheetName val="code"/>
      <sheetName val="H_Satuan_(2)5"/>
      <sheetName val="H_Satuan6"/>
      <sheetName val="cold_mill5"/>
      <sheetName val="Daftar_Subkon5"/>
      <sheetName val="Rekap_Biaya5"/>
      <sheetName val="Analisa_25"/>
      <sheetName val="Price_Biaya_Cadangan5"/>
      <sheetName val="BQ_Rekapitulasi__Akhir9"/>
      <sheetName val="Cover_Daf-25"/>
      <sheetName val="8LT_125"/>
      <sheetName val="A(Rev_3)4"/>
      <sheetName val="Agregat_Halus_&amp;_Kasar4"/>
      <sheetName val="Rekap_Direct_Cost4"/>
      <sheetName val="Form-3_34"/>
      <sheetName val="Sumber_Daya4"/>
      <sheetName val="Supl_X4"/>
      <sheetName val="ANALISA_TENDER4"/>
      <sheetName val="HARGA_MATERIAL4"/>
      <sheetName val="Daftar_Harga4"/>
      <sheetName val="BOQ_KSN4"/>
      <sheetName val="DC_HOT_MIX24"/>
      <sheetName val="Man_Power4"/>
      <sheetName val="Daftar_Upah4"/>
      <sheetName val="ANALISA_PEK_UMUM4"/>
      <sheetName val="RINCIAN_SD_4"/>
      <sheetName val="BQ_ARS4"/>
      <sheetName val="BQ_Rekapitulasi_Akhir7"/>
      <sheetName val="플랜트_설치4"/>
      <sheetName val="HRG_BHN4"/>
      <sheetName val="SUB_TOTAL___4"/>
      <sheetName val="Input_Data4"/>
      <sheetName val="Rkap_Bya4"/>
      <sheetName val="HAl_273"/>
      <sheetName val="H_DASAR4"/>
      <sheetName val="rekap_ahs4"/>
      <sheetName val="Weight_Bridge4"/>
      <sheetName val="Harga_Satuan4"/>
      <sheetName val="BQ_Rekapitulasi__Akhir10"/>
      <sheetName val="Produksi_&amp;_Scedule3"/>
      <sheetName val="mA_THP_III3"/>
      <sheetName val="PL_(MONTHLY)3"/>
      <sheetName val="Galian_batu3"/>
      <sheetName val="BOQ_4"/>
      <sheetName val="Price_Persiapan_dan_Penunjang4"/>
      <sheetName val="TE_TS_FA_LAN_MATV4"/>
      <sheetName val="Cable_Data_from_Attachment-C3"/>
      <sheetName val="REF_ONLY4"/>
      <sheetName val="BQ_PL_4"/>
      <sheetName val="Daft_upah,_bahan_&amp;alat4"/>
      <sheetName val="Harsat_Bahan4"/>
      <sheetName val="Kuantitas_&amp;_Harga4"/>
      <sheetName val="UNIT_PRICE4"/>
      <sheetName val="supporting_data4"/>
      <sheetName val="L_BA_blok3"/>
      <sheetName val="cash_flow4"/>
      <sheetName val="Trading_Comps3"/>
      <sheetName val="AnalisaSIPIL_RIIL3"/>
      <sheetName val="HRG_BAHAN_&amp;_UPAH_okk3"/>
      <sheetName val="Analis_Kusen_okk3"/>
      <sheetName val="bahan_4"/>
      <sheetName val="rincian_per_proyek4"/>
      <sheetName val="rekap_index_eskalasi4"/>
      <sheetName val="Basic_P4"/>
      <sheetName val="Fill_this_out_first___7"/>
      <sheetName val="RAB_SEKRETARIAT_(1)4"/>
      <sheetName val="Harga_S_Dasar4"/>
      <sheetName val="ELEMENT_SUM4"/>
      <sheetName val="???_??4"/>
      <sheetName val="CABLE_BULK4"/>
      <sheetName val="An_PLB4"/>
      <sheetName val="Unit_Rate3"/>
      <sheetName val="Sat_Bah___Up3"/>
      <sheetName val="_SAT_PL3"/>
      <sheetName val="Grand_Sum_BT4"/>
      <sheetName val="Cover_Daf_24"/>
      <sheetName val="Analisa_ARS4"/>
      <sheetName val="HRG_DSR3"/>
      <sheetName val="Sum_IF4"/>
      <sheetName val="ANALISA_SNI'08(ubh_bgsting)3"/>
      <sheetName val="為替レ－ト_4"/>
      <sheetName val="B_Q_20074"/>
      <sheetName val="Rekap_Sal3"/>
      <sheetName val="II__TAHANAN_UMUM4"/>
      <sheetName val="SCHEDULE_3"/>
      <sheetName val="U__div_24"/>
      <sheetName val="Analisa_RAP4"/>
      <sheetName val="BASIC_PRICE_3"/>
      <sheetName val="Vol__Mat_SC4"/>
      <sheetName val="Combinned_&amp;_Grafic_HB4"/>
      <sheetName val="Perm__Test3"/>
      <sheetName val="2_104"/>
      <sheetName val="Alat_&amp;_Bahan4"/>
      <sheetName val="Analisa_Baku_ME3"/>
      <sheetName val="Page_14"/>
      <sheetName val="Jadwal_Kerja_Bln3"/>
      <sheetName val="Harsat_Upah3"/>
      <sheetName val="VAC_BDWN3"/>
      <sheetName val="RAB_Jalan3"/>
      <sheetName val="basic_price3"/>
      <sheetName val="Orgs_Proy4"/>
      <sheetName val="bq_T_Abang3"/>
      <sheetName val="Master_Edit3"/>
      <sheetName val="Rek_Analisa3"/>
      <sheetName val="BARU-4_3"/>
      <sheetName val="RBP__24"/>
      <sheetName val="Conn__Lib3"/>
      <sheetName val="AHS_Aspal3"/>
      <sheetName val="Part_A_+_B4"/>
      <sheetName val="Urai__Resap_pengikat3"/>
      <sheetName val="BQ_Rekapitulasi_Akhir8"/>
      <sheetName val="BQ_Elektrikal3"/>
      <sheetName val="Hrg_Sat3"/>
      <sheetName val="Fill_this_out_first___8"/>
      <sheetName val="DAFTAR_73"/>
      <sheetName val="Ope_FC3"/>
      <sheetName val="Rekap_DKH3"/>
      <sheetName val="REKAP_ARSITEKTUR_3"/>
      <sheetName val="tabel_profil3"/>
      <sheetName val="Cost_Summary3"/>
      <sheetName val="Apr_'153"/>
      <sheetName val="Aug_'143"/>
      <sheetName val="Des_'143"/>
      <sheetName val="Feb_'153"/>
      <sheetName val="Jan_'153"/>
      <sheetName val="Jul_'143"/>
      <sheetName val="Jun_'143"/>
      <sheetName val="Mar_'153"/>
      <sheetName val="Mei_'143"/>
      <sheetName val="Mei_'153"/>
      <sheetName val="Nov_'143"/>
      <sheetName val="Oct_'143"/>
      <sheetName val="Sep_'143"/>
      <sheetName val="D_793"/>
      <sheetName val="D_813"/>
      <sheetName val="D_823"/>
      <sheetName val="D_833"/>
      <sheetName val="D_843"/>
      <sheetName val="D_853"/>
      <sheetName val="D_863"/>
      <sheetName val="D_873"/>
      <sheetName val="D_883"/>
      <sheetName val="D_893"/>
      <sheetName val="D_923"/>
      <sheetName val="D_933"/>
      <sheetName val="D_943"/>
      <sheetName val="D_953"/>
      <sheetName val="D_963"/>
      <sheetName val="7_공정표3"/>
      <sheetName val="Master_1_03"/>
      <sheetName val="Hrg_Satuan_&amp;_Upah3"/>
      <sheetName val="4-Basic_Price3"/>
      <sheetName val="struktur_tdk_dipakai3"/>
      <sheetName val="bahan_upah3"/>
      <sheetName val="rekap_konst3"/>
      <sheetName val="Satuan_Dasar3"/>
      <sheetName val="1_1_ALAT_TULIS_KANTOR3"/>
      <sheetName val="ANALISA_KUSEN3"/>
      <sheetName val="REKAP_beton3"/>
      <sheetName val="A+Supl_3"/>
      <sheetName val="Anl_+3"/>
      <sheetName val="tidak_dipakai3"/>
      <sheetName val="Rev_Type3"/>
      <sheetName val="HARGA_ALAT3"/>
      <sheetName val="AGG,_C3"/>
      <sheetName val="Rinc_Ged_A_(G_Utama)3"/>
      <sheetName val="Signage_Detail3"/>
      <sheetName val="NP_(2)2"/>
      <sheetName val="L__Hr2"/>
      <sheetName val="Analisa_SNI_STANDART_2"/>
      <sheetName val="%_Prog2"/>
      <sheetName val="master_schedule2"/>
      <sheetName val="Calcu_022"/>
      <sheetName val="REKAP_PAGAR_DEPAN2"/>
      <sheetName val="REKAP_LOKAL2"/>
      <sheetName val="REKAP_PAGAR_SAMPING2"/>
      <sheetName val="REKAP_GERBANG2"/>
      <sheetName val="P_M(Monitoring_Sche)2"/>
      <sheetName val="Lab_Sche_(Summary)_2"/>
      <sheetName val="2_1_受電設備棟2"/>
      <sheetName val="2_2_受・防火水槽2"/>
      <sheetName val="2_3_排水処理設備棟2"/>
      <sheetName val="2_4_倉庫棟2"/>
      <sheetName val="2_5_守衛棟2"/>
      <sheetName val="RAB_&amp;_RCO_OWNER_VERS_2"/>
      <sheetName val="HRG_BAHAN2"/>
      <sheetName val="Isolasi_Luar2"/>
      <sheetName val="Isolasi_Luar_Dalam2"/>
      <sheetName val="Tanpa_Isolasi2"/>
      <sheetName val="RAB_Gedung_Utama2"/>
      <sheetName val="Option_List2"/>
      <sheetName val="HASAT_DASAR2"/>
      <sheetName val="SELISIH_HARGA2"/>
      <sheetName val="R_A_B_2"/>
      <sheetName val="MATERIAL_ANALISA2"/>
      <sheetName val="BEBAN_P_DITAIL2"/>
      <sheetName val="H__Dasar2"/>
      <sheetName val="BAR_SCREEN2"/>
      <sheetName val="HS_ALAT2"/>
      <sheetName val="RAB_VOL"/>
      <sheetName val="Daft_2_15"/>
      <sheetName val="10_1_(1)"/>
      <sheetName val="10_1_(2)"/>
      <sheetName val="10_1_(3)"/>
      <sheetName val="10_1_(4)"/>
      <sheetName val="10_1_(5)"/>
      <sheetName val="화재_탐지_설비"/>
      <sheetName val="1_REK"/>
      <sheetName val="REKAP_RAP"/>
      <sheetName val="HARGA_DSR"/>
      <sheetName val="A)_Psiapan"/>
      <sheetName val="Petunjuk_Ngisi_(2)"/>
      <sheetName val="Rawat_Inap"/>
      <sheetName val="backup_mc_0"/>
      <sheetName val="rab_strktr_ars_print"/>
      <sheetName val="List_Material"/>
      <sheetName val="Spec_ME"/>
      <sheetName val="PEMBESIAN"/>
      <sheetName val="Mat"/>
      <sheetName val="WI"/>
      <sheetName val="Du_lieu"/>
      <sheetName val="RBP2"/>
      <sheetName val="AKP"/>
      <sheetName val="PERALATAN "/>
      <sheetName val="011C101"/>
      <sheetName val="RAB_(I)2"/>
      <sheetName val="anl_sa2"/>
      <sheetName val="B_as2"/>
      <sheetName val="Data_Alat2"/>
      <sheetName val="Harsat_Alat1"/>
      <sheetName val="A-11_Steel_Str1"/>
      <sheetName val="A-03_Pile1"/>
      <sheetName val="S_roomToyota2"/>
      <sheetName val="Target_Raker(10)1"/>
      <sheetName val="pry_05_Pegawai2"/>
      <sheetName val="anal_P2"/>
      <sheetName val="Pen_Macadam2"/>
      <sheetName val="8_4_2_Rambu2"/>
      <sheetName val="Front_end2"/>
      <sheetName val="Back_End2"/>
      <sheetName val="T__Cs_Log_P_III1"/>
      <sheetName val="MC_DPU_BI1"/>
      <sheetName val="UnitRateA_1_II2"/>
      <sheetName val="Rek_An2"/>
      <sheetName val="Formula_Paket_A2"/>
      <sheetName val="pek_tanah_utk_irigasi2"/>
      <sheetName val="EXTERNAL__(revisi_1)1"/>
      <sheetName val="D_BOARD1"/>
      <sheetName val="WBS_20051"/>
      <sheetName val="est_proy1"/>
      <sheetName val="CATS_Codes1"/>
      <sheetName val="PRY_01-12"/>
      <sheetName val="B_UMUM1"/>
      <sheetName val="Rev__RBP-KP2"/>
      <sheetName val="Rev_RBP-1_2"/>
      <sheetName val="Daft_2_16"/>
      <sheetName val="DATA_22"/>
      <sheetName val="An_H_Sat_Pek_Ut2"/>
      <sheetName val="sat_dasar2"/>
      <sheetName val="HRG_UPAH_BAHAN1"/>
      <sheetName val="Base_Info1"/>
      <sheetName val="Ana__PU1"/>
      <sheetName val="LEP_AWAL_DES_111"/>
      <sheetName val="HSBU_ANA1"/>
      <sheetName val="RAB_Kantin1"/>
      <sheetName val="RAB_Rektorat1"/>
      <sheetName val="RAB_Masjid1"/>
      <sheetName val="RAB_Gd_Kuliah1"/>
      <sheetName val="RAB_Asrama_Putri1"/>
      <sheetName val="RAB_Asrama_Putra1"/>
      <sheetName val="RAB_Cottage_451"/>
      <sheetName val="RAB_Cottage_701"/>
      <sheetName val="RAB_Cottage_1401"/>
      <sheetName val="RAB_ME1"/>
      <sheetName val="HRG_BAHAN-UPAH1"/>
      <sheetName val="Plat_Lantai_Trestle1"/>
      <sheetName val="HRG_SAT_UPH_BHN_PU_20121"/>
      <sheetName val="Rencana_vs_Realisasi1"/>
      <sheetName val="Daftar_upah_&amp;_material1"/>
      <sheetName val="Analisa_Teknik1"/>
      <sheetName val="Sat_Upah1"/>
      <sheetName val="PO2_ok1"/>
      <sheetName val="Soil_Report1"/>
      <sheetName val="Rekap_Analisa1"/>
      <sheetName val="RAB_1"/>
      <sheetName val="Posisi_Biaya1"/>
      <sheetName val="DIV_11"/>
      <sheetName val="Ahs_21"/>
      <sheetName val="Ahs_11"/>
      <sheetName val="Lap__Minggu_81_(JUNI)1"/>
      <sheetName val="TEST_CASE1"/>
      <sheetName val="anl_hsmpu1"/>
      <sheetName val="RBP-_21"/>
      <sheetName val="Hrg_Sat4"/>
      <sheetName val="harga_dasar1"/>
      <sheetName val="LAP__MINGG1"/>
      <sheetName val="HB_1"/>
      <sheetName val="HD_ALAT"/>
      <sheetName val="New_MADC"/>
      <sheetName val="610_04a"/>
      <sheetName val="Sales_Parameter"/>
      <sheetName val="PRIST_LIST"/>
      <sheetName val="RAB_11"/>
      <sheetName val="PEMBESIAN_BALOK_INDUK!"/>
      <sheetName val="ARSUtM_"/>
      <sheetName val="Analisa_ME_"/>
      <sheetName val="DAFTAR_BESI_KANAL_C_SIKU"/>
      <sheetName val="M_Pekerjaan"/>
      <sheetName val="1_B"/>
      <sheetName val="Analisa_copy"/>
      <sheetName val="Analisa_Gabungan"/>
      <sheetName val="UPBH_AB"/>
      <sheetName val="Rekap__2_"/>
      <sheetName val="anal_Lamp_4a"/>
      <sheetName val="Steel_Material_List"/>
      <sheetName val="BD_Steel"/>
      <sheetName val="breakdown_cable_tray"/>
      <sheetName val="Pekerjaan_Pabrik_Utama"/>
      <sheetName val="Pekerjaan_Pabrik_Utama-Add"/>
      <sheetName val="Pekerjaan_Bangunan_TPS"/>
      <sheetName val="Pekerjaan_Bangunan_TPS_(2)"/>
      <sheetName val="Pekerjaan_Area_Luar_Jalan"/>
      <sheetName val="IV_1__Str__Office"/>
      <sheetName val="IV_2__Str__Serbaguna,GWT&amp;Wisma"/>
      <sheetName val="IV_3__Str__Gudang_Rokok_&amp;_Promo"/>
      <sheetName val="IV_4__Str__Gudang_Cengkeh"/>
      <sheetName val="IV_6__Str__R_Genset"/>
      <sheetName val="IV_7__Str__Parkir_Mobil"/>
      <sheetName val="IV_8__Str__Parkir_Motor_Kantor"/>
      <sheetName val="IV_9__Str__Parkir_Motor_Karyawa"/>
      <sheetName val="@nalisa_E"/>
      <sheetName val="ASPAL_(14)"/>
      <sheetName val="hARGA_SAT"/>
      <sheetName val="Analisa_K"/>
      <sheetName val="UPAH_B_KAS__2_"/>
      <sheetName val="Schedule_11a"/>
      <sheetName val="RPP01_6"/>
      <sheetName val="Septick_tank"/>
      <sheetName val="input_data_umum"/>
      <sheetName val="D_HARGA"/>
      <sheetName val="GIRDER_2"/>
      <sheetName val="REKAP_READYMIX"/>
      <sheetName val="7_1(3)"/>
      <sheetName val="Analisa_HSP"/>
      <sheetName val="K_-_Drywall-Presd"/>
      <sheetName val="Uraian_Pekerjaan"/>
      <sheetName val="RAB_ASRAMA_(7_A)"/>
      <sheetName val="Sewa_Alat"/>
      <sheetName val="Bill_Item_Ac"/>
      <sheetName val="8_2工内"/>
      <sheetName val="Paint_Type_B"/>
      <sheetName val="perhit_alat"/>
      <sheetName val="Rekap_Anl"/>
      <sheetName val="Analis_SNI"/>
      <sheetName val="D2_2"/>
      <sheetName val="MAIN_BQ"/>
      <sheetName val="PERHITUNGAN_QUANTITY_"/>
      <sheetName val="iTEM_hARSAT"/>
      <sheetName val="EE_(3)"/>
      <sheetName val="공사금액_내역_(1)"/>
      <sheetName val="96_12"/>
      <sheetName val="sche_MJ_sari"/>
      <sheetName val="Summary_Sheets"/>
      <sheetName val="Summary_6_4"/>
      <sheetName val="PL_SPP_per_ton"/>
      <sheetName val="Target_Raker_TW_III"/>
      <sheetName val="HPP_X_Q'TY"/>
      <sheetName val="PERALATAN_PROYEK_GOL_III_A"/>
      <sheetName val="DAFTAR__BESI_IWF"/>
      <sheetName val="Sales_Rental"/>
      <sheetName val="REKAP_TOTAL_MEPEQ_"/>
      <sheetName val="REKAP_PERSIAPAN"/>
      <sheetName val="REKAP_PLUMBING"/>
      <sheetName val="Air_Bersih"/>
      <sheetName val="Air_Panas"/>
      <sheetName val="Air_Buangan"/>
      <sheetName val="Air_Hujan"/>
      <sheetName val="REKAP_VAC"/>
      <sheetName val="Air_Conditioning"/>
      <sheetName val="Chiller_Plant"/>
      <sheetName val="REKAP_PEMADAM"/>
      <sheetName val="Grounding_&amp;_Penyalur_petir"/>
      <sheetName val="REKAP_ELEKTRONIK"/>
      <sheetName val="Fire_Alarm"/>
      <sheetName val="Sound_System"/>
      <sheetName val="REKAP_LIFT"/>
      <sheetName val="Isian_Biodata"/>
      <sheetName val="Analisa_Harga_Satuan"/>
      <sheetName val="HALAMAN_1-60"/>
      <sheetName val="Indek_Kemahalan"/>
      <sheetName val="Pemindahan_Penduduk_"/>
      <sheetName val="Rekap__ME"/>
      <sheetName val="Surat_Penw__"/>
      <sheetName val="Pek__Elektrikal"/>
      <sheetName val="LIFT_DAN_TRAVELATOR"/>
      <sheetName val="Instalasi_Tata_Udara"/>
      <sheetName val="rekap_ARS"/>
      <sheetName val="Alat_Berat"/>
      <sheetName val="Rek__Mob"/>
      <sheetName val="lamp_9"/>
      <sheetName val="BAJA_TUL"/>
      <sheetName val="analisa_print"/>
      <sheetName val="Upah_bhn_mat"/>
      <sheetName val="ANALISA_OK"/>
      <sheetName val="6_PEK_ASPAL"/>
      <sheetName val="GH_Quantity"/>
      <sheetName val="Gal_Jack_Hammer"/>
      <sheetName val="RBP_4"/>
      <sheetName val="HSD_(Rate)"/>
      <sheetName val="RBP_3"/>
      <sheetName val="Lamp__1_"/>
      <sheetName val="Lamp__2"/>
      <sheetName val="1__Rekap_A"/>
      <sheetName val="analisa_nya"/>
      <sheetName val="B_T"/>
      <sheetName val="ANALISA_railing"/>
      <sheetName val="AHS_TITIK_ME"/>
      <sheetName val="Encl_-14A"/>
      <sheetName val="Kinerja_Proyek"/>
      <sheetName val="Har_Sat"/>
      <sheetName val="RKP_01"/>
      <sheetName val="DRAFT_KONSUMEN"/>
      <sheetName val="Rekap_1"/>
      <sheetName val="Laba_JO"/>
      <sheetName val="LINK-MAST__BASIC_PRICE"/>
      <sheetName val="HPS_Demak"/>
      <sheetName val="bahan_SNI"/>
      <sheetName val="ANALISA_SNI'07(Bangli)"/>
      <sheetName val="Prod_Alat"/>
      <sheetName val="Rek_Cianten3"/>
      <sheetName val="BAHAN_&amp;_ALAT"/>
      <sheetName val="Urut_kabupaten"/>
      <sheetName val="Cost_Analysis"/>
      <sheetName val="Cost_Range"/>
      <sheetName val="Equipment_Data"/>
      <sheetName val="3_1_(3)"/>
      <sheetName val="Mobilisasi_(2)2"/>
      <sheetName val="Master_Dat1"/>
      <sheetName val="uraian_analisa1"/>
      <sheetName val="Schedule_Yasmin1"/>
      <sheetName val="Schedule_Lingkar_Barat1"/>
      <sheetName val="Schedule_Daan_Mogot1"/>
      <sheetName val="2-Genset_print1"/>
      <sheetName val="P_3-51"/>
      <sheetName val="Analisa_Harga1"/>
      <sheetName val="BHN_DSR1"/>
      <sheetName val="DATA_PROYEK"/>
      <sheetName val="Div_10"/>
      <sheetName val="schedule_(2)"/>
      <sheetName val="Lamp__3_Analisa"/>
      <sheetName val="REKAP_AHSP_A"/>
      <sheetName val="PRY_01-3"/>
      <sheetName val="610_04"/>
      <sheetName val="610_05"/>
      <sheetName val="610_06"/>
      <sheetName val="610_07"/>
      <sheetName val="610_08"/>
      <sheetName val="GRAND_REKAP"/>
      <sheetName val="TONG_HOP_VL-NC"/>
      <sheetName val="TONGKE3p_"/>
      <sheetName val="TH_VL,_NC,_DDHT_Thanhphuoc"/>
      <sheetName val="DON_GIA"/>
      <sheetName val="CHITIET_VL-NC"/>
      <sheetName val="VAT_out"/>
      <sheetName val="Permanent_info"/>
      <sheetName val="harga_"/>
      <sheetName val="HD_BAHAN"/>
      <sheetName val="BOQ_CONTRACT_WK"/>
      <sheetName val="TOTAL_UPAH"/>
      <sheetName val="Proof_Def_Tax"/>
      <sheetName val="anal_rab"/>
      <sheetName val="REKAPITULASI_HARGA_SATUAN"/>
      <sheetName val="an_me"/>
      <sheetName val="INPUT_HARGA"/>
      <sheetName val="Section_2_MastlisteRev02"/>
      <sheetName val="UPAH_&amp;_BHN_ARS"/>
      <sheetName val="Faktor_Konversi"/>
      <sheetName val="MARK_UP"/>
      <sheetName val="Rekap_Rutin"/>
      <sheetName val="Rekap_Rutin_Jembatan"/>
      <sheetName val="Uraian_Teknis"/>
      <sheetName val="CE_Elec"/>
      <sheetName val="HS__Upah"/>
      <sheetName val="3_4-PIPE"/>
      <sheetName val="6__CCTV"/>
      <sheetName val="7__Data"/>
      <sheetName val="11__PMK"/>
      <sheetName val="Bahan_&amp;_Upah_2012"/>
      <sheetName val="lamp__12"/>
      <sheetName val="REKAP_SPENT_CATALYS"/>
      <sheetName val="harga_bahan"/>
      <sheetName val="_ANL__bw"/>
      <sheetName val="BIIL_ASLI"/>
      <sheetName val="PERALATAN_"/>
      <sheetName val="Kode_rekening_Belanja"/>
      <sheetName val="Kode_Rekening_Pembiayaan"/>
      <sheetName val="Kode_Rekening_Pdapatn_Kab_kota"/>
      <sheetName val="Analisa_BOW_07"/>
      <sheetName val="Daf_Harga"/>
      <sheetName val="H_Satuan_(2)6"/>
      <sheetName val="H_Satuan7"/>
      <sheetName val="cold_mill6"/>
      <sheetName val="Analisa_26"/>
      <sheetName val="Daftar_Subkon6"/>
      <sheetName val="Price_Biaya_Cadangan6"/>
      <sheetName val="BQ_Rekapitulasi__Akhir11"/>
      <sheetName val="Rekap_Biaya6"/>
      <sheetName val="8LT_126"/>
      <sheetName val="Cover_Daf-26"/>
      <sheetName val="A(Rev_3)5"/>
      <sheetName val="Agregat_Halus_&amp;_Kasar5"/>
      <sheetName val="Rekap_Direct_Cost5"/>
      <sheetName val="Form-3_35"/>
      <sheetName val="BOQ_KSN5"/>
      <sheetName val="HARGA_MATERIAL5"/>
      <sheetName val="ANALISA_TENDER5"/>
      <sheetName val="DC_HOT_MIX25"/>
      <sheetName val="Man_Power5"/>
      <sheetName val="Daftar_Upah5"/>
      <sheetName val="ANALISA_PEK_UMUM5"/>
      <sheetName val="Sumber_Daya5"/>
      <sheetName val="Supl_X5"/>
      <sheetName val="Daftar_Harga5"/>
      <sheetName val="RINCIAN_SD_5"/>
      <sheetName val="BQ_ARS5"/>
      <sheetName val="rekap_ahs5"/>
      <sheetName val="Fill_this_out_first___9"/>
      <sheetName val="플랜트_설치5"/>
      <sheetName val="Kuantitas_&amp;_Harga5"/>
      <sheetName val="HRG_BHN5"/>
      <sheetName val="SUB_TOTAL___5"/>
      <sheetName val="RAB_SEKRETARIAT_(1)5"/>
      <sheetName val="H_DASAR5"/>
      <sheetName val="Input_Data5"/>
      <sheetName val="Daft_2_17"/>
      <sheetName val="Sat_Bah___Up4"/>
      <sheetName val="Basic_P5"/>
      <sheetName val="Harsat_Bahan5"/>
      <sheetName val="BQ_Rekapitulasi__Akhir12"/>
      <sheetName val="BQ_Rekapitulasi_Akhir9"/>
      <sheetName val="BEBAN_P_DITAIL3"/>
      <sheetName val="H__Dasar3"/>
      <sheetName val="BAR_SCREEN3"/>
      <sheetName val="HRG_BAHAN3"/>
      <sheetName val="BOQ_5"/>
      <sheetName val="rekap_index_eskalasi5"/>
      <sheetName val="Daft_upah,_bahan_&amp;alat5"/>
      <sheetName val="II__TAHANAN_UMUM5"/>
      <sheetName val="REF_ONLY5"/>
      <sheetName val="Weight_Bridge5"/>
      <sheetName val="BQ_PL_5"/>
      <sheetName val="Analisa_ARS5"/>
      <sheetName val="為替レ－ト_5"/>
      <sheetName val="Part_A_+_B5"/>
      <sheetName val="Harga_Satuan5"/>
      <sheetName val="TE_TS_FA_LAN_MATV5"/>
      <sheetName val="ELEMENT_SUM5"/>
      <sheetName val="Rkap_Bya5"/>
      <sheetName val="______4"/>
      <sheetName val="CABLE_BULK5"/>
      <sheetName val="An_PLB5"/>
      <sheetName val="mA_THP_III4"/>
      <sheetName val="UNIT_PRICE5"/>
      <sheetName val="supporting_data5"/>
      <sheetName val="Orgs_Proy5"/>
      <sheetName val="rincian_per_proyek5"/>
      <sheetName val="bahan_5"/>
      <sheetName val="B_Q_20075"/>
      <sheetName val="Vol__Mat_SC5"/>
      <sheetName val="Harga_S_Dasar5"/>
      <sheetName val="Page_15"/>
      <sheetName val="Combinned_&amp;_Grafic_HB5"/>
      <sheetName val="Alat_&amp;_Bahan5"/>
      <sheetName val="Sum_IF5"/>
      <sheetName val="U__div_25"/>
      <sheetName val="Grand_Sum_BT5"/>
      <sheetName val="Analisa_RAP5"/>
      <sheetName val="Apr_'154"/>
      <sheetName val="Aug_'144"/>
      <sheetName val="Des_'144"/>
      <sheetName val="Feb_'154"/>
      <sheetName val="Jan_'154"/>
      <sheetName val="Jul_'144"/>
      <sheetName val="Jun_'144"/>
      <sheetName val="Mar_'154"/>
      <sheetName val="Mei_'144"/>
      <sheetName val="Mei_'154"/>
      <sheetName val="Nov_'144"/>
      <sheetName val="Oct_'144"/>
      <sheetName val="Sep_'144"/>
      <sheetName val="Cover_Daf_25"/>
      <sheetName val="Price_Persiapan_dan_Penunjang5"/>
      <sheetName val="Conn__Lib4"/>
      <sheetName val="DAFTAR_74"/>
      <sheetName val="2_105"/>
      <sheetName val="cash_flow5"/>
      <sheetName val="Unit_Rate4"/>
      <sheetName val="Urai__Resap_pengikat4"/>
      <sheetName val="HRG_DSR4"/>
      <sheetName val="ANALISA_KUSEN4"/>
      <sheetName val="Perm__Test4"/>
      <sheetName val="Analisa_Baku_ME4"/>
      <sheetName val="VAC_BDWN4"/>
      <sheetName val="basic_price4"/>
      <sheetName val="RAB_Jalan4"/>
      <sheetName val="_SAT_PL4"/>
      <sheetName val="ANALISA_SNI'08(ubh_bgsting)4"/>
      <sheetName val="Rekap_Sal4"/>
      <sheetName val="SCHEDULE_4"/>
      <sheetName val="BASIC_PRICE_4"/>
      <sheetName val="D_794"/>
      <sheetName val="D_814"/>
      <sheetName val="D_824"/>
      <sheetName val="D_834"/>
      <sheetName val="D_844"/>
      <sheetName val="D_854"/>
      <sheetName val="D_864"/>
      <sheetName val="D_874"/>
      <sheetName val="D_884"/>
      <sheetName val="D_894"/>
      <sheetName val="D_924"/>
      <sheetName val="D_934"/>
      <sheetName val="D_944"/>
      <sheetName val="D_954"/>
      <sheetName val="D_964"/>
      <sheetName val="7_공정표4"/>
      <sheetName val="Master_1_04"/>
      <sheetName val="BQ_Rekapitulasi_Akhir10"/>
      <sheetName val="REKAP_ARSITEKTUR_4"/>
      <sheetName val="Ope_FC4"/>
      <sheetName val="Harsat_Upah4"/>
      <sheetName val="Galian_batu4"/>
      <sheetName val="Rekap_DKH4"/>
      <sheetName val="A+Supl_4"/>
      <sheetName val="Cable_Data_from_Attachment-C4"/>
      <sheetName val="???_??5"/>
      <sheetName val="rekap_konst4"/>
      <sheetName val="struktur_tdk_dipakai4"/>
      <sheetName val="Hrg_Satuan_&amp;_Upah4"/>
      <sheetName val="Fill_this_out_first___10"/>
      <sheetName val="RBP__25"/>
      <sheetName val="BARU-4_4"/>
      <sheetName val="Master_Edit4"/>
      <sheetName val="Rek_Analisa4"/>
      <sheetName val="BQ_Elektrikal4"/>
      <sheetName val="4-Basic_Price4"/>
      <sheetName val="bq_T_Abang4"/>
      <sheetName val="Isolasi_Luar3"/>
      <sheetName val="Isolasi_Luar_Dalam3"/>
      <sheetName val="Tanpa_Isolasi3"/>
      <sheetName val="RAB_Gedung_Utama3"/>
      <sheetName val="Option_List3"/>
      <sheetName val="HASAT_DASAR3"/>
      <sheetName val="SELISIH_HARGA3"/>
      <sheetName val="R_A_B_3"/>
      <sheetName val="MATERIAL_ANALISA3"/>
      <sheetName val="RAB_(I)3"/>
      <sheetName val="anl_sa3"/>
      <sheetName val="B_as3"/>
      <sheetName val="Data_Alat3"/>
      <sheetName val="Harsat_Alat2"/>
      <sheetName val="A-11_Steel_Str2"/>
      <sheetName val="A-03_Pile2"/>
      <sheetName val="AnalisaSIPIL_RIIL4"/>
      <sheetName val="NP_(2)3"/>
      <sheetName val="Rinc_Ged_A_(G_Utama)4"/>
      <sheetName val="master_schedule3"/>
      <sheetName val="S_roomToyota3"/>
      <sheetName val="AHS_Aspal4"/>
      <sheetName val="Target_Raker(10)2"/>
      <sheetName val="pry_05_Pegawai3"/>
      <sheetName val="HAl_274"/>
      <sheetName val="anal_P3"/>
      <sheetName val="Pen_Macadam3"/>
      <sheetName val="P_M(Monitoring_Sche)3"/>
      <sheetName val="Lab_Sche_(Summary)_3"/>
      <sheetName val="2_1_受電設備棟3"/>
      <sheetName val="2_2_受・防火水槽3"/>
      <sheetName val="2_3_排水処理設備棟3"/>
      <sheetName val="2_4_倉庫棟3"/>
      <sheetName val="2_5_守衛棟3"/>
      <sheetName val="8_4_2_Rambu3"/>
      <sheetName val="Front_end3"/>
      <sheetName val="Back_End3"/>
      <sheetName val="Anl_+4"/>
      <sheetName val="T__Cs_Log_P_III2"/>
      <sheetName val="Produksi_&amp;_Scedule4"/>
      <sheetName val="Hrg_Sat5"/>
      <sheetName val="tabel_profil4"/>
      <sheetName val="Cost_Summary4"/>
      <sheetName val="bahan_upah4"/>
      <sheetName val="Satuan_Dasar4"/>
      <sheetName val="Jadwal_Kerja_Bln4"/>
      <sheetName val="Rev_Type4"/>
      <sheetName val="MC_DPU_BI2"/>
      <sheetName val="UnitRateA_1_II3"/>
      <sheetName val="Rek_An3"/>
      <sheetName val="Formula_Paket_A3"/>
      <sheetName val="pek_tanah_utk_irigasi3"/>
      <sheetName val="EXTERNAL__(revisi_1)2"/>
      <sheetName val="D_BOARD2"/>
      <sheetName val="WBS_20052"/>
      <sheetName val="est_proy2"/>
      <sheetName val="CATS_Codes2"/>
      <sheetName val="PRY_01-13"/>
      <sheetName val="B_UMUM2"/>
      <sheetName val="Calcu_023"/>
      <sheetName val="L__Hr3"/>
      <sheetName val="Rev__RBP-KP3"/>
      <sheetName val="Rev_RBP-1_3"/>
      <sheetName val="Daft_2_18"/>
      <sheetName val="DATA_23"/>
      <sheetName val="An_H_Sat_Pek_Ut3"/>
      <sheetName val="REKAP_beton4"/>
      <sheetName val="Signage_Detail4"/>
      <sheetName val="sat_dasar3"/>
      <sheetName val="HRG_UPAH_BAHAN2"/>
      <sheetName val="Base_Info2"/>
      <sheetName val="Ana__PU2"/>
      <sheetName val="Analisa_SNI_STANDART_3"/>
      <sheetName val="%_Prog3"/>
      <sheetName val="LEP_AWAL_DES_112"/>
      <sheetName val="HSBU_ANA2"/>
      <sheetName val="HARGA_ALAT4"/>
      <sheetName val="AGG,_C4"/>
      <sheetName val="RAB_Kantin2"/>
      <sheetName val="RAB_Rektorat2"/>
      <sheetName val="RAB_Masjid2"/>
      <sheetName val="RAB_Gd_Kuliah2"/>
      <sheetName val="RAB_Asrama_Putri2"/>
      <sheetName val="RAB_Asrama_Putra2"/>
      <sheetName val="RAB_Cottage_452"/>
      <sheetName val="RAB_Cottage_702"/>
      <sheetName val="RAB_Cottage_1402"/>
      <sheetName val="tidak_dipakai4"/>
      <sheetName val="RAB_&amp;_RCO_OWNER_VERS_3"/>
      <sheetName val="RAB_ME2"/>
      <sheetName val="HRG_BAHAN-UPAH2"/>
      <sheetName val="Plat_Lantai_Trestle2"/>
      <sheetName val="HRG_SAT_UPH_BHN_PU_20122"/>
      <sheetName val="Rencana_vs_Realisasi2"/>
      <sheetName val="Daftar_upah_&amp;_material2"/>
      <sheetName val="Analisa_Teknik2"/>
      <sheetName val="Sat_Upah2"/>
      <sheetName val="PO2_ok2"/>
      <sheetName val="Soil_Report2"/>
      <sheetName val="HS_ALAT3"/>
      <sheetName val="Rekap_Analisa2"/>
      <sheetName val="RAB_2"/>
      <sheetName val="1_1_ALAT_TULIS_KANTOR4"/>
      <sheetName val="Posisi_Biaya2"/>
      <sheetName val="DIV_13"/>
      <sheetName val="Ahs_22"/>
      <sheetName val="Ahs_12"/>
      <sheetName val="Lap__Minggu_81_(JUNI)2"/>
      <sheetName val="TEST_CASE2"/>
      <sheetName val="anl_hsmpu2"/>
      <sheetName val="RBP-_22"/>
      <sheetName val="Hrg_Sat6"/>
      <sheetName val="harga_dasar2"/>
      <sheetName val="LAP__MINGG2"/>
      <sheetName val="HB_2"/>
      <sheetName val="HD_ALAT1"/>
      <sheetName val="New_MADC1"/>
      <sheetName val="REKAP_PAGAR_DEPAN3"/>
      <sheetName val="REKAP_LOKAL3"/>
      <sheetName val="REKAP_PAGAR_SAMPING3"/>
      <sheetName val="REKAP_GERBANG3"/>
      <sheetName val="610_04a1"/>
      <sheetName val="Sales_Parameter1"/>
      <sheetName val="PRIST_LIST1"/>
      <sheetName val="RAB_12"/>
      <sheetName val="PEMBESIAN_BALOK_INDUK!1"/>
      <sheetName val="ARSUtM_1"/>
      <sheetName val="Analisa_ME_1"/>
      <sheetName val="DAFTAR_BESI_KANAL_C_SIKU1"/>
      <sheetName val="M_Pekerjaan1"/>
      <sheetName val="1_B1"/>
      <sheetName val="backup_mc_01"/>
      <sheetName val="Analisa_copy1"/>
      <sheetName val="Analisa_Gabungan1"/>
      <sheetName val="UPBH_AB1"/>
      <sheetName val="Rekap__2_1"/>
      <sheetName val="Spec_ME1"/>
      <sheetName val="anal_Lamp_4a1"/>
      <sheetName val="Rawat_Inap1"/>
      <sheetName val="Steel_Material_List1"/>
      <sheetName val="BD_Steel1"/>
      <sheetName val="breakdown_cable_tray1"/>
      <sheetName val="Pekerjaan_Pabrik_Utama1"/>
      <sheetName val="Pekerjaan_Pabrik_Utama-Add1"/>
      <sheetName val="Pekerjaan_Bangunan_TPS1"/>
      <sheetName val="Pekerjaan_Bangunan_TPS_(2)1"/>
      <sheetName val="Pekerjaan_Area_Luar_Jalan1"/>
      <sheetName val="IV_1__Str__Office1"/>
      <sheetName val="IV_2__Str__Serbaguna,GWT&amp;Wisma1"/>
      <sheetName val="IV_3__Str__Gudang_Rokok_&amp;_Prom1"/>
      <sheetName val="IV_4__Str__Gudang_Cengkeh1"/>
      <sheetName val="IV_6__Str__R_Genset1"/>
      <sheetName val="IV_7__Str__Parkir_Mobil1"/>
      <sheetName val="IV_8__Str__Parkir_Motor_Kantor1"/>
      <sheetName val="IV_9__Str__Parkir_Motor_Karyaw1"/>
      <sheetName val="HRG_BAHAN_&amp;_UPAH_okk4"/>
      <sheetName val="Analis_Kusen_okk4"/>
      <sheetName val="@nalisa_E1"/>
      <sheetName val="Petunjuk_Ngisi_(2)1"/>
      <sheetName val="A)_Psiapan1"/>
      <sheetName val="ASPAL_(14)1"/>
      <sheetName val="hARGA_SAT1"/>
      <sheetName val="Analisa_K1"/>
      <sheetName val="UPAH_B_KAS__2_1"/>
      <sheetName val="Schedule_11a1"/>
      <sheetName val="RPP01_61"/>
      <sheetName val="Septick_tank1"/>
      <sheetName val="input_data_umum1"/>
      <sheetName val="D_HARGA1"/>
      <sheetName val="GIRDER_21"/>
      <sheetName val="REKAP_READYMIX1"/>
      <sheetName val="7_1(3)1"/>
      <sheetName val="Analisa_HSP1"/>
      <sheetName val="REKAP_RAP1"/>
      <sheetName val="HARGA_DSR1"/>
      <sheetName val="K_-_Drywall-Presd1"/>
      <sheetName val="RAB_VOL1"/>
      <sheetName val="Uraian_Pekerjaan1"/>
      <sheetName val="RAB_ASRAMA_(7_A)1"/>
      <sheetName val="Sewa_Alat1"/>
      <sheetName val="Bill_Item_Ac1"/>
      <sheetName val="8_2工内1"/>
      <sheetName val="Paint_Type_B1"/>
      <sheetName val="rab_strktr_ars_print1"/>
      <sheetName val="perhit_alat1"/>
      <sheetName val="Rekap_Anl1"/>
      <sheetName val="Analis_SNI1"/>
      <sheetName val="D2_21"/>
      <sheetName val="MAIN_BQ1"/>
      <sheetName val="PERHITUNGAN_QUANTITY_1"/>
      <sheetName val="iTEM_hARSAT1"/>
      <sheetName val="EE_(3)1"/>
      <sheetName val="공사금액_내역_(1)1"/>
      <sheetName val="96_121"/>
      <sheetName val="sche_MJ_sari1"/>
      <sheetName val="Summary_Sheets1"/>
      <sheetName val="Summary_6_41"/>
      <sheetName val="PL_SPP_per_ton1"/>
      <sheetName val="Target_Raker_TW_III1"/>
      <sheetName val="HPP_X_Q'TY1"/>
      <sheetName val="PERALATAN_PROYEK_GOL_III_A1"/>
      <sheetName val="DAFTAR__BESI_IWF1"/>
      <sheetName val="Sales_Rental1"/>
      <sheetName val="REKAP_TOTAL_MEPEQ_1"/>
      <sheetName val="REKAP_PERSIAPAN1"/>
      <sheetName val="REKAP_PLUMBING1"/>
      <sheetName val="Air_Bersih1"/>
      <sheetName val="Air_Panas1"/>
      <sheetName val="Air_Buangan1"/>
      <sheetName val="Air_Hujan1"/>
      <sheetName val="REKAP_VAC1"/>
      <sheetName val="Air_Conditioning1"/>
      <sheetName val="Chiller_Plant1"/>
      <sheetName val="REKAP_PEMADAM1"/>
      <sheetName val="REKAP_ELEKTRIKAL1"/>
      <sheetName val="Grounding_&amp;_Penyalur_petir1"/>
      <sheetName val="REKAP_ELEKTRONIK1"/>
      <sheetName val="Fire_Alarm1"/>
      <sheetName val="Sound_System1"/>
      <sheetName val="REKAP_LIFT1"/>
      <sheetName val="Isian_Biodata1"/>
      <sheetName val="Analisa_Harga_Satuan1"/>
      <sheetName val="HALAMAN_1-601"/>
      <sheetName val="Indek_Kemahalan1"/>
      <sheetName val="Pemindahan_Penduduk_1"/>
      <sheetName val="Rekap__ME1"/>
      <sheetName val="Surat_Penw__1"/>
      <sheetName val="Pek__Elektrikal1"/>
      <sheetName val="LIFT_DAN_TRAVELATOR1"/>
      <sheetName val="Instalasi_Tata_Udara1"/>
      <sheetName val="rekap_ARS1"/>
      <sheetName val="Alat_Berat1"/>
      <sheetName val="Rek__Mob1"/>
      <sheetName val="lamp_91"/>
      <sheetName val="BAJA_TUL1"/>
      <sheetName val="analisa_print1"/>
      <sheetName val="Upah_bhn_mat1"/>
      <sheetName val="ANALISA_OK1"/>
      <sheetName val="6_PEK_ASPAL1"/>
      <sheetName val="GH_Quantity1"/>
      <sheetName val="Gal_Jack_Hammer1"/>
      <sheetName val="RBP_41"/>
      <sheetName val="HSD_(Rate)1"/>
      <sheetName val="RBP_31"/>
      <sheetName val="Lamp__1_1"/>
      <sheetName val="Lamp__21"/>
      <sheetName val="1__Rekap_A1"/>
      <sheetName val="PL_(MONTHLY)4"/>
      <sheetName val="L_BA_blok4"/>
      <sheetName val="Trading_Comps4"/>
      <sheetName val="analisa_nya1"/>
      <sheetName val="B_T1"/>
      <sheetName val="ANALISA_railing1"/>
      <sheetName val="AHS_TITIK_ME1"/>
      <sheetName val="Encl_-14A1"/>
      <sheetName val="Kinerja_Proyek1"/>
      <sheetName val="Har_Sat1"/>
      <sheetName val="RKP_011"/>
      <sheetName val="DRAFT_KONSUMEN1"/>
      <sheetName val="Rekap_11"/>
      <sheetName val="Laba_JO1"/>
      <sheetName val="LINK-MAST__BASIC_PRICE1"/>
      <sheetName val="HPS_Demak1"/>
      <sheetName val="bahan_SNI1"/>
      <sheetName val="ANALISA_SNI'07(Bangli)1"/>
      <sheetName val="Prod_Alat1"/>
      <sheetName val="Rek_Cianten31"/>
      <sheetName val="BAHAN_&amp;_ALAT1"/>
      <sheetName val="Urut_kabupaten1"/>
      <sheetName val="Cost_Analysis1"/>
      <sheetName val="Cost_Range1"/>
      <sheetName val="Equipment_Data1"/>
      <sheetName val="3_1_(3)1"/>
      <sheetName val="10_1_(1)1"/>
      <sheetName val="10_1_(2)1"/>
      <sheetName val="10_1_(3)1"/>
      <sheetName val="10_1_(4)1"/>
      <sheetName val="10_1_(5)1"/>
      <sheetName val="화재_탐지_설비1"/>
      <sheetName val="1_REK1"/>
      <sheetName val="Mobilisasi_(2)3"/>
      <sheetName val="Master_Dat2"/>
      <sheetName val="uraian_analisa2"/>
      <sheetName val="Schedule_Yasmin2"/>
      <sheetName val="Schedule_Lingkar_Barat2"/>
      <sheetName val="Schedule_Daan_Mogot2"/>
      <sheetName val="2-Genset_print2"/>
      <sheetName val="P_3-52"/>
      <sheetName val="Analisa_Harga2"/>
      <sheetName val="BHN_DSR2"/>
      <sheetName val="DATA_PROYEK1"/>
      <sheetName val="Div_101"/>
      <sheetName val="schedule_(2)1"/>
      <sheetName val="Lamp__3_Analisa1"/>
      <sheetName val="REKAP_AHSP_A1"/>
      <sheetName val="anal_rab1"/>
      <sheetName val="REKAPITULASI_HARGA_SATUAN1"/>
      <sheetName val="an_me1"/>
      <sheetName val="INPUT_HARGA1"/>
      <sheetName val="Section_2_MastlisteRev021"/>
      <sheetName val="Proof_Def_Tax1"/>
      <sheetName val="610_041"/>
      <sheetName val="610_051"/>
      <sheetName val="610_061"/>
      <sheetName val="610_071"/>
      <sheetName val="610_081"/>
      <sheetName val="GRAND_REKAP1"/>
      <sheetName val="PRY_01-31"/>
      <sheetName val="TONG_HOP_VL-NC1"/>
      <sheetName val="TONGKE3p_1"/>
      <sheetName val="TH_VL,_NC,_DDHT_Thanhphuoc1"/>
      <sheetName val="DON_GIA1"/>
      <sheetName val="CHITIET_VL-NC1"/>
      <sheetName val="VAT_out1"/>
      <sheetName val="Permanent_info1"/>
      <sheetName val="HD_BAHAN1"/>
      <sheetName val="BOQ_CONTRACT_WK1"/>
      <sheetName val="TOTAL_UPAH1"/>
      <sheetName val="UPAH_&amp;_BHN_ARS1"/>
      <sheetName val="Faktor_Konversi1"/>
      <sheetName val="MARK_UP1"/>
      <sheetName val="Rekap_Rutin1"/>
      <sheetName val="Rekap_Rutin_Jembatan1"/>
      <sheetName val="HS__Upah1"/>
      <sheetName val="Daf_Harga1"/>
      <sheetName val="Uraian_Teknis1"/>
      <sheetName val="CE_Elec1"/>
      <sheetName val="3_4-PIPE1"/>
      <sheetName val="6__CCTV1"/>
      <sheetName val="7__Data1"/>
      <sheetName val="11__PMK1"/>
      <sheetName val="Bahan_&amp;_Upah_20121"/>
      <sheetName val="lamp__121"/>
      <sheetName val="REKAP_SPENT_CATALYS1"/>
      <sheetName val="harga_bahan1"/>
      <sheetName val="_ANL__bw1"/>
      <sheetName val="BIIL_ASLI1"/>
      <sheetName val="PERALATAN_1"/>
      <sheetName val="Kode_rekening_Belanja1"/>
      <sheetName val="Kode_Rekening_Pembiayaan1"/>
      <sheetName val="Kode_Rekening_Pdapatn_Kab_kota1"/>
      <sheetName val="AN_Tdr1"/>
      <sheetName val="REKAP_BQ_1"/>
      <sheetName val="Analisa_BOW_071"/>
      <sheetName val="Harga_Satuan_Bahan_"/>
      <sheetName val="RAB_PENAWARAN"/>
      <sheetName val="F_1_1_G_ST_1A"/>
      <sheetName val="Upah_&amp;_bahan"/>
      <sheetName val="form_evaluasi"/>
      <sheetName val="HSP_dengan_Alat"/>
      <sheetName val="SCD_ADD_I"/>
      <sheetName val="ANL_TEK_6"/>
      <sheetName val="Tabel_HSP"/>
      <sheetName val="CHITIET_VL_NC"/>
      <sheetName val="INPUT_HARIAN"/>
      <sheetName val="S-Curve_(2017)"/>
      <sheetName val="ANALISA_HARGA_SATUAN_EL_DAN_EC"/>
      <sheetName val="Harsat_Pekerjaan"/>
      <sheetName val="HRG_AGRGT"/>
      <sheetName val="harga_bahan2"/>
      <sheetName val="schedule -Sisa"/>
      <sheetName val="PROGRES"/>
      <sheetName val="Por"/>
      <sheetName val="B-P"/>
      <sheetName val="SDY"/>
      <sheetName val="01Reg3"/>
      <sheetName val="BoQ Total_lama"/>
      <sheetName val="banding"/>
      <sheetName val="prd01-6"/>
      <sheetName val="6106"/>
      <sheetName val="PersList"/>
      <sheetName val="STOK MAT"/>
      <sheetName val="MAPP PPTR"/>
      <sheetName val="resume rkap"/>
      <sheetName val="Rasio"/>
      <sheetName val="S-2 PLERET"/>
      <sheetName val="NOTE"/>
      <sheetName val="BK-PU 2011"/>
      <sheetName val="MG"/>
      <sheetName val="HSATUAN"/>
      <sheetName val="tabel nilai"/>
      <sheetName val="data (2)"/>
      <sheetName val="Template"/>
      <sheetName val="LKT - HL"/>
      <sheetName val="LKT - HS"/>
      <sheetName val="IDX06"/>
      <sheetName val="BTL-Bau"/>
      <sheetName val="Management"/>
      <sheetName val="Master File (2)"/>
      <sheetName val="Analisa &amp; Upah"/>
      <sheetName val="An_pdkg"/>
      <sheetName val="Urugan Pasir"/>
      <sheetName val="S.UPAH"/>
      <sheetName val="Bekisting"/>
      <sheetName val="Galian"/>
      <sheetName val="Utilitas Plant"/>
      <sheetName val="URUTAN PLANT"/>
      <sheetName val="Rkp1"/>
      <sheetName val="Uraian Upah"/>
      <sheetName val="DATA_2015"/>
      <sheetName val="Invoice"/>
      <sheetName val="Mark-up"/>
      <sheetName val="Schd_Alat,Mat"/>
      <sheetName val="pivot2"/>
      <sheetName val="Brd Unit Rate"/>
      <sheetName val="curve s"/>
      <sheetName val="RAB THP1"/>
      <sheetName val="schtot"/>
      <sheetName val="DIV-2"/>
      <sheetName val="Budget"/>
      <sheetName val="Cable Data"/>
      <sheetName val="analis azaa"/>
      <sheetName val="LR-DES-06"/>
      <sheetName val="pivot1"/>
      <sheetName val="BAG_III"/>
      <sheetName val="CekList"/>
      <sheetName val="Kualifikasi"/>
      <sheetName val="dongia (2)"/>
      <sheetName val="giathanh1"/>
      <sheetName val="ANS"/>
      <sheetName val="Gelar_AC"/>
      <sheetName val="Scurve"/>
      <sheetName val="RAB AR&amp;STR"/>
      <sheetName val="DRUP (ASLI)"/>
      <sheetName val="REK."/>
      <sheetName val="KUANTITAS-PIPA"/>
      <sheetName val=" hrg bhn"/>
      <sheetName val="ANALAISA"/>
      <sheetName val="table"/>
      <sheetName val="ANA-TOOLS-KKA"/>
      <sheetName val="HARGASATUN"/>
      <sheetName val="analis baru"/>
      <sheetName val="Detail Piutang"/>
      <sheetName val="Metod TWR"/>
      <sheetName val="DAFT_ALAT,UPAH &amp; MAT"/>
      <sheetName val="Mercu Bulat"/>
      <sheetName val="Olak USBR"/>
      <sheetName val="harsat ars str"/>
      <sheetName val="Credit-22"/>
      <sheetName val="DATA_2016"/>
      <sheetName val="DKH SN1-A"/>
      <sheetName val="WILAYAH III"/>
      <sheetName val="WILAYAH I"/>
      <sheetName val="CATAT"/>
      <sheetName val="WILAYAH II"/>
      <sheetName val="FORM X COST"/>
      <sheetName val="Input monthly capex"/>
      <sheetName val="BBM-03"/>
      <sheetName val="G_SUMMARY"/>
      <sheetName val="PRC_COMP"/>
      <sheetName val="TAGIHAN"/>
      <sheetName val="MasterSheet"/>
      <sheetName val="IMPEADENCE MAP 취수장"/>
      <sheetName val="HRGA SATUAN UPAH-BAHAN"/>
      <sheetName val="APRON TAHAP I"/>
      <sheetName val="Hrg Satuan"/>
      <sheetName val="DIVI2"/>
      <sheetName val="Material List T 55 M "/>
      <sheetName val="BANGUNAN"/>
      <sheetName val="mat&amp;upah"/>
      <sheetName val="gtrinh"/>
      <sheetName val="Balok"/>
      <sheetName val="PC"/>
      <sheetName val="SUM STR KNTR"/>
      <sheetName val="DAF-9"/>
      <sheetName val="Alat PL"/>
      <sheetName val="Rekap-Alat"/>
      <sheetName val="DATA LUAS"/>
      <sheetName val="Data Teknik"/>
      <sheetName val="Factors"/>
      <sheetName val="C.II"/>
      <sheetName val="Koefisien Cs dan G"/>
      <sheetName val="baladewa"/>
      <sheetName val="Alat B"/>
      <sheetName val="Bahan B"/>
      <sheetName val="Upah B"/>
    </sheetNames>
    <sheetDataSet>
      <sheetData sheetId="0" refreshError="1"/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 refreshError="1"/>
      <sheetData sheetId="299" refreshError="1"/>
      <sheetData sheetId="300" refreshError="1"/>
      <sheetData sheetId="301" refreshError="1"/>
      <sheetData sheetId="302"/>
      <sheetData sheetId="303"/>
      <sheetData sheetId="304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 refreshError="1"/>
      <sheetData sheetId="319"/>
      <sheetData sheetId="320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/>
      <sheetData sheetId="449"/>
      <sheetData sheetId="450"/>
      <sheetData sheetId="45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/>
      <sheetData sheetId="641"/>
      <sheetData sheetId="642" refreshError="1"/>
      <sheetData sheetId="643" refreshError="1"/>
      <sheetData sheetId="644" refreshError="1"/>
      <sheetData sheetId="645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/>
      <sheetData sheetId="1034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 refreshError="1"/>
      <sheetData sheetId="1148" refreshError="1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/>
      <sheetData sheetId="1754"/>
      <sheetData sheetId="1755"/>
      <sheetData sheetId="1756"/>
      <sheetData sheetId="1757"/>
      <sheetData sheetId="1758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/>
      <sheetData sheetId="2074"/>
      <sheetData sheetId="2075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/>
      <sheetData sheetId="2107"/>
      <sheetData sheetId="2108"/>
      <sheetData sheetId="2109"/>
      <sheetData sheetId="2110"/>
      <sheetData sheetId="2111"/>
      <sheetData sheetId="2112"/>
      <sheetData sheetId="2113"/>
      <sheetData sheetId="2114"/>
      <sheetData sheetId="2115"/>
      <sheetData sheetId="2116"/>
      <sheetData sheetId="2117"/>
      <sheetData sheetId="2118"/>
      <sheetData sheetId="2119"/>
      <sheetData sheetId="2120"/>
      <sheetData sheetId="2121"/>
      <sheetData sheetId="2122"/>
      <sheetData sheetId="2123"/>
      <sheetData sheetId="2124"/>
      <sheetData sheetId="2125"/>
      <sheetData sheetId="2126"/>
      <sheetData sheetId="2127"/>
      <sheetData sheetId="2128"/>
      <sheetData sheetId="2129"/>
      <sheetData sheetId="2130"/>
      <sheetData sheetId="2131"/>
      <sheetData sheetId="2132"/>
      <sheetData sheetId="2133"/>
      <sheetData sheetId="2134"/>
      <sheetData sheetId="2135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/>
      <sheetData sheetId="2152"/>
      <sheetData sheetId="2153"/>
      <sheetData sheetId="2154"/>
      <sheetData sheetId="2155"/>
      <sheetData sheetId="2156"/>
      <sheetData sheetId="2157"/>
      <sheetData sheetId="2158"/>
      <sheetData sheetId="2159"/>
      <sheetData sheetId="2160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/>
      <sheetData sheetId="2584"/>
      <sheetData sheetId="2585"/>
      <sheetData sheetId="2586"/>
      <sheetData sheetId="2587"/>
      <sheetData sheetId="2588"/>
      <sheetData sheetId="2589"/>
      <sheetData sheetId="2590"/>
      <sheetData sheetId="2591"/>
      <sheetData sheetId="2592"/>
      <sheetData sheetId="2593"/>
      <sheetData sheetId="2594"/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/>
      <sheetData sheetId="2613"/>
      <sheetData sheetId="2614"/>
      <sheetData sheetId="2615"/>
      <sheetData sheetId="2616"/>
      <sheetData sheetId="2617"/>
      <sheetData sheetId="2618"/>
      <sheetData sheetId="2619"/>
      <sheetData sheetId="2620"/>
      <sheetData sheetId="2621"/>
      <sheetData sheetId="2622"/>
      <sheetData sheetId="2623"/>
      <sheetData sheetId="2624"/>
      <sheetData sheetId="2625"/>
      <sheetData sheetId="2626"/>
      <sheetData sheetId="2627"/>
      <sheetData sheetId="2628"/>
      <sheetData sheetId="2629"/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/>
      <sheetData sheetId="2641"/>
      <sheetData sheetId="2642"/>
      <sheetData sheetId="2643"/>
      <sheetData sheetId="2644"/>
      <sheetData sheetId="2645"/>
      <sheetData sheetId="2646"/>
      <sheetData sheetId="2647"/>
      <sheetData sheetId="2648"/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/>
      <sheetData sheetId="2663"/>
      <sheetData sheetId="2664"/>
      <sheetData sheetId="2665"/>
      <sheetData sheetId="2666"/>
      <sheetData sheetId="2667"/>
      <sheetData sheetId="2668"/>
      <sheetData sheetId="2669"/>
      <sheetData sheetId="2670"/>
      <sheetData sheetId="2671"/>
      <sheetData sheetId="2672"/>
      <sheetData sheetId="2673"/>
      <sheetData sheetId="2674"/>
      <sheetData sheetId="2675"/>
      <sheetData sheetId="2676"/>
      <sheetData sheetId="2677"/>
      <sheetData sheetId="2678"/>
      <sheetData sheetId="2679"/>
      <sheetData sheetId="2680"/>
      <sheetData sheetId="2681"/>
      <sheetData sheetId="2682"/>
      <sheetData sheetId="2683"/>
      <sheetData sheetId="2684"/>
      <sheetData sheetId="2685"/>
      <sheetData sheetId="2686"/>
      <sheetData sheetId="2687"/>
      <sheetData sheetId="2688"/>
      <sheetData sheetId="2689"/>
      <sheetData sheetId="2690"/>
      <sheetData sheetId="2691"/>
      <sheetData sheetId="2692"/>
      <sheetData sheetId="2693"/>
      <sheetData sheetId="2694"/>
      <sheetData sheetId="2695"/>
      <sheetData sheetId="2696"/>
      <sheetData sheetId="2697"/>
      <sheetData sheetId="2698"/>
      <sheetData sheetId="2699"/>
      <sheetData sheetId="2700"/>
      <sheetData sheetId="2701"/>
      <sheetData sheetId="2702"/>
      <sheetData sheetId="2703"/>
      <sheetData sheetId="2704"/>
      <sheetData sheetId="2705"/>
      <sheetData sheetId="2706"/>
      <sheetData sheetId="2707"/>
      <sheetData sheetId="2708"/>
      <sheetData sheetId="2709"/>
      <sheetData sheetId="2710"/>
      <sheetData sheetId="2711"/>
      <sheetData sheetId="2712"/>
      <sheetData sheetId="2713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/>
      <sheetData sheetId="2800"/>
      <sheetData sheetId="2801"/>
      <sheetData sheetId="2802"/>
      <sheetData sheetId="2803"/>
      <sheetData sheetId="2804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/>
      <sheetData sheetId="3163"/>
      <sheetData sheetId="3164" refreshError="1"/>
      <sheetData sheetId="3165" refreshError="1"/>
      <sheetData sheetId="3166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****00"/>
      <sheetName val="****01"/>
      <sheetName val="Summary"/>
      <sheetName val="Breakdown Cost"/>
      <sheetName val="Labor"/>
      <sheetName val="Equipment"/>
      <sheetName val="Consumable"/>
      <sheetName val="Mob-Demob"/>
      <sheetName val="Tools&amp;Consum"/>
      <sheetName val="Work Rate Analysis"/>
      <sheetName val="Mat. Unit Analysis"/>
      <sheetName val="Basic Price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WN"/>
      <sheetName val="INFO"/>
      <sheetName val="TOTAL"/>
      <sheetName val="PRELIM"/>
      <sheetName val="BQ-TAMBAHAN"/>
      <sheetName val="Informasi"/>
      <sheetName val="4-Basic Price"/>
      <sheetName val="INPUT"/>
      <sheetName val="Cover Daf_2"/>
      <sheetName val="Bill No.1"/>
      <sheetName val="ELEKTRIKAL"/>
      <sheetName val="SAT-DAS"/>
      <sheetName val="HARSAT"/>
      <sheetName val="DAF-1"/>
      <sheetName val="Material"/>
      <sheetName val="CAT_HAR"/>
      <sheetName val="Analisa"/>
      <sheetName val="OUT"/>
      <sheetName val="DAF-2"/>
      <sheetName val="rINCIAN"/>
      <sheetName val="Cover Daf-2"/>
      <sheetName val="AHSbj"/>
      <sheetName val="ANALISA TENDER"/>
      <sheetName val="Rekap"/>
      <sheetName val="Sheet1"/>
      <sheetName val="ALAT"/>
      <sheetName val="Agregat Halus &amp; Kasar"/>
      <sheetName val="H.Satuan"/>
      <sheetName val="Summary "/>
      <sheetName val="UPAH PEKERJA"/>
      <sheetName val="Rekap Biaya"/>
      <sheetName val="harga"/>
      <sheetName val="Infra"/>
      <sheetName val="BAG-2"/>
      <sheetName val="Bill No 2.1 "/>
      <sheetName val="BAG_2"/>
      <sheetName val="Rekap Direct Cost"/>
      <sheetName val="Sales"/>
      <sheetName val="Cover"/>
      <sheetName val="STR"/>
      <sheetName val="rab_analisa"/>
      <sheetName val="rekap-analis"/>
      <sheetName val="Price Biaya Cadangan"/>
      <sheetName val="BQ.Rekapitulasi  Akhir"/>
      <sheetName val="H_Satuan"/>
      <sheetName val="HargaDsrBhn"/>
      <sheetName val="SBDY"/>
      <sheetName val="NP"/>
      <sheetName val="1.REK"/>
      <sheetName val="Normalisasi"/>
      <sheetName val="Produksi "/>
      <sheetName val="DSU-2"/>
      <sheetName val="AHS Marka"/>
      <sheetName val="ANAL KOEF"/>
      <sheetName val="SCHEDULE"/>
      <sheetName val="Sumber Daya"/>
      <sheetName val="BL"/>
      <sheetName val="rab me (by owner) "/>
      <sheetName val="BQ (by owner)"/>
      <sheetName val="rab me (fisik)"/>
      <sheetName val="Harsat_El"/>
      <sheetName val="I-KAMAR"/>
      <sheetName val="I_KAMAR"/>
      <sheetName val="Tataudara"/>
      <sheetName val="BQ_Rekapitulasi  Akhir"/>
      <sheetName val="Grand Summary"/>
      <sheetName val="Basic Price"/>
      <sheetName val="BQ-1A"/>
      <sheetName val="LISA MOB"/>
      <sheetName val="rincian per proyek"/>
      <sheetName val="Koefisien"/>
      <sheetName val="000000"/>
      <sheetName val="DKH"/>
      <sheetName val="prog-mgu"/>
      <sheetName val="Plmbg "/>
      <sheetName val="Electronic"/>
      <sheetName val="ANALISA-1"/>
      <sheetName val="DAPRO"/>
      <sheetName val="DAFTAR ISI"/>
      <sheetName val="Analisa STR"/>
      <sheetName val="RAB (OK)"/>
      <sheetName val="STR(CANCEL)"/>
      <sheetName val="AC"/>
      <sheetName val="fill in first"/>
      <sheetName val="ANALISA PEK.UMUM"/>
      <sheetName val="bhn-upah"/>
      <sheetName val="Produksi_"/>
      <sheetName val="1_REK"/>
      <sheetName val="AHS_Marka"/>
      <sheetName val="ANAL_KOEF"/>
      <sheetName val="SP16"/>
      <sheetName val="Volume"/>
      <sheetName val="CH"/>
      <sheetName val="baladewa"/>
      <sheetName val="KH-Q1,Q2,01"/>
      <sheetName val="Form-3.3"/>
      <sheetName val="boq"/>
      <sheetName val="RKP.ANL"/>
      <sheetName val="BAHAN"/>
      <sheetName val="arsitektur"/>
      <sheetName val="formminat"/>
      <sheetName val="Perm. Test"/>
      <sheetName val="RAB"/>
      <sheetName val="PERFORMANCE PROYEK (2)"/>
      <sheetName val="Petunjuk Ngisi (2)"/>
      <sheetName val="RKP-BOQ"/>
      <sheetName val="RENTAL1"/>
      <sheetName val="REF.ONLY"/>
      <sheetName val="토공사B동추가"/>
      <sheetName val="Rekap-Bdg"/>
      <sheetName val="Bill No_1"/>
      <sheetName val="HARGA MATERIAL"/>
      <sheetName val="ENG-101"/>
      <sheetName val="2.1"/>
      <sheetName val="2.2"/>
      <sheetName val="SAP"/>
      <sheetName val="UPAHBAHAN"/>
      <sheetName val="BQ"/>
      <sheetName val="Monitor"/>
      <sheetName val="B"/>
      <sheetName val="BQ ARS"/>
      <sheetName val="ANL-PEK"/>
      <sheetName val="8LT 12"/>
      <sheetName val="HRG BHN"/>
      <sheetName val="ANALIS2"/>
      <sheetName val="ANALISAGATE"/>
      <sheetName val="harsat ars str"/>
      <sheetName val="R.A.B."/>
      <sheetName val="bum"/>
      <sheetName val="upah"/>
      <sheetName val="DAF_2"/>
      <sheetName val="Bill No. 2 - Carpark"/>
      <sheetName val="Weight Bridge"/>
      <sheetName val="Mall"/>
      <sheetName val="Upah_Bahan"/>
      <sheetName val="D2.2"/>
      <sheetName val="A"/>
      <sheetName val="Daf 1 Prelim"/>
      <sheetName val="index"/>
      <sheetName val="DAF_1"/>
      <sheetName val="Inst.penerangan."/>
      <sheetName val="Anls Teknis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mA THP III"/>
      <sheetName val="daf-3(OK)"/>
      <sheetName val="daf-7(OK)"/>
      <sheetName val="#REF!"/>
      <sheetName val="FINISHING"/>
      <sheetName val="div10"/>
      <sheetName val="Isolasi Luar Dalam"/>
      <sheetName val="Isolasi Luar"/>
      <sheetName val="112-885"/>
      <sheetName val="Unit Price"/>
      <sheetName val="BQ-Str"/>
      <sheetName val="DK&amp;H"/>
      <sheetName val="chitimc"/>
      <sheetName val="Daf 1"/>
      <sheetName val="Terbilang"/>
      <sheetName val="SP"/>
      <sheetName val="AN-E"/>
      <sheetName val="Meth"/>
      <sheetName val="A-ars"/>
      <sheetName val="analisa_gedung"/>
      <sheetName val="ANAL"/>
      <sheetName val="pricing"/>
      <sheetName val="RBP- 2"/>
      <sheetName val="H-Bahan &amp; Tenaga"/>
      <sheetName val="ACT-PRELIM"/>
      <sheetName val="STR_CANCEL_"/>
      <sheetName val="COST"/>
      <sheetName val="Pipe"/>
      <sheetName val="Rinc.Ged.A (G.Utama)"/>
      <sheetName val="sort2"/>
      <sheetName val="Plumbing"/>
      <sheetName val="rumus"/>
      <sheetName val="Bab.No.4.1 STR"/>
      <sheetName val="Bab.No.4.2 ARSITEK"/>
      <sheetName val="Bab.No.4.3 PLUMBING"/>
      <sheetName val="Bab.No.4.4-Pek.Tambh.Krg."/>
      <sheetName val="H_Bahan"/>
      <sheetName val="Tabel"/>
      <sheetName val="Bab.No.3.1 STR"/>
      <sheetName val="Bab.No.3.2 ARSITEK"/>
      <sheetName val="Bab.No.3.3-PLUMBING"/>
      <sheetName val="Bab.No.3.4-Pek.Tambh.Krg."/>
      <sheetName val="Bill of Qty"/>
      <sheetName val="DAFTAR  BESI IWF"/>
      <sheetName val="Harsat Upah"/>
      <sheetName val="DAFTAR BESI KANAL C SIKU"/>
      <sheetName val="AN-K"/>
      <sheetName val="EARTH"/>
      <sheetName val="BASEMENT"/>
      <sheetName val="koef"/>
      <sheetName val="Summary"/>
      <sheetName val="DAFTAR HARGA"/>
      <sheetName val="BQ-R2"/>
      <sheetName val="Anal-1"/>
      <sheetName val="BOQ "/>
      <sheetName val="RekBq"/>
      <sheetName val="REKAP ANALISA"/>
      <sheetName val="data"/>
      <sheetName val="ANA-C"/>
      <sheetName val="rk_an_k"/>
      <sheetName val="Bill rekap"/>
      <sheetName val="SUR-HARGA"/>
      <sheetName val="PAD-F"/>
      <sheetName val="hrgsat"/>
      <sheetName val="Parameter"/>
      <sheetName val="UPAH BAHAN 07"/>
      <sheetName val="anal_alat"/>
      <sheetName val="hsd"/>
      <sheetName val="NP.7(2)"/>
      <sheetName val="NP.9"/>
      <sheetName val="Table Array"/>
      <sheetName val="DP"/>
      <sheetName val="ARSUtM "/>
      <sheetName val="Volume Rumah"/>
      <sheetName val="rekap konst"/>
      <sheetName val="lap umum 1"/>
      <sheetName val="DTX"/>
      <sheetName val="str bengkel"/>
      <sheetName val="material "/>
      <sheetName val="ahas-ins"/>
      <sheetName val="rate Bahan"/>
      <sheetName val="telp"/>
      <sheetName val="PROGRESS"/>
      <sheetName val="RAB ME"/>
      <sheetName val="reso"/>
      <sheetName val="REKAP.VOLUME"/>
      <sheetName val="BASIC PRICE "/>
      <sheetName val="form evaluasi"/>
      <sheetName val="UNIT PRICE ANALYSIS (KSN)"/>
      <sheetName val="sai"/>
      <sheetName val="IPK"/>
      <sheetName val="Satuan"/>
      <sheetName val="AKP"/>
      <sheetName val="IPK RAKOR"/>
      <sheetName val="RL-01"/>
      <sheetName val="HargaDasar"/>
      <sheetName val="Conn. Lib"/>
      <sheetName val="AN MEK"/>
      <sheetName val="DON GIA"/>
      <sheetName val="CHITIET VL-NC"/>
      <sheetName val="TDTKP"/>
      <sheetName val="TONGKE3p "/>
      <sheetName val="VCV-BE-TONG"/>
      <sheetName val="TNHCHINH"/>
      <sheetName val="ANL"/>
      <sheetName val="REKAPITULASI"/>
      <sheetName val="Market"/>
      <sheetName val="Fill this out first___"/>
      <sheetName val="anals hrg"/>
      <sheetName val="Anls"/>
      <sheetName val="Cost Summary"/>
      <sheetName val="Rekap Sal"/>
      <sheetName val="HC Bldg."/>
      <sheetName val="326BQSTC"/>
      <sheetName val="Harsat_marina"/>
      <sheetName val="REKAP PAGAR DEPAN"/>
      <sheetName val="REKAP LOKAL"/>
      <sheetName val="REKAP PAGAR SAMPING"/>
      <sheetName val="REKAP GERBANG"/>
      <sheetName val="SCHEDULE "/>
      <sheetName val="Kabel"/>
      <sheetName val="ANALISA HARGA SATUAN"/>
      <sheetName val="Rawat Inap"/>
      <sheetName val="D4"/>
      <sheetName val="D6"/>
      <sheetName val="D7"/>
      <sheetName val="D8"/>
      <sheetName val="RAB "/>
      <sheetName val="Koto Panjang"/>
      <sheetName val="igp-03"/>
      <sheetName val="Inds &amp; For"/>
      <sheetName val="Analisa Baku ME"/>
      <sheetName val="Upah&amp;Bahan"/>
      <sheetName val="Metod TWR"/>
      <sheetName val="Foundation"/>
      <sheetName val="ISIAN"/>
      <sheetName val="Panel"/>
      <sheetName val="Fire Fighting"/>
      <sheetName val="metode"/>
      <sheetName val="PersList"/>
      <sheetName val="ANAL.BOW"/>
      <sheetName val="NLsimpro"/>
      <sheetName val="AnalisisHSPekerjaan"/>
      <sheetName val="Menu"/>
      <sheetName val="List Plant"/>
      <sheetName val="ANALISA STR &amp; ARS"/>
      <sheetName val="UNIT PRICE WAGE and MATERIAL"/>
      <sheetName val="analisa gedung"/>
      <sheetName val="NK"/>
      <sheetName val="PL _5 LT "/>
      <sheetName val="16-AC-27JULI"/>
      <sheetName val="Bahan Upah"/>
      <sheetName val="L. Hr"/>
      <sheetName val="COA"/>
      <sheetName val="Embong-Malang"/>
      <sheetName val="SUB TOTAL___"/>
      <sheetName val="Pipa Bakrie"/>
      <sheetName val="Valve-Hyd"/>
      <sheetName val="pipe132"/>
      <sheetName val="jaketing"/>
      <sheetName val="Hrg Satuan"/>
      <sheetName val="DESBT"/>
      <sheetName val="name"/>
      <sheetName val="rab - persiapan &amp; lantai-1"/>
      <sheetName val="DETAIL DIRECT COST"/>
      <sheetName val="Man Power"/>
      <sheetName val="Analisa-alt"/>
      <sheetName val="Sat. Pek."/>
      <sheetName val="ahs"/>
      <sheetName val="REK"/>
      <sheetName val="List Material"/>
      <sheetName val="Kuantitas &amp; Harga"/>
      <sheetName val="5-ALAT(1)"/>
      <sheetName val="3"/>
      <sheetName val="4"/>
      <sheetName val="3-DIV5"/>
      <sheetName val="UPAH&amp;BHN"/>
      <sheetName val="10.1 (1)"/>
      <sheetName val="10.1 (2)"/>
      <sheetName val="10.1 (3)"/>
      <sheetName val="10.1 (4)"/>
      <sheetName val="10.1 (5)"/>
      <sheetName val="Harsat Bahan"/>
      <sheetName val="rab lt 2 bo"/>
      <sheetName val="MPEL"/>
      <sheetName val="3-DIV4"/>
      <sheetName val="BAJA TUL"/>
      <sheetName val="Schedule Rev. (3)"/>
      <sheetName val="AN.CIPTA.KARYA"/>
      <sheetName val="gvl"/>
      <sheetName val="_nalisa E"/>
      <sheetName val="Currency Rate"/>
      <sheetName val="Sheet4"/>
      <sheetName val="DUHB (2)"/>
      <sheetName val="Pt"/>
      <sheetName val="Ana"/>
      <sheetName val="LISTRIK"/>
      <sheetName val="HSBHN"/>
      <sheetName val="lokasari-el"/>
      <sheetName val="REKAP EL"/>
      <sheetName val="Analisa Harga"/>
      <sheetName val="REKAP ANALISA TO PRINT"/>
      <sheetName val="Harsat_Pek"/>
      <sheetName val="Calcu 02"/>
      <sheetName val="A_ars"/>
      <sheetName val="Codestable"/>
      <sheetName val="Proj Summ"/>
      <sheetName val="Kolom UT"/>
      <sheetName val="RESUME PEMASARAN 2014"/>
      <sheetName val="RKAP CB5"/>
      <sheetName val="RKAP CB6"/>
      <sheetName val="RKAP CB7"/>
      <sheetName val="RKAP CB8"/>
      <sheetName val="struktur tdk dipakai"/>
      <sheetName val="2.10"/>
      <sheetName val="QSS"/>
      <sheetName val="TANJUNG-CONV"/>
      <sheetName val="D2"/>
      <sheetName val="D3"/>
      <sheetName val="D5"/>
      <sheetName val="Volume 1"/>
      <sheetName val="3-DIV8"/>
      <sheetName val="Reference"/>
      <sheetName val="BQ1"/>
      <sheetName val="61005"/>
      <sheetName val="61006"/>
      <sheetName val="61007"/>
      <sheetName val="61008"/>
      <sheetName val="MAP"/>
      <sheetName val="harga dasar"/>
      <sheetName val="Rekap "/>
      <sheetName val="Peralatan"/>
      <sheetName val="koef-beton"/>
      <sheetName val="GASATAGG.XLS"/>
      <sheetName val="HSUMUM.XLS"/>
      <sheetName val="HSDRAIN.XLS"/>
      <sheetName val="HSTANAH"/>
      <sheetName val="HSBASE"/>
      <sheetName val="HSASPAL"/>
      <sheetName val="HSBETON"/>
      <sheetName val="HSSTRUK"/>
      <sheetName val="HSMISC.XLS"/>
      <sheetName val="DHS"/>
      <sheetName val="HB me"/>
      <sheetName val="Sch1"/>
      <sheetName val="Sheet2"/>
      <sheetName val="SCDHL"/>
      <sheetName val="Rencana vs Realisasi"/>
      <sheetName val="DIV-2"/>
      <sheetName val="MHRS"/>
      <sheetName val="COMMIT REG"/>
      <sheetName val="BILAL2"/>
      <sheetName val="Anl_Prod_STD"/>
      <sheetName val="Markup"/>
      <sheetName val="Rekap Anl.SNI"/>
      <sheetName val="rab g10"/>
      <sheetName val="ana_str"/>
      <sheetName val="Bahan &amp; Upah"/>
      <sheetName val="3-div1"/>
      <sheetName val="bill"/>
      <sheetName val="FORMULA"/>
      <sheetName val="UPAH BAHAN"/>
      <sheetName val="LAPORAN MGGU"/>
      <sheetName val="org"/>
      <sheetName val=" ANL. bw"/>
      <sheetName val="Subcont"/>
      <sheetName val="DATA PROYEK"/>
      <sheetName val="Schedule I"/>
      <sheetName val="OwnEq"/>
      <sheetName val="RAP"/>
      <sheetName val="Daf Hg Satuan"/>
      <sheetName val="terendah"/>
      <sheetName val="div3"/>
      <sheetName val="Currency"/>
      <sheetName val="3-DIV3"/>
      <sheetName val="srtberkas"/>
      <sheetName val="AnMobilisasi"/>
      <sheetName val="S Kurva"/>
      <sheetName val="PERHIT. ALAT"/>
      <sheetName val="REKAP AHSP.A"/>
      <sheetName val="dft harga"/>
      <sheetName val="K.0XX"/>
      <sheetName val="K.1XX"/>
      <sheetName val="K.2XX"/>
      <sheetName val="K.3XX"/>
      <sheetName val="K.6XX"/>
      <sheetName val="K.8XX"/>
      <sheetName val="SURAT PENAWARAN"/>
      <sheetName val="rekap.anl '07"/>
      <sheetName val="MT"/>
      <sheetName val="5-Peralatan"/>
      <sheetName val="depan"/>
      <sheetName val="TENGAH"/>
      <sheetName val="Sat Das"/>
      <sheetName val="PO2"/>
      <sheetName val="SATUAN HARGA"/>
      <sheetName val="3 DIV 3"/>
      <sheetName val="metode "/>
      <sheetName val="REKAP RAP"/>
      <sheetName val="Rekap Vol."/>
      <sheetName val="HSD ALAT"/>
      <sheetName val="HSD BAHAN"/>
      <sheetName val="HSD UPAH "/>
      <sheetName val="FISIK_KEU"/>
      <sheetName val="Rek.An"/>
      <sheetName val="rekap index eskalasi"/>
      <sheetName val="Budget"/>
      <sheetName val="div-6"/>
      <sheetName val="Analisa Quarry"/>
      <sheetName val="div-4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ca-biaya"/>
      <sheetName val="Form"/>
      <sheetName val="total"/>
      <sheetName val="CH"/>
      <sheetName val="rekap"/>
      <sheetName val="Rekap1"/>
      <sheetName val="BOQ1"/>
      <sheetName val="boq"/>
      <sheetName val="analisa F-X"/>
      <sheetName val="metode-F-X"/>
      <sheetName val="MET"/>
      <sheetName val="metode-4"/>
      <sheetName val="Lamp.Meth"/>
      <sheetName val="Lamp.Meth (2)"/>
      <sheetName val="hsd"/>
      <sheetName val="AN-E"/>
      <sheetName val="M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Q"/>
      <sheetName val="VOLUME"/>
      <sheetName val="AHSP 2016"/>
      <sheetName val="An_Alat"/>
      <sheetName val="Prod_Alat"/>
      <sheetName val="Mobilisasi"/>
      <sheetName val="Basic Price2"/>
      <sheetName val="Panjang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XX"/>
      <sheetName val="Rekap"/>
      <sheetName val="Daftar Kuantitas"/>
      <sheetName val="Daftar Harga Satuan"/>
      <sheetName val="Analisa Harga Satuan"/>
      <sheetName val="Analisa Teknik"/>
      <sheetName val="Harga"/>
      <sheetName val="Sub Kontrak"/>
      <sheetName val="Jadwal"/>
      <sheetName val="Personil"/>
      <sheetName val="Personil PQ"/>
      <sheetName val="Alat"/>
      <sheetName val="Alat PQ"/>
      <sheetName val="Bag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B"/>
      <sheetName val="ANALISA"/>
      <sheetName val="HARG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MO"/>
      <sheetName val="MO"/>
      <sheetName val="Sat"/>
      <sheetName val="COV"/>
      <sheetName val="Evalu"/>
      <sheetName val="Evalu (2)"/>
      <sheetName val="Rek."/>
      <sheetName val="NP"/>
      <sheetName val="NP (2)"/>
      <sheetName val="Methode"/>
      <sheetName val="alat"/>
      <sheetName val="Rekap Bi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"/>
      <sheetName val="7.1"/>
      <sheetName val="7.2"/>
      <sheetName val="7.3"/>
      <sheetName val="7.4"/>
      <sheetName val="7.5"/>
      <sheetName val="7.6"/>
      <sheetName val="7.7"/>
      <sheetName val="7.8"/>
      <sheetName val="7.9"/>
      <sheetName val="Neraca"/>
      <sheetName val="Person1"/>
      <sheetName val="Person2"/>
      <sheetName val="Person3"/>
      <sheetName val="7.14"/>
      <sheetName val="7.15"/>
      <sheetName val="7.16"/>
      <sheetName val="7.17"/>
      <sheetName val="7.18"/>
      <sheetName val="ALAT.19"/>
      <sheetName val="Lamp.20"/>
      <sheetName val="Riwayat"/>
      <sheetName val="Karyawan"/>
      <sheetName val="cover"/>
      <sheetName val="kop"/>
      <sheetName val="Judul"/>
      <sheetName val="7.19"/>
      <sheetName val="Perhitungan RAB"/>
      <sheetName val="Analisa"/>
      <sheetName val="FORM X COST"/>
      <sheetName val="RAB"/>
      <sheetName val="Elektrikal"/>
      <sheetName val="Cover Daf-2"/>
      <sheetName val="BHN1"/>
      <sheetName val="A"/>
      <sheetName val="UPAH"/>
      <sheetName val="beton"/>
      <sheetName val="HSATUAN"/>
      <sheetName val="BQ"/>
      <sheetName val="Sheet1"/>
      <sheetName val="RAB STR KARIMUN"/>
      <sheetName val="H.Satuan"/>
      <sheetName val="DAF-2"/>
      <sheetName val="Harsat Upah"/>
      <sheetName val="HARSAT"/>
      <sheetName val="LISTRIK"/>
      <sheetName val="Fill this out first..."/>
      <sheetName val="bahan"/>
      <sheetName val="BoQ"/>
      <sheetName val="Gedung Kantor"/>
      <sheetName val="FINISHING"/>
      <sheetName val="Rekap Prelim"/>
      <sheetName val="Analisa &amp; Upah"/>
      <sheetName val="NP"/>
      <sheetName val="L2 Arit"/>
      <sheetName val="Data"/>
    </sheetNames>
    <sheetDataSet>
      <sheetData sheetId="0" refreshError="1">
        <row r="1">
          <cell r="A1" t="str">
            <v>PT. LIE JASIN ENGINEERING</v>
          </cell>
        </row>
        <row r="3">
          <cell r="A3" t="str">
            <v>Yohannes A. Efferin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"/>
      <sheetName val="CH Met Bab"/>
      <sheetName val="Rekap"/>
      <sheetName val="BoQ"/>
      <sheetName val="Jadwal"/>
      <sheetName val="Ana. PU"/>
      <sheetName val="Konfirm"/>
      <sheetName val="DPU"/>
      <sheetName val="Alat"/>
      <sheetName val="Staf"/>
      <sheetName val="Sub Kont"/>
      <sheetName val="HSD Upah+Alat"/>
      <sheetName val="HSD Bahan"/>
      <sheetName val="Met Bab 05"/>
      <sheetName val="Met Bab 06 (a)"/>
      <sheetName val="Met Bab 06 (b)"/>
      <sheetName val="Ind"/>
      <sheetName val="Ana_ PU"/>
      <sheetName val="Cover Daf-2"/>
      <sheetName val="Harsat_Pek"/>
      <sheetName val="Analisa RAP"/>
      <sheetName val="FAKTOR"/>
      <sheetName val="Pipe"/>
      <sheetName val="Fill this out first___"/>
      <sheetName val="Breakdown"/>
      <sheetName val="PLUMBING"/>
      <sheetName val="ANALISA railing"/>
      <sheetName val="BAHAN_07 Un_ TBHN ANALIS"/>
      <sheetName val="BAB 2"/>
      <sheetName val="BAB 3"/>
      <sheetName val="BAB 4"/>
      <sheetName val="BAB 7"/>
      <sheetName val="Listing"/>
      <sheetName val="Perhitungan RAB"/>
      <sheetName val="BAHAN"/>
      <sheetName val="Dt"/>
      <sheetName val="Divisi 9"/>
      <sheetName val="SAT-DAS"/>
      <sheetName val="Format Report-for analysis only"/>
      <sheetName val="XREF"/>
      <sheetName val="BQ"/>
      <sheetName val="Galian batu"/>
      <sheetName val="Pen Macadam"/>
      <sheetName val="Basic Price"/>
      <sheetName val="Kuantitas &amp; Harga"/>
      <sheetName val="SNI-17-3-09"/>
      <sheetName val="RKP.ANL"/>
      <sheetName val="daftarbhn"/>
      <sheetName val="AN-E"/>
      <sheetName val="Meth"/>
      <sheetName val="Ranking %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H  (2)"/>
      <sheetName val="SCH "/>
      <sheetName val="Konfirm"/>
      <sheetName val="CH"/>
      <sheetName val="MPU"/>
      <sheetName val="Lamp2"/>
      <sheetName val="Lamp.3"/>
      <sheetName val="SRT"/>
      <sheetName val="REK"/>
      <sheetName val="BQ"/>
      <sheetName val="Jadwal"/>
      <sheetName val="ANA"/>
      <sheetName val="Meth "/>
      <sheetName val="HSD Bahan"/>
      <sheetName val="HSD Upah+Alat"/>
      <sheetName val="bab-02"/>
      <sheetName val="bab-03"/>
      <sheetName val="bab-05"/>
      <sheetName val="bab-06"/>
      <sheetName val="bab-07"/>
      <sheetName val="bab-08"/>
      <sheetName val="bab-11"/>
      <sheetName val="HSD"/>
      <sheetName val="MOS"/>
      <sheetName val="Staf"/>
      <sheetName val="Alat1"/>
      <sheetName val="LN"/>
      <sheetName val="SCHE"/>
      <sheetName val="sub"/>
      <sheetName val="KOMP"/>
      <sheetName val="Peng."/>
      <sheetName val="Modal"/>
      <sheetName val="Sipil"/>
      <sheetName val="Hitu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rat "/>
      <sheetName val="IND (2)"/>
      <sheetName val="CH"/>
      <sheetName val="CH Met Bab"/>
      <sheetName val="Rekap"/>
      <sheetName val="BoQ"/>
      <sheetName val="Jadwal"/>
      <sheetName val="Ana. PU"/>
      <sheetName val="Konfirm"/>
      <sheetName val="DPU"/>
      <sheetName val="HSD Upah+Alat"/>
      <sheetName val="Alat"/>
      <sheetName val="HSD Bahan"/>
      <sheetName val="Staf"/>
      <sheetName val="Sub Kont"/>
      <sheetName val="k-300"/>
      <sheetName val="ac-wc"/>
      <sheetName val="tack"/>
      <sheetName val="ac-Bc"/>
      <sheetName val="I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Q(RAB)"/>
      <sheetName val="BQ(RAB) (2)"/>
      <sheetName val="BQ(RAB) (3)"/>
      <sheetName val="BQ1"/>
      <sheetName val="BQ2"/>
      <sheetName val="JADWAL(1)"/>
      <sheetName val="JADWAL(2)"/>
      <sheetName val="Item8"/>
      <sheetName val="sket"/>
      <sheetName val="adukan "/>
      <sheetName val="HL"/>
      <sheetName val="BU"/>
      <sheetName val="plester"/>
      <sheetName val="Item7"/>
      <sheetName val="rutinBahu"/>
      <sheetName val="Item10"/>
      <sheetName val="Estimate"/>
      <sheetName val="Item1"/>
      <sheetName val="Item4"/>
      <sheetName val="Item6"/>
      <sheetName val="rekap"/>
      <sheetName val="Hotmix"/>
      <sheetName val="Analisa Alat"/>
      <sheetName val="Elemen"/>
      <sheetName val="Item3"/>
      <sheetName val="Idle"/>
      <sheetName val="Pas.batu"/>
      <sheetName val="Crusher"/>
      <sheetName val="Proses"/>
      <sheetName val="Alat Kudus"/>
      <sheetName val="Kap.Alat"/>
      <sheetName val="ATB(T)"/>
      <sheetName val="ac4CM(T)"/>
      <sheetName val="SKETSA"/>
      <sheetName val="BAHAN"/>
      <sheetName val="upah"/>
      <sheetName val="ALAT"/>
      <sheetName val="alatnonbuas"/>
      <sheetName val="PNWRN"/>
      <sheetName val="Sheet1"/>
      <sheetName val="vICTOR"/>
      <sheetName val="H.Satuan"/>
      <sheetName val="data"/>
      <sheetName val="BQ(RAB)_(2)"/>
      <sheetName val="BQ(RAB)_(3)"/>
      <sheetName val="adukan_"/>
      <sheetName val="Analisa_Alat"/>
      <sheetName val="Pas_batu"/>
      <sheetName val="Alat_Kudus"/>
      <sheetName val="Kap_Alat"/>
      <sheetName val="DAF-2"/>
      <sheetName val="SBDY"/>
      <sheetName val="Analisa SNI STANDART "/>
      <sheetName val="Analisa"/>
      <sheetName val="product"/>
      <sheetName val="Har-sat-dasr"/>
      <sheetName val="BoQ"/>
      <sheetName val="HRG BAHAN &amp; UPAH okk"/>
      <sheetName val="Analis Kusen ok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Q SALURAN"/>
    </sheetNames>
    <sheetDataSet>
      <sheetData sheetId="0">
        <row r="549">
          <cell r="L549">
            <v>46817.916240000006</v>
          </cell>
        </row>
        <row r="1092">
          <cell r="L1092">
            <v>142792.46</v>
          </cell>
        </row>
      </sheetData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REKAPITULASI"/>
      <sheetName val="BQ"/>
      <sheetName val="REKAP HSP"/>
      <sheetName val="ANALISA_FIX"/>
      <sheetName val="DAFTAR HARGA"/>
      <sheetName val="ANALISA"/>
      <sheetName val="HSD"/>
      <sheetName val="KODE_BPS"/>
      <sheetName val="ALAT"/>
      <sheetName val="Sheet2"/>
    </sheetNames>
    <sheetDataSet>
      <sheetData sheetId="0" refreshError="1"/>
      <sheetData sheetId="1">
        <row r="15">
          <cell r="H15">
            <v>7503065864.4861841</v>
          </cell>
        </row>
      </sheetData>
      <sheetData sheetId="2" refreshError="1"/>
      <sheetData sheetId="3">
        <row r="25">
          <cell r="D25">
            <v>11112.730345200001</v>
          </cell>
        </row>
        <row r="60">
          <cell r="D60">
            <v>20102.616379999999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ED5E4-02A3-40C5-9AF7-129C1FBD0D0D}">
  <sheetPr>
    <tabColor indexed="14"/>
    <pageSetUpPr fitToPage="1"/>
  </sheetPr>
  <dimension ref="A1:M25"/>
  <sheetViews>
    <sheetView topLeftCell="A3" zoomScale="80" zoomScaleNormal="80" workbookViewId="0">
      <selection activeCell="G13" sqref="G13"/>
    </sheetView>
  </sheetViews>
  <sheetFormatPr defaultColWidth="9.08984375" defaultRowHeight="13" x14ac:dyDescent="0.35"/>
  <cols>
    <col min="1" max="1" width="6.453125" style="18" customWidth="1"/>
    <col min="2" max="2" width="2.6328125" style="18" customWidth="1"/>
    <col min="3" max="3" width="8.6328125" style="18" customWidth="1"/>
    <col min="4" max="4" width="11.90625" style="18" customWidth="1"/>
    <col min="5" max="5" width="13.36328125" style="18" customWidth="1"/>
    <col min="6" max="6" width="2.6328125" style="18" customWidth="1"/>
    <col min="7" max="7" width="9.08984375" style="18"/>
    <col min="8" max="8" width="28.6328125" style="18" customWidth="1"/>
    <col min="9" max="9" width="9.08984375" style="18"/>
    <col min="10" max="10" width="8.1796875" style="18" customWidth="1"/>
    <col min="11" max="11" width="10.1796875" style="18" customWidth="1"/>
    <col min="12" max="12" width="9.08984375" style="18"/>
    <col min="13" max="13" width="2.6328125" style="18" customWidth="1"/>
    <col min="14" max="16384" width="9.08984375" style="18"/>
  </cols>
  <sheetData>
    <row r="1" spans="1:13" ht="15.5" thickBot="1" x14ac:dyDescent="0.4">
      <c r="A1" s="17"/>
      <c r="B1" s="17"/>
      <c r="C1" s="17"/>
      <c r="D1" s="17"/>
    </row>
    <row r="2" spans="1:13" ht="15" x14ac:dyDescent="0.3">
      <c r="A2" s="17"/>
      <c r="B2" s="19"/>
      <c r="C2" s="20"/>
      <c r="D2" s="20"/>
      <c r="E2" s="21"/>
      <c r="F2" s="21"/>
      <c r="G2" s="21"/>
      <c r="H2" s="21"/>
      <c r="I2" s="21"/>
      <c r="J2" s="21"/>
      <c r="K2" s="21"/>
      <c r="L2" s="21"/>
      <c r="M2" s="38"/>
    </row>
    <row r="3" spans="1:13" ht="34.5" x14ac:dyDescent="0.65">
      <c r="A3" s="17"/>
      <c r="B3" s="22"/>
      <c r="C3" s="51" t="s">
        <v>403</v>
      </c>
      <c r="D3" s="35"/>
      <c r="E3" s="36"/>
      <c r="F3" s="36"/>
      <c r="G3" s="50"/>
      <c r="H3" s="36"/>
      <c r="I3" s="36"/>
      <c r="J3" s="36"/>
      <c r="K3" s="36"/>
      <c r="L3" s="37"/>
      <c r="M3" s="39"/>
    </row>
    <row r="4" spans="1:13" ht="15" x14ac:dyDescent="0.3">
      <c r="A4" s="17"/>
      <c r="B4" s="22"/>
      <c r="C4" s="23"/>
      <c r="D4" s="23"/>
      <c r="E4" s="24"/>
      <c r="F4" s="24"/>
      <c r="G4" s="24"/>
      <c r="H4" s="24"/>
      <c r="I4" s="24"/>
      <c r="J4" s="24"/>
      <c r="K4" s="24"/>
      <c r="L4" s="24"/>
      <c r="M4" s="39"/>
    </row>
    <row r="5" spans="1:13" ht="150.5" customHeight="1" x14ac:dyDescent="0.8">
      <c r="A5" s="17"/>
      <c r="B5" s="22"/>
      <c r="C5" s="25"/>
      <c r="D5" s="228" t="s">
        <v>2093</v>
      </c>
      <c r="E5" s="36"/>
      <c r="F5" s="36"/>
      <c r="G5" s="36"/>
      <c r="H5" s="36"/>
      <c r="I5" s="36"/>
      <c r="J5" s="36"/>
      <c r="K5" s="37"/>
      <c r="L5" s="26"/>
      <c r="M5" s="39"/>
    </row>
    <row r="6" spans="1:13" ht="15" x14ac:dyDescent="0.35">
      <c r="A6" s="17"/>
      <c r="B6" s="22"/>
      <c r="C6" s="27"/>
      <c r="D6" s="27"/>
      <c r="E6" s="26"/>
      <c r="F6" s="26"/>
      <c r="G6" s="26"/>
      <c r="H6" s="26"/>
      <c r="I6" s="26"/>
      <c r="J6" s="26"/>
      <c r="K6" s="26"/>
      <c r="L6" s="26"/>
      <c r="M6" s="39"/>
    </row>
    <row r="7" spans="1:13" ht="15" x14ac:dyDescent="0.35">
      <c r="A7" s="17"/>
      <c r="B7" s="22"/>
      <c r="C7" s="27"/>
      <c r="D7" s="27"/>
      <c r="E7" s="26"/>
      <c r="F7" s="26"/>
      <c r="G7" s="26"/>
      <c r="H7" s="26"/>
      <c r="I7" s="26"/>
      <c r="J7" s="26"/>
      <c r="K7" s="26"/>
      <c r="L7" s="26"/>
      <c r="M7" s="39"/>
    </row>
    <row r="8" spans="1:13" s="17" customFormat="1" ht="15" x14ac:dyDescent="0.35">
      <c r="B8" s="22"/>
      <c r="C8" s="27"/>
      <c r="D8" s="27"/>
      <c r="E8" s="27"/>
      <c r="F8" s="27"/>
      <c r="G8" s="27"/>
      <c r="H8" s="27"/>
      <c r="I8" s="27"/>
      <c r="J8" s="27"/>
      <c r="K8" s="27"/>
      <c r="L8" s="27"/>
      <c r="M8" s="40"/>
    </row>
    <row r="9" spans="1:13" s="28" customFormat="1" ht="17.5" x14ac:dyDescent="0.35">
      <c r="A9" s="53"/>
      <c r="B9" s="29"/>
      <c r="C9" s="45"/>
      <c r="D9" s="46" t="s">
        <v>404</v>
      </c>
      <c r="E9" s="47"/>
      <c r="F9" s="30" t="s">
        <v>402</v>
      </c>
      <c r="G9" s="52" t="s">
        <v>274</v>
      </c>
      <c r="H9" s="34"/>
      <c r="I9" s="34"/>
      <c r="J9" s="34"/>
      <c r="K9" s="34"/>
      <c r="L9" s="33"/>
      <c r="M9" s="41"/>
    </row>
    <row r="10" spans="1:13" s="28" customFormat="1" ht="17.5" x14ac:dyDescent="0.35">
      <c r="B10" s="29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41"/>
    </row>
    <row r="11" spans="1:13" s="28" customFormat="1" ht="17.5" x14ac:dyDescent="0.35">
      <c r="A11" s="53"/>
      <c r="B11" s="29"/>
      <c r="C11" s="45"/>
      <c r="D11" s="46" t="s">
        <v>405</v>
      </c>
      <c r="E11" s="47"/>
      <c r="F11" s="30" t="s">
        <v>402</v>
      </c>
      <c r="G11" s="52" t="s">
        <v>2072</v>
      </c>
      <c r="H11" s="34"/>
      <c r="I11" s="34"/>
      <c r="J11" s="34"/>
      <c r="K11" s="34"/>
      <c r="L11" s="33"/>
      <c r="M11" s="41"/>
    </row>
    <row r="12" spans="1:13" s="28" customFormat="1" ht="17.5" x14ac:dyDescent="0.35">
      <c r="B12" s="29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41"/>
    </row>
    <row r="13" spans="1:13" s="28" customFormat="1" ht="17.5" x14ac:dyDescent="0.35">
      <c r="A13" s="31"/>
      <c r="B13" s="32"/>
      <c r="C13" s="48"/>
      <c r="D13" s="49" t="s">
        <v>2091</v>
      </c>
      <c r="E13" s="47"/>
      <c r="F13" s="30" t="s">
        <v>402</v>
      </c>
      <c r="G13" s="406" t="s">
        <v>2097</v>
      </c>
      <c r="H13" s="34"/>
      <c r="I13" s="34"/>
      <c r="J13" s="34"/>
      <c r="K13" s="34"/>
      <c r="L13" s="33"/>
      <c r="M13" s="41"/>
    </row>
    <row r="14" spans="1:13" s="28" customFormat="1" ht="17.5" x14ac:dyDescent="0.35">
      <c r="B14" s="29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41"/>
    </row>
    <row r="15" spans="1:13" s="28" customFormat="1" ht="17.5" x14ac:dyDescent="0.35">
      <c r="B15" s="439"/>
      <c r="C15" s="48"/>
      <c r="D15" s="49" t="s">
        <v>2092</v>
      </c>
      <c r="E15" s="47"/>
      <c r="F15" s="30" t="s">
        <v>402</v>
      </c>
      <c r="G15" s="406" t="s">
        <v>2096</v>
      </c>
      <c r="H15" s="34"/>
      <c r="I15" s="34"/>
      <c r="J15" s="34"/>
      <c r="K15" s="34"/>
      <c r="L15" s="33"/>
      <c r="M15" s="440"/>
    </row>
    <row r="16" spans="1:13" s="17" customFormat="1" ht="18" thickBot="1" x14ac:dyDescent="0.4">
      <c r="A16" s="18"/>
      <c r="B16" s="42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4"/>
    </row>
    <row r="17" spans="1:7" s="17" customFormat="1" ht="15" x14ac:dyDescent="0.35">
      <c r="A17" s="18"/>
      <c r="B17" s="18"/>
      <c r="C17" s="18"/>
      <c r="D17" s="18"/>
      <c r="E17" s="18"/>
      <c r="F17" s="18"/>
      <c r="G17" s="18"/>
    </row>
    <row r="18" spans="1:7" s="17" customFormat="1" ht="15" x14ac:dyDescent="0.35">
      <c r="A18" s="18"/>
      <c r="B18" s="18"/>
      <c r="C18" s="18"/>
      <c r="D18" s="18"/>
      <c r="E18" s="18"/>
      <c r="F18" s="18"/>
      <c r="G18" s="18"/>
    </row>
    <row r="19" spans="1:7" s="17" customFormat="1" ht="15" x14ac:dyDescent="0.35">
      <c r="A19" s="18"/>
      <c r="B19" s="18"/>
      <c r="C19" s="18"/>
      <c r="D19" s="18"/>
      <c r="E19" s="18"/>
      <c r="F19" s="18"/>
      <c r="G19" s="18"/>
    </row>
    <row r="20" spans="1:7" s="17" customFormat="1" ht="15" x14ac:dyDescent="0.35">
      <c r="A20" s="18"/>
      <c r="B20" s="18"/>
      <c r="C20" s="18"/>
      <c r="D20" s="18"/>
      <c r="E20" s="18"/>
      <c r="F20" s="18"/>
      <c r="G20" s="18"/>
    </row>
    <row r="21" spans="1:7" s="17" customFormat="1" ht="15" x14ac:dyDescent="0.35">
      <c r="A21" s="18"/>
      <c r="B21" s="18"/>
      <c r="C21" s="18"/>
      <c r="D21" s="18"/>
      <c r="E21" s="18"/>
      <c r="F21" s="18"/>
      <c r="G21" s="18"/>
    </row>
    <row r="22" spans="1:7" s="17" customFormat="1" ht="15" x14ac:dyDescent="0.35">
      <c r="A22" s="18"/>
      <c r="B22" s="18"/>
      <c r="C22" s="18"/>
      <c r="D22" s="18"/>
      <c r="E22" s="18"/>
      <c r="F22" s="18"/>
      <c r="G22" s="18"/>
    </row>
    <row r="23" spans="1:7" s="17" customFormat="1" ht="15" x14ac:dyDescent="0.35">
      <c r="A23" s="18"/>
      <c r="B23" s="18"/>
      <c r="C23" s="18"/>
      <c r="D23" s="18"/>
      <c r="E23" s="18"/>
      <c r="F23" s="18"/>
      <c r="G23" s="18"/>
    </row>
    <row r="24" spans="1:7" s="17" customFormat="1" ht="15" x14ac:dyDescent="0.35">
      <c r="A24" s="18"/>
      <c r="B24" s="18"/>
      <c r="C24" s="18"/>
      <c r="D24" s="18"/>
      <c r="E24" s="18"/>
      <c r="F24" s="18"/>
      <c r="G24" s="18"/>
    </row>
    <row r="25" spans="1:7" s="17" customFormat="1" ht="15" x14ac:dyDescent="0.35">
      <c r="A25" s="18"/>
      <c r="B25" s="18"/>
      <c r="C25" s="18"/>
      <c r="D25" s="18"/>
      <c r="E25" s="18"/>
      <c r="F25" s="18"/>
      <c r="G25" s="18"/>
    </row>
  </sheetData>
  <printOptions horizontalCentered="1"/>
  <pageMargins left="0.5" right="0.5" top="1" bottom="1" header="0.5" footer="0.5"/>
  <pageSetup paperSize="14" scale="77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68EF3-4E08-40E2-8372-224973B747B5}">
  <sheetPr>
    <pageSetUpPr fitToPage="1"/>
  </sheetPr>
  <dimension ref="A2:H28"/>
  <sheetViews>
    <sheetView zoomScale="80" zoomScaleNormal="80" workbookViewId="0">
      <selection activeCell="B18" sqref="B18"/>
    </sheetView>
  </sheetViews>
  <sheetFormatPr defaultColWidth="8.81640625" defaultRowHeight="14" x14ac:dyDescent="0.3"/>
  <cols>
    <col min="1" max="1" width="3.81640625" style="179" customWidth="1"/>
    <col min="2" max="2" width="20.90625" style="179" customWidth="1"/>
    <col min="3" max="3" width="3.36328125" style="179" customWidth="1"/>
    <col min="4" max="4" width="8.81640625" style="179"/>
    <col min="5" max="5" width="2.81640625" style="179" customWidth="1"/>
    <col min="6" max="6" width="8.81640625" style="179"/>
    <col min="7" max="7" width="11.36328125" style="179" customWidth="1"/>
    <col min="8" max="8" width="28.6328125" style="179" customWidth="1"/>
    <col min="9" max="16384" width="8.81640625" style="179"/>
  </cols>
  <sheetData>
    <row r="2" spans="1:8" ht="20" x14ac:dyDescent="0.3">
      <c r="A2" s="231" t="s">
        <v>1931</v>
      </c>
      <c r="B2" s="231"/>
      <c r="C2" s="231"/>
      <c r="D2" s="231"/>
      <c r="E2" s="231"/>
      <c r="F2" s="231"/>
      <c r="G2" s="231"/>
      <c r="H2" s="231"/>
    </row>
    <row r="3" spans="1:8" ht="20" x14ac:dyDescent="0.3">
      <c r="A3" s="231" t="s">
        <v>1932</v>
      </c>
      <c r="B3" s="231"/>
      <c r="C3" s="231"/>
      <c r="D3" s="231"/>
      <c r="E3" s="231"/>
      <c r="F3" s="231"/>
      <c r="G3" s="231"/>
      <c r="H3" s="231"/>
    </row>
    <row r="5" spans="1:8" s="230" customFormat="1" ht="30" customHeight="1" x14ac:dyDescent="0.35">
      <c r="A5" s="241" t="s">
        <v>1933</v>
      </c>
      <c r="B5" s="241"/>
      <c r="C5" s="241" t="s">
        <v>402</v>
      </c>
      <c r="D5" s="441" t="s">
        <v>2093</v>
      </c>
      <c r="E5" s="441"/>
      <c r="F5" s="441"/>
      <c r="G5" s="441"/>
      <c r="H5" s="441"/>
    </row>
    <row r="6" spans="1:8" x14ac:dyDescent="0.3">
      <c r="A6" s="186" t="s">
        <v>1966</v>
      </c>
      <c r="B6" s="186"/>
      <c r="C6" s="186" t="s">
        <v>402</v>
      </c>
      <c r="D6" s="186" t="str">
        <f>COVER!G9</f>
        <v>KALIMANTAN UTARA</v>
      </c>
      <c r="E6" s="186"/>
      <c r="F6" s="186"/>
      <c r="G6" s="186"/>
      <c r="H6" s="186"/>
    </row>
    <row r="7" spans="1:8" x14ac:dyDescent="0.3">
      <c r="A7" s="186" t="s">
        <v>1934</v>
      </c>
      <c r="B7" s="186"/>
      <c r="C7" s="186" t="s">
        <v>402</v>
      </c>
      <c r="D7" s="186" t="str">
        <f>COVER!G11</f>
        <v>BULUNGAN</v>
      </c>
      <c r="E7" s="186"/>
      <c r="F7" s="186"/>
      <c r="G7" s="186"/>
      <c r="H7" s="186"/>
    </row>
    <row r="8" spans="1:8" x14ac:dyDescent="0.3">
      <c r="A8" s="186" t="s">
        <v>1935</v>
      </c>
      <c r="B8" s="186"/>
      <c r="C8" s="186" t="s">
        <v>402</v>
      </c>
      <c r="D8" s="242">
        <v>2024</v>
      </c>
      <c r="E8" s="186"/>
      <c r="F8" s="186"/>
      <c r="G8" s="186"/>
      <c r="H8" s="186"/>
    </row>
    <row r="9" spans="1:8" x14ac:dyDescent="0.3">
      <c r="B9" s="186"/>
      <c r="C9" s="186"/>
      <c r="D9" s="186"/>
      <c r="E9" s="186"/>
      <c r="F9" s="186"/>
      <c r="G9" s="186"/>
      <c r="H9" s="186"/>
    </row>
    <row r="10" spans="1:8" ht="7.5" customHeight="1" thickBot="1" x14ac:dyDescent="0.35">
      <c r="B10" s="186"/>
      <c r="C10" s="186"/>
      <c r="D10" s="186"/>
      <c r="E10" s="186"/>
      <c r="F10" s="186"/>
      <c r="G10" s="186"/>
      <c r="H10" s="186"/>
    </row>
    <row r="11" spans="1:8" s="233" customFormat="1" ht="50" customHeight="1" thickBot="1" x14ac:dyDescent="0.4">
      <c r="A11" s="232" t="s">
        <v>0</v>
      </c>
      <c r="B11" s="244" t="s">
        <v>1937</v>
      </c>
      <c r="C11" s="244"/>
      <c r="D11" s="244"/>
      <c r="E11" s="244"/>
      <c r="F11" s="244"/>
      <c r="G11" s="245"/>
      <c r="H11" s="246" t="s">
        <v>1938</v>
      </c>
    </row>
    <row r="12" spans="1:8" s="233" customFormat="1" ht="50" customHeight="1" thickTop="1" x14ac:dyDescent="0.35">
      <c r="A12" s="234" t="s">
        <v>1939</v>
      </c>
      <c r="B12" s="247" t="s">
        <v>1941</v>
      </c>
      <c r="C12" s="248"/>
      <c r="D12" s="248"/>
      <c r="E12" s="248"/>
      <c r="F12" s="248"/>
      <c r="G12" s="249"/>
      <c r="H12" s="411">
        <f>BQ!J17</f>
        <v>49870983</v>
      </c>
    </row>
    <row r="13" spans="1:8" s="233" customFormat="1" ht="50" customHeight="1" x14ac:dyDescent="0.35">
      <c r="A13" s="235" t="s">
        <v>1940</v>
      </c>
      <c r="B13" s="250" t="s">
        <v>1954</v>
      </c>
      <c r="C13" s="251"/>
      <c r="D13" s="251"/>
      <c r="E13" s="251"/>
      <c r="F13" s="251"/>
      <c r="G13" s="252"/>
      <c r="H13" s="410">
        <f>BQ!J23</f>
        <v>3722129017.0487051</v>
      </c>
    </row>
    <row r="14" spans="1:8" ht="14.5" thickBot="1" x14ac:dyDescent="0.35">
      <c r="A14" s="236"/>
      <c r="B14" s="186"/>
      <c r="C14" s="186"/>
      <c r="D14" s="186"/>
      <c r="E14" s="186"/>
      <c r="F14" s="186"/>
      <c r="G14" s="253"/>
      <c r="H14" s="413"/>
    </row>
    <row r="15" spans="1:8" s="233" customFormat="1" ht="19.5" customHeight="1" thickBot="1" x14ac:dyDescent="0.4">
      <c r="A15" s="237"/>
      <c r="B15" s="255"/>
      <c r="C15" s="255"/>
      <c r="D15" s="255"/>
      <c r="E15" s="255"/>
      <c r="F15" s="256"/>
      <c r="G15" s="257" t="s">
        <v>1942</v>
      </c>
      <c r="H15" s="412">
        <f>SUM(H12:H14)</f>
        <v>3772000000.0487051</v>
      </c>
    </row>
    <row r="16" spans="1:8" x14ac:dyDescent="0.3">
      <c r="A16" s="238"/>
      <c r="B16" s="186"/>
      <c r="C16" s="186"/>
      <c r="D16" s="186"/>
      <c r="E16" s="186"/>
      <c r="F16" s="186"/>
      <c r="G16" s="186"/>
      <c r="H16" s="254"/>
    </row>
    <row r="17" spans="1:8" ht="35.5" customHeight="1" x14ac:dyDescent="0.3">
      <c r="A17" s="239"/>
      <c r="B17" s="407" t="s">
        <v>2098</v>
      </c>
      <c r="C17" s="258"/>
      <c r="D17" s="258"/>
      <c r="E17" s="258"/>
      <c r="F17" s="258"/>
      <c r="G17" s="258"/>
      <c r="H17" s="259"/>
    </row>
    <row r="18" spans="1:8" ht="14.5" thickBot="1" x14ac:dyDescent="0.35">
      <c r="A18" s="240"/>
      <c r="B18" s="260"/>
      <c r="C18" s="260"/>
      <c r="D18" s="260"/>
      <c r="E18" s="260"/>
      <c r="F18" s="260"/>
      <c r="G18" s="260"/>
      <c r="H18" s="261"/>
    </row>
    <row r="19" spans="1:8" x14ac:dyDescent="0.3">
      <c r="H19" s="408"/>
    </row>
    <row r="21" spans="1:8" x14ac:dyDescent="0.3">
      <c r="G21" s="179" t="s">
        <v>2077</v>
      </c>
    </row>
    <row r="26" spans="1:8" x14ac:dyDescent="0.3">
      <c r="G26" s="442" t="s">
        <v>2078</v>
      </c>
      <c r="H26" s="442"/>
    </row>
    <row r="27" spans="1:8" x14ac:dyDescent="0.3">
      <c r="G27" s="443" t="s">
        <v>2079</v>
      </c>
      <c r="H27" s="443"/>
    </row>
    <row r="28" spans="1:8" x14ac:dyDescent="0.3">
      <c r="G28" s="442" t="s">
        <v>2080</v>
      </c>
      <c r="H28" s="442"/>
    </row>
  </sheetData>
  <mergeCells count="4">
    <mergeCell ref="D5:H5"/>
    <mergeCell ref="G26:H26"/>
    <mergeCell ref="G27:H27"/>
    <mergeCell ref="G28:H28"/>
  </mergeCells>
  <printOptions horizontalCentered="1"/>
  <pageMargins left="0.5" right="0.5" top="1" bottom="1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C7623-1EB0-4962-B05D-7197D28F954B}">
  <sheetPr>
    <pageSetUpPr fitToPage="1"/>
  </sheetPr>
  <dimension ref="A2:P38"/>
  <sheetViews>
    <sheetView zoomScale="80" zoomScaleNormal="80" workbookViewId="0">
      <selection activeCell="B22" sqref="B22"/>
    </sheetView>
  </sheetViews>
  <sheetFormatPr defaultColWidth="8.81640625" defaultRowHeight="12.5" x14ac:dyDescent="0.25"/>
  <cols>
    <col min="1" max="1" width="3.81640625" style="186" customWidth="1"/>
    <col min="2" max="2" width="16.81640625" style="186" customWidth="1"/>
    <col min="3" max="3" width="3.08984375" style="186" customWidth="1"/>
    <col min="4" max="5" width="8.81640625" style="186"/>
    <col min="6" max="6" width="31.54296875" style="186" customWidth="1"/>
    <col min="7" max="7" width="10.6328125" style="186" customWidth="1"/>
    <col min="8" max="8" width="4.54296875" style="220" bestFit="1" customWidth="1"/>
    <col min="9" max="9" width="15" style="186" customWidth="1"/>
    <col min="10" max="10" width="17.81640625" style="186" bestFit="1" customWidth="1"/>
    <col min="11" max="16384" width="8.81640625" style="186"/>
  </cols>
  <sheetData>
    <row r="2" spans="1:16" ht="18" x14ac:dyDescent="0.25">
      <c r="A2" s="444" t="s">
        <v>1932</v>
      </c>
      <c r="B2" s="444"/>
      <c r="C2" s="444"/>
      <c r="D2" s="444"/>
      <c r="E2" s="444"/>
      <c r="F2" s="444"/>
      <c r="G2" s="444"/>
      <c r="H2" s="444"/>
      <c r="I2" s="444"/>
      <c r="J2" s="444"/>
    </row>
    <row r="4" spans="1:16" s="241" customFormat="1" ht="29" customHeight="1" x14ac:dyDescent="0.25">
      <c r="A4" s="241" t="s">
        <v>1933</v>
      </c>
      <c r="C4" s="241" t="s">
        <v>402</v>
      </c>
      <c r="D4" s="441" t="str">
        <f>COVER!D5</f>
        <v>SURVEI, INVESTIGASI DAN DESAIN (SID) 
OPTIMASI LAHAN RAWA UNTUK PENGEMBANGAN PERTANIAN</v>
      </c>
      <c r="E4" s="441"/>
      <c r="F4" s="441"/>
      <c r="G4" s="441"/>
      <c r="H4" s="441"/>
      <c r="I4" s="441"/>
      <c r="J4" s="441"/>
      <c r="P4" s="186"/>
    </row>
    <row r="5" spans="1:16" x14ac:dyDescent="0.25">
      <c r="A5" s="186" t="s">
        <v>1966</v>
      </c>
      <c r="C5" s="186" t="s">
        <v>402</v>
      </c>
      <c r="D5" s="186" t="str">
        <f>COVER!G9</f>
        <v>KALIMANTAN UTARA</v>
      </c>
    </row>
    <row r="6" spans="1:16" ht="14.4" customHeight="1" x14ac:dyDescent="0.25">
      <c r="A6" s="186" t="s">
        <v>1934</v>
      </c>
      <c r="C6" s="186" t="s">
        <v>402</v>
      </c>
      <c r="D6" s="186" t="s">
        <v>2095</v>
      </c>
    </row>
    <row r="7" spans="1:16" x14ac:dyDescent="0.25">
      <c r="A7" s="186" t="s">
        <v>1935</v>
      </c>
      <c r="C7" s="186" t="s">
        <v>402</v>
      </c>
      <c r="D7" s="242">
        <v>2024</v>
      </c>
    </row>
    <row r="9" spans="1:16" ht="13" thickBot="1" x14ac:dyDescent="0.3"/>
    <row r="10" spans="1:16" s="243" customFormat="1" ht="50" customHeight="1" thickBot="1" x14ac:dyDescent="0.3">
      <c r="A10" s="275" t="s">
        <v>0</v>
      </c>
      <c r="B10" s="276" t="s">
        <v>1937</v>
      </c>
      <c r="C10" s="276"/>
      <c r="D10" s="276"/>
      <c r="E10" s="276"/>
      <c r="F10" s="276"/>
      <c r="G10" s="277" t="s">
        <v>1943</v>
      </c>
      <c r="H10" s="277" t="s">
        <v>1944</v>
      </c>
      <c r="I10" s="278" t="s">
        <v>1945</v>
      </c>
      <c r="J10" s="279" t="s">
        <v>1946</v>
      </c>
      <c r="P10" s="186"/>
    </row>
    <row r="11" spans="1:16" ht="13.5" thickBot="1" x14ac:dyDescent="0.35">
      <c r="A11" s="283">
        <v>1</v>
      </c>
      <c r="B11" s="286">
        <v>2</v>
      </c>
      <c r="C11" s="287"/>
      <c r="D11" s="287"/>
      <c r="E11" s="287"/>
      <c r="F11" s="288"/>
      <c r="G11" s="284">
        <v>3</v>
      </c>
      <c r="H11" s="284">
        <v>4</v>
      </c>
      <c r="I11" s="284">
        <v>5</v>
      </c>
      <c r="J11" s="285" t="s">
        <v>1947</v>
      </c>
    </row>
    <row r="12" spans="1:16" ht="13" x14ac:dyDescent="0.3">
      <c r="A12" s="280" t="s">
        <v>5</v>
      </c>
      <c r="B12" s="289" t="s">
        <v>1941</v>
      </c>
      <c r="C12" s="290"/>
      <c r="D12" s="290"/>
      <c r="E12" s="290"/>
      <c r="F12" s="291"/>
      <c r="G12" s="281"/>
      <c r="H12" s="211"/>
      <c r="I12" s="281"/>
      <c r="J12" s="282"/>
    </row>
    <row r="13" spans="1:16" s="262" customFormat="1" ht="15" customHeight="1" x14ac:dyDescent="0.35">
      <c r="A13" s="272">
        <v>1</v>
      </c>
      <c r="B13" s="292" t="s">
        <v>2086</v>
      </c>
      <c r="C13" s="293"/>
      <c r="D13" s="293"/>
      <c r="E13" s="293"/>
      <c r="F13" s="294"/>
      <c r="G13" s="414">
        <v>1</v>
      </c>
      <c r="H13" s="415" t="s">
        <v>897</v>
      </c>
      <c r="I13" s="416">
        <v>35000000</v>
      </c>
      <c r="J13" s="417">
        <f>G13*I13</f>
        <v>35000000</v>
      </c>
    </row>
    <row r="14" spans="1:16" s="262" customFormat="1" ht="15" customHeight="1" x14ac:dyDescent="0.35">
      <c r="A14" s="272">
        <v>2</v>
      </c>
      <c r="B14" s="292" t="s">
        <v>1951</v>
      </c>
      <c r="C14" s="293"/>
      <c r="D14" s="293"/>
      <c r="E14" s="293"/>
      <c r="F14" s="294"/>
      <c r="G14" s="414">
        <v>1</v>
      </c>
      <c r="H14" s="415" t="s">
        <v>897</v>
      </c>
      <c r="I14" s="416">
        <v>1370983</v>
      </c>
      <c r="J14" s="417">
        <f>G14*I14</f>
        <v>1370983</v>
      </c>
    </row>
    <row r="15" spans="1:16" s="262" customFormat="1" ht="15" customHeight="1" thickBot="1" x14ac:dyDescent="0.4">
      <c r="A15" s="310">
        <v>3</v>
      </c>
      <c r="B15" s="299" t="s">
        <v>2073</v>
      </c>
      <c r="C15" s="300"/>
      <c r="D15" s="300"/>
      <c r="E15" s="300"/>
      <c r="F15" s="301"/>
      <c r="G15" s="418">
        <v>1</v>
      </c>
      <c r="H15" s="419" t="s">
        <v>897</v>
      </c>
      <c r="I15" s="420">
        <v>8500000</v>
      </c>
      <c r="J15" s="421">
        <f>G15*I15</f>
        <v>8500000</v>
      </c>
    </row>
    <row r="16" spans="1:16" s="262" customFormat="1" ht="15" customHeight="1" thickBot="1" x14ac:dyDescent="0.4">
      <c r="A16" s="272">
        <v>4</v>
      </c>
      <c r="B16" s="313" t="s">
        <v>2071</v>
      </c>
      <c r="C16" s="303"/>
      <c r="D16" s="303"/>
      <c r="E16" s="303"/>
      <c r="F16" s="304"/>
      <c r="G16" s="418">
        <v>1</v>
      </c>
      <c r="H16" s="419" t="s">
        <v>897</v>
      </c>
      <c r="I16" s="422">
        <v>5000000</v>
      </c>
      <c r="J16" s="421">
        <f>G16*I16</f>
        <v>5000000</v>
      </c>
    </row>
    <row r="17" spans="1:10" s="262" customFormat="1" ht="15" customHeight="1" thickBot="1" x14ac:dyDescent="0.4">
      <c r="A17" s="312"/>
      <c r="B17" s="307"/>
      <c r="C17" s="308"/>
      <c r="D17" s="308"/>
      <c r="E17" s="308"/>
      <c r="F17" s="309"/>
      <c r="G17" s="423"/>
      <c r="H17" s="424"/>
      <c r="I17" s="425"/>
      <c r="J17" s="426">
        <f>SUM(J13:J16)</f>
        <v>49870983</v>
      </c>
    </row>
    <row r="18" spans="1:10" s="262" customFormat="1" ht="15" customHeight="1" x14ac:dyDescent="0.35">
      <c r="A18" s="311" t="s">
        <v>6</v>
      </c>
      <c r="B18" s="302" t="s">
        <v>1954</v>
      </c>
      <c r="C18" s="305"/>
      <c r="D18" s="305"/>
      <c r="E18" s="305"/>
      <c r="F18" s="306"/>
      <c r="G18" s="427"/>
      <c r="H18" s="428"/>
      <c r="I18" s="427"/>
      <c r="J18" s="429"/>
    </row>
    <row r="19" spans="1:10" s="262" customFormat="1" ht="15" customHeight="1" x14ac:dyDescent="0.35">
      <c r="A19" s="273" t="s">
        <v>12</v>
      </c>
      <c r="B19" s="295" t="s">
        <v>2099</v>
      </c>
      <c r="C19" s="293"/>
      <c r="D19" s="293"/>
      <c r="E19" s="293"/>
      <c r="F19" s="294"/>
      <c r="G19" s="414"/>
      <c r="H19" s="415"/>
      <c r="I19" s="414"/>
      <c r="J19" s="417"/>
    </row>
    <row r="20" spans="1:10" s="262" customFormat="1" ht="15" customHeight="1" x14ac:dyDescent="0.35">
      <c r="A20" s="272" t="s">
        <v>1950</v>
      </c>
      <c r="B20" s="292" t="s">
        <v>2075</v>
      </c>
      <c r="C20" s="293"/>
      <c r="D20" s="293"/>
      <c r="E20" s="293"/>
      <c r="F20" s="294"/>
      <c r="G20" s="414">
        <f>'[179]BOQ SALURAN'!$L$549</f>
        <v>46817.916240000006</v>
      </c>
      <c r="H20" s="415" t="s">
        <v>43</v>
      </c>
      <c r="I20" s="414">
        <f>'REKAP HSP'!D16</f>
        <v>18190.193842600002</v>
      </c>
      <c r="J20" s="417">
        <f>G20*I20</f>
        <v>851626971.71221077</v>
      </c>
    </row>
    <row r="21" spans="1:10" s="262" customFormat="1" ht="15" customHeight="1" thickBot="1" x14ac:dyDescent="0.4">
      <c r="A21" s="272" t="s">
        <v>1953</v>
      </c>
      <c r="B21" s="292" t="s">
        <v>2087</v>
      </c>
      <c r="C21" s="293"/>
      <c r="D21" s="293"/>
      <c r="E21" s="293"/>
      <c r="F21" s="294"/>
      <c r="G21" s="414">
        <f>'[179]BOQ SALURAN'!$L$1092</f>
        <v>142792.46</v>
      </c>
      <c r="H21" s="415" t="s">
        <v>713</v>
      </c>
      <c r="I21" s="416">
        <f>'[180]REKAP HSP'!D60</f>
        <v>20102.616379999999</v>
      </c>
      <c r="J21" s="417">
        <f>G21*I21</f>
        <v>2870502045.3364944</v>
      </c>
    </row>
    <row r="22" spans="1:10" s="262" customFormat="1" ht="15" customHeight="1" thickBot="1" x14ac:dyDescent="0.4">
      <c r="A22" s="312"/>
      <c r="B22" s="313" t="s">
        <v>2100</v>
      </c>
      <c r="C22" s="303"/>
      <c r="D22" s="303"/>
      <c r="E22" s="303"/>
      <c r="F22" s="304"/>
      <c r="G22" s="430"/>
      <c r="H22" s="431"/>
      <c r="I22" s="432"/>
      <c r="J22" s="426">
        <f>SUM(J20:J21)</f>
        <v>3722129017.0487051</v>
      </c>
    </row>
    <row r="23" spans="1:10" ht="13.5" thickBot="1" x14ac:dyDescent="0.3">
      <c r="A23" s="312"/>
      <c r="B23" s="307" t="s">
        <v>1964</v>
      </c>
      <c r="C23" s="256"/>
      <c r="D23" s="256"/>
      <c r="E23" s="256"/>
      <c r="F23" s="314"/>
      <c r="G23" s="433"/>
      <c r="H23" s="434"/>
      <c r="I23" s="433"/>
      <c r="J23" s="435">
        <f>J22</f>
        <v>3722129017.0487051</v>
      </c>
    </row>
    <row r="24" spans="1:10" ht="13.5" thickBot="1" x14ac:dyDescent="0.3">
      <c r="A24" s="274"/>
      <c r="B24" s="296" t="s">
        <v>1965</v>
      </c>
      <c r="C24" s="297"/>
      <c r="D24" s="297"/>
      <c r="E24" s="297"/>
      <c r="F24" s="298"/>
      <c r="G24" s="436"/>
      <c r="H24" s="437"/>
      <c r="I24" s="436"/>
      <c r="J24" s="438">
        <f>J17+J23</f>
        <v>3772000000.0487051</v>
      </c>
    </row>
    <row r="25" spans="1:10" x14ac:dyDescent="0.25">
      <c r="A25" s="243"/>
      <c r="B25" s="262"/>
      <c r="C25" s="262"/>
      <c r="D25" s="262"/>
      <c r="E25" s="262"/>
      <c r="F25" s="262"/>
      <c r="G25" s="268"/>
      <c r="H25" s="243"/>
      <c r="I25" s="268"/>
      <c r="J25" s="268"/>
    </row>
    <row r="26" spans="1:10" x14ac:dyDescent="0.25">
      <c r="A26" s="243"/>
      <c r="B26" s="262"/>
      <c r="C26" s="262"/>
      <c r="D26" s="262"/>
      <c r="E26" s="262"/>
      <c r="F26" s="262"/>
      <c r="G26" s="268"/>
      <c r="H26" s="243"/>
      <c r="I26" s="268"/>
      <c r="J26" s="268"/>
    </row>
    <row r="27" spans="1:10" x14ac:dyDescent="0.25">
      <c r="A27" s="243"/>
      <c r="B27" s="262"/>
      <c r="C27" s="262"/>
      <c r="D27" s="262"/>
      <c r="E27" s="262"/>
      <c r="F27" s="262"/>
      <c r="G27" s="262"/>
      <c r="H27" s="243"/>
      <c r="I27" s="262"/>
      <c r="J27" s="262"/>
    </row>
    <row r="28" spans="1:10" x14ac:dyDescent="0.25">
      <c r="A28" s="243"/>
      <c r="B28" s="262"/>
      <c r="C28" s="262"/>
      <c r="D28" s="262"/>
      <c r="E28" s="262"/>
      <c r="F28" s="262"/>
      <c r="G28" s="262"/>
      <c r="H28" s="243"/>
      <c r="I28" s="262"/>
      <c r="J28" s="262"/>
    </row>
    <row r="29" spans="1:10" x14ac:dyDescent="0.25">
      <c r="A29" s="243"/>
      <c r="B29" s="262"/>
      <c r="C29" s="262"/>
      <c r="D29" s="262"/>
      <c r="E29" s="262"/>
      <c r="F29" s="262"/>
      <c r="G29" s="262"/>
      <c r="H29" s="243"/>
      <c r="I29" s="262"/>
      <c r="J29" s="262"/>
    </row>
    <row r="30" spans="1:10" x14ac:dyDescent="0.25">
      <c r="A30" s="243"/>
      <c r="B30" s="262"/>
      <c r="C30" s="262"/>
      <c r="D30" s="262"/>
      <c r="E30" s="262"/>
      <c r="F30" s="262"/>
      <c r="G30" s="262"/>
      <c r="H30" s="243"/>
      <c r="I30" s="262"/>
      <c r="J30" s="262"/>
    </row>
    <row r="31" spans="1:10" x14ac:dyDescent="0.25">
      <c r="A31" s="243"/>
      <c r="B31" s="262"/>
      <c r="C31" s="262"/>
      <c r="D31" s="262"/>
      <c r="E31" s="262"/>
      <c r="F31" s="262"/>
      <c r="G31" s="262"/>
      <c r="H31" s="243"/>
      <c r="I31" s="262"/>
      <c r="J31" s="262"/>
    </row>
    <row r="32" spans="1:10" x14ac:dyDescent="0.25">
      <c r="A32" s="243"/>
      <c r="B32" s="262"/>
      <c r="C32" s="262"/>
      <c r="D32" s="262"/>
      <c r="E32" s="262"/>
      <c r="F32" s="262"/>
      <c r="G32" s="262"/>
      <c r="H32" s="243"/>
      <c r="I32" s="262"/>
      <c r="J32" s="262"/>
    </row>
    <row r="33" spans="1:10" x14ac:dyDescent="0.25">
      <c r="A33" s="243"/>
      <c r="B33" s="262"/>
      <c r="C33" s="262"/>
      <c r="D33" s="262"/>
      <c r="E33" s="262"/>
      <c r="F33" s="262"/>
      <c r="G33" s="262"/>
      <c r="H33" s="243"/>
      <c r="I33" s="262"/>
      <c r="J33" s="262"/>
    </row>
    <row r="34" spans="1:10" x14ac:dyDescent="0.25">
      <c r="A34" s="243"/>
      <c r="B34" s="262"/>
      <c r="C34" s="262"/>
      <c r="D34" s="262"/>
      <c r="E34" s="262"/>
      <c r="F34" s="262"/>
      <c r="G34" s="262"/>
      <c r="H34" s="243"/>
      <c r="I34" s="262"/>
      <c r="J34" s="262"/>
    </row>
    <row r="35" spans="1:10" x14ac:dyDescent="0.25">
      <c r="A35" s="243"/>
      <c r="B35" s="262"/>
      <c r="C35" s="262"/>
      <c r="D35" s="262"/>
      <c r="E35" s="262"/>
      <c r="F35" s="262"/>
      <c r="G35" s="262"/>
      <c r="H35" s="243"/>
      <c r="I35" s="262"/>
      <c r="J35" s="262"/>
    </row>
    <row r="36" spans="1:10" x14ac:dyDescent="0.25">
      <c r="A36" s="243"/>
      <c r="B36" s="262"/>
      <c r="C36" s="262"/>
      <c r="D36" s="262"/>
      <c r="E36" s="262"/>
      <c r="F36" s="262"/>
      <c r="G36" s="262"/>
      <c r="H36" s="243"/>
      <c r="I36" s="262"/>
      <c r="J36" s="262"/>
    </row>
    <row r="37" spans="1:10" x14ac:dyDescent="0.25">
      <c r="A37" s="220"/>
    </row>
    <row r="38" spans="1:10" x14ac:dyDescent="0.25">
      <c r="A38" s="220"/>
    </row>
  </sheetData>
  <mergeCells count="2">
    <mergeCell ref="D4:J4"/>
    <mergeCell ref="A2:J2"/>
  </mergeCells>
  <printOptions horizontalCentered="1"/>
  <pageMargins left="0.5" right="0.5" top="1" bottom="1" header="0.5" footer="0.5"/>
  <pageSetup scale="65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ED387-2BAE-4AC1-8145-FFA12E88D378}">
  <dimension ref="A2:J169"/>
  <sheetViews>
    <sheetView workbookViewId="0">
      <pane xSplit="2" ySplit="6" topLeftCell="C13" activePane="bottomRight" state="frozen"/>
      <selection activeCell="C147" sqref="C147"/>
      <selection pane="topRight" activeCell="C147" sqref="C147"/>
      <selection pane="bottomLeft" activeCell="C147" sqref="C147"/>
      <selection pane="bottomRight" activeCell="D148" sqref="D148:D169"/>
    </sheetView>
  </sheetViews>
  <sheetFormatPr defaultRowHeight="14.5" x14ac:dyDescent="0.35"/>
  <cols>
    <col min="2" max="2" width="12.453125" customWidth="1"/>
    <col min="3" max="3" width="62.81640625" customWidth="1"/>
    <col min="4" max="4" width="21.08984375" style="140" customWidth="1"/>
  </cols>
  <sheetData>
    <row r="2" spans="1:10" ht="18" x14ac:dyDescent="0.35">
      <c r="A2" s="263"/>
      <c r="B2" s="264"/>
      <c r="C2" s="267" t="s">
        <v>2</v>
      </c>
      <c r="D2" s="229"/>
      <c r="E2" s="229"/>
      <c r="F2" s="229"/>
      <c r="G2" s="229"/>
      <c r="H2" s="229"/>
      <c r="I2" s="229"/>
      <c r="J2" s="229"/>
    </row>
    <row r="3" spans="1:10" ht="26" x14ac:dyDescent="0.35">
      <c r="A3" s="263"/>
      <c r="B3" s="264"/>
      <c r="C3" s="265" t="s">
        <v>1936</v>
      </c>
      <c r="D3" s="229"/>
      <c r="E3" s="229"/>
      <c r="F3" s="229"/>
      <c r="G3" s="229"/>
      <c r="H3" s="229"/>
      <c r="I3" s="229"/>
      <c r="J3" s="229"/>
    </row>
    <row r="4" spans="1:10" x14ac:dyDescent="0.35">
      <c r="A4" s="229"/>
      <c r="B4" s="229"/>
      <c r="C4" s="266"/>
      <c r="D4" s="229"/>
      <c r="E4" s="229"/>
      <c r="F4" s="229"/>
      <c r="G4" s="229"/>
      <c r="H4" s="229"/>
      <c r="I4" s="229"/>
      <c r="J4" s="229"/>
    </row>
    <row r="5" spans="1:10" ht="14.5" customHeight="1" x14ac:dyDescent="0.35">
      <c r="A5" s="445" t="s">
        <v>0</v>
      </c>
      <c r="B5" s="445" t="s">
        <v>15</v>
      </c>
      <c r="C5" s="447" t="s">
        <v>1</v>
      </c>
      <c r="D5" s="449" t="s">
        <v>2</v>
      </c>
    </row>
    <row r="6" spans="1:10" x14ac:dyDescent="0.35">
      <c r="A6" s="446"/>
      <c r="B6" s="446"/>
      <c r="C6" s="448"/>
      <c r="D6" s="450"/>
    </row>
    <row r="7" spans="1:10" x14ac:dyDescent="0.35">
      <c r="A7" s="181"/>
      <c r="B7" s="181" t="s">
        <v>465</v>
      </c>
      <c r="C7" s="182" t="s">
        <v>462</v>
      </c>
      <c r="D7" s="183">
        <f>A.1.01.b1.1</f>
        <v>456030</v>
      </c>
    </row>
    <row r="8" spans="1:10" x14ac:dyDescent="0.35">
      <c r="A8" s="181"/>
      <c r="B8" s="181" t="s">
        <v>466</v>
      </c>
      <c r="C8" s="182" t="s">
        <v>463</v>
      </c>
      <c r="D8" s="183">
        <f>A.1.01.b1.2</f>
        <v>506250</v>
      </c>
    </row>
    <row r="9" spans="1:10" x14ac:dyDescent="0.35">
      <c r="A9" s="181"/>
      <c r="B9" s="181" t="s">
        <v>467</v>
      </c>
      <c r="C9" s="182" t="s">
        <v>464</v>
      </c>
      <c r="D9" s="183">
        <f>A.1.01.b1.3</f>
        <v>556875</v>
      </c>
    </row>
    <row r="10" spans="1:10" x14ac:dyDescent="0.35">
      <c r="A10" s="181"/>
      <c r="B10" s="181" t="s">
        <v>468</v>
      </c>
      <c r="C10" s="182" t="s">
        <v>469</v>
      </c>
      <c r="D10" s="183">
        <f>A.1.01.b2.1</f>
        <v>1687.5</v>
      </c>
    </row>
    <row r="11" spans="1:10" x14ac:dyDescent="0.35">
      <c r="A11" s="181"/>
      <c r="B11" s="181" t="s">
        <v>470</v>
      </c>
      <c r="C11" s="182" t="s">
        <v>471</v>
      </c>
      <c r="D11" s="183">
        <f>A.2.01.b1.1</f>
        <v>124049.98980000001</v>
      </c>
    </row>
    <row r="12" spans="1:10" x14ac:dyDescent="0.35">
      <c r="A12" s="181"/>
      <c r="B12" s="181" t="s">
        <v>474</v>
      </c>
      <c r="C12" s="182" t="s">
        <v>475</v>
      </c>
      <c r="D12" s="183">
        <f>A.2.01.b1.2</f>
        <v>144505.46110000001</v>
      </c>
    </row>
    <row r="13" spans="1:10" x14ac:dyDescent="0.35">
      <c r="A13" s="181"/>
      <c r="B13" s="181" t="s">
        <v>476</v>
      </c>
      <c r="C13" s="182" t="s">
        <v>477</v>
      </c>
      <c r="D13" s="183">
        <f>A.2.01.b1.3</f>
        <v>169693.32199999999</v>
      </c>
    </row>
    <row r="14" spans="1:10" ht="26.5" x14ac:dyDescent="0.35">
      <c r="A14" s="181"/>
      <c r="B14" s="181" t="s">
        <v>480</v>
      </c>
      <c r="C14" s="182" t="s">
        <v>478</v>
      </c>
      <c r="D14" s="183">
        <f>A.2.01.c1.1</f>
        <v>104000</v>
      </c>
    </row>
    <row r="15" spans="1:10" ht="26.5" x14ac:dyDescent="0.35">
      <c r="A15" s="181"/>
      <c r="B15" s="181" t="s">
        <v>479</v>
      </c>
      <c r="C15" s="182" t="s">
        <v>481</v>
      </c>
      <c r="D15" s="183">
        <f>A.2.01.c1.2</f>
        <v>18427.2</v>
      </c>
    </row>
    <row r="16" spans="1:10" x14ac:dyDescent="0.35">
      <c r="A16" s="181"/>
      <c r="B16" s="181" t="s">
        <v>2051</v>
      </c>
      <c r="C16" s="182" t="s">
        <v>2052</v>
      </c>
      <c r="D16" s="183">
        <f>A.3.01.1a.2</f>
        <v>18190.193842600002</v>
      </c>
    </row>
    <row r="17" spans="1:4" x14ac:dyDescent="0.35">
      <c r="A17" s="181"/>
      <c r="B17" s="181" t="s">
        <v>512</v>
      </c>
      <c r="C17" s="182" t="s">
        <v>516</v>
      </c>
      <c r="D17" s="183">
        <f>A.3.01.1b.1</f>
        <v>9819.3701180000007</v>
      </c>
    </row>
    <row r="18" spans="1:4" x14ac:dyDescent="0.35">
      <c r="A18" s="181"/>
      <c r="B18" s="181" t="s">
        <v>513</v>
      </c>
      <c r="C18" s="182" t="s">
        <v>517</v>
      </c>
      <c r="D18" s="183">
        <f>A.3.01.1b.2</f>
        <v>9608.8596940000007</v>
      </c>
    </row>
    <row r="19" spans="1:4" ht="26.5" x14ac:dyDescent="0.35">
      <c r="A19" s="181"/>
      <c r="B19" s="181" t="s">
        <v>514</v>
      </c>
      <c r="C19" s="182" t="s">
        <v>518</v>
      </c>
      <c r="D19" s="183">
        <f>A.3.01.1b.3</f>
        <v>13681.771288000002</v>
      </c>
    </row>
    <row r="20" spans="1:4" ht="26.5" x14ac:dyDescent="0.35">
      <c r="A20" s="181"/>
      <c r="B20" s="181" t="s">
        <v>520</v>
      </c>
      <c r="C20" s="182" t="s">
        <v>519</v>
      </c>
      <c r="D20" s="183">
        <f>A.3.01.1b.4</f>
        <v>15115.557794000002</v>
      </c>
    </row>
    <row r="21" spans="1:4" ht="26.5" x14ac:dyDescent="0.35">
      <c r="A21" s="181"/>
      <c r="B21" s="181" t="s">
        <v>521</v>
      </c>
      <c r="C21" s="182" t="s">
        <v>522</v>
      </c>
      <c r="D21" s="183">
        <f>A.3.01.1b.5</f>
        <v>21406.198628000002</v>
      </c>
    </row>
    <row r="22" spans="1:4" ht="26.5" x14ac:dyDescent="0.35">
      <c r="A22" s="181"/>
      <c r="B22" s="181" t="s">
        <v>523</v>
      </c>
      <c r="C22" s="182" t="s">
        <v>524</v>
      </c>
      <c r="D22" s="183">
        <f>A.3.01.1b.6</f>
        <v>12910.078554000002</v>
      </c>
    </row>
    <row r="23" spans="1:4" ht="26.5" x14ac:dyDescent="0.35">
      <c r="A23" s="181"/>
      <c r="B23" s="181" t="s">
        <v>525</v>
      </c>
      <c r="C23" s="182" t="s">
        <v>526</v>
      </c>
      <c r="D23" s="183">
        <f>A.3.01.1b.7</f>
        <v>26150.453994000003</v>
      </c>
    </row>
    <row r="24" spans="1:4" ht="26.5" x14ac:dyDescent="0.35">
      <c r="A24" s="181"/>
      <c r="B24" s="181" t="s">
        <v>527</v>
      </c>
      <c r="C24" s="182" t="s">
        <v>528</v>
      </c>
      <c r="D24" s="183">
        <f>A.3.01.1c.1</f>
        <v>10704.599314000001</v>
      </c>
    </row>
    <row r="25" spans="1:4" ht="26.5" x14ac:dyDescent="0.35">
      <c r="A25" s="181"/>
      <c r="B25" s="181" t="s">
        <v>529</v>
      </c>
      <c r="C25" s="182" t="s">
        <v>530</v>
      </c>
      <c r="D25" s="183">
        <f>A.3.01.1c.2</f>
        <v>11918.062896000001</v>
      </c>
    </row>
    <row r="26" spans="1:4" ht="26.5" x14ac:dyDescent="0.35">
      <c r="A26" s="181"/>
      <c r="B26" s="181" t="s">
        <v>531</v>
      </c>
      <c r="C26" s="182" t="s">
        <v>533</v>
      </c>
      <c r="D26" s="183">
        <f>A.3.01.1c.3</f>
        <v>13130.026478000002</v>
      </c>
    </row>
    <row r="27" spans="1:4" ht="26.5" x14ac:dyDescent="0.35">
      <c r="A27" s="181"/>
      <c r="B27" s="181" t="s">
        <v>532</v>
      </c>
      <c r="C27" s="182" t="s">
        <v>534</v>
      </c>
      <c r="D27" s="183">
        <f>A.3.01.1c.4</f>
        <v>9726.5943520000001</v>
      </c>
    </row>
    <row r="28" spans="1:4" ht="26.5" x14ac:dyDescent="0.35">
      <c r="A28" s="181"/>
      <c r="B28" s="181" t="s">
        <v>535</v>
      </c>
      <c r="C28" s="182" t="s">
        <v>536</v>
      </c>
      <c r="D28" s="183">
        <f>A.3.01.1c.5</f>
        <v>10835.565543999999</v>
      </c>
    </row>
    <row r="29" spans="1:4" ht="26.5" x14ac:dyDescent="0.35">
      <c r="A29" s="181"/>
      <c r="B29" s="181" t="s">
        <v>537</v>
      </c>
      <c r="C29" s="182" t="s">
        <v>538</v>
      </c>
      <c r="D29" s="183">
        <f>A.3.01.1c.6</f>
        <v>11942.661736</v>
      </c>
    </row>
    <row r="30" spans="1:4" ht="26.5" x14ac:dyDescent="0.35">
      <c r="A30" s="181"/>
      <c r="B30" s="181" t="s">
        <v>539</v>
      </c>
      <c r="C30" s="182" t="s">
        <v>540</v>
      </c>
      <c r="D30" s="183">
        <f>A.3.01.1d.1</f>
        <v>7501.1044160000001</v>
      </c>
    </row>
    <row r="31" spans="1:4" ht="26.5" x14ac:dyDescent="0.35">
      <c r="A31" s="181"/>
      <c r="B31" s="181" t="s">
        <v>542</v>
      </c>
      <c r="C31" s="182" t="s">
        <v>541</v>
      </c>
      <c r="D31" s="183">
        <f>A.3.01.1d.2</f>
        <v>8276.1721500000003</v>
      </c>
    </row>
    <row r="32" spans="1:4" ht="26.5" x14ac:dyDescent="0.35">
      <c r="A32" s="181"/>
      <c r="B32" s="181" t="s">
        <v>543</v>
      </c>
      <c r="C32" s="182" t="s">
        <v>544</v>
      </c>
      <c r="D32" s="183">
        <f>A.3.01.1d.3</f>
        <v>12945.776478000002</v>
      </c>
    </row>
    <row r="33" spans="1:4" ht="26.5" x14ac:dyDescent="0.35">
      <c r="A33" s="181"/>
      <c r="B33" s="181" t="s">
        <v>546</v>
      </c>
      <c r="C33" s="182" t="s">
        <v>545</v>
      </c>
      <c r="D33" s="183">
        <f>A.3.01.1d.4</f>
        <v>4986.6203639999994</v>
      </c>
    </row>
    <row r="34" spans="1:4" ht="26.5" x14ac:dyDescent="0.35">
      <c r="A34" s="181"/>
      <c r="B34" s="181" t="s">
        <v>547</v>
      </c>
      <c r="C34" s="182" t="s">
        <v>548</v>
      </c>
      <c r="D34" s="183">
        <f>A.3.01.1d.5</f>
        <v>5541.105959999999</v>
      </c>
    </row>
    <row r="35" spans="1:4" ht="26.5" x14ac:dyDescent="0.35">
      <c r="A35" s="181"/>
      <c r="B35" s="181" t="s">
        <v>549</v>
      </c>
      <c r="C35" s="182" t="s">
        <v>550</v>
      </c>
      <c r="D35" s="183">
        <f>A.3.01.1d.6</f>
        <v>6081.7165560000003</v>
      </c>
    </row>
    <row r="36" spans="1:4" ht="26.5" x14ac:dyDescent="0.35">
      <c r="A36" s="181"/>
      <c r="B36" s="181" t="s">
        <v>551</v>
      </c>
      <c r="C36" s="182" t="s">
        <v>556</v>
      </c>
      <c r="D36" s="183">
        <f>A.3.01.1e.1</f>
        <v>12248.359782000001</v>
      </c>
    </row>
    <row r="37" spans="1:4" ht="26.5" x14ac:dyDescent="0.35">
      <c r="A37" s="181"/>
      <c r="B37" s="181" t="s">
        <v>553</v>
      </c>
      <c r="C37" s="182" t="s">
        <v>554</v>
      </c>
      <c r="D37" s="183">
        <f>A.3.01.1e.2</f>
        <v>13571.797326000002</v>
      </c>
    </row>
    <row r="38" spans="1:4" ht="26.5" x14ac:dyDescent="0.35">
      <c r="A38" s="181"/>
      <c r="B38" s="181" t="s">
        <v>552</v>
      </c>
      <c r="C38" s="182" t="s">
        <v>555</v>
      </c>
      <c r="D38" s="183" cm="1">
        <f t="array" ref="D38">A.3.01.1e.3</f>
        <v>15007.083832</v>
      </c>
    </row>
    <row r="39" spans="1:4" ht="26.5" x14ac:dyDescent="0.35">
      <c r="A39" s="181"/>
      <c r="B39" s="181" t="s">
        <v>557</v>
      </c>
      <c r="C39" s="182" t="s">
        <v>560</v>
      </c>
      <c r="D39" s="183">
        <f>A.3.01.1f.1</f>
        <v>12248.359782000001</v>
      </c>
    </row>
    <row r="40" spans="1:4" ht="26.5" x14ac:dyDescent="0.35">
      <c r="A40" s="181"/>
      <c r="B40" s="181" t="s">
        <v>558</v>
      </c>
      <c r="C40" s="182" t="s">
        <v>561</v>
      </c>
      <c r="D40" s="183">
        <f>A.3.01.1f.2</f>
        <v>13681.771288000002</v>
      </c>
    </row>
    <row r="41" spans="1:4" ht="26.5" x14ac:dyDescent="0.35">
      <c r="A41" s="181"/>
      <c r="B41" s="181" t="s">
        <v>559</v>
      </c>
      <c r="C41" s="182" t="s">
        <v>975</v>
      </c>
      <c r="D41" s="183">
        <f>A.3.01.1f.3</f>
        <v>15007.083832</v>
      </c>
    </row>
    <row r="42" spans="1:4" ht="26.5" x14ac:dyDescent="0.35">
      <c r="A42" s="181"/>
      <c r="B42" s="181" t="s">
        <v>563</v>
      </c>
      <c r="C42" s="182" t="s">
        <v>567</v>
      </c>
      <c r="D42" s="183">
        <f>A.3.01.1g.1.a</f>
        <v>39105.418183000002</v>
      </c>
    </row>
    <row r="43" spans="1:4" ht="26.5" x14ac:dyDescent="0.35">
      <c r="A43" s="181"/>
      <c r="B43" s="181" t="s">
        <v>564</v>
      </c>
      <c r="C43" s="182" t="s">
        <v>568</v>
      </c>
      <c r="D43" s="183">
        <f>A.3.01.1g.1.b</f>
        <v>43003.329776999999</v>
      </c>
    </row>
    <row r="44" spans="1:4" ht="26.5" x14ac:dyDescent="0.35">
      <c r="A44" s="181"/>
      <c r="B44" s="181" t="s">
        <v>565</v>
      </c>
      <c r="C44" s="182" t="s">
        <v>569</v>
      </c>
      <c r="D44" s="183">
        <f>A.3.01.1g.2.a</f>
        <v>39105.418183000002</v>
      </c>
    </row>
    <row r="45" spans="1:4" ht="26.5" x14ac:dyDescent="0.35">
      <c r="A45" s="181"/>
      <c r="B45" s="181" t="s">
        <v>566</v>
      </c>
      <c r="C45" s="182" t="s">
        <v>568</v>
      </c>
      <c r="D45" s="183">
        <f>A.3.01.1g.2.b</f>
        <v>44678.378272800001</v>
      </c>
    </row>
    <row r="46" spans="1:4" ht="26.5" x14ac:dyDescent="0.35">
      <c r="A46" s="181"/>
      <c r="B46" s="181" t="s">
        <v>570</v>
      </c>
      <c r="C46" s="182" t="s">
        <v>571</v>
      </c>
      <c r="D46" s="183">
        <f>A.3.01.1g.3.a</f>
        <v>57680.282088900007</v>
      </c>
    </row>
    <row r="47" spans="1:4" ht="26.5" x14ac:dyDescent="0.35">
      <c r="A47" s="181"/>
      <c r="B47" s="181" t="s">
        <v>575</v>
      </c>
      <c r="C47" s="182" t="s">
        <v>574</v>
      </c>
      <c r="D47" s="183">
        <f>A.3.01.1g.3.b</f>
        <v>65572.984458900013</v>
      </c>
    </row>
    <row r="48" spans="1:4" x14ac:dyDescent="0.35">
      <c r="A48" s="181"/>
      <c r="B48" s="181" t="s">
        <v>576</v>
      </c>
      <c r="C48" s="182" t="s">
        <v>577</v>
      </c>
      <c r="D48" s="183">
        <f>A.3.01.2b.1</f>
        <v>36094.279775100003</v>
      </c>
    </row>
    <row r="49" spans="1:4" x14ac:dyDescent="0.35">
      <c r="A49" s="181"/>
      <c r="B49" s="181" t="s">
        <v>578</v>
      </c>
      <c r="C49" s="182" t="s">
        <v>579</v>
      </c>
      <c r="D49" s="183">
        <f>A.3.01.2b.2</f>
        <v>50657.001597000002</v>
      </c>
    </row>
    <row r="50" spans="1:4" x14ac:dyDescent="0.35">
      <c r="A50" s="181"/>
      <c r="B50" s="181" t="s">
        <v>580</v>
      </c>
      <c r="C50" s="182" t="s">
        <v>581</v>
      </c>
      <c r="D50" s="183">
        <f>A.3.01.2b.3</f>
        <v>40954.739781000004</v>
      </c>
    </row>
    <row r="51" spans="1:4" ht="26.5" x14ac:dyDescent="0.35">
      <c r="A51" s="181"/>
      <c r="B51" s="181" t="s">
        <v>582</v>
      </c>
      <c r="C51" s="182" t="s">
        <v>583</v>
      </c>
      <c r="D51" s="183">
        <f>A.3.01.2d.2</f>
        <v>56856.444247000007</v>
      </c>
    </row>
    <row r="52" spans="1:4" ht="26.5" x14ac:dyDescent="0.35">
      <c r="A52" s="181"/>
      <c r="B52" s="181" t="s">
        <v>584</v>
      </c>
      <c r="C52" s="182" t="s">
        <v>585</v>
      </c>
      <c r="D52" s="183">
        <f>A.3.01.2d.3</f>
        <v>63874.540953000003</v>
      </c>
    </row>
    <row r="53" spans="1:4" ht="26.5" x14ac:dyDescent="0.35">
      <c r="A53" s="181"/>
      <c r="B53" s="181" t="s">
        <v>586</v>
      </c>
      <c r="C53" s="182" t="s">
        <v>587</v>
      </c>
      <c r="D53" s="183">
        <f>A.3.01.2d.5</f>
        <v>179454.13444600001</v>
      </c>
    </row>
    <row r="54" spans="1:4" x14ac:dyDescent="0.35">
      <c r="A54" s="181"/>
      <c r="B54" s="181" t="s">
        <v>591</v>
      </c>
      <c r="C54" s="182" t="s">
        <v>592</v>
      </c>
      <c r="D54" s="183">
        <f>A.3.02.1a</f>
        <v>131907.07818050002</v>
      </c>
    </row>
    <row r="55" spans="1:4" s="229" customFormat="1" ht="26" x14ac:dyDescent="0.35">
      <c r="A55" s="269"/>
      <c r="B55" s="269" t="s">
        <v>594</v>
      </c>
      <c r="C55" s="270" t="s">
        <v>595</v>
      </c>
      <c r="D55" s="271">
        <f>A.3.02.1b</f>
        <v>90173.289344100005</v>
      </c>
    </row>
    <row r="56" spans="1:4" x14ac:dyDescent="0.35">
      <c r="A56" s="181"/>
      <c r="B56" s="181" t="s">
        <v>589</v>
      </c>
      <c r="C56" s="182" t="s">
        <v>590</v>
      </c>
      <c r="D56" s="183">
        <f>A.3.02.1c</f>
        <v>221892.72620850001</v>
      </c>
    </row>
    <row r="57" spans="1:4" x14ac:dyDescent="0.35">
      <c r="A57" s="181"/>
      <c r="B57" s="181" t="s">
        <v>596</v>
      </c>
      <c r="C57" s="182" t="s">
        <v>597</v>
      </c>
      <c r="D57" s="183">
        <f>A.3.02.1d.1</f>
        <v>14110.478755</v>
      </c>
    </row>
    <row r="58" spans="1:4" x14ac:dyDescent="0.35">
      <c r="A58" s="181"/>
      <c r="B58" s="181" t="s">
        <v>598</v>
      </c>
      <c r="C58" s="182" t="s">
        <v>599</v>
      </c>
      <c r="D58" s="183">
        <f>A.3.02.1d.2</f>
        <v>16295.349559</v>
      </c>
    </row>
    <row r="59" spans="1:4" x14ac:dyDescent="0.35">
      <c r="A59" s="181"/>
      <c r="B59" s="181" t="s">
        <v>600</v>
      </c>
      <c r="C59" s="182" t="s">
        <v>601</v>
      </c>
      <c r="D59" s="183">
        <f>A.3.02.1d.3</f>
        <v>17558.134566215816</v>
      </c>
    </row>
    <row r="60" spans="1:4" x14ac:dyDescent="0.35">
      <c r="A60" s="181"/>
      <c r="B60" s="181" t="s">
        <v>604</v>
      </c>
      <c r="C60" s="182" t="s">
        <v>605</v>
      </c>
      <c r="D60" s="183">
        <f>A.3.02.1e.1</f>
        <v>21262.292400000002</v>
      </c>
    </row>
    <row r="61" spans="1:4" x14ac:dyDescent="0.35">
      <c r="A61" s="181"/>
      <c r="B61" s="181" t="s">
        <v>606</v>
      </c>
      <c r="C61" s="182" t="s">
        <v>607</v>
      </c>
      <c r="D61" s="183">
        <f>A.3.02.2a.1</f>
        <v>50281.246194000007</v>
      </c>
    </row>
    <row r="62" spans="1:4" x14ac:dyDescent="0.35">
      <c r="A62" s="181"/>
      <c r="B62" s="181" t="s">
        <v>606</v>
      </c>
      <c r="C62" s="182" t="s">
        <v>608</v>
      </c>
      <c r="D62" s="183">
        <f>A.3.02.2a.1</f>
        <v>50281.246194000007</v>
      </c>
    </row>
    <row r="63" spans="1:4" x14ac:dyDescent="0.35">
      <c r="A63" s="181"/>
      <c r="B63" s="181" t="s">
        <v>609</v>
      </c>
      <c r="C63" s="182" t="s">
        <v>610</v>
      </c>
      <c r="D63" s="183">
        <f>A.3.02.2b.1</f>
        <v>6636.9846060000009</v>
      </c>
    </row>
    <row r="64" spans="1:4" x14ac:dyDescent="0.35">
      <c r="A64" s="181"/>
      <c r="B64" s="181" t="s">
        <v>1958</v>
      </c>
      <c r="C64" s="182" t="s">
        <v>613</v>
      </c>
      <c r="D64" s="183">
        <f>A.3.02.2b.3</f>
        <v>50053.658432999997</v>
      </c>
    </row>
    <row r="65" spans="1:4" x14ac:dyDescent="0.35">
      <c r="A65" s="181"/>
      <c r="B65" s="181" t="s">
        <v>614</v>
      </c>
      <c r="C65" s="182" t="s">
        <v>615</v>
      </c>
      <c r="D65" s="183">
        <f>A.3.02.3a</f>
        <v>14784.771332</v>
      </c>
    </row>
    <row r="66" spans="1:4" x14ac:dyDescent="0.35">
      <c r="A66" s="181"/>
      <c r="B66" s="181" t="s">
        <v>617</v>
      </c>
      <c r="C66" s="182" t="s">
        <v>616</v>
      </c>
      <c r="D66" s="183">
        <f>A.3.02.3b</f>
        <v>22178.000748000002</v>
      </c>
    </row>
    <row r="67" spans="1:4" x14ac:dyDescent="0.35">
      <c r="A67" s="181"/>
      <c r="B67" s="181" t="s">
        <v>618</v>
      </c>
      <c r="C67" s="182" t="s">
        <v>619</v>
      </c>
      <c r="D67" s="183" cm="1">
        <f t="array" ref="D67">A.3.03.2c</f>
        <v>2117202.4382480001</v>
      </c>
    </row>
    <row r="68" spans="1:4" x14ac:dyDescent="0.35">
      <c r="A68" s="181"/>
      <c r="B68" s="181" t="s">
        <v>623</v>
      </c>
      <c r="C68" s="182" t="s">
        <v>624</v>
      </c>
      <c r="D68" s="183">
        <f>A.3.03.4a</f>
        <v>312904.34900300001</v>
      </c>
    </row>
    <row r="69" spans="1:4" ht="26.5" x14ac:dyDescent="0.35">
      <c r="A69" s="181"/>
      <c r="B69" s="181" t="s">
        <v>628</v>
      </c>
      <c r="C69" s="182" t="s">
        <v>644</v>
      </c>
      <c r="D69" s="183">
        <f>A.1.02.1a.1</f>
        <v>1646535.2</v>
      </c>
    </row>
    <row r="70" spans="1:4" ht="26.5" x14ac:dyDescent="0.35">
      <c r="A70" s="181"/>
      <c r="B70" s="181" t="s">
        <v>631</v>
      </c>
      <c r="C70" s="182" t="s">
        <v>645</v>
      </c>
      <c r="D70" s="183">
        <f>A.1.02.1a.6</f>
        <v>1883928.2</v>
      </c>
    </row>
    <row r="71" spans="1:4" ht="26.5" x14ac:dyDescent="0.35">
      <c r="A71" s="181"/>
      <c r="B71" s="181" t="s">
        <v>632</v>
      </c>
      <c r="C71" s="182" t="s">
        <v>646</v>
      </c>
      <c r="D71" s="183">
        <f>A.2.02.1a.1</f>
        <v>1584660.5911999999</v>
      </c>
    </row>
    <row r="72" spans="1:4" ht="26.5" x14ac:dyDescent="0.35">
      <c r="A72" s="181"/>
      <c r="B72" s="181" t="s">
        <v>633</v>
      </c>
      <c r="C72" s="182" t="s">
        <v>647</v>
      </c>
      <c r="D72" s="183">
        <f>A.2.02.1a.6</f>
        <v>1867384.5911999999</v>
      </c>
    </row>
    <row r="73" spans="1:4" ht="26.5" x14ac:dyDescent="0.35">
      <c r="A73" s="181"/>
      <c r="B73" s="181" t="s">
        <v>634</v>
      </c>
      <c r="C73" s="182" t="s">
        <v>649</v>
      </c>
      <c r="D73" s="183">
        <f>A.1.02.1b.1</f>
        <v>1540374.8</v>
      </c>
    </row>
    <row r="74" spans="1:4" ht="26.5" x14ac:dyDescent="0.35">
      <c r="A74" s="181"/>
      <c r="B74" s="181" t="s">
        <v>635</v>
      </c>
      <c r="C74" s="182" t="s">
        <v>650</v>
      </c>
      <c r="D74" s="183">
        <f>A.1.02.1b.6</f>
        <v>1777767.8</v>
      </c>
    </row>
    <row r="75" spans="1:4" ht="26.5" x14ac:dyDescent="0.35">
      <c r="A75" s="181"/>
      <c r="B75" s="181" t="s">
        <v>636</v>
      </c>
      <c r="C75" s="182" t="s">
        <v>651</v>
      </c>
      <c r="D75" s="183">
        <f>A.2.02.1b.1</f>
        <v>1478500.1912</v>
      </c>
    </row>
    <row r="76" spans="1:4" ht="26.5" x14ac:dyDescent="0.35">
      <c r="A76" s="181"/>
      <c r="B76" s="181" t="s">
        <v>637</v>
      </c>
      <c r="C76" s="182" t="s">
        <v>652</v>
      </c>
      <c r="D76" s="183">
        <f>A.2.02.1b.6</f>
        <v>1761224.1912</v>
      </c>
    </row>
    <row r="77" spans="1:4" ht="26.5" x14ac:dyDescent="0.35">
      <c r="A77" s="181"/>
      <c r="B77" s="181" t="s">
        <v>663</v>
      </c>
      <c r="C77" s="182" t="s">
        <v>664</v>
      </c>
      <c r="D77" s="183">
        <f>A.1.02.1c.1</f>
        <v>1457546.6</v>
      </c>
    </row>
    <row r="78" spans="1:4" ht="26.5" x14ac:dyDescent="0.35">
      <c r="A78" s="181"/>
      <c r="B78" s="181" t="s">
        <v>666</v>
      </c>
      <c r="C78" s="182" t="s">
        <v>665</v>
      </c>
      <c r="D78" s="183">
        <f>A.2.02.1c.2</f>
        <v>1395671.9912</v>
      </c>
    </row>
    <row r="79" spans="1:4" x14ac:dyDescent="0.35">
      <c r="A79" s="181"/>
      <c r="B79" s="181" t="s">
        <v>638</v>
      </c>
      <c r="C79" s="182" t="s">
        <v>639</v>
      </c>
      <c r="D79" s="183">
        <f>A.1.02.1e.1</f>
        <v>46723.16</v>
      </c>
    </row>
    <row r="80" spans="1:4" ht="26.5" x14ac:dyDescent="0.35">
      <c r="A80" s="181"/>
      <c r="B80" s="181" t="s">
        <v>640</v>
      </c>
      <c r="C80" s="182" t="s">
        <v>648</v>
      </c>
      <c r="D80" s="183" cm="1">
        <f t="array" ref="D80">A.1.02.2a.1</f>
        <v>1485290.352</v>
      </c>
    </row>
    <row r="81" spans="1:4" ht="26.5" x14ac:dyDescent="0.35">
      <c r="A81" s="181"/>
      <c r="B81" s="181" t="s">
        <v>641</v>
      </c>
      <c r="C81" s="182" t="s">
        <v>648</v>
      </c>
      <c r="D81" s="183">
        <f>A.1.02.2a.6</f>
        <v>1725595.852</v>
      </c>
    </row>
    <row r="82" spans="1:4" ht="26.5" x14ac:dyDescent="0.35">
      <c r="A82" s="181"/>
      <c r="B82" s="181" t="s">
        <v>642</v>
      </c>
      <c r="C82" s="182" t="s">
        <v>653</v>
      </c>
      <c r="D82" s="183">
        <f>A.2.02.2a.1</f>
        <v>1378274.456</v>
      </c>
    </row>
    <row r="83" spans="1:4" ht="26.5" x14ac:dyDescent="0.35">
      <c r="A83" s="181"/>
      <c r="B83" s="181" t="s">
        <v>643</v>
      </c>
      <c r="C83" s="182" t="s">
        <v>654</v>
      </c>
      <c r="D83" s="183">
        <f>A.2.02.2a.6</f>
        <v>1603087.9080000001</v>
      </c>
    </row>
    <row r="84" spans="1:4" ht="26.5" x14ac:dyDescent="0.35">
      <c r="A84" s="181"/>
      <c r="B84" s="181" t="s">
        <v>655</v>
      </c>
      <c r="C84" s="182" t="s">
        <v>657</v>
      </c>
      <c r="D84" s="183">
        <f>A.1.02.2b.1</f>
        <v>1408994.28</v>
      </c>
    </row>
    <row r="85" spans="1:4" ht="26.5" x14ac:dyDescent="0.35">
      <c r="A85" s="181"/>
      <c r="B85" s="181" t="s">
        <v>656</v>
      </c>
      <c r="C85" s="182" t="s">
        <v>658</v>
      </c>
      <c r="D85" s="183">
        <f>A.2.02.2b.1</f>
        <v>1286486.3360000001</v>
      </c>
    </row>
    <row r="86" spans="1:4" ht="26.5" x14ac:dyDescent="0.35">
      <c r="A86" s="181"/>
      <c r="B86" s="181" t="s">
        <v>659</v>
      </c>
      <c r="C86" s="182" t="s">
        <v>661</v>
      </c>
      <c r="D86" s="183">
        <f>A.1.02.2c.1</f>
        <v>1357841.4839999999</v>
      </c>
    </row>
    <row r="87" spans="1:4" ht="26.5" x14ac:dyDescent="0.35">
      <c r="A87" s="181"/>
      <c r="B87" s="181" t="s">
        <v>660</v>
      </c>
      <c r="C87" s="182" t="s">
        <v>662</v>
      </c>
      <c r="D87" s="183">
        <f>A.2.02.2c.1</f>
        <v>1235333.54</v>
      </c>
    </row>
    <row r="88" spans="1:4" x14ac:dyDescent="0.35">
      <c r="A88" s="181"/>
      <c r="B88" s="181" t="s">
        <v>667</v>
      </c>
      <c r="C88" s="182" t="s">
        <v>668</v>
      </c>
      <c r="D88" s="183">
        <f>A.1.02.2e.1</f>
        <v>22154.76</v>
      </c>
    </row>
    <row r="89" spans="1:4" x14ac:dyDescent="0.35">
      <c r="A89" s="181"/>
      <c r="B89" s="181" t="s">
        <v>669</v>
      </c>
      <c r="C89" s="182" t="s">
        <v>670</v>
      </c>
      <c r="D89" s="183">
        <f>A.1.02.3a.1</f>
        <v>86608.94</v>
      </c>
    </row>
    <row r="90" spans="1:4" x14ac:dyDescent="0.35">
      <c r="A90" s="181"/>
      <c r="B90" s="181" t="s">
        <v>672</v>
      </c>
      <c r="C90" s="182" t="s">
        <v>671</v>
      </c>
      <c r="D90" s="183">
        <f>A.1.02.3a.2</f>
        <v>85489.172000000006</v>
      </c>
    </row>
    <row r="91" spans="1:4" ht="32.4" customHeight="1" x14ac:dyDescent="0.35">
      <c r="A91" s="181"/>
      <c r="B91" s="181" t="s">
        <v>1959</v>
      </c>
      <c r="C91" s="182" t="s">
        <v>673</v>
      </c>
      <c r="D91" s="183">
        <f>A.1.02.3b.1</f>
        <v>58981.887999999999</v>
      </c>
    </row>
    <row r="92" spans="1:4" ht="26.5" x14ac:dyDescent="0.35">
      <c r="A92" s="181"/>
      <c r="B92" s="181" t="s">
        <v>674</v>
      </c>
      <c r="C92" s="182" t="s">
        <v>675</v>
      </c>
      <c r="D92" s="183">
        <f>A.1.02.3b.2</f>
        <v>55639.455999999998</v>
      </c>
    </row>
    <row r="93" spans="1:4" x14ac:dyDescent="0.35">
      <c r="A93" s="181"/>
      <c r="B93" s="181" t="s">
        <v>677</v>
      </c>
      <c r="C93" s="182" t="s">
        <v>676</v>
      </c>
      <c r="D93" s="183">
        <f>A.1.02.3b.5</f>
        <v>53552.656000000003</v>
      </c>
    </row>
    <row r="94" spans="1:4" ht="26.5" x14ac:dyDescent="0.35">
      <c r="A94" s="181"/>
      <c r="B94" s="181" t="s">
        <v>678</v>
      </c>
      <c r="C94" s="182" t="s">
        <v>679</v>
      </c>
      <c r="D94" s="183">
        <f>A.1.02.3b.7</f>
        <v>80449.744000000006</v>
      </c>
    </row>
    <row r="95" spans="1:4" ht="26.5" x14ac:dyDescent="0.35">
      <c r="A95" s="181"/>
      <c r="B95" s="181" t="s">
        <v>680</v>
      </c>
      <c r="C95" s="182" t="s">
        <v>681</v>
      </c>
      <c r="D95" s="183">
        <f>A.1.02.3b.8</f>
        <v>75436.09599999999</v>
      </c>
    </row>
    <row r="96" spans="1:4" ht="26.5" x14ac:dyDescent="0.35">
      <c r="A96" s="181"/>
      <c r="B96" s="181" t="s">
        <v>683</v>
      </c>
      <c r="C96" s="182" t="s">
        <v>682</v>
      </c>
      <c r="D96" s="183">
        <f>A.1.02.3b.9</f>
        <v>72317.440000000002</v>
      </c>
    </row>
    <row r="97" spans="1:4" x14ac:dyDescent="0.35">
      <c r="A97" s="181"/>
      <c r="B97" s="181" t="s">
        <v>684</v>
      </c>
      <c r="C97" s="182" t="s">
        <v>685</v>
      </c>
      <c r="D97" s="183">
        <f>A.1.02.3c</f>
        <v>47575.75</v>
      </c>
    </row>
    <row r="98" spans="1:4" x14ac:dyDescent="0.35">
      <c r="A98" s="181"/>
      <c r="B98" s="181" t="s">
        <v>691</v>
      </c>
      <c r="C98" s="182" t="s">
        <v>686</v>
      </c>
      <c r="D98" s="183">
        <f>A.1.02.4a.1.a</f>
        <v>864287.5</v>
      </c>
    </row>
    <row r="99" spans="1:4" x14ac:dyDescent="0.35">
      <c r="A99" s="181"/>
      <c r="B99" s="181" t="s">
        <v>690</v>
      </c>
      <c r="C99" s="182" t="s">
        <v>687</v>
      </c>
      <c r="D99" s="183">
        <f>A.1.02.4a.1.d</f>
        <v>953142</v>
      </c>
    </row>
    <row r="100" spans="1:4" ht="26.5" x14ac:dyDescent="0.35">
      <c r="A100" s="181"/>
      <c r="B100" s="181" t="s">
        <v>688</v>
      </c>
      <c r="C100" s="182" t="s">
        <v>692</v>
      </c>
      <c r="D100" s="183">
        <f>A.1.02.4a.2.a</f>
        <v>734036</v>
      </c>
    </row>
    <row r="101" spans="1:4" ht="26.5" x14ac:dyDescent="0.35">
      <c r="A101" s="181"/>
      <c r="B101" s="181" t="s">
        <v>689</v>
      </c>
      <c r="C101" s="182" t="s">
        <v>693</v>
      </c>
      <c r="D101" s="183">
        <f>A.1.02.4a.2.d</f>
        <v>822890.5</v>
      </c>
    </row>
    <row r="102" spans="1:4" ht="26.5" x14ac:dyDescent="0.35">
      <c r="A102" s="181"/>
      <c r="B102" s="181" t="s">
        <v>701</v>
      </c>
      <c r="C102" s="182" t="s">
        <v>698</v>
      </c>
      <c r="D102" s="183">
        <f>A.1.02.4b.2.a</f>
        <v>886409.16</v>
      </c>
    </row>
    <row r="103" spans="1:4" ht="26.5" x14ac:dyDescent="0.35">
      <c r="A103" s="181"/>
      <c r="B103" s="181" t="s">
        <v>702</v>
      </c>
      <c r="C103" s="182" t="s">
        <v>703</v>
      </c>
      <c r="D103" s="183">
        <f>A.1.02.4b.2.d</f>
        <v>961013.66</v>
      </c>
    </row>
    <row r="104" spans="1:4" x14ac:dyDescent="0.35">
      <c r="A104" s="181"/>
      <c r="B104" s="181" t="s">
        <v>704</v>
      </c>
      <c r="C104" s="182" t="s">
        <v>705</v>
      </c>
      <c r="D104" s="183">
        <f>A.1.02.5a.1</f>
        <v>456252</v>
      </c>
    </row>
    <row r="105" spans="1:4" x14ac:dyDescent="0.35">
      <c r="A105" s="181"/>
      <c r="B105" s="181" t="s">
        <v>708</v>
      </c>
      <c r="C105" s="182" t="s">
        <v>709</v>
      </c>
      <c r="D105" s="183">
        <f>A.1.02.5a.2</f>
        <v>456252</v>
      </c>
    </row>
    <row r="106" spans="1:4" x14ac:dyDescent="0.35">
      <c r="A106" s="181"/>
      <c r="B106" s="181" t="s">
        <v>710</v>
      </c>
      <c r="C106" s="182" t="s">
        <v>711</v>
      </c>
      <c r="D106" s="183">
        <f>A.1.02.5b.1</f>
        <v>150394.5</v>
      </c>
    </row>
    <row r="107" spans="1:4" x14ac:dyDescent="0.35">
      <c r="A107" s="181"/>
      <c r="B107" s="181" t="s">
        <v>715</v>
      </c>
      <c r="C107" s="182" t="s">
        <v>716</v>
      </c>
      <c r="D107" s="183">
        <f>A.1.02.5b.2</f>
        <v>160751</v>
      </c>
    </row>
    <row r="108" spans="1:4" x14ac:dyDescent="0.35">
      <c r="A108" s="181"/>
      <c r="B108" s="181" t="s">
        <v>719</v>
      </c>
      <c r="C108" s="182" t="s">
        <v>720</v>
      </c>
      <c r="D108" s="183">
        <f>A.1.02.5b.4a</f>
        <v>2566.6499999999996</v>
      </c>
    </row>
    <row r="109" spans="1:4" x14ac:dyDescent="0.35">
      <c r="A109" s="181"/>
      <c r="B109" s="181" t="s">
        <v>725</v>
      </c>
      <c r="C109" s="182" t="s">
        <v>724</v>
      </c>
      <c r="D109" s="183">
        <f>A.1.02.5b.4b</f>
        <v>7250.7000000000007</v>
      </c>
    </row>
    <row r="110" spans="1:4" x14ac:dyDescent="0.35">
      <c r="A110" s="181"/>
      <c r="B110" s="181" t="s">
        <v>726</v>
      </c>
      <c r="C110" s="182" t="s">
        <v>727</v>
      </c>
      <c r="D110" s="183">
        <f>A.2.02.5c.1</f>
        <v>541564</v>
      </c>
    </row>
    <row r="111" spans="1:4" x14ac:dyDescent="0.35">
      <c r="A111" s="181"/>
      <c r="B111" s="181" t="s">
        <v>730</v>
      </c>
      <c r="C111" s="182" t="s">
        <v>731</v>
      </c>
      <c r="D111" s="183">
        <f>A.2.02.5c.2</f>
        <v>729654.4</v>
      </c>
    </row>
    <row r="112" spans="1:4" x14ac:dyDescent="0.35">
      <c r="A112" s="181"/>
      <c r="B112" s="181" t="s">
        <v>742</v>
      </c>
      <c r="C112" s="182" t="s">
        <v>743</v>
      </c>
      <c r="D112" s="183">
        <f>A.1.02.5c.1</f>
        <v>622646.58519999997</v>
      </c>
    </row>
    <row r="113" spans="1:5" x14ac:dyDescent="0.35">
      <c r="A113" s="181"/>
      <c r="B113" s="181" t="s">
        <v>761</v>
      </c>
      <c r="C113" s="182" t="s">
        <v>762</v>
      </c>
      <c r="D113" s="183">
        <f>A.2.02.5d.3</f>
        <v>136615.347996</v>
      </c>
    </row>
    <row r="114" spans="1:5" ht="26.5" x14ac:dyDescent="0.35">
      <c r="A114" s="181"/>
      <c r="B114" s="181" t="s">
        <v>763</v>
      </c>
      <c r="C114" s="182" t="s">
        <v>954</v>
      </c>
      <c r="D114" s="183">
        <f>A.1.03.1a.1</f>
        <v>1354556.49</v>
      </c>
    </row>
    <row r="115" spans="1:5" ht="26.5" x14ac:dyDescent="0.35">
      <c r="A115" s="181"/>
      <c r="B115" s="181" t="s">
        <v>767</v>
      </c>
      <c r="C115" s="182" t="s">
        <v>955</v>
      </c>
      <c r="D115" s="183">
        <f>A.1.03.1a.2</f>
        <v>1437548.49</v>
      </c>
    </row>
    <row r="116" spans="1:5" ht="26.5" x14ac:dyDescent="0.35">
      <c r="A116" s="181"/>
      <c r="B116" s="181" t="s">
        <v>769</v>
      </c>
      <c r="C116" s="182" t="s">
        <v>956</v>
      </c>
      <c r="D116" s="183">
        <f>A.1.03.1b.1</f>
        <v>1526924.49</v>
      </c>
    </row>
    <row r="117" spans="1:5" ht="26.5" x14ac:dyDescent="0.35">
      <c r="A117" s="181"/>
      <c r="B117" s="181" t="s">
        <v>771</v>
      </c>
      <c r="C117" s="182" t="s">
        <v>957</v>
      </c>
      <c r="D117" s="183">
        <f>A.1.03.1b.2</f>
        <v>1652476.49</v>
      </c>
    </row>
    <row r="118" spans="1:5" ht="26.5" x14ac:dyDescent="0.35">
      <c r="A118" s="181"/>
      <c r="B118" s="181" t="s">
        <v>773</v>
      </c>
      <c r="C118" s="182" t="s">
        <v>958</v>
      </c>
      <c r="D118" s="183">
        <f>A.2.03.1b.1</f>
        <v>1973375.0299999998</v>
      </c>
    </row>
    <row r="119" spans="1:5" x14ac:dyDescent="0.35">
      <c r="A119" s="181"/>
      <c r="B119" s="181" t="s">
        <v>778</v>
      </c>
      <c r="C119" s="182" t="s">
        <v>779</v>
      </c>
      <c r="D119" s="183">
        <f>A.1.03.1c.1</f>
        <v>2497341.4</v>
      </c>
      <c r="E119" s="141" t="s">
        <v>976</v>
      </c>
    </row>
    <row r="120" spans="1:5" x14ac:dyDescent="0.35">
      <c r="A120" s="181"/>
      <c r="B120" s="181" t="s">
        <v>802</v>
      </c>
      <c r="C120" s="182" t="s">
        <v>803</v>
      </c>
      <c r="D120" s="183">
        <f>A.2.03.1c.1</f>
        <v>2299915.15</v>
      </c>
      <c r="E120" s="141" t="s">
        <v>976</v>
      </c>
    </row>
    <row r="121" spans="1:5" x14ac:dyDescent="0.35">
      <c r="A121" s="181"/>
      <c r="B121" s="181" t="s">
        <v>804</v>
      </c>
      <c r="C121" s="182" t="s">
        <v>805</v>
      </c>
      <c r="D121" s="183">
        <f>A.1.03.2b.1</f>
        <v>120801.52</v>
      </c>
    </row>
    <row r="122" spans="1:5" x14ac:dyDescent="0.35">
      <c r="A122" s="181"/>
      <c r="B122" s="181" t="s">
        <v>807</v>
      </c>
      <c r="C122" s="182" t="s">
        <v>808</v>
      </c>
      <c r="D122" s="183">
        <f>A.1.03.2b.2</f>
        <v>208788.9</v>
      </c>
    </row>
    <row r="123" spans="1:5" x14ac:dyDescent="0.35">
      <c r="A123" s="181"/>
      <c r="B123" s="181" t="s">
        <v>809</v>
      </c>
      <c r="C123" s="182" t="s">
        <v>810</v>
      </c>
      <c r="D123" s="183">
        <f>A.1.03.2b.4</f>
        <v>162556.5</v>
      </c>
    </row>
    <row r="124" spans="1:5" x14ac:dyDescent="0.35">
      <c r="A124" s="181"/>
      <c r="B124" s="181" t="s">
        <v>811</v>
      </c>
      <c r="C124" s="182" t="s">
        <v>818</v>
      </c>
      <c r="D124" s="183">
        <f>A.1.03.2b.5</f>
        <v>154939.28</v>
      </c>
    </row>
    <row r="125" spans="1:5" x14ac:dyDescent="0.35">
      <c r="A125" s="181"/>
      <c r="B125" s="181" t="s">
        <v>812</v>
      </c>
      <c r="C125" s="182" t="s">
        <v>813</v>
      </c>
      <c r="D125" s="183">
        <f>A.1.03.2b.6</f>
        <v>162278.6</v>
      </c>
    </row>
    <row r="126" spans="1:5" x14ac:dyDescent="0.35">
      <c r="A126" s="181"/>
      <c r="B126" s="181" t="s">
        <v>814</v>
      </c>
      <c r="C126" s="182" t="s">
        <v>815</v>
      </c>
      <c r="D126" s="183">
        <f>A.1.03.2d.1</f>
        <v>144664.29999999999</v>
      </c>
    </row>
    <row r="127" spans="1:5" x14ac:dyDescent="0.35">
      <c r="A127" s="181"/>
      <c r="B127" s="181" t="s">
        <v>816</v>
      </c>
      <c r="C127" s="182" t="s">
        <v>817</v>
      </c>
      <c r="D127" s="183">
        <f>A.1.03.2d.2</f>
        <v>238174.62</v>
      </c>
    </row>
    <row r="128" spans="1:5" x14ac:dyDescent="0.35">
      <c r="A128" s="181"/>
      <c r="B128" s="181" t="s">
        <v>819</v>
      </c>
      <c r="C128" s="182" t="s">
        <v>820</v>
      </c>
      <c r="D128" s="183">
        <f>A.1.03.2d.4</f>
        <v>154157.24</v>
      </c>
    </row>
    <row r="129" spans="1:4" x14ac:dyDescent="0.35">
      <c r="A129" s="181"/>
      <c r="B129" s="181" t="s">
        <v>823</v>
      </c>
      <c r="C129" s="182" t="s">
        <v>821</v>
      </c>
      <c r="D129" s="183">
        <f>A.1.03.2d.5</f>
        <v>144646.76</v>
      </c>
    </row>
    <row r="130" spans="1:4" x14ac:dyDescent="0.35">
      <c r="A130" s="181"/>
      <c r="B130" s="181" t="s">
        <v>824</v>
      </c>
      <c r="C130" s="182" t="s">
        <v>822</v>
      </c>
      <c r="D130" s="183">
        <f>A.1.03.2d.6</f>
        <v>149522.08000000002</v>
      </c>
    </row>
    <row r="131" spans="1:4" x14ac:dyDescent="0.35">
      <c r="A131" s="181"/>
      <c r="B131" s="181" t="s">
        <v>825</v>
      </c>
      <c r="C131" s="182" t="s">
        <v>826</v>
      </c>
      <c r="D131" s="183">
        <f>A.1.03.2e.1</f>
        <v>130589.3</v>
      </c>
    </row>
    <row r="132" spans="1:4" x14ac:dyDescent="0.35">
      <c r="A132" s="181"/>
      <c r="B132" s="181" t="s">
        <v>827</v>
      </c>
      <c r="C132" s="182" t="s">
        <v>830</v>
      </c>
      <c r="D132" s="183">
        <f>A.1.03.2e.2</f>
        <v>207624.3</v>
      </c>
    </row>
    <row r="133" spans="1:4" x14ac:dyDescent="0.35">
      <c r="A133" s="181"/>
      <c r="B133" s="181" t="s">
        <v>828</v>
      </c>
      <c r="C133" s="182" t="s">
        <v>829</v>
      </c>
      <c r="D133" s="183">
        <f>A.1.03.2e.4</f>
        <v>138107.24</v>
      </c>
    </row>
    <row r="134" spans="1:4" x14ac:dyDescent="0.35">
      <c r="A134" s="181"/>
      <c r="B134" s="181" t="s">
        <v>831</v>
      </c>
      <c r="C134" s="182" t="s">
        <v>833</v>
      </c>
      <c r="D134" s="183">
        <f>A.1.03.2e.5</f>
        <v>135962.32</v>
      </c>
    </row>
    <row r="135" spans="1:4" x14ac:dyDescent="0.35">
      <c r="A135" s="181"/>
      <c r="B135" s="181" t="s">
        <v>832</v>
      </c>
      <c r="C135" s="182" t="s">
        <v>834</v>
      </c>
      <c r="D135" s="183">
        <f>A.1.03.2e.6</f>
        <v>141126.24</v>
      </c>
    </row>
    <row r="136" spans="1:4" x14ac:dyDescent="0.35">
      <c r="A136" s="181"/>
      <c r="B136" s="181" t="s">
        <v>835</v>
      </c>
      <c r="C136" s="182" t="s">
        <v>836</v>
      </c>
      <c r="D136" s="183">
        <f>A.1.03.2f.1</f>
        <v>131870.04</v>
      </c>
    </row>
    <row r="137" spans="1:4" x14ac:dyDescent="0.35">
      <c r="A137" s="181"/>
      <c r="B137" s="181" t="s">
        <v>837</v>
      </c>
      <c r="C137" s="182" t="s">
        <v>838</v>
      </c>
      <c r="D137" s="183">
        <f>A.1.03.2f.2</f>
        <v>220545.6</v>
      </c>
    </row>
    <row r="138" spans="1:4" x14ac:dyDescent="0.35">
      <c r="A138" s="181"/>
      <c r="B138" s="181" t="s">
        <v>839</v>
      </c>
      <c r="C138" s="182" t="s">
        <v>840</v>
      </c>
      <c r="D138" s="183">
        <f>A.1.03.2f.4</f>
        <v>139572.24</v>
      </c>
    </row>
    <row r="139" spans="1:4" x14ac:dyDescent="0.35">
      <c r="A139" s="181"/>
      <c r="B139" s="181" t="s">
        <v>831</v>
      </c>
      <c r="C139" s="182" t="s">
        <v>841</v>
      </c>
      <c r="D139" s="183">
        <f>A.1.03.2e.5</f>
        <v>135962.32</v>
      </c>
    </row>
    <row r="140" spans="1:4" x14ac:dyDescent="0.35">
      <c r="A140" s="181"/>
      <c r="B140" s="181" t="s">
        <v>842</v>
      </c>
      <c r="C140" s="182" t="s">
        <v>843</v>
      </c>
      <c r="D140" s="183">
        <f>A.1.03.2g.1</f>
        <v>136894.29999999999</v>
      </c>
    </row>
    <row r="141" spans="1:4" x14ac:dyDescent="0.35">
      <c r="A141" s="181"/>
      <c r="B141" s="181" t="s">
        <v>844</v>
      </c>
      <c r="C141" s="182" t="s">
        <v>845</v>
      </c>
      <c r="D141" s="183">
        <f>A.1.03.2g.3</f>
        <v>112496.5</v>
      </c>
    </row>
    <row r="142" spans="1:4" x14ac:dyDescent="0.35">
      <c r="A142" s="181"/>
      <c r="B142" s="181" t="s">
        <v>846</v>
      </c>
      <c r="C142" s="182" t="s">
        <v>847</v>
      </c>
      <c r="D142" s="183">
        <f>A.1.03.2i.1</f>
        <v>5400</v>
      </c>
    </row>
    <row r="143" spans="1:4" x14ac:dyDescent="0.35">
      <c r="A143" s="181"/>
      <c r="B143" s="181" t="s">
        <v>848</v>
      </c>
      <c r="C143" s="182" t="s">
        <v>849</v>
      </c>
      <c r="D143" s="183">
        <f>A.1.03.2i.2</f>
        <v>8100</v>
      </c>
    </row>
    <row r="144" spans="1:4" x14ac:dyDescent="0.35">
      <c r="A144" s="181"/>
      <c r="B144" s="181" t="s">
        <v>850</v>
      </c>
      <c r="C144" s="182" t="s">
        <v>851</v>
      </c>
      <c r="D144" s="183">
        <f>A.2.03.2j.2</f>
        <v>53884.74</v>
      </c>
    </row>
    <row r="145" spans="1:5" x14ac:dyDescent="0.35">
      <c r="A145" s="181"/>
      <c r="B145" s="181" t="s">
        <v>852</v>
      </c>
      <c r="C145" s="182" t="s">
        <v>853</v>
      </c>
      <c r="D145" s="183">
        <f>A.1.04.1a</f>
        <v>48084.1</v>
      </c>
    </row>
    <row r="146" spans="1:5" x14ac:dyDescent="0.35">
      <c r="A146" s="181"/>
      <c r="B146" s="181" t="s">
        <v>856</v>
      </c>
      <c r="C146" s="182" t="s">
        <v>857</v>
      </c>
      <c r="D146" s="183">
        <f>A.1.04.2</f>
        <v>173402.45</v>
      </c>
    </row>
    <row r="147" spans="1:5" x14ac:dyDescent="0.35">
      <c r="A147" s="181"/>
      <c r="B147" s="181" t="s">
        <v>859</v>
      </c>
      <c r="C147" s="182" t="s">
        <v>860</v>
      </c>
      <c r="D147" s="183">
        <f>A.1.04.3</f>
        <v>432825</v>
      </c>
    </row>
    <row r="148" spans="1:5" x14ac:dyDescent="0.35">
      <c r="A148" s="181"/>
      <c r="B148" s="181" t="s">
        <v>862</v>
      </c>
      <c r="C148" s="182" t="s">
        <v>863</v>
      </c>
      <c r="D148" s="183">
        <f>A.2.06.1</f>
        <v>779985.76118399994</v>
      </c>
      <c r="E148" s="141" t="s">
        <v>977</v>
      </c>
    </row>
    <row r="149" spans="1:5" x14ac:dyDescent="0.35">
      <c r="A149" s="181"/>
      <c r="B149" s="181" t="s">
        <v>867</v>
      </c>
      <c r="C149" s="182" t="s">
        <v>868</v>
      </c>
      <c r="D149" s="183">
        <f>A.2.06.2</f>
        <v>6584730.9600799996</v>
      </c>
      <c r="E149" s="141" t="s">
        <v>977</v>
      </c>
    </row>
    <row r="150" spans="1:5" x14ac:dyDescent="0.35">
      <c r="A150" s="181"/>
      <c r="B150" s="181" t="s">
        <v>870</v>
      </c>
      <c r="C150" s="182" t="s">
        <v>871</v>
      </c>
      <c r="D150" s="183">
        <f>A.2.06.3</f>
        <v>1400585.7611839999</v>
      </c>
      <c r="E150" s="141" t="s">
        <v>977</v>
      </c>
    </row>
    <row r="151" spans="1:5" x14ac:dyDescent="0.35">
      <c r="A151" s="181"/>
      <c r="B151" s="181" t="s">
        <v>873</v>
      </c>
      <c r="C151" s="182" t="s">
        <v>874</v>
      </c>
      <c r="D151" s="183">
        <f>A.1.07.7a</f>
        <v>1235336.598516</v>
      </c>
    </row>
    <row r="152" spans="1:5" x14ac:dyDescent="0.35">
      <c r="A152" s="181"/>
      <c r="B152" s="181" t="s">
        <v>877</v>
      </c>
      <c r="C152" s="182" t="s">
        <v>878</v>
      </c>
      <c r="D152" s="183">
        <f>A.1.08.1a</f>
        <v>545405.99</v>
      </c>
    </row>
    <row r="153" spans="1:5" x14ac:dyDescent="0.35">
      <c r="A153" s="181"/>
      <c r="B153" s="181" t="s">
        <v>881</v>
      </c>
      <c r="C153" s="182" t="s">
        <v>882</v>
      </c>
      <c r="D153" s="183">
        <f>A.1.08.1b</f>
        <v>899818.11</v>
      </c>
    </row>
    <row r="154" spans="1:5" x14ac:dyDescent="0.35">
      <c r="A154" s="181"/>
      <c r="B154" s="181" t="s">
        <v>884</v>
      </c>
      <c r="C154" s="182" t="s">
        <v>885</v>
      </c>
      <c r="D154" s="183">
        <f>A.1.08.2a</f>
        <v>0</v>
      </c>
    </row>
    <row r="155" spans="1:5" x14ac:dyDescent="0.35">
      <c r="A155" s="181"/>
      <c r="B155" s="181" t="s">
        <v>898</v>
      </c>
      <c r="C155" s="182" t="s">
        <v>899</v>
      </c>
      <c r="D155" s="183">
        <f>A.1.08.2b</f>
        <v>0</v>
      </c>
    </row>
    <row r="156" spans="1:5" x14ac:dyDescent="0.35">
      <c r="A156" s="181"/>
      <c r="B156" s="181" t="s">
        <v>906</v>
      </c>
      <c r="C156" s="182" t="s">
        <v>908</v>
      </c>
      <c r="D156" s="183">
        <f>A.1.08.3a</f>
        <v>4050</v>
      </c>
    </row>
    <row r="157" spans="1:5" x14ac:dyDescent="0.35">
      <c r="A157" s="181"/>
      <c r="B157" s="181" t="s">
        <v>907</v>
      </c>
      <c r="C157" s="182" t="s">
        <v>910</v>
      </c>
      <c r="D157" s="183">
        <f>A.1.08.4a</f>
        <v>67500</v>
      </c>
    </row>
    <row r="158" spans="1:5" x14ac:dyDescent="0.35">
      <c r="A158" s="181"/>
      <c r="B158" s="181" t="s">
        <v>909</v>
      </c>
      <c r="C158" s="182" t="s">
        <v>911</v>
      </c>
      <c r="D158" s="183">
        <f>A.2.08.4a</f>
        <v>57153.2405</v>
      </c>
    </row>
    <row r="159" spans="1:5" x14ac:dyDescent="0.35">
      <c r="A159" s="181"/>
      <c r="B159" s="181" t="s">
        <v>912</v>
      </c>
      <c r="C159" s="182" t="s">
        <v>1957</v>
      </c>
      <c r="D159" s="183">
        <f>A.2.08.6a</f>
        <v>38438</v>
      </c>
    </row>
    <row r="160" spans="1:5" x14ac:dyDescent="0.35">
      <c r="A160" s="181"/>
      <c r="B160" s="181" t="s">
        <v>917</v>
      </c>
      <c r="C160" s="182" t="s">
        <v>918</v>
      </c>
      <c r="D160" s="183">
        <f>A.3.09.2a.1.a</f>
        <v>735916.58849830367</v>
      </c>
    </row>
    <row r="161" spans="1:4" x14ac:dyDescent="0.35">
      <c r="A161" s="181"/>
      <c r="B161" s="181" t="s">
        <v>960</v>
      </c>
      <c r="C161" s="182" t="s">
        <v>969</v>
      </c>
      <c r="D161" s="183">
        <f>A.3.09.2a.2.a</f>
        <v>1606408.1911277384</v>
      </c>
    </row>
    <row r="162" spans="1:4" x14ac:dyDescent="0.35">
      <c r="A162" s="181"/>
      <c r="B162" s="181" t="s">
        <v>968</v>
      </c>
      <c r="C162" s="182" t="s">
        <v>970</v>
      </c>
      <c r="D162" s="183">
        <f>A.3.09.2b.1.a</f>
        <v>1336593.5915853572</v>
      </c>
    </row>
    <row r="163" spans="1:4" x14ac:dyDescent="0.35">
      <c r="A163" s="181"/>
      <c r="B163" s="181" t="s">
        <v>971</v>
      </c>
      <c r="C163" s="182" t="s">
        <v>972</v>
      </c>
      <c r="D163" s="183">
        <f>A.3.09.2b.2.a</f>
        <v>2136105.9613139643</v>
      </c>
    </row>
    <row r="164" spans="1:4" x14ac:dyDescent="0.35">
      <c r="A164" s="181"/>
      <c r="B164" s="181" t="s">
        <v>973</v>
      </c>
      <c r="C164" s="182" t="s">
        <v>974</v>
      </c>
      <c r="D164" s="183">
        <f>A.3.09.2b.3.a</f>
        <v>3959589.7915599467</v>
      </c>
    </row>
    <row r="165" spans="1:4" x14ac:dyDescent="0.35">
      <c r="A165" s="181"/>
      <c r="B165" s="181" t="s">
        <v>1960</v>
      </c>
      <c r="C165" s="182" t="s">
        <v>1963</v>
      </c>
      <c r="D165" s="183">
        <f>A.3.05.3a.1.b</f>
        <v>98812.138416000002</v>
      </c>
    </row>
    <row r="166" spans="1:4" x14ac:dyDescent="0.35">
      <c r="A166" s="181"/>
      <c r="B166" s="181" t="s">
        <v>1961</v>
      </c>
      <c r="C166" s="182" t="s">
        <v>1962</v>
      </c>
      <c r="D166" s="183">
        <f>A.3.05.3a.1.c</f>
        <v>105276.024148</v>
      </c>
    </row>
    <row r="167" spans="1:4" x14ac:dyDescent="0.35">
      <c r="A167" s="181"/>
      <c r="B167" s="409" t="s">
        <v>430</v>
      </c>
      <c r="C167" s="182" t="s">
        <v>2074</v>
      </c>
      <c r="D167" s="183">
        <f>A.1.01.a1</f>
        <v>6750</v>
      </c>
    </row>
    <row r="168" spans="1:4" ht="14.4" customHeight="1" x14ac:dyDescent="0.35">
      <c r="A168" s="181"/>
      <c r="B168" s="181" t="s">
        <v>2076</v>
      </c>
      <c r="C168" s="181" t="s">
        <v>1868</v>
      </c>
      <c r="D168" s="183">
        <f>A.1.04.1a</f>
        <v>48084.1</v>
      </c>
    </row>
    <row r="169" spans="1:4" ht="14.4" customHeight="1" x14ac:dyDescent="0.35">
      <c r="A169" s="181"/>
      <c r="B169" s="181"/>
      <c r="C169" s="182" t="s">
        <v>2085</v>
      </c>
      <c r="D169" s="183">
        <f>ANALISA_FIX!H4075</f>
        <v>117479.097996</v>
      </c>
    </row>
  </sheetData>
  <mergeCells count="4">
    <mergeCell ref="A5:A6"/>
    <mergeCell ref="B5:B6"/>
    <mergeCell ref="C5:C6"/>
    <mergeCell ref="D5:D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062D2-07FD-49E3-90BB-B10451B23C00}">
  <sheetPr>
    <tabColor rgb="FFFFC000"/>
  </sheetPr>
  <dimension ref="A1:R4075"/>
  <sheetViews>
    <sheetView topLeftCell="B1197" zoomScaleNormal="100" workbookViewId="0">
      <selection activeCell="F1209" sqref="F1209"/>
    </sheetView>
  </sheetViews>
  <sheetFormatPr defaultRowHeight="13" x14ac:dyDescent="0.35"/>
  <cols>
    <col min="1" max="1" width="9.36328125" style="134" hidden="1" customWidth="1"/>
    <col min="2" max="2" width="13.81640625" style="75" customWidth="1"/>
    <col min="3" max="3" width="26.81640625" style="75" customWidth="1"/>
    <col min="4" max="4" width="10.81640625" style="75" hidden="1" customWidth="1"/>
    <col min="5" max="5" width="10.81640625" style="75" customWidth="1"/>
    <col min="6" max="6" width="13.81640625" style="75" customWidth="1"/>
    <col min="7" max="8" width="14.81640625" style="75" customWidth="1"/>
    <col min="9" max="9" width="11.1796875" style="75" hidden="1" customWidth="1"/>
    <col min="10" max="10" width="11" style="75" hidden="1" customWidth="1"/>
    <col min="11" max="11" width="10.81640625" style="75" hidden="1" customWidth="1"/>
    <col min="12" max="12" width="15.54296875" style="75" hidden="1" customWidth="1"/>
    <col min="13" max="257" width="8.81640625" style="75"/>
    <col min="258" max="258" width="13.81640625" style="75" customWidth="1"/>
    <col min="259" max="259" width="26.81640625" style="75" customWidth="1"/>
    <col min="260" max="261" width="10.81640625" style="75" customWidth="1"/>
    <col min="262" max="262" width="13.81640625" style="75" customWidth="1"/>
    <col min="263" max="264" width="14.81640625" style="75" customWidth="1"/>
    <col min="265" max="268" width="0" style="75" hidden="1" customWidth="1"/>
    <col min="269" max="513" width="8.81640625" style="75"/>
    <col min="514" max="514" width="13.81640625" style="75" customWidth="1"/>
    <col min="515" max="515" width="26.81640625" style="75" customWidth="1"/>
    <col min="516" max="517" width="10.81640625" style="75" customWidth="1"/>
    <col min="518" max="518" width="13.81640625" style="75" customWidth="1"/>
    <col min="519" max="520" width="14.81640625" style="75" customWidth="1"/>
    <col min="521" max="524" width="0" style="75" hidden="1" customWidth="1"/>
    <col min="525" max="769" width="8.81640625" style="75"/>
    <col min="770" max="770" width="13.81640625" style="75" customWidth="1"/>
    <col min="771" max="771" width="26.81640625" style="75" customWidth="1"/>
    <col min="772" max="773" width="10.81640625" style="75" customWidth="1"/>
    <col min="774" max="774" width="13.81640625" style="75" customWidth="1"/>
    <col min="775" max="776" width="14.81640625" style="75" customWidth="1"/>
    <col min="777" max="780" width="0" style="75" hidden="1" customWidth="1"/>
    <col min="781" max="1025" width="8.81640625" style="75"/>
    <col min="1026" max="1026" width="13.81640625" style="75" customWidth="1"/>
    <col min="1027" max="1027" width="26.81640625" style="75" customWidth="1"/>
    <col min="1028" max="1029" width="10.81640625" style="75" customWidth="1"/>
    <col min="1030" max="1030" width="13.81640625" style="75" customWidth="1"/>
    <col min="1031" max="1032" width="14.81640625" style="75" customWidth="1"/>
    <col min="1033" max="1036" width="0" style="75" hidden="1" customWidth="1"/>
    <col min="1037" max="1281" width="8.81640625" style="75"/>
    <col min="1282" max="1282" width="13.81640625" style="75" customWidth="1"/>
    <col min="1283" max="1283" width="26.81640625" style="75" customWidth="1"/>
    <col min="1284" max="1285" width="10.81640625" style="75" customWidth="1"/>
    <col min="1286" max="1286" width="13.81640625" style="75" customWidth="1"/>
    <col min="1287" max="1288" width="14.81640625" style="75" customWidth="1"/>
    <col min="1289" max="1292" width="0" style="75" hidden="1" customWidth="1"/>
    <col min="1293" max="1537" width="8.81640625" style="75"/>
    <col min="1538" max="1538" width="13.81640625" style="75" customWidth="1"/>
    <col min="1539" max="1539" width="26.81640625" style="75" customWidth="1"/>
    <col min="1540" max="1541" width="10.81640625" style="75" customWidth="1"/>
    <col min="1542" max="1542" width="13.81640625" style="75" customWidth="1"/>
    <col min="1543" max="1544" width="14.81640625" style="75" customWidth="1"/>
    <col min="1545" max="1548" width="0" style="75" hidden="1" customWidth="1"/>
    <col min="1549" max="1793" width="8.81640625" style="75"/>
    <col min="1794" max="1794" width="13.81640625" style="75" customWidth="1"/>
    <col min="1795" max="1795" width="26.81640625" style="75" customWidth="1"/>
    <col min="1796" max="1797" width="10.81640625" style="75" customWidth="1"/>
    <col min="1798" max="1798" width="13.81640625" style="75" customWidth="1"/>
    <col min="1799" max="1800" width="14.81640625" style="75" customWidth="1"/>
    <col min="1801" max="1804" width="0" style="75" hidden="1" customWidth="1"/>
    <col min="1805" max="2049" width="8.81640625" style="75"/>
    <col min="2050" max="2050" width="13.81640625" style="75" customWidth="1"/>
    <col min="2051" max="2051" width="26.81640625" style="75" customWidth="1"/>
    <col min="2052" max="2053" width="10.81640625" style="75" customWidth="1"/>
    <col min="2054" max="2054" width="13.81640625" style="75" customWidth="1"/>
    <col min="2055" max="2056" width="14.81640625" style="75" customWidth="1"/>
    <col min="2057" max="2060" width="0" style="75" hidden="1" customWidth="1"/>
    <col min="2061" max="2305" width="8.81640625" style="75"/>
    <col min="2306" max="2306" width="13.81640625" style="75" customWidth="1"/>
    <col min="2307" max="2307" width="26.81640625" style="75" customWidth="1"/>
    <col min="2308" max="2309" width="10.81640625" style="75" customWidth="1"/>
    <col min="2310" max="2310" width="13.81640625" style="75" customWidth="1"/>
    <col min="2311" max="2312" width="14.81640625" style="75" customWidth="1"/>
    <col min="2313" max="2316" width="0" style="75" hidden="1" customWidth="1"/>
    <col min="2317" max="2561" width="8.81640625" style="75"/>
    <col min="2562" max="2562" width="13.81640625" style="75" customWidth="1"/>
    <col min="2563" max="2563" width="26.81640625" style="75" customWidth="1"/>
    <col min="2564" max="2565" width="10.81640625" style="75" customWidth="1"/>
    <col min="2566" max="2566" width="13.81640625" style="75" customWidth="1"/>
    <col min="2567" max="2568" width="14.81640625" style="75" customWidth="1"/>
    <col min="2569" max="2572" width="0" style="75" hidden="1" customWidth="1"/>
    <col min="2573" max="2817" width="8.81640625" style="75"/>
    <col min="2818" max="2818" width="13.81640625" style="75" customWidth="1"/>
    <col min="2819" max="2819" width="26.81640625" style="75" customWidth="1"/>
    <col min="2820" max="2821" width="10.81640625" style="75" customWidth="1"/>
    <col min="2822" max="2822" width="13.81640625" style="75" customWidth="1"/>
    <col min="2823" max="2824" width="14.81640625" style="75" customWidth="1"/>
    <col min="2825" max="2828" width="0" style="75" hidden="1" customWidth="1"/>
    <col min="2829" max="3073" width="8.81640625" style="75"/>
    <col min="3074" max="3074" width="13.81640625" style="75" customWidth="1"/>
    <col min="3075" max="3075" width="26.81640625" style="75" customWidth="1"/>
    <col min="3076" max="3077" width="10.81640625" style="75" customWidth="1"/>
    <col min="3078" max="3078" width="13.81640625" style="75" customWidth="1"/>
    <col min="3079" max="3080" width="14.81640625" style="75" customWidth="1"/>
    <col min="3081" max="3084" width="0" style="75" hidden="1" customWidth="1"/>
    <col min="3085" max="3329" width="8.81640625" style="75"/>
    <col min="3330" max="3330" width="13.81640625" style="75" customWidth="1"/>
    <col min="3331" max="3331" width="26.81640625" style="75" customWidth="1"/>
    <col min="3332" max="3333" width="10.81640625" style="75" customWidth="1"/>
    <col min="3334" max="3334" width="13.81640625" style="75" customWidth="1"/>
    <col min="3335" max="3336" width="14.81640625" style="75" customWidth="1"/>
    <col min="3337" max="3340" width="0" style="75" hidden="1" customWidth="1"/>
    <col min="3341" max="3585" width="8.81640625" style="75"/>
    <col min="3586" max="3586" width="13.81640625" style="75" customWidth="1"/>
    <col min="3587" max="3587" width="26.81640625" style="75" customWidth="1"/>
    <col min="3588" max="3589" width="10.81640625" style="75" customWidth="1"/>
    <col min="3590" max="3590" width="13.81640625" style="75" customWidth="1"/>
    <col min="3591" max="3592" width="14.81640625" style="75" customWidth="1"/>
    <col min="3593" max="3596" width="0" style="75" hidden="1" customWidth="1"/>
    <col min="3597" max="3841" width="8.81640625" style="75"/>
    <col min="3842" max="3842" width="13.81640625" style="75" customWidth="1"/>
    <col min="3843" max="3843" width="26.81640625" style="75" customWidth="1"/>
    <col min="3844" max="3845" width="10.81640625" style="75" customWidth="1"/>
    <col min="3846" max="3846" width="13.81640625" style="75" customWidth="1"/>
    <col min="3847" max="3848" width="14.81640625" style="75" customWidth="1"/>
    <col min="3849" max="3852" width="0" style="75" hidden="1" customWidth="1"/>
    <col min="3853" max="4097" width="8.81640625" style="75"/>
    <col min="4098" max="4098" width="13.81640625" style="75" customWidth="1"/>
    <col min="4099" max="4099" width="26.81640625" style="75" customWidth="1"/>
    <col min="4100" max="4101" width="10.81640625" style="75" customWidth="1"/>
    <col min="4102" max="4102" width="13.81640625" style="75" customWidth="1"/>
    <col min="4103" max="4104" width="14.81640625" style="75" customWidth="1"/>
    <col min="4105" max="4108" width="0" style="75" hidden="1" customWidth="1"/>
    <col min="4109" max="4353" width="8.81640625" style="75"/>
    <col min="4354" max="4354" width="13.81640625" style="75" customWidth="1"/>
    <col min="4355" max="4355" width="26.81640625" style="75" customWidth="1"/>
    <col min="4356" max="4357" width="10.81640625" style="75" customWidth="1"/>
    <col min="4358" max="4358" width="13.81640625" style="75" customWidth="1"/>
    <col min="4359" max="4360" width="14.81640625" style="75" customWidth="1"/>
    <col min="4361" max="4364" width="0" style="75" hidden="1" customWidth="1"/>
    <col min="4365" max="4609" width="8.81640625" style="75"/>
    <col min="4610" max="4610" width="13.81640625" style="75" customWidth="1"/>
    <col min="4611" max="4611" width="26.81640625" style="75" customWidth="1"/>
    <col min="4612" max="4613" width="10.81640625" style="75" customWidth="1"/>
    <col min="4614" max="4614" width="13.81640625" style="75" customWidth="1"/>
    <col min="4615" max="4616" width="14.81640625" style="75" customWidth="1"/>
    <col min="4617" max="4620" width="0" style="75" hidden="1" customWidth="1"/>
    <col min="4621" max="4865" width="8.81640625" style="75"/>
    <col min="4866" max="4866" width="13.81640625" style="75" customWidth="1"/>
    <col min="4867" max="4867" width="26.81640625" style="75" customWidth="1"/>
    <col min="4868" max="4869" width="10.81640625" style="75" customWidth="1"/>
    <col min="4870" max="4870" width="13.81640625" style="75" customWidth="1"/>
    <col min="4871" max="4872" width="14.81640625" style="75" customWidth="1"/>
    <col min="4873" max="4876" width="0" style="75" hidden="1" customWidth="1"/>
    <col min="4877" max="5121" width="8.81640625" style="75"/>
    <col min="5122" max="5122" width="13.81640625" style="75" customWidth="1"/>
    <col min="5123" max="5123" width="26.81640625" style="75" customWidth="1"/>
    <col min="5124" max="5125" width="10.81640625" style="75" customWidth="1"/>
    <col min="5126" max="5126" width="13.81640625" style="75" customWidth="1"/>
    <col min="5127" max="5128" width="14.81640625" style="75" customWidth="1"/>
    <col min="5129" max="5132" width="0" style="75" hidden="1" customWidth="1"/>
    <col min="5133" max="5377" width="8.81640625" style="75"/>
    <col min="5378" max="5378" width="13.81640625" style="75" customWidth="1"/>
    <col min="5379" max="5379" width="26.81640625" style="75" customWidth="1"/>
    <col min="5380" max="5381" width="10.81640625" style="75" customWidth="1"/>
    <col min="5382" max="5382" width="13.81640625" style="75" customWidth="1"/>
    <col min="5383" max="5384" width="14.81640625" style="75" customWidth="1"/>
    <col min="5385" max="5388" width="0" style="75" hidden="1" customWidth="1"/>
    <col min="5389" max="5633" width="8.81640625" style="75"/>
    <col min="5634" max="5634" width="13.81640625" style="75" customWidth="1"/>
    <col min="5635" max="5635" width="26.81640625" style="75" customWidth="1"/>
    <col min="5636" max="5637" width="10.81640625" style="75" customWidth="1"/>
    <col min="5638" max="5638" width="13.81640625" style="75" customWidth="1"/>
    <col min="5639" max="5640" width="14.81640625" style="75" customWidth="1"/>
    <col min="5641" max="5644" width="0" style="75" hidden="1" customWidth="1"/>
    <col min="5645" max="5889" width="8.81640625" style="75"/>
    <col min="5890" max="5890" width="13.81640625" style="75" customWidth="1"/>
    <col min="5891" max="5891" width="26.81640625" style="75" customWidth="1"/>
    <col min="5892" max="5893" width="10.81640625" style="75" customWidth="1"/>
    <col min="5894" max="5894" width="13.81640625" style="75" customWidth="1"/>
    <col min="5895" max="5896" width="14.81640625" style="75" customWidth="1"/>
    <col min="5897" max="5900" width="0" style="75" hidden="1" customWidth="1"/>
    <col min="5901" max="6145" width="8.81640625" style="75"/>
    <col min="6146" max="6146" width="13.81640625" style="75" customWidth="1"/>
    <col min="6147" max="6147" width="26.81640625" style="75" customWidth="1"/>
    <col min="6148" max="6149" width="10.81640625" style="75" customWidth="1"/>
    <col min="6150" max="6150" width="13.81640625" style="75" customWidth="1"/>
    <col min="6151" max="6152" width="14.81640625" style="75" customWidth="1"/>
    <col min="6153" max="6156" width="0" style="75" hidden="1" customWidth="1"/>
    <col min="6157" max="6401" width="8.81640625" style="75"/>
    <col min="6402" max="6402" width="13.81640625" style="75" customWidth="1"/>
    <col min="6403" max="6403" width="26.81640625" style="75" customWidth="1"/>
    <col min="6404" max="6405" width="10.81640625" style="75" customWidth="1"/>
    <col min="6406" max="6406" width="13.81640625" style="75" customWidth="1"/>
    <col min="6407" max="6408" width="14.81640625" style="75" customWidth="1"/>
    <col min="6409" max="6412" width="0" style="75" hidden="1" customWidth="1"/>
    <col min="6413" max="6657" width="8.81640625" style="75"/>
    <col min="6658" max="6658" width="13.81640625" style="75" customWidth="1"/>
    <col min="6659" max="6659" width="26.81640625" style="75" customWidth="1"/>
    <col min="6660" max="6661" width="10.81640625" style="75" customWidth="1"/>
    <col min="6662" max="6662" width="13.81640625" style="75" customWidth="1"/>
    <col min="6663" max="6664" width="14.81640625" style="75" customWidth="1"/>
    <col min="6665" max="6668" width="0" style="75" hidden="1" customWidth="1"/>
    <col min="6669" max="6913" width="8.81640625" style="75"/>
    <col min="6914" max="6914" width="13.81640625" style="75" customWidth="1"/>
    <col min="6915" max="6915" width="26.81640625" style="75" customWidth="1"/>
    <col min="6916" max="6917" width="10.81640625" style="75" customWidth="1"/>
    <col min="6918" max="6918" width="13.81640625" style="75" customWidth="1"/>
    <col min="6919" max="6920" width="14.81640625" style="75" customWidth="1"/>
    <col min="6921" max="6924" width="0" style="75" hidden="1" customWidth="1"/>
    <col min="6925" max="7169" width="8.81640625" style="75"/>
    <col min="7170" max="7170" width="13.81640625" style="75" customWidth="1"/>
    <col min="7171" max="7171" width="26.81640625" style="75" customWidth="1"/>
    <col min="7172" max="7173" width="10.81640625" style="75" customWidth="1"/>
    <col min="7174" max="7174" width="13.81640625" style="75" customWidth="1"/>
    <col min="7175" max="7176" width="14.81640625" style="75" customWidth="1"/>
    <col min="7177" max="7180" width="0" style="75" hidden="1" customWidth="1"/>
    <col min="7181" max="7425" width="8.81640625" style="75"/>
    <col min="7426" max="7426" width="13.81640625" style="75" customWidth="1"/>
    <col min="7427" max="7427" width="26.81640625" style="75" customWidth="1"/>
    <col min="7428" max="7429" width="10.81640625" style="75" customWidth="1"/>
    <col min="7430" max="7430" width="13.81640625" style="75" customWidth="1"/>
    <col min="7431" max="7432" width="14.81640625" style="75" customWidth="1"/>
    <col min="7433" max="7436" width="0" style="75" hidden="1" customWidth="1"/>
    <col min="7437" max="7681" width="8.81640625" style="75"/>
    <col min="7682" max="7682" width="13.81640625" style="75" customWidth="1"/>
    <col min="7683" max="7683" width="26.81640625" style="75" customWidth="1"/>
    <col min="7684" max="7685" width="10.81640625" style="75" customWidth="1"/>
    <col min="7686" max="7686" width="13.81640625" style="75" customWidth="1"/>
    <col min="7687" max="7688" width="14.81640625" style="75" customWidth="1"/>
    <col min="7689" max="7692" width="0" style="75" hidden="1" customWidth="1"/>
    <col min="7693" max="7937" width="8.81640625" style="75"/>
    <col min="7938" max="7938" width="13.81640625" style="75" customWidth="1"/>
    <col min="7939" max="7939" width="26.81640625" style="75" customWidth="1"/>
    <col min="7940" max="7941" width="10.81640625" style="75" customWidth="1"/>
    <col min="7942" max="7942" width="13.81640625" style="75" customWidth="1"/>
    <col min="7943" max="7944" width="14.81640625" style="75" customWidth="1"/>
    <col min="7945" max="7948" width="0" style="75" hidden="1" customWidth="1"/>
    <col min="7949" max="8193" width="8.81640625" style="75"/>
    <col min="8194" max="8194" width="13.81640625" style="75" customWidth="1"/>
    <col min="8195" max="8195" width="26.81640625" style="75" customWidth="1"/>
    <col min="8196" max="8197" width="10.81640625" style="75" customWidth="1"/>
    <col min="8198" max="8198" width="13.81640625" style="75" customWidth="1"/>
    <col min="8199" max="8200" width="14.81640625" style="75" customWidth="1"/>
    <col min="8201" max="8204" width="0" style="75" hidden="1" customWidth="1"/>
    <col min="8205" max="8449" width="8.81640625" style="75"/>
    <col min="8450" max="8450" width="13.81640625" style="75" customWidth="1"/>
    <col min="8451" max="8451" width="26.81640625" style="75" customWidth="1"/>
    <col min="8452" max="8453" width="10.81640625" style="75" customWidth="1"/>
    <col min="8454" max="8454" width="13.81640625" style="75" customWidth="1"/>
    <col min="8455" max="8456" width="14.81640625" style="75" customWidth="1"/>
    <col min="8457" max="8460" width="0" style="75" hidden="1" customWidth="1"/>
    <col min="8461" max="8705" width="8.81640625" style="75"/>
    <col min="8706" max="8706" width="13.81640625" style="75" customWidth="1"/>
    <col min="8707" max="8707" width="26.81640625" style="75" customWidth="1"/>
    <col min="8708" max="8709" width="10.81640625" style="75" customWidth="1"/>
    <col min="8710" max="8710" width="13.81640625" style="75" customWidth="1"/>
    <col min="8711" max="8712" width="14.81640625" style="75" customWidth="1"/>
    <col min="8713" max="8716" width="0" style="75" hidden="1" customWidth="1"/>
    <col min="8717" max="8961" width="8.81640625" style="75"/>
    <col min="8962" max="8962" width="13.81640625" style="75" customWidth="1"/>
    <col min="8963" max="8963" width="26.81640625" style="75" customWidth="1"/>
    <col min="8964" max="8965" width="10.81640625" style="75" customWidth="1"/>
    <col min="8966" max="8966" width="13.81640625" style="75" customWidth="1"/>
    <col min="8967" max="8968" width="14.81640625" style="75" customWidth="1"/>
    <col min="8969" max="8972" width="0" style="75" hidden="1" customWidth="1"/>
    <col min="8973" max="9217" width="8.81640625" style="75"/>
    <col min="9218" max="9218" width="13.81640625" style="75" customWidth="1"/>
    <col min="9219" max="9219" width="26.81640625" style="75" customWidth="1"/>
    <col min="9220" max="9221" width="10.81640625" style="75" customWidth="1"/>
    <col min="9222" max="9222" width="13.81640625" style="75" customWidth="1"/>
    <col min="9223" max="9224" width="14.81640625" style="75" customWidth="1"/>
    <col min="9225" max="9228" width="0" style="75" hidden="1" customWidth="1"/>
    <col min="9229" max="9473" width="8.81640625" style="75"/>
    <col min="9474" max="9474" width="13.81640625" style="75" customWidth="1"/>
    <col min="9475" max="9475" width="26.81640625" style="75" customWidth="1"/>
    <col min="9476" max="9477" width="10.81640625" style="75" customWidth="1"/>
    <col min="9478" max="9478" width="13.81640625" style="75" customWidth="1"/>
    <col min="9479" max="9480" width="14.81640625" style="75" customWidth="1"/>
    <col min="9481" max="9484" width="0" style="75" hidden="1" customWidth="1"/>
    <col min="9485" max="9729" width="8.81640625" style="75"/>
    <col min="9730" max="9730" width="13.81640625" style="75" customWidth="1"/>
    <col min="9731" max="9731" width="26.81640625" style="75" customWidth="1"/>
    <col min="9732" max="9733" width="10.81640625" style="75" customWidth="1"/>
    <col min="9734" max="9734" width="13.81640625" style="75" customWidth="1"/>
    <col min="9735" max="9736" width="14.81640625" style="75" customWidth="1"/>
    <col min="9737" max="9740" width="0" style="75" hidden="1" customWidth="1"/>
    <col min="9741" max="9985" width="8.81640625" style="75"/>
    <col min="9986" max="9986" width="13.81640625" style="75" customWidth="1"/>
    <col min="9987" max="9987" width="26.81640625" style="75" customWidth="1"/>
    <col min="9988" max="9989" width="10.81640625" style="75" customWidth="1"/>
    <col min="9990" max="9990" width="13.81640625" style="75" customWidth="1"/>
    <col min="9991" max="9992" width="14.81640625" style="75" customWidth="1"/>
    <col min="9993" max="9996" width="0" style="75" hidden="1" customWidth="1"/>
    <col min="9997" max="10241" width="8.81640625" style="75"/>
    <col min="10242" max="10242" width="13.81640625" style="75" customWidth="1"/>
    <col min="10243" max="10243" width="26.81640625" style="75" customWidth="1"/>
    <col min="10244" max="10245" width="10.81640625" style="75" customWidth="1"/>
    <col min="10246" max="10246" width="13.81640625" style="75" customWidth="1"/>
    <col min="10247" max="10248" width="14.81640625" style="75" customWidth="1"/>
    <col min="10249" max="10252" width="0" style="75" hidden="1" customWidth="1"/>
    <col min="10253" max="10497" width="8.81640625" style="75"/>
    <col min="10498" max="10498" width="13.81640625" style="75" customWidth="1"/>
    <col min="10499" max="10499" width="26.81640625" style="75" customWidth="1"/>
    <col min="10500" max="10501" width="10.81640625" style="75" customWidth="1"/>
    <col min="10502" max="10502" width="13.81640625" style="75" customWidth="1"/>
    <col min="10503" max="10504" width="14.81640625" style="75" customWidth="1"/>
    <col min="10505" max="10508" width="0" style="75" hidden="1" customWidth="1"/>
    <col min="10509" max="10753" width="8.81640625" style="75"/>
    <col min="10754" max="10754" width="13.81640625" style="75" customWidth="1"/>
    <col min="10755" max="10755" width="26.81640625" style="75" customWidth="1"/>
    <col min="10756" max="10757" width="10.81640625" style="75" customWidth="1"/>
    <col min="10758" max="10758" width="13.81640625" style="75" customWidth="1"/>
    <col min="10759" max="10760" width="14.81640625" style="75" customWidth="1"/>
    <col min="10761" max="10764" width="0" style="75" hidden="1" customWidth="1"/>
    <col min="10765" max="11009" width="8.81640625" style="75"/>
    <col min="11010" max="11010" width="13.81640625" style="75" customWidth="1"/>
    <col min="11011" max="11011" width="26.81640625" style="75" customWidth="1"/>
    <col min="11012" max="11013" width="10.81640625" style="75" customWidth="1"/>
    <col min="11014" max="11014" width="13.81640625" style="75" customWidth="1"/>
    <col min="11015" max="11016" width="14.81640625" style="75" customWidth="1"/>
    <col min="11017" max="11020" width="0" style="75" hidden="1" customWidth="1"/>
    <col min="11021" max="11265" width="8.81640625" style="75"/>
    <col min="11266" max="11266" width="13.81640625" style="75" customWidth="1"/>
    <col min="11267" max="11267" width="26.81640625" style="75" customWidth="1"/>
    <col min="11268" max="11269" width="10.81640625" style="75" customWidth="1"/>
    <col min="11270" max="11270" width="13.81640625" style="75" customWidth="1"/>
    <col min="11271" max="11272" width="14.81640625" style="75" customWidth="1"/>
    <col min="11273" max="11276" width="0" style="75" hidden="1" customWidth="1"/>
    <col min="11277" max="11521" width="8.81640625" style="75"/>
    <col min="11522" max="11522" width="13.81640625" style="75" customWidth="1"/>
    <col min="11523" max="11523" width="26.81640625" style="75" customWidth="1"/>
    <col min="11524" max="11525" width="10.81640625" style="75" customWidth="1"/>
    <col min="11526" max="11526" width="13.81640625" style="75" customWidth="1"/>
    <col min="11527" max="11528" width="14.81640625" style="75" customWidth="1"/>
    <col min="11529" max="11532" width="0" style="75" hidden="1" customWidth="1"/>
    <col min="11533" max="11777" width="8.81640625" style="75"/>
    <col min="11778" max="11778" width="13.81640625" style="75" customWidth="1"/>
    <col min="11779" max="11779" width="26.81640625" style="75" customWidth="1"/>
    <col min="11780" max="11781" width="10.81640625" style="75" customWidth="1"/>
    <col min="11782" max="11782" width="13.81640625" style="75" customWidth="1"/>
    <col min="11783" max="11784" width="14.81640625" style="75" customWidth="1"/>
    <col min="11785" max="11788" width="0" style="75" hidden="1" customWidth="1"/>
    <col min="11789" max="12033" width="8.81640625" style="75"/>
    <col min="12034" max="12034" width="13.81640625" style="75" customWidth="1"/>
    <col min="12035" max="12035" width="26.81640625" style="75" customWidth="1"/>
    <col min="12036" max="12037" width="10.81640625" style="75" customWidth="1"/>
    <col min="12038" max="12038" width="13.81640625" style="75" customWidth="1"/>
    <col min="12039" max="12040" width="14.81640625" style="75" customWidth="1"/>
    <col min="12041" max="12044" width="0" style="75" hidden="1" customWidth="1"/>
    <col min="12045" max="12289" width="8.81640625" style="75"/>
    <col min="12290" max="12290" width="13.81640625" style="75" customWidth="1"/>
    <col min="12291" max="12291" width="26.81640625" style="75" customWidth="1"/>
    <col min="12292" max="12293" width="10.81640625" style="75" customWidth="1"/>
    <col min="12294" max="12294" width="13.81640625" style="75" customWidth="1"/>
    <col min="12295" max="12296" width="14.81640625" style="75" customWidth="1"/>
    <col min="12297" max="12300" width="0" style="75" hidden="1" customWidth="1"/>
    <col min="12301" max="12545" width="8.81640625" style="75"/>
    <col min="12546" max="12546" width="13.81640625" style="75" customWidth="1"/>
    <col min="12547" max="12547" width="26.81640625" style="75" customWidth="1"/>
    <col min="12548" max="12549" width="10.81640625" style="75" customWidth="1"/>
    <col min="12550" max="12550" width="13.81640625" style="75" customWidth="1"/>
    <col min="12551" max="12552" width="14.81640625" style="75" customWidth="1"/>
    <col min="12553" max="12556" width="0" style="75" hidden="1" customWidth="1"/>
    <col min="12557" max="12801" width="8.81640625" style="75"/>
    <col min="12802" max="12802" width="13.81640625" style="75" customWidth="1"/>
    <col min="12803" max="12803" width="26.81640625" style="75" customWidth="1"/>
    <col min="12804" max="12805" width="10.81640625" style="75" customWidth="1"/>
    <col min="12806" max="12806" width="13.81640625" style="75" customWidth="1"/>
    <col min="12807" max="12808" width="14.81640625" style="75" customWidth="1"/>
    <col min="12809" max="12812" width="0" style="75" hidden="1" customWidth="1"/>
    <col min="12813" max="13057" width="8.81640625" style="75"/>
    <col min="13058" max="13058" width="13.81640625" style="75" customWidth="1"/>
    <col min="13059" max="13059" width="26.81640625" style="75" customWidth="1"/>
    <col min="13060" max="13061" width="10.81640625" style="75" customWidth="1"/>
    <col min="13062" max="13062" width="13.81640625" style="75" customWidth="1"/>
    <col min="13063" max="13064" width="14.81640625" style="75" customWidth="1"/>
    <col min="13065" max="13068" width="0" style="75" hidden="1" customWidth="1"/>
    <col min="13069" max="13313" width="8.81640625" style="75"/>
    <col min="13314" max="13314" width="13.81640625" style="75" customWidth="1"/>
    <col min="13315" max="13315" width="26.81640625" style="75" customWidth="1"/>
    <col min="13316" max="13317" width="10.81640625" style="75" customWidth="1"/>
    <col min="13318" max="13318" width="13.81640625" style="75" customWidth="1"/>
    <col min="13319" max="13320" width="14.81640625" style="75" customWidth="1"/>
    <col min="13321" max="13324" width="0" style="75" hidden="1" customWidth="1"/>
    <col min="13325" max="13569" width="8.81640625" style="75"/>
    <col min="13570" max="13570" width="13.81640625" style="75" customWidth="1"/>
    <col min="13571" max="13571" width="26.81640625" style="75" customWidth="1"/>
    <col min="13572" max="13573" width="10.81640625" style="75" customWidth="1"/>
    <col min="13574" max="13574" width="13.81640625" style="75" customWidth="1"/>
    <col min="13575" max="13576" width="14.81640625" style="75" customWidth="1"/>
    <col min="13577" max="13580" width="0" style="75" hidden="1" customWidth="1"/>
    <col min="13581" max="13825" width="8.81640625" style="75"/>
    <col min="13826" max="13826" width="13.81640625" style="75" customWidth="1"/>
    <col min="13827" max="13827" width="26.81640625" style="75" customWidth="1"/>
    <col min="13828" max="13829" width="10.81640625" style="75" customWidth="1"/>
    <col min="13830" max="13830" width="13.81640625" style="75" customWidth="1"/>
    <col min="13831" max="13832" width="14.81640625" style="75" customWidth="1"/>
    <col min="13833" max="13836" width="0" style="75" hidden="1" customWidth="1"/>
    <col min="13837" max="14081" width="8.81640625" style="75"/>
    <col min="14082" max="14082" width="13.81640625" style="75" customWidth="1"/>
    <col min="14083" max="14083" width="26.81640625" style="75" customWidth="1"/>
    <col min="14084" max="14085" width="10.81640625" style="75" customWidth="1"/>
    <col min="14086" max="14086" width="13.81640625" style="75" customWidth="1"/>
    <col min="14087" max="14088" width="14.81640625" style="75" customWidth="1"/>
    <col min="14089" max="14092" width="0" style="75" hidden="1" customWidth="1"/>
    <col min="14093" max="14337" width="8.81640625" style="75"/>
    <col min="14338" max="14338" width="13.81640625" style="75" customWidth="1"/>
    <col min="14339" max="14339" width="26.81640625" style="75" customWidth="1"/>
    <col min="14340" max="14341" width="10.81640625" style="75" customWidth="1"/>
    <col min="14342" max="14342" width="13.81640625" style="75" customWidth="1"/>
    <col min="14343" max="14344" width="14.81640625" style="75" customWidth="1"/>
    <col min="14345" max="14348" width="0" style="75" hidden="1" customWidth="1"/>
    <col min="14349" max="14593" width="8.81640625" style="75"/>
    <col min="14594" max="14594" width="13.81640625" style="75" customWidth="1"/>
    <col min="14595" max="14595" width="26.81640625" style="75" customWidth="1"/>
    <col min="14596" max="14597" width="10.81640625" style="75" customWidth="1"/>
    <col min="14598" max="14598" width="13.81640625" style="75" customWidth="1"/>
    <col min="14599" max="14600" width="14.81640625" style="75" customWidth="1"/>
    <col min="14601" max="14604" width="0" style="75" hidden="1" customWidth="1"/>
    <col min="14605" max="14849" width="8.81640625" style="75"/>
    <col min="14850" max="14850" width="13.81640625" style="75" customWidth="1"/>
    <col min="14851" max="14851" width="26.81640625" style="75" customWidth="1"/>
    <col min="14852" max="14853" width="10.81640625" style="75" customWidth="1"/>
    <col min="14854" max="14854" width="13.81640625" style="75" customWidth="1"/>
    <col min="14855" max="14856" width="14.81640625" style="75" customWidth="1"/>
    <col min="14857" max="14860" width="0" style="75" hidden="1" customWidth="1"/>
    <col min="14861" max="15105" width="8.81640625" style="75"/>
    <col min="15106" max="15106" width="13.81640625" style="75" customWidth="1"/>
    <col min="15107" max="15107" width="26.81640625" style="75" customWidth="1"/>
    <col min="15108" max="15109" width="10.81640625" style="75" customWidth="1"/>
    <col min="15110" max="15110" width="13.81640625" style="75" customWidth="1"/>
    <col min="15111" max="15112" width="14.81640625" style="75" customWidth="1"/>
    <col min="15113" max="15116" width="0" style="75" hidden="1" customWidth="1"/>
    <col min="15117" max="15361" width="8.81640625" style="75"/>
    <col min="15362" max="15362" width="13.81640625" style="75" customWidth="1"/>
    <col min="15363" max="15363" width="26.81640625" style="75" customWidth="1"/>
    <col min="15364" max="15365" width="10.81640625" style="75" customWidth="1"/>
    <col min="15366" max="15366" width="13.81640625" style="75" customWidth="1"/>
    <col min="15367" max="15368" width="14.81640625" style="75" customWidth="1"/>
    <col min="15369" max="15372" width="0" style="75" hidden="1" customWidth="1"/>
    <col min="15373" max="15617" width="8.81640625" style="75"/>
    <col min="15618" max="15618" width="13.81640625" style="75" customWidth="1"/>
    <col min="15619" max="15619" width="26.81640625" style="75" customWidth="1"/>
    <col min="15620" max="15621" width="10.81640625" style="75" customWidth="1"/>
    <col min="15622" max="15622" width="13.81640625" style="75" customWidth="1"/>
    <col min="15623" max="15624" width="14.81640625" style="75" customWidth="1"/>
    <col min="15625" max="15628" width="0" style="75" hidden="1" customWidth="1"/>
    <col min="15629" max="15873" width="8.81640625" style="75"/>
    <col min="15874" max="15874" width="13.81640625" style="75" customWidth="1"/>
    <col min="15875" max="15875" width="26.81640625" style="75" customWidth="1"/>
    <col min="15876" max="15877" width="10.81640625" style="75" customWidth="1"/>
    <col min="15878" max="15878" width="13.81640625" style="75" customWidth="1"/>
    <col min="15879" max="15880" width="14.81640625" style="75" customWidth="1"/>
    <col min="15881" max="15884" width="0" style="75" hidden="1" customWidth="1"/>
    <col min="15885" max="16129" width="8.81640625" style="75"/>
    <col min="16130" max="16130" width="13.81640625" style="75" customWidth="1"/>
    <col min="16131" max="16131" width="26.81640625" style="75" customWidth="1"/>
    <col min="16132" max="16133" width="10.81640625" style="75" customWidth="1"/>
    <col min="16134" max="16134" width="13.81640625" style="75" customWidth="1"/>
    <col min="16135" max="16136" width="14.81640625" style="75" customWidth="1"/>
    <col min="16137" max="16140" width="0" style="75" hidden="1" customWidth="1"/>
    <col min="16141" max="16384" width="8.81640625" style="75"/>
  </cols>
  <sheetData>
    <row r="1" spans="1:12" ht="12" customHeight="1" x14ac:dyDescent="0.35"/>
    <row r="2" spans="1:12" ht="12" hidden="1" customHeight="1" x14ac:dyDescent="0.35"/>
    <row r="3" spans="1:12" ht="12" hidden="1" customHeight="1" x14ac:dyDescent="0.35"/>
    <row r="4" spans="1:12" ht="28.5" customHeight="1" x14ac:dyDescent="0.35">
      <c r="B4" s="76" t="s">
        <v>430</v>
      </c>
      <c r="C4" s="458" t="s">
        <v>431</v>
      </c>
      <c r="D4" s="459"/>
      <c r="E4" s="459"/>
      <c r="F4" s="459"/>
      <c r="G4" s="456"/>
      <c r="H4" s="457"/>
      <c r="I4" s="455" t="s">
        <v>3</v>
      </c>
      <c r="J4" s="455"/>
      <c r="K4" s="455" t="s">
        <v>4</v>
      </c>
      <c r="L4" s="455"/>
    </row>
    <row r="5" spans="1:12" ht="12" customHeight="1" x14ac:dyDescent="0.35">
      <c r="B5" s="451" t="s">
        <v>409</v>
      </c>
      <c r="C5" s="451" t="s">
        <v>410</v>
      </c>
      <c r="D5" s="452" t="s">
        <v>411</v>
      </c>
      <c r="E5" s="451" t="s">
        <v>412</v>
      </c>
      <c r="F5" s="451" t="s">
        <v>413</v>
      </c>
      <c r="G5" s="77" t="s">
        <v>414</v>
      </c>
      <c r="H5" s="77" t="s">
        <v>415</v>
      </c>
      <c r="I5" s="78" t="s">
        <v>414</v>
      </c>
      <c r="J5" s="79" t="s">
        <v>415</v>
      </c>
      <c r="K5" s="79" t="s">
        <v>414</v>
      </c>
      <c r="L5" s="79" t="s">
        <v>415</v>
      </c>
    </row>
    <row r="6" spans="1:12" ht="12" customHeight="1" x14ac:dyDescent="0.35">
      <c r="B6" s="451"/>
      <c r="C6" s="451"/>
      <c r="D6" s="453"/>
      <c r="E6" s="451"/>
      <c r="F6" s="451"/>
      <c r="G6" s="77" t="s">
        <v>17</v>
      </c>
      <c r="H6" s="77" t="s">
        <v>416</v>
      </c>
      <c r="I6" s="78" t="s">
        <v>17</v>
      </c>
      <c r="J6" s="79" t="s">
        <v>416</v>
      </c>
      <c r="K6" s="79" t="s">
        <v>17</v>
      </c>
      <c r="L6" s="79" t="s">
        <v>416</v>
      </c>
    </row>
    <row r="7" spans="1:12" ht="12" customHeight="1" x14ac:dyDescent="0.35">
      <c r="B7" s="451"/>
      <c r="C7" s="451"/>
      <c r="D7" s="454"/>
      <c r="E7" s="451"/>
      <c r="F7" s="451"/>
      <c r="G7" s="106"/>
      <c r="H7" s="77" t="s">
        <v>17</v>
      </c>
      <c r="I7" s="94"/>
      <c r="J7" s="79" t="s">
        <v>17</v>
      </c>
      <c r="K7" s="85"/>
      <c r="L7" s="79" t="s">
        <v>17</v>
      </c>
    </row>
    <row r="8" spans="1:12" ht="12" customHeight="1" x14ac:dyDescent="0.35">
      <c r="B8" s="80" t="s">
        <v>5</v>
      </c>
      <c r="C8" s="81" t="s">
        <v>417</v>
      </c>
      <c r="D8" s="82"/>
      <c r="E8" s="82"/>
      <c r="F8" s="82"/>
      <c r="G8" s="82"/>
      <c r="H8" s="82"/>
      <c r="I8" s="83"/>
      <c r="J8" s="83"/>
      <c r="K8" s="83"/>
      <c r="L8" s="83"/>
    </row>
    <row r="9" spans="1:12" ht="12" customHeight="1" x14ac:dyDescent="0.35">
      <c r="A9" s="134">
        <v>10110000</v>
      </c>
      <c r="B9" s="84"/>
      <c r="C9" s="85" t="s">
        <v>30</v>
      </c>
      <c r="D9" s="84" t="s">
        <v>418</v>
      </c>
      <c r="E9" s="84" t="str">
        <f>VLOOKUP(C9,HSD!B:K,2,FALSE)</f>
        <v>OH</v>
      </c>
      <c r="F9" s="86">
        <v>5.0000000000000001E-3</v>
      </c>
      <c r="G9" s="87">
        <f>VLOOKUP(C9,HSD!B:K,10,FALSE)</f>
        <v>150000</v>
      </c>
      <c r="H9" s="87">
        <f>F9*G9</f>
        <v>750</v>
      </c>
      <c r="I9" s="87">
        <v>78600</v>
      </c>
      <c r="J9" s="87">
        <f>F9*I9</f>
        <v>393</v>
      </c>
      <c r="K9" s="87">
        <v>78600</v>
      </c>
      <c r="L9" s="87">
        <f>F9*K9</f>
        <v>393</v>
      </c>
    </row>
    <row r="10" spans="1:12" ht="12" customHeight="1" x14ac:dyDescent="0.35">
      <c r="A10" s="134">
        <v>10120000</v>
      </c>
      <c r="B10" s="84"/>
      <c r="C10" s="85" t="s">
        <v>27</v>
      </c>
      <c r="D10" s="84" t="s">
        <v>419</v>
      </c>
      <c r="E10" s="84" t="str">
        <f>VLOOKUP(C10,HSD!B:K,2,FALSE)</f>
        <v>OH</v>
      </c>
      <c r="F10" s="86"/>
      <c r="G10" s="87">
        <f>VLOOKUP(C10,HSD!B:K,10,FALSE)</f>
        <v>150000</v>
      </c>
      <c r="H10" s="87">
        <f>F10*G10</f>
        <v>0</v>
      </c>
      <c r="I10" s="87">
        <v>91500</v>
      </c>
      <c r="J10" s="87">
        <f>F10*I10</f>
        <v>0</v>
      </c>
      <c r="K10" s="87">
        <v>91500</v>
      </c>
      <c r="L10" s="87">
        <f>F10*K10</f>
        <v>0</v>
      </c>
    </row>
    <row r="11" spans="1:12" ht="12" customHeight="1" x14ac:dyDescent="0.35">
      <c r="A11" s="134">
        <v>10130000</v>
      </c>
      <c r="B11" s="84"/>
      <c r="C11" s="85" t="s">
        <v>28</v>
      </c>
      <c r="D11" s="84" t="s">
        <v>420</v>
      </c>
      <c r="E11" s="84" t="str">
        <f>VLOOKUP(C11,HSD!B:K,2,FALSE)</f>
        <v>OH</v>
      </c>
      <c r="F11" s="86">
        <v>0.05</v>
      </c>
      <c r="G11" s="87">
        <f>VLOOKUP(C11,HSD!B:K,10,FALSE)</f>
        <v>120000</v>
      </c>
      <c r="H11" s="87">
        <f>F11*G11</f>
        <v>6000</v>
      </c>
      <c r="I11" s="87">
        <v>92500</v>
      </c>
      <c r="J11" s="87">
        <f>F11*I11</f>
        <v>4625</v>
      </c>
      <c r="K11" s="87">
        <v>92500</v>
      </c>
      <c r="L11" s="87">
        <f>F11*K11</f>
        <v>4625</v>
      </c>
    </row>
    <row r="12" spans="1:12" ht="12" customHeight="1" x14ac:dyDescent="0.35">
      <c r="B12" s="84"/>
      <c r="C12" s="85"/>
      <c r="D12" s="84"/>
      <c r="E12" s="84"/>
      <c r="F12" s="86"/>
      <c r="G12" s="87"/>
      <c r="H12" s="87"/>
      <c r="I12" s="87">
        <v>93500</v>
      </c>
      <c r="J12" s="87">
        <f>F12*I12</f>
        <v>0</v>
      </c>
      <c r="K12" s="87">
        <v>93500</v>
      </c>
      <c r="L12" s="87">
        <f>F12*K12</f>
        <v>0</v>
      </c>
    </row>
    <row r="13" spans="1:12" ht="12" customHeight="1" x14ac:dyDescent="0.35">
      <c r="B13" s="84"/>
      <c r="C13" s="88"/>
      <c r="D13" s="79"/>
      <c r="E13" s="79"/>
      <c r="F13" s="89" t="s">
        <v>421</v>
      </c>
      <c r="G13" s="85"/>
      <c r="H13" s="87">
        <f>SUM(H9:H12)</f>
        <v>6750</v>
      </c>
      <c r="I13" s="85"/>
      <c r="J13" s="87">
        <f>SUM(J9:J12)</f>
        <v>5018</v>
      </c>
      <c r="K13" s="85"/>
      <c r="L13" s="87">
        <f>SUM(L9:L12)</f>
        <v>5018</v>
      </c>
    </row>
    <row r="14" spans="1:12" ht="12" customHeight="1" x14ac:dyDescent="0.35">
      <c r="B14" s="84" t="s">
        <v>6</v>
      </c>
      <c r="C14" s="88" t="s">
        <v>422</v>
      </c>
      <c r="D14" s="79"/>
      <c r="E14" s="79"/>
      <c r="F14" s="90"/>
      <c r="G14" s="88"/>
      <c r="H14" s="87"/>
      <c r="I14" s="88"/>
      <c r="J14" s="87"/>
      <c r="K14" s="88"/>
      <c r="L14" s="87"/>
    </row>
    <row r="15" spans="1:12" ht="12" customHeight="1" x14ac:dyDescent="0.35">
      <c r="B15" s="84"/>
      <c r="C15" s="88"/>
      <c r="D15" s="79"/>
      <c r="E15" s="84"/>
      <c r="F15" s="124"/>
      <c r="G15" s="87"/>
      <c r="H15" s="87">
        <f>F15*G15</f>
        <v>0</v>
      </c>
      <c r="I15" s="87">
        <v>232500</v>
      </c>
      <c r="J15" s="87">
        <f>F15*I15</f>
        <v>0</v>
      </c>
      <c r="K15" s="87">
        <v>270000</v>
      </c>
      <c r="L15" s="87">
        <f>F15*K15</f>
        <v>0</v>
      </c>
    </row>
    <row r="16" spans="1:12" ht="12" customHeight="1" x14ac:dyDescent="0.35">
      <c r="B16" s="84"/>
      <c r="C16" s="88"/>
      <c r="D16" s="79"/>
      <c r="E16" s="84"/>
      <c r="F16" s="124"/>
      <c r="G16" s="87"/>
      <c r="H16" s="87">
        <f>F16*G16</f>
        <v>0</v>
      </c>
      <c r="I16" s="87">
        <v>1060</v>
      </c>
      <c r="J16" s="87">
        <f>F16*I16</f>
        <v>0</v>
      </c>
      <c r="K16" s="87">
        <v>1060</v>
      </c>
      <c r="L16" s="87">
        <f>F16*K16</f>
        <v>0</v>
      </c>
    </row>
    <row r="17" spans="1:12" ht="12" customHeight="1" x14ac:dyDescent="0.35">
      <c r="B17" s="84"/>
      <c r="C17" s="88"/>
      <c r="D17" s="79"/>
      <c r="E17" s="84"/>
      <c r="F17" s="124"/>
      <c r="G17" s="87"/>
      <c r="H17" s="87">
        <f>F17*G17</f>
        <v>0</v>
      </c>
      <c r="I17" s="87">
        <v>215000</v>
      </c>
      <c r="J17" s="87">
        <f>F17*I17</f>
        <v>0</v>
      </c>
      <c r="K17" s="87">
        <v>250000</v>
      </c>
      <c r="L17" s="87">
        <f>F17*K17</f>
        <v>0</v>
      </c>
    </row>
    <row r="18" spans="1:12" ht="12" customHeight="1" x14ac:dyDescent="0.35">
      <c r="B18" s="84"/>
      <c r="C18" s="88"/>
      <c r="D18" s="83"/>
      <c r="E18" s="83"/>
      <c r="F18" s="89" t="s">
        <v>423</v>
      </c>
      <c r="G18" s="85"/>
      <c r="H18" s="87">
        <f>SUM(H15:H17)</f>
        <v>0</v>
      </c>
      <c r="I18" s="85"/>
      <c r="J18" s="87">
        <f>SUM(J15:J17)</f>
        <v>0</v>
      </c>
      <c r="K18" s="85"/>
      <c r="L18" s="87">
        <f>SUM(L15:L17)</f>
        <v>0</v>
      </c>
    </row>
    <row r="19" spans="1:12" ht="12" customHeight="1" x14ac:dyDescent="0.35">
      <c r="B19" s="84" t="s">
        <v>7</v>
      </c>
      <c r="C19" s="88" t="s">
        <v>424</v>
      </c>
      <c r="D19" s="83"/>
      <c r="E19" s="83"/>
      <c r="F19" s="91"/>
      <c r="G19" s="88"/>
      <c r="H19" s="87"/>
      <c r="I19" s="88"/>
      <c r="J19" s="87"/>
      <c r="K19" s="88"/>
      <c r="L19" s="87"/>
    </row>
    <row r="20" spans="1:12" ht="12" customHeight="1" x14ac:dyDescent="0.35">
      <c r="B20" s="88"/>
      <c r="C20" s="88"/>
      <c r="D20" s="83"/>
      <c r="E20" s="83"/>
      <c r="F20" s="91"/>
      <c r="G20" s="87"/>
      <c r="H20" s="87">
        <f>F20*G20</f>
        <v>0</v>
      </c>
      <c r="I20" s="87"/>
      <c r="J20" s="87">
        <f>H20*I20</f>
        <v>0</v>
      </c>
      <c r="K20" s="87"/>
      <c r="L20" s="87">
        <f>J20*K20</f>
        <v>0</v>
      </c>
    </row>
    <row r="21" spans="1:12" ht="12" customHeight="1" x14ac:dyDescent="0.35">
      <c r="B21" s="88"/>
      <c r="C21" s="88"/>
      <c r="D21" s="83"/>
      <c r="E21" s="83"/>
      <c r="F21" s="91"/>
      <c r="G21" s="87"/>
      <c r="H21" s="87">
        <f>F21*G21</f>
        <v>0</v>
      </c>
      <c r="I21" s="87"/>
      <c r="J21" s="87">
        <f>H21*I21</f>
        <v>0</v>
      </c>
      <c r="K21" s="87"/>
      <c r="L21" s="87">
        <f>J21*K21</f>
        <v>0</v>
      </c>
    </row>
    <row r="22" spans="1:12" ht="12" customHeight="1" x14ac:dyDescent="0.35">
      <c r="B22" s="88"/>
      <c r="C22" s="88"/>
      <c r="D22" s="83"/>
      <c r="E22" s="83"/>
      <c r="F22" s="89" t="s">
        <v>425</v>
      </c>
      <c r="G22" s="85"/>
      <c r="H22" s="87">
        <f>SUM(H20:H21)</f>
        <v>0</v>
      </c>
      <c r="I22" s="85"/>
      <c r="J22" s="87">
        <f>SUM(J20:J21)</f>
        <v>0</v>
      </c>
      <c r="K22" s="85"/>
      <c r="L22" s="87">
        <f>SUM(L20:L21)</f>
        <v>0</v>
      </c>
    </row>
    <row r="23" spans="1:12" ht="12" customHeight="1" x14ac:dyDescent="0.35">
      <c r="B23" s="84" t="s">
        <v>8</v>
      </c>
      <c r="C23" s="92" t="s">
        <v>426</v>
      </c>
      <c r="D23" s="93"/>
      <c r="E23" s="93"/>
      <c r="F23" s="93"/>
      <c r="G23" s="94"/>
      <c r="H23" s="87">
        <f>H13+H18+H22</f>
        <v>6750</v>
      </c>
      <c r="I23" s="94"/>
      <c r="J23" s="87">
        <f>J13+J18+J22</f>
        <v>5018</v>
      </c>
      <c r="K23" s="94"/>
      <c r="L23" s="87">
        <f>L13+L18+L22</f>
        <v>5018</v>
      </c>
    </row>
    <row r="24" spans="1:12" ht="12" customHeight="1" x14ac:dyDescent="0.35">
      <c r="B24" s="84" t="s">
        <v>9</v>
      </c>
      <c r="C24" s="455" t="s">
        <v>427</v>
      </c>
      <c r="D24" s="455"/>
      <c r="E24" s="455"/>
      <c r="F24" s="95">
        <f>0</f>
        <v>0</v>
      </c>
      <c r="G24" s="85" t="s">
        <v>428</v>
      </c>
      <c r="H24" s="87">
        <f>H23*F24</f>
        <v>0</v>
      </c>
      <c r="I24" s="85" t="s">
        <v>428</v>
      </c>
      <c r="J24" s="87">
        <f>J23*F24</f>
        <v>0</v>
      </c>
      <c r="K24" s="85" t="s">
        <v>428</v>
      </c>
      <c r="L24" s="87">
        <f>L23*F24</f>
        <v>0</v>
      </c>
    </row>
    <row r="25" spans="1:12" ht="12" customHeight="1" x14ac:dyDescent="0.35">
      <c r="B25" s="84" t="s">
        <v>10</v>
      </c>
      <c r="C25" s="92" t="s">
        <v>429</v>
      </c>
      <c r="D25" s="93"/>
      <c r="E25" s="93"/>
      <c r="F25" s="93"/>
      <c r="G25" s="94"/>
      <c r="H25" s="96">
        <f>H23+H24</f>
        <v>6750</v>
      </c>
      <c r="I25" s="97"/>
      <c r="J25" s="96">
        <f>J23+J24</f>
        <v>5018</v>
      </c>
      <c r="K25" s="97"/>
      <c r="L25" s="96">
        <f>L23+L24</f>
        <v>5018</v>
      </c>
    </row>
    <row r="26" spans="1:12" ht="12" customHeight="1" x14ac:dyDescent="0.35">
      <c r="B26" s="98"/>
      <c r="C26" s="99"/>
      <c r="D26" s="99"/>
      <c r="E26" s="99"/>
      <c r="F26" s="99"/>
      <c r="G26" s="99"/>
      <c r="H26" s="100"/>
    </row>
    <row r="27" spans="1:12" ht="29" customHeight="1" x14ac:dyDescent="0.35">
      <c r="B27" s="76" t="s">
        <v>465</v>
      </c>
      <c r="C27" s="458" t="s">
        <v>462</v>
      </c>
      <c r="D27" s="459"/>
      <c r="E27" s="459"/>
      <c r="F27" s="459"/>
      <c r="G27" s="456"/>
      <c r="H27" s="457"/>
      <c r="I27" s="455" t="s">
        <v>3</v>
      </c>
      <c r="J27" s="455"/>
      <c r="K27" s="455" t="s">
        <v>4</v>
      </c>
      <c r="L27" s="455"/>
    </row>
    <row r="28" spans="1:12" ht="12" customHeight="1" x14ac:dyDescent="0.35">
      <c r="B28" s="451" t="s">
        <v>409</v>
      </c>
      <c r="C28" s="451" t="s">
        <v>410</v>
      </c>
      <c r="D28" s="452" t="s">
        <v>411</v>
      </c>
      <c r="E28" s="451" t="s">
        <v>412</v>
      </c>
      <c r="F28" s="451" t="s">
        <v>413</v>
      </c>
      <c r="G28" s="77" t="s">
        <v>414</v>
      </c>
      <c r="H28" s="77" t="s">
        <v>415</v>
      </c>
      <c r="I28" s="78" t="s">
        <v>414</v>
      </c>
      <c r="J28" s="79" t="s">
        <v>415</v>
      </c>
      <c r="K28" s="79" t="s">
        <v>414</v>
      </c>
      <c r="L28" s="79" t="s">
        <v>415</v>
      </c>
    </row>
    <row r="29" spans="1:12" ht="12" customHeight="1" x14ac:dyDescent="0.35">
      <c r="B29" s="451"/>
      <c r="C29" s="451"/>
      <c r="D29" s="453"/>
      <c r="E29" s="451"/>
      <c r="F29" s="451"/>
      <c r="G29" s="77" t="s">
        <v>17</v>
      </c>
      <c r="H29" s="77" t="s">
        <v>416</v>
      </c>
      <c r="I29" s="78" t="s">
        <v>17</v>
      </c>
      <c r="J29" s="79" t="s">
        <v>416</v>
      </c>
      <c r="K29" s="79" t="s">
        <v>17</v>
      </c>
      <c r="L29" s="79" t="s">
        <v>416</v>
      </c>
    </row>
    <row r="30" spans="1:12" ht="12" customHeight="1" x14ac:dyDescent="0.35">
      <c r="B30" s="451"/>
      <c r="C30" s="451"/>
      <c r="D30" s="454"/>
      <c r="E30" s="451"/>
      <c r="F30" s="451"/>
      <c r="G30" s="106"/>
      <c r="H30" s="77" t="s">
        <v>17</v>
      </c>
      <c r="I30" s="94"/>
      <c r="J30" s="79" t="s">
        <v>17</v>
      </c>
      <c r="K30" s="85"/>
      <c r="L30" s="79" t="s">
        <v>17</v>
      </c>
    </row>
    <row r="31" spans="1:12" ht="12" customHeight="1" x14ac:dyDescent="0.35">
      <c r="B31" s="80" t="s">
        <v>5</v>
      </c>
      <c r="C31" s="81" t="s">
        <v>417</v>
      </c>
      <c r="D31" s="82"/>
      <c r="E31" s="82"/>
      <c r="F31" s="82"/>
      <c r="G31" s="82"/>
      <c r="H31" s="82"/>
      <c r="I31" s="83"/>
      <c r="J31" s="83"/>
      <c r="K31" s="83"/>
      <c r="L31" s="83"/>
    </row>
    <row r="32" spans="1:12" ht="12" customHeight="1" x14ac:dyDescent="0.35">
      <c r="A32" s="134">
        <v>10110000</v>
      </c>
      <c r="B32" s="84"/>
      <c r="C32" s="85" t="s">
        <v>30</v>
      </c>
      <c r="D32" s="84" t="s">
        <v>418</v>
      </c>
      <c r="E32" s="84" t="str">
        <f>VLOOKUP(C32,HSD!B:K,2,FALSE)</f>
        <v>OH</v>
      </c>
      <c r="F32" s="86">
        <v>0.33779999999999999</v>
      </c>
      <c r="G32" s="87">
        <f>VLOOKUP(C32,HSD!B:K,10,FALSE)</f>
        <v>150000</v>
      </c>
      <c r="H32" s="87">
        <f>F32*G32</f>
        <v>50670</v>
      </c>
      <c r="I32" s="87">
        <v>78600</v>
      </c>
      <c r="J32" s="87">
        <f>F32*I32</f>
        <v>26551.079999999998</v>
      </c>
      <c r="K32" s="87">
        <v>78600</v>
      </c>
      <c r="L32" s="87">
        <f>F32*K32</f>
        <v>26551.079999999998</v>
      </c>
    </row>
    <row r="33" spans="1:12" ht="12" customHeight="1" x14ac:dyDescent="0.35">
      <c r="A33" s="134">
        <v>10120000</v>
      </c>
      <c r="B33" s="84"/>
      <c r="C33" s="85" t="s">
        <v>27</v>
      </c>
      <c r="D33" s="84" t="s">
        <v>419</v>
      </c>
      <c r="E33" s="84" t="str">
        <f>VLOOKUP(C33,HSD!B:K,2,FALSE)</f>
        <v>OH</v>
      </c>
      <c r="F33" s="86"/>
      <c r="G33" s="87">
        <f>VLOOKUP(C33,HSD!B:K,10,FALSE)</f>
        <v>150000</v>
      </c>
      <c r="H33" s="87">
        <f>F33*G33</f>
        <v>0</v>
      </c>
      <c r="I33" s="87">
        <v>91500</v>
      </c>
      <c r="J33" s="87">
        <f>F33*I33</f>
        <v>0</v>
      </c>
      <c r="K33" s="87">
        <v>91500</v>
      </c>
      <c r="L33" s="87">
        <f>F33*K33</f>
        <v>0</v>
      </c>
    </row>
    <row r="34" spans="1:12" ht="12" customHeight="1" x14ac:dyDescent="0.35">
      <c r="A34" s="134">
        <v>10130000</v>
      </c>
      <c r="B34" s="84"/>
      <c r="C34" s="85" t="s">
        <v>28</v>
      </c>
      <c r="D34" s="84" t="s">
        <v>420</v>
      </c>
      <c r="E34" s="84" t="str">
        <f>VLOOKUP(C34,HSD!B:K,2,FALSE)</f>
        <v>OH</v>
      </c>
      <c r="F34" s="86">
        <v>3.3780000000000001</v>
      </c>
      <c r="G34" s="87">
        <f>VLOOKUP(C34,HSD!B:K,10,FALSE)</f>
        <v>120000</v>
      </c>
      <c r="H34" s="87">
        <f>F34*G34</f>
        <v>405360</v>
      </c>
      <c r="I34" s="87">
        <v>92500</v>
      </c>
      <c r="J34" s="87">
        <f>F34*I34</f>
        <v>312465</v>
      </c>
      <c r="K34" s="87">
        <v>92500</v>
      </c>
      <c r="L34" s="87">
        <f>F34*K34</f>
        <v>312465</v>
      </c>
    </row>
    <row r="35" spans="1:12" ht="12" customHeight="1" x14ac:dyDescent="0.35">
      <c r="B35" s="84"/>
      <c r="C35" s="85"/>
      <c r="D35" s="84"/>
      <c r="E35" s="84"/>
      <c r="F35" s="86"/>
      <c r="G35" s="87"/>
      <c r="H35" s="87"/>
      <c r="I35" s="87"/>
      <c r="J35" s="87"/>
      <c r="K35" s="87"/>
      <c r="L35" s="87"/>
    </row>
    <row r="36" spans="1:12" ht="12" customHeight="1" x14ac:dyDescent="0.35">
      <c r="B36" s="84"/>
      <c r="C36" s="88"/>
      <c r="D36" s="79"/>
      <c r="E36" s="79"/>
      <c r="F36" s="89" t="s">
        <v>421</v>
      </c>
      <c r="G36" s="101"/>
      <c r="H36" s="87">
        <f>SUM(H32:H35)</f>
        <v>456030</v>
      </c>
      <c r="I36" s="101"/>
      <c r="J36" s="87">
        <f>SUM(J32:J35)</f>
        <v>339016.08</v>
      </c>
      <c r="K36" s="101"/>
      <c r="L36" s="87">
        <f>SUM(L32:L35)</f>
        <v>339016.08</v>
      </c>
    </row>
    <row r="37" spans="1:12" ht="12" customHeight="1" x14ac:dyDescent="0.35">
      <c r="B37" s="84" t="s">
        <v>6</v>
      </c>
      <c r="C37" s="88" t="s">
        <v>422</v>
      </c>
      <c r="D37" s="79"/>
      <c r="E37" s="79"/>
      <c r="F37" s="90"/>
      <c r="G37" s="84"/>
      <c r="H37" s="87"/>
      <c r="I37" s="84"/>
      <c r="J37" s="87"/>
      <c r="K37" s="84"/>
      <c r="L37" s="87"/>
    </row>
    <row r="38" spans="1:12" ht="12" customHeight="1" x14ac:dyDescent="0.35">
      <c r="B38" s="84"/>
      <c r="C38" s="88"/>
      <c r="D38" s="79"/>
      <c r="E38" s="84"/>
      <c r="F38" s="102"/>
      <c r="G38" s="87"/>
      <c r="H38" s="87">
        <f>F38*G38</f>
        <v>0</v>
      </c>
      <c r="I38" s="87">
        <v>232500</v>
      </c>
      <c r="J38" s="87">
        <f>F38*I38</f>
        <v>0</v>
      </c>
      <c r="K38" s="87">
        <v>270000</v>
      </c>
      <c r="L38" s="87">
        <f>F38*K38</f>
        <v>0</v>
      </c>
    </row>
    <row r="39" spans="1:12" ht="12" customHeight="1" x14ac:dyDescent="0.35">
      <c r="B39" s="84"/>
      <c r="C39" s="88"/>
      <c r="D39" s="79"/>
      <c r="E39" s="84"/>
      <c r="F39" s="102"/>
      <c r="G39" s="87"/>
      <c r="H39" s="87">
        <f>F39*G39</f>
        <v>0</v>
      </c>
      <c r="I39" s="87">
        <v>1060</v>
      </c>
      <c r="J39" s="87">
        <f>F39*I39</f>
        <v>0</v>
      </c>
      <c r="K39" s="87">
        <v>1060</v>
      </c>
      <c r="L39" s="87">
        <f>F39*K39</f>
        <v>0</v>
      </c>
    </row>
    <row r="40" spans="1:12" ht="12" customHeight="1" x14ac:dyDescent="0.35">
      <c r="B40" s="84"/>
      <c r="C40" s="88"/>
      <c r="D40" s="79"/>
      <c r="E40" s="84"/>
      <c r="F40" s="102"/>
      <c r="G40" s="87"/>
      <c r="H40" s="87">
        <f>F40*G40</f>
        <v>0</v>
      </c>
      <c r="I40" s="87">
        <v>215000</v>
      </c>
      <c r="J40" s="87">
        <f>F40*I40</f>
        <v>0</v>
      </c>
      <c r="K40" s="87">
        <v>250000</v>
      </c>
      <c r="L40" s="87">
        <f>F40*K40</f>
        <v>0</v>
      </c>
    </row>
    <row r="41" spans="1:12" ht="12" customHeight="1" x14ac:dyDescent="0.35">
      <c r="B41" s="84"/>
      <c r="C41" s="88"/>
      <c r="D41" s="79"/>
      <c r="E41" s="79"/>
      <c r="F41" s="89" t="s">
        <v>423</v>
      </c>
      <c r="G41" s="101"/>
      <c r="H41" s="87">
        <f>SUM(H38:H40)</f>
        <v>0</v>
      </c>
      <c r="I41" s="101"/>
      <c r="J41" s="87">
        <f>SUM(J38:J40)</f>
        <v>0</v>
      </c>
      <c r="K41" s="101"/>
      <c r="L41" s="87">
        <f>SUM(L38:L40)</f>
        <v>0</v>
      </c>
    </row>
    <row r="42" spans="1:12" ht="12" customHeight="1" x14ac:dyDescent="0.35">
      <c r="B42" s="84" t="s">
        <v>7</v>
      </c>
      <c r="C42" s="88" t="s">
        <v>424</v>
      </c>
      <c r="D42" s="79"/>
      <c r="E42" s="79"/>
      <c r="F42" s="90"/>
      <c r="G42" s="84"/>
      <c r="H42" s="87"/>
      <c r="I42" s="84"/>
      <c r="J42" s="87"/>
      <c r="K42" s="84"/>
      <c r="L42" s="87"/>
    </row>
    <row r="43" spans="1:12" ht="12" customHeight="1" x14ac:dyDescent="0.35">
      <c r="B43" s="84"/>
      <c r="C43" s="88"/>
      <c r="D43" s="79"/>
      <c r="E43" s="79"/>
      <c r="F43" s="90"/>
      <c r="G43" s="87"/>
      <c r="H43" s="87">
        <f>F43*G43</f>
        <v>0</v>
      </c>
      <c r="I43" s="87"/>
      <c r="J43" s="87">
        <f>H43*I43</f>
        <v>0</v>
      </c>
      <c r="K43" s="87"/>
      <c r="L43" s="87">
        <f>J43*K43</f>
        <v>0</v>
      </c>
    </row>
    <row r="44" spans="1:12" ht="12" customHeight="1" x14ac:dyDescent="0.35">
      <c r="B44" s="84"/>
      <c r="C44" s="88"/>
      <c r="D44" s="79"/>
      <c r="E44" s="79"/>
      <c r="F44" s="89" t="s">
        <v>425</v>
      </c>
      <c r="G44" s="101"/>
      <c r="H44" s="87">
        <f>SUM(H43)</f>
        <v>0</v>
      </c>
      <c r="I44" s="101"/>
      <c r="J44" s="87">
        <f>SUM(J43)</f>
        <v>0</v>
      </c>
      <c r="K44" s="101"/>
      <c r="L44" s="87">
        <f>SUM(L43)</f>
        <v>0</v>
      </c>
    </row>
    <row r="45" spans="1:12" ht="12" customHeight="1" x14ac:dyDescent="0.35">
      <c r="B45" s="84" t="s">
        <v>8</v>
      </c>
      <c r="C45" s="103" t="s">
        <v>426</v>
      </c>
      <c r="D45" s="104"/>
      <c r="E45" s="104"/>
      <c r="F45" s="104"/>
      <c r="G45" s="105"/>
      <c r="H45" s="87">
        <f>H36+H41+H44</f>
        <v>456030</v>
      </c>
      <c r="I45" s="105"/>
      <c r="J45" s="87">
        <f>J36+J41+J44</f>
        <v>339016.08</v>
      </c>
      <c r="K45" s="105"/>
      <c r="L45" s="87">
        <f>L36+L41+L44</f>
        <v>339016.08</v>
      </c>
    </row>
    <row r="46" spans="1:12" ht="12" customHeight="1" x14ac:dyDescent="0.35">
      <c r="B46" s="84" t="s">
        <v>9</v>
      </c>
      <c r="C46" s="455" t="s">
        <v>427</v>
      </c>
      <c r="D46" s="455"/>
      <c r="E46" s="455"/>
      <c r="F46" s="95">
        <f>0</f>
        <v>0</v>
      </c>
      <c r="G46" s="85" t="s">
        <v>428</v>
      </c>
      <c r="H46" s="87">
        <f>H45*F46</f>
        <v>0</v>
      </c>
      <c r="I46" s="85" t="s">
        <v>428</v>
      </c>
      <c r="J46" s="87">
        <f>J45*F46</f>
        <v>0</v>
      </c>
      <c r="K46" s="85" t="s">
        <v>428</v>
      </c>
      <c r="L46" s="87">
        <f>L45*F46</f>
        <v>0</v>
      </c>
    </row>
    <row r="47" spans="1:12" ht="12" customHeight="1" x14ac:dyDescent="0.35">
      <c r="B47" s="84" t="s">
        <v>10</v>
      </c>
      <c r="C47" s="103" t="s">
        <v>429</v>
      </c>
      <c r="D47" s="104"/>
      <c r="E47" s="104"/>
      <c r="F47" s="104"/>
      <c r="G47" s="105"/>
      <c r="H47" s="96">
        <f>H45+H46</f>
        <v>456030</v>
      </c>
      <c r="I47" s="97"/>
      <c r="J47" s="96">
        <f>J45+J46</f>
        <v>339016.08</v>
      </c>
      <c r="K47" s="97"/>
      <c r="L47" s="96">
        <f>L45+L46</f>
        <v>339016.08</v>
      </c>
    </row>
    <row r="48" spans="1:12" ht="12" customHeight="1" x14ac:dyDescent="0.35">
      <c r="B48" s="98"/>
      <c r="C48" s="99"/>
      <c r="D48" s="99"/>
      <c r="E48" s="99"/>
      <c r="F48" s="99"/>
      <c r="G48" s="99"/>
      <c r="H48" s="100"/>
    </row>
    <row r="49" spans="1:12" ht="29" customHeight="1" x14ac:dyDescent="0.35">
      <c r="B49" s="76" t="s">
        <v>466</v>
      </c>
      <c r="C49" s="458" t="s">
        <v>463</v>
      </c>
      <c r="D49" s="459"/>
      <c r="E49" s="459"/>
      <c r="F49" s="459"/>
      <c r="G49" s="456"/>
      <c r="H49" s="457"/>
      <c r="I49" s="455" t="s">
        <v>3</v>
      </c>
      <c r="J49" s="455"/>
      <c r="K49" s="455" t="s">
        <v>4</v>
      </c>
      <c r="L49" s="455"/>
    </row>
    <row r="50" spans="1:12" ht="12" customHeight="1" x14ac:dyDescent="0.35">
      <c r="B50" s="451" t="s">
        <v>409</v>
      </c>
      <c r="C50" s="451" t="s">
        <v>410</v>
      </c>
      <c r="D50" s="452" t="s">
        <v>411</v>
      </c>
      <c r="E50" s="451" t="s">
        <v>412</v>
      </c>
      <c r="F50" s="451" t="s">
        <v>413</v>
      </c>
      <c r="G50" s="77" t="s">
        <v>414</v>
      </c>
      <c r="H50" s="77" t="s">
        <v>415</v>
      </c>
      <c r="I50" s="78" t="s">
        <v>414</v>
      </c>
      <c r="J50" s="79" t="s">
        <v>415</v>
      </c>
      <c r="K50" s="79" t="s">
        <v>414</v>
      </c>
      <c r="L50" s="79" t="s">
        <v>415</v>
      </c>
    </row>
    <row r="51" spans="1:12" ht="12" customHeight="1" x14ac:dyDescent="0.35">
      <c r="B51" s="451"/>
      <c r="C51" s="451"/>
      <c r="D51" s="453"/>
      <c r="E51" s="451"/>
      <c r="F51" s="451"/>
      <c r="G51" s="77" t="s">
        <v>17</v>
      </c>
      <c r="H51" s="77" t="s">
        <v>416</v>
      </c>
      <c r="I51" s="78" t="s">
        <v>17</v>
      </c>
      <c r="J51" s="79" t="s">
        <v>416</v>
      </c>
      <c r="K51" s="79" t="s">
        <v>17</v>
      </c>
      <c r="L51" s="79" t="s">
        <v>416</v>
      </c>
    </row>
    <row r="52" spans="1:12" ht="12" customHeight="1" x14ac:dyDescent="0.35">
      <c r="B52" s="451"/>
      <c r="C52" s="451"/>
      <c r="D52" s="454"/>
      <c r="E52" s="451"/>
      <c r="F52" s="451"/>
      <c r="G52" s="106"/>
      <c r="H52" s="77" t="s">
        <v>17</v>
      </c>
      <c r="I52" s="94"/>
      <c r="J52" s="79" t="s">
        <v>17</v>
      </c>
      <c r="K52" s="85"/>
      <c r="L52" s="79" t="s">
        <v>17</v>
      </c>
    </row>
    <row r="53" spans="1:12" ht="12" customHeight="1" x14ac:dyDescent="0.35">
      <c r="B53" s="80" t="s">
        <v>5</v>
      </c>
      <c r="C53" s="81" t="s">
        <v>417</v>
      </c>
      <c r="D53" s="82"/>
      <c r="E53" s="82"/>
      <c r="F53" s="82"/>
      <c r="G53" s="82"/>
      <c r="H53" s="82"/>
      <c r="I53" s="83"/>
      <c r="J53" s="83"/>
      <c r="K53" s="83"/>
      <c r="L53" s="83"/>
    </row>
    <row r="54" spans="1:12" ht="12" customHeight="1" x14ac:dyDescent="0.35">
      <c r="A54" s="134">
        <v>10110000</v>
      </c>
      <c r="B54" s="84"/>
      <c r="C54" s="85" t="s">
        <v>30</v>
      </c>
      <c r="D54" s="84" t="s">
        <v>418</v>
      </c>
      <c r="E54" s="84" t="str">
        <f>VLOOKUP(C54,HSD!B:K,2,FALSE)</f>
        <v>OH</v>
      </c>
      <c r="F54" s="86">
        <v>0.375</v>
      </c>
      <c r="G54" s="87">
        <f>VLOOKUP(C54,HSD!B:K,10,FALSE)</f>
        <v>150000</v>
      </c>
      <c r="H54" s="87">
        <f>F54*G54</f>
        <v>56250</v>
      </c>
      <c r="I54" s="87">
        <v>78600</v>
      </c>
      <c r="J54" s="87">
        <f>F54*I54</f>
        <v>29475</v>
      </c>
      <c r="K54" s="87">
        <v>78600</v>
      </c>
      <c r="L54" s="87">
        <f>F54*K54</f>
        <v>29475</v>
      </c>
    </row>
    <row r="55" spans="1:12" ht="12" customHeight="1" x14ac:dyDescent="0.35">
      <c r="A55" s="134">
        <v>10120000</v>
      </c>
      <c r="B55" s="84"/>
      <c r="C55" s="85" t="s">
        <v>27</v>
      </c>
      <c r="D55" s="84" t="s">
        <v>419</v>
      </c>
      <c r="E55" s="84" t="str">
        <f>VLOOKUP(C55,HSD!B:K,2,FALSE)</f>
        <v>OH</v>
      </c>
      <c r="F55" s="86"/>
      <c r="G55" s="87">
        <f>VLOOKUP(C55,HSD!B:K,10,FALSE)</f>
        <v>150000</v>
      </c>
      <c r="H55" s="87">
        <f>F55*G55</f>
        <v>0</v>
      </c>
      <c r="I55" s="87">
        <v>91500</v>
      </c>
      <c r="J55" s="87">
        <f>F55*I55</f>
        <v>0</v>
      </c>
      <c r="K55" s="87">
        <v>91500</v>
      </c>
      <c r="L55" s="87">
        <f>F55*K55</f>
        <v>0</v>
      </c>
    </row>
    <row r="56" spans="1:12" ht="12" customHeight="1" x14ac:dyDescent="0.35">
      <c r="A56" s="134">
        <v>10130000</v>
      </c>
      <c r="B56" s="84"/>
      <c r="C56" s="85" t="s">
        <v>28</v>
      </c>
      <c r="D56" s="84" t="s">
        <v>420</v>
      </c>
      <c r="E56" s="84" t="str">
        <f>VLOOKUP(C56,HSD!B:K,2,FALSE)</f>
        <v>OH</v>
      </c>
      <c r="F56" s="86">
        <v>3.75</v>
      </c>
      <c r="G56" s="87">
        <f>VLOOKUP(C56,HSD!B:K,10,FALSE)</f>
        <v>120000</v>
      </c>
      <c r="H56" s="87">
        <f>F56*G56</f>
        <v>450000</v>
      </c>
      <c r="I56" s="87">
        <v>92500</v>
      </c>
      <c r="J56" s="87">
        <f>F56*I56</f>
        <v>346875</v>
      </c>
      <c r="K56" s="87">
        <v>92500</v>
      </c>
      <c r="L56" s="87">
        <f>F56*K56</f>
        <v>346875</v>
      </c>
    </row>
    <row r="57" spans="1:12" ht="12" customHeight="1" x14ac:dyDescent="0.35">
      <c r="B57" s="84"/>
      <c r="C57" s="85"/>
      <c r="D57" s="84"/>
      <c r="E57" s="84"/>
      <c r="F57" s="86"/>
      <c r="G57" s="87"/>
      <c r="H57" s="87"/>
      <c r="I57" s="87"/>
      <c r="J57" s="87"/>
      <c r="K57" s="87"/>
      <c r="L57" s="87"/>
    </row>
    <row r="58" spans="1:12" ht="12" customHeight="1" x14ac:dyDescent="0.35">
      <c r="B58" s="84"/>
      <c r="C58" s="88"/>
      <c r="D58" s="79"/>
      <c r="E58" s="79"/>
      <c r="F58" s="89" t="s">
        <v>421</v>
      </c>
      <c r="G58" s="101"/>
      <c r="H58" s="87">
        <f>SUM(H54:H57)</f>
        <v>506250</v>
      </c>
      <c r="I58" s="101"/>
      <c r="J58" s="87">
        <f>SUM(J54:J57)</f>
        <v>376350</v>
      </c>
      <c r="K58" s="101"/>
      <c r="L58" s="87">
        <f>SUM(L54:L57)</f>
        <v>376350</v>
      </c>
    </row>
    <row r="59" spans="1:12" ht="12" customHeight="1" x14ac:dyDescent="0.35">
      <c r="B59" s="84" t="s">
        <v>6</v>
      </c>
      <c r="C59" s="88" t="s">
        <v>422</v>
      </c>
      <c r="D59" s="79"/>
      <c r="E59" s="79"/>
      <c r="F59" s="90"/>
      <c r="G59" s="84"/>
      <c r="H59" s="87"/>
      <c r="I59" s="84"/>
      <c r="J59" s="87"/>
      <c r="K59" s="84"/>
      <c r="L59" s="87"/>
    </row>
    <row r="60" spans="1:12" ht="12" customHeight="1" x14ac:dyDescent="0.35">
      <c r="B60" s="84"/>
      <c r="C60" s="88"/>
      <c r="D60" s="79"/>
      <c r="E60" s="84"/>
      <c r="F60" s="102"/>
      <c r="G60" s="87"/>
      <c r="H60" s="87">
        <f>F60*G60</f>
        <v>0</v>
      </c>
      <c r="I60" s="87">
        <v>232500</v>
      </c>
      <c r="J60" s="87">
        <f>F60*I60</f>
        <v>0</v>
      </c>
      <c r="K60" s="87">
        <v>270000</v>
      </c>
      <c r="L60" s="87">
        <f>F60*K60</f>
        <v>0</v>
      </c>
    </row>
    <row r="61" spans="1:12" ht="12" customHeight="1" x14ac:dyDescent="0.35">
      <c r="B61" s="84"/>
      <c r="C61" s="88"/>
      <c r="D61" s="79"/>
      <c r="E61" s="84"/>
      <c r="F61" s="102"/>
      <c r="G61" s="87"/>
      <c r="H61" s="87">
        <f>F61*G61</f>
        <v>0</v>
      </c>
      <c r="I61" s="87">
        <v>1060</v>
      </c>
      <c r="J61" s="87">
        <f>F61*I61</f>
        <v>0</v>
      </c>
      <c r="K61" s="87">
        <v>1060</v>
      </c>
      <c r="L61" s="87">
        <f>F61*K61</f>
        <v>0</v>
      </c>
    </row>
    <row r="62" spans="1:12" ht="12" customHeight="1" x14ac:dyDescent="0.35">
      <c r="B62" s="84"/>
      <c r="C62" s="88"/>
      <c r="D62" s="79"/>
      <c r="E62" s="84"/>
      <c r="F62" s="102"/>
      <c r="G62" s="87"/>
      <c r="H62" s="87">
        <f>F62*G62</f>
        <v>0</v>
      </c>
      <c r="I62" s="87">
        <v>215000</v>
      </c>
      <c r="J62" s="87">
        <f>F62*I62</f>
        <v>0</v>
      </c>
      <c r="K62" s="87">
        <v>250000</v>
      </c>
      <c r="L62" s="87">
        <f>F62*K62</f>
        <v>0</v>
      </c>
    </row>
    <row r="63" spans="1:12" ht="12" customHeight="1" x14ac:dyDescent="0.35">
      <c r="B63" s="84"/>
      <c r="C63" s="88"/>
      <c r="D63" s="79"/>
      <c r="E63" s="79"/>
      <c r="F63" s="89" t="s">
        <v>423</v>
      </c>
      <c r="G63" s="101"/>
      <c r="H63" s="87">
        <f>SUM(H60:H62)</f>
        <v>0</v>
      </c>
      <c r="I63" s="101"/>
      <c r="J63" s="87">
        <f>SUM(J60:J62)</f>
        <v>0</v>
      </c>
      <c r="K63" s="101"/>
      <c r="L63" s="87">
        <f>SUM(L60:L62)</f>
        <v>0</v>
      </c>
    </row>
    <row r="64" spans="1:12" ht="12" customHeight="1" x14ac:dyDescent="0.35">
      <c r="B64" s="84" t="s">
        <v>7</v>
      </c>
      <c r="C64" s="88" t="s">
        <v>424</v>
      </c>
      <c r="D64" s="79"/>
      <c r="E64" s="79"/>
      <c r="F64" s="90"/>
      <c r="G64" s="84"/>
      <c r="H64" s="87"/>
      <c r="I64" s="84"/>
      <c r="J64" s="87"/>
      <c r="K64" s="84"/>
      <c r="L64" s="87"/>
    </row>
    <row r="65" spans="1:12" ht="12" customHeight="1" x14ac:dyDescent="0.35">
      <c r="B65" s="84"/>
      <c r="C65" s="88"/>
      <c r="D65" s="79"/>
      <c r="E65" s="79"/>
      <c r="F65" s="90"/>
      <c r="G65" s="87"/>
      <c r="H65" s="87">
        <f>F65*G65</f>
        <v>0</v>
      </c>
      <c r="I65" s="87"/>
      <c r="J65" s="87">
        <f>H65*I65</f>
        <v>0</v>
      </c>
      <c r="K65" s="87"/>
      <c r="L65" s="87">
        <f>J65*K65</f>
        <v>0</v>
      </c>
    </row>
    <row r="66" spans="1:12" ht="12" customHeight="1" x14ac:dyDescent="0.35">
      <c r="B66" s="84"/>
      <c r="C66" s="88"/>
      <c r="D66" s="79"/>
      <c r="E66" s="79"/>
      <c r="F66" s="89" t="s">
        <v>425</v>
      </c>
      <c r="G66" s="101"/>
      <c r="H66" s="87">
        <f>SUM(H65)</f>
        <v>0</v>
      </c>
      <c r="I66" s="101"/>
      <c r="J66" s="87">
        <f>SUM(J65)</f>
        <v>0</v>
      </c>
      <c r="K66" s="101"/>
      <c r="L66" s="87">
        <f>SUM(L65)</f>
        <v>0</v>
      </c>
    </row>
    <row r="67" spans="1:12" ht="12" customHeight="1" x14ac:dyDescent="0.35">
      <c r="B67" s="84" t="s">
        <v>8</v>
      </c>
      <c r="C67" s="103" t="s">
        <v>426</v>
      </c>
      <c r="D67" s="104"/>
      <c r="E67" s="104"/>
      <c r="F67" s="104"/>
      <c r="G67" s="105"/>
      <c r="H67" s="87">
        <f>H58+H63+H66</f>
        <v>506250</v>
      </c>
      <c r="I67" s="105"/>
      <c r="J67" s="87">
        <f>J58+J63+J66</f>
        <v>376350</v>
      </c>
      <c r="K67" s="105"/>
      <c r="L67" s="87">
        <f>L58+L63+L66</f>
        <v>376350</v>
      </c>
    </row>
    <row r="68" spans="1:12" ht="12" customHeight="1" x14ac:dyDescent="0.35">
      <c r="B68" s="84" t="s">
        <v>9</v>
      </c>
      <c r="C68" s="455" t="s">
        <v>427</v>
      </c>
      <c r="D68" s="455"/>
      <c r="E68" s="455"/>
      <c r="F68" s="95">
        <f>0</f>
        <v>0</v>
      </c>
      <c r="G68" s="85" t="s">
        <v>428</v>
      </c>
      <c r="H68" s="87">
        <f>H67*F68</f>
        <v>0</v>
      </c>
      <c r="I68" s="85" t="s">
        <v>428</v>
      </c>
      <c r="J68" s="87">
        <f>J67*F68</f>
        <v>0</v>
      </c>
      <c r="K68" s="85" t="s">
        <v>428</v>
      </c>
      <c r="L68" s="87">
        <f>L67*F68</f>
        <v>0</v>
      </c>
    </row>
    <row r="69" spans="1:12" ht="12" customHeight="1" x14ac:dyDescent="0.35">
      <c r="B69" s="84" t="s">
        <v>10</v>
      </c>
      <c r="C69" s="103" t="s">
        <v>429</v>
      </c>
      <c r="D69" s="104"/>
      <c r="E69" s="104"/>
      <c r="F69" s="104"/>
      <c r="G69" s="105"/>
      <c r="H69" s="96">
        <f>H67+H68</f>
        <v>506250</v>
      </c>
      <c r="I69" s="97"/>
      <c r="J69" s="96">
        <f>J67+J68</f>
        <v>376350</v>
      </c>
      <c r="K69" s="97"/>
      <c r="L69" s="96">
        <f>L67+L68</f>
        <v>376350</v>
      </c>
    </row>
    <row r="70" spans="1:12" ht="12" customHeight="1" x14ac:dyDescent="0.35">
      <c r="B70" s="98"/>
      <c r="C70" s="99"/>
      <c r="D70" s="99"/>
      <c r="E70" s="99"/>
      <c r="F70" s="99"/>
      <c r="G70" s="99"/>
      <c r="H70" s="100"/>
    </row>
    <row r="71" spans="1:12" ht="29" customHeight="1" x14ac:dyDescent="0.35">
      <c r="B71" s="76" t="s">
        <v>467</v>
      </c>
      <c r="C71" s="458" t="s">
        <v>464</v>
      </c>
      <c r="D71" s="459"/>
      <c r="E71" s="459"/>
      <c r="F71" s="459"/>
      <c r="G71" s="456"/>
      <c r="H71" s="457"/>
      <c r="I71" s="455" t="s">
        <v>3</v>
      </c>
      <c r="J71" s="455"/>
      <c r="K71" s="455" t="s">
        <v>4</v>
      </c>
      <c r="L71" s="455"/>
    </row>
    <row r="72" spans="1:12" ht="12" customHeight="1" x14ac:dyDescent="0.35">
      <c r="B72" s="451" t="s">
        <v>409</v>
      </c>
      <c r="C72" s="451" t="s">
        <v>410</v>
      </c>
      <c r="D72" s="452" t="s">
        <v>411</v>
      </c>
      <c r="E72" s="451" t="s">
        <v>412</v>
      </c>
      <c r="F72" s="451" t="s">
        <v>413</v>
      </c>
      <c r="G72" s="77" t="s">
        <v>414</v>
      </c>
      <c r="H72" s="77" t="s">
        <v>415</v>
      </c>
      <c r="I72" s="78" t="s">
        <v>414</v>
      </c>
      <c r="J72" s="79" t="s">
        <v>415</v>
      </c>
      <c r="K72" s="79" t="s">
        <v>414</v>
      </c>
      <c r="L72" s="79" t="s">
        <v>415</v>
      </c>
    </row>
    <row r="73" spans="1:12" ht="12" customHeight="1" x14ac:dyDescent="0.35">
      <c r="B73" s="451"/>
      <c r="C73" s="451"/>
      <c r="D73" s="453"/>
      <c r="E73" s="451"/>
      <c r="F73" s="451"/>
      <c r="G73" s="77" t="s">
        <v>17</v>
      </c>
      <c r="H73" s="77" t="s">
        <v>416</v>
      </c>
      <c r="I73" s="78" t="s">
        <v>17</v>
      </c>
      <c r="J73" s="79" t="s">
        <v>416</v>
      </c>
      <c r="K73" s="79" t="s">
        <v>17</v>
      </c>
      <c r="L73" s="79" t="s">
        <v>416</v>
      </c>
    </row>
    <row r="74" spans="1:12" ht="12" customHeight="1" x14ac:dyDescent="0.35">
      <c r="B74" s="451"/>
      <c r="C74" s="451"/>
      <c r="D74" s="454"/>
      <c r="E74" s="451"/>
      <c r="F74" s="451"/>
      <c r="G74" s="106"/>
      <c r="H74" s="77" t="s">
        <v>17</v>
      </c>
      <c r="I74" s="94"/>
      <c r="J74" s="79" t="s">
        <v>17</v>
      </c>
      <c r="K74" s="85"/>
      <c r="L74" s="79" t="s">
        <v>17</v>
      </c>
    </row>
    <row r="75" spans="1:12" ht="12" customHeight="1" x14ac:dyDescent="0.35">
      <c r="B75" s="80" t="s">
        <v>5</v>
      </c>
      <c r="C75" s="81" t="s">
        <v>417</v>
      </c>
      <c r="D75" s="82"/>
      <c r="E75" s="82"/>
      <c r="F75" s="82"/>
      <c r="G75" s="82"/>
      <c r="H75" s="82"/>
      <c r="I75" s="83"/>
      <c r="J75" s="83"/>
      <c r="K75" s="83"/>
      <c r="L75" s="83"/>
    </row>
    <row r="76" spans="1:12" ht="12" customHeight="1" x14ac:dyDescent="0.35">
      <c r="A76" s="134">
        <v>10110000</v>
      </c>
      <c r="B76" s="84"/>
      <c r="C76" s="85" t="s">
        <v>30</v>
      </c>
      <c r="D76" s="84" t="s">
        <v>418</v>
      </c>
      <c r="E76" s="84" t="str">
        <f>VLOOKUP(C76,HSD!B:K,2,FALSE)</f>
        <v>OH</v>
      </c>
      <c r="F76" s="86">
        <v>0.41249999999999998</v>
      </c>
      <c r="G76" s="87">
        <f>VLOOKUP(C76,HSD!B:K,10,FALSE)</f>
        <v>150000</v>
      </c>
      <c r="H76" s="87">
        <f>F76*G76</f>
        <v>61875</v>
      </c>
      <c r="I76" s="87">
        <v>78600</v>
      </c>
      <c r="J76" s="87">
        <f>F76*I76</f>
        <v>32422.5</v>
      </c>
      <c r="K76" s="87">
        <v>78600</v>
      </c>
      <c r="L76" s="87">
        <f>F76*K76</f>
        <v>32422.5</v>
      </c>
    </row>
    <row r="77" spans="1:12" ht="12" customHeight="1" x14ac:dyDescent="0.35">
      <c r="A77" s="134">
        <v>10120000</v>
      </c>
      <c r="B77" s="84"/>
      <c r="C77" s="85" t="s">
        <v>27</v>
      </c>
      <c r="D77" s="84" t="s">
        <v>419</v>
      </c>
      <c r="E77" s="84" t="str">
        <f>VLOOKUP(C77,HSD!B:K,2,FALSE)</f>
        <v>OH</v>
      </c>
      <c r="F77" s="86"/>
      <c r="G77" s="87">
        <f>VLOOKUP(C77,HSD!B:K,10,FALSE)</f>
        <v>150000</v>
      </c>
      <c r="H77" s="87">
        <f>F77*G77</f>
        <v>0</v>
      </c>
      <c r="I77" s="87">
        <v>91500</v>
      </c>
      <c r="J77" s="87">
        <f>F77*I77</f>
        <v>0</v>
      </c>
      <c r="K77" s="87">
        <v>91500</v>
      </c>
      <c r="L77" s="87">
        <f>F77*K77</f>
        <v>0</v>
      </c>
    </row>
    <row r="78" spans="1:12" ht="12" customHeight="1" x14ac:dyDescent="0.35">
      <c r="A78" s="134">
        <v>10130000</v>
      </c>
      <c r="B78" s="84"/>
      <c r="C78" s="85" t="s">
        <v>28</v>
      </c>
      <c r="D78" s="84" t="s">
        <v>420</v>
      </c>
      <c r="E78" s="84" t="str">
        <f>VLOOKUP(C78,HSD!B:K,2,FALSE)</f>
        <v>OH</v>
      </c>
      <c r="F78" s="86">
        <v>4.125</v>
      </c>
      <c r="G78" s="87">
        <f>VLOOKUP(C78,HSD!B:K,10,FALSE)</f>
        <v>120000</v>
      </c>
      <c r="H78" s="87">
        <f>F78*G78</f>
        <v>495000</v>
      </c>
      <c r="I78" s="87">
        <v>92500</v>
      </c>
      <c r="J78" s="87">
        <f>F78*I78</f>
        <v>381562.5</v>
      </c>
      <c r="K78" s="87">
        <v>92500</v>
      </c>
      <c r="L78" s="87">
        <f>F78*K78</f>
        <v>381562.5</v>
      </c>
    </row>
    <row r="79" spans="1:12" ht="12" customHeight="1" x14ac:dyDescent="0.35">
      <c r="B79" s="84"/>
      <c r="C79" s="85"/>
      <c r="D79" s="84"/>
      <c r="E79" s="84"/>
      <c r="F79" s="86"/>
      <c r="G79" s="87"/>
      <c r="H79" s="87"/>
      <c r="I79" s="87"/>
      <c r="J79" s="87"/>
      <c r="K79" s="87"/>
      <c r="L79" s="87"/>
    </row>
    <row r="80" spans="1:12" ht="12" customHeight="1" x14ac:dyDescent="0.35">
      <c r="B80" s="84"/>
      <c r="C80" s="88"/>
      <c r="D80" s="79"/>
      <c r="E80" s="79"/>
      <c r="F80" s="89" t="s">
        <v>421</v>
      </c>
      <c r="G80" s="101"/>
      <c r="H80" s="87">
        <f>SUM(H76:H79)</f>
        <v>556875</v>
      </c>
      <c r="I80" s="101"/>
      <c r="J80" s="87">
        <f>SUM(J76:J79)</f>
        <v>413985</v>
      </c>
      <c r="K80" s="101"/>
      <c r="L80" s="87">
        <f>SUM(L76:L79)</f>
        <v>413985</v>
      </c>
    </row>
    <row r="81" spans="2:12" ht="12" customHeight="1" x14ac:dyDescent="0.35">
      <c r="B81" s="84" t="s">
        <v>6</v>
      </c>
      <c r="C81" s="88" t="s">
        <v>422</v>
      </c>
      <c r="D81" s="79"/>
      <c r="E81" s="79"/>
      <c r="F81" s="90"/>
      <c r="G81" s="84"/>
      <c r="H81" s="87"/>
      <c r="I81" s="84"/>
      <c r="J81" s="87"/>
      <c r="K81" s="84"/>
      <c r="L81" s="87"/>
    </row>
    <row r="82" spans="2:12" ht="12" customHeight="1" x14ac:dyDescent="0.35">
      <c r="B82" s="84"/>
      <c r="C82" s="88"/>
      <c r="D82" s="79"/>
      <c r="E82" s="84"/>
      <c r="F82" s="102"/>
      <c r="G82" s="87"/>
      <c r="H82" s="87">
        <f>F82*G82</f>
        <v>0</v>
      </c>
      <c r="I82" s="87">
        <v>232500</v>
      </c>
      <c r="J82" s="87">
        <f>F82*I82</f>
        <v>0</v>
      </c>
      <c r="K82" s="87">
        <v>270000</v>
      </c>
      <c r="L82" s="87">
        <f>F82*K82</f>
        <v>0</v>
      </c>
    </row>
    <row r="83" spans="2:12" ht="12" customHeight="1" x14ac:dyDescent="0.35">
      <c r="B83" s="84"/>
      <c r="C83" s="88"/>
      <c r="D83" s="79"/>
      <c r="E83" s="84"/>
      <c r="F83" s="102"/>
      <c r="G83" s="87"/>
      <c r="H83" s="87">
        <f>F83*G83</f>
        <v>0</v>
      </c>
      <c r="I83" s="87">
        <v>1060</v>
      </c>
      <c r="J83" s="87">
        <f>F83*I83</f>
        <v>0</v>
      </c>
      <c r="K83" s="87">
        <v>1060</v>
      </c>
      <c r="L83" s="87">
        <f>F83*K83</f>
        <v>0</v>
      </c>
    </row>
    <row r="84" spans="2:12" ht="12" customHeight="1" x14ac:dyDescent="0.35">
      <c r="B84" s="84"/>
      <c r="C84" s="88"/>
      <c r="D84" s="79"/>
      <c r="E84" s="84"/>
      <c r="F84" s="102"/>
      <c r="G84" s="87"/>
      <c r="H84" s="87">
        <f>F84*G84</f>
        <v>0</v>
      </c>
      <c r="I84" s="87">
        <v>215000</v>
      </c>
      <c r="J84" s="87">
        <f>F84*I84</f>
        <v>0</v>
      </c>
      <c r="K84" s="87">
        <v>250000</v>
      </c>
      <c r="L84" s="87">
        <f>F84*K84</f>
        <v>0</v>
      </c>
    </row>
    <row r="85" spans="2:12" ht="12" customHeight="1" x14ac:dyDescent="0.35">
      <c r="B85" s="84"/>
      <c r="C85" s="88"/>
      <c r="D85" s="79"/>
      <c r="E85" s="79"/>
      <c r="F85" s="89" t="s">
        <v>423</v>
      </c>
      <c r="G85" s="101"/>
      <c r="H85" s="87">
        <f>SUM(H82:H84)</f>
        <v>0</v>
      </c>
      <c r="I85" s="101"/>
      <c r="J85" s="87">
        <f>SUM(J82:J84)</f>
        <v>0</v>
      </c>
      <c r="K85" s="101"/>
      <c r="L85" s="87">
        <f>SUM(L82:L84)</f>
        <v>0</v>
      </c>
    </row>
    <row r="86" spans="2:12" ht="12" customHeight="1" x14ac:dyDescent="0.35">
      <c r="B86" s="84" t="s">
        <v>7</v>
      </c>
      <c r="C86" s="88" t="s">
        <v>424</v>
      </c>
      <c r="D86" s="79"/>
      <c r="E86" s="79"/>
      <c r="F86" s="90"/>
      <c r="G86" s="84"/>
      <c r="H86" s="87"/>
      <c r="I86" s="84"/>
      <c r="J86" s="87"/>
      <c r="K86" s="84"/>
      <c r="L86" s="87"/>
    </row>
    <row r="87" spans="2:12" ht="12" customHeight="1" x14ac:dyDescent="0.35">
      <c r="B87" s="84"/>
      <c r="C87" s="88"/>
      <c r="D87" s="79"/>
      <c r="E87" s="79"/>
      <c r="F87" s="90"/>
      <c r="G87" s="87"/>
      <c r="H87" s="87">
        <f>F87*G87</f>
        <v>0</v>
      </c>
      <c r="I87" s="87"/>
      <c r="J87" s="87">
        <f>H87*I87</f>
        <v>0</v>
      </c>
      <c r="K87" s="87"/>
      <c r="L87" s="87">
        <f>J87*K87</f>
        <v>0</v>
      </c>
    </row>
    <row r="88" spans="2:12" ht="12" customHeight="1" x14ac:dyDescent="0.35">
      <c r="B88" s="84"/>
      <c r="C88" s="88"/>
      <c r="D88" s="79"/>
      <c r="E88" s="79"/>
      <c r="F88" s="89" t="s">
        <v>425</v>
      </c>
      <c r="G88" s="101"/>
      <c r="H88" s="87">
        <f>SUM(H87)</f>
        <v>0</v>
      </c>
      <c r="I88" s="101"/>
      <c r="J88" s="87">
        <f>SUM(J87)</f>
        <v>0</v>
      </c>
      <c r="K88" s="101"/>
      <c r="L88" s="87">
        <f>SUM(L87)</f>
        <v>0</v>
      </c>
    </row>
    <row r="89" spans="2:12" ht="12" customHeight="1" x14ac:dyDescent="0.35">
      <c r="B89" s="84" t="s">
        <v>8</v>
      </c>
      <c r="C89" s="103" t="s">
        <v>426</v>
      </c>
      <c r="D89" s="104"/>
      <c r="E89" s="104"/>
      <c r="F89" s="104"/>
      <c r="G89" s="105"/>
      <c r="H89" s="87">
        <f>H80+H85+H88</f>
        <v>556875</v>
      </c>
      <c r="I89" s="105"/>
      <c r="J89" s="87">
        <f>J80+J85+J88</f>
        <v>413985</v>
      </c>
      <c r="K89" s="105"/>
      <c r="L89" s="87">
        <f>L80+L85+L88</f>
        <v>413985</v>
      </c>
    </row>
    <row r="90" spans="2:12" ht="12" customHeight="1" x14ac:dyDescent="0.35">
      <c r="B90" s="84" t="s">
        <v>9</v>
      </c>
      <c r="C90" s="455" t="s">
        <v>427</v>
      </c>
      <c r="D90" s="455"/>
      <c r="E90" s="455"/>
      <c r="F90" s="95">
        <f>0</f>
        <v>0</v>
      </c>
      <c r="G90" s="85" t="s">
        <v>428</v>
      </c>
      <c r="H90" s="87">
        <f>H89*F90</f>
        <v>0</v>
      </c>
      <c r="I90" s="85" t="s">
        <v>428</v>
      </c>
      <c r="J90" s="87">
        <f>J89*F90</f>
        <v>0</v>
      </c>
      <c r="K90" s="85" t="s">
        <v>428</v>
      </c>
      <c r="L90" s="87">
        <f>L89*F90</f>
        <v>0</v>
      </c>
    </row>
    <row r="91" spans="2:12" ht="12" customHeight="1" x14ac:dyDescent="0.35">
      <c r="B91" s="84" t="s">
        <v>10</v>
      </c>
      <c r="C91" s="103" t="s">
        <v>429</v>
      </c>
      <c r="D91" s="104"/>
      <c r="E91" s="104"/>
      <c r="F91" s="104"/>
      <c r="G91" s="105"/>
      <c r="H91" s="96">
        <f>H89+H90</f>
        <v>556875</v>
      </c>
      <c r="I91" s="97"/>
      <c r="J91" s="96">
        <f>J89+J90</f>
        <v>413985</v>
      </c>
      <c r="K91" s="97"/>
      <c r="L91" s="96">
        <f>L89+L90</f>
        <v>413985</v>
      </c>
    </row>
    <row r="92" spans="2:12" ht="12" customHeight="1" x14ac:dyDescent="0.35">
      <c r="B92" s="98"/>
      <c r="C92" s="99"/>
      <c r="D92" s="99"/>
      <c r="E92" s="99"/>
      <c r="F92" s="99"/>
      <c r="G92" s="99"/>
      <c r="H92" s="100"/>
    </row>
    <row r="93" spans="2:12" ht="29" customHeight="1" x14ac:dyDescent="0.35">
      <c r="B93" s="76" t="s">
        <v>468</v>
      </c>
      <c r="C93" s="458" t="s">
        <v>469</v>
      </c>
      <c r="D93" s="459"/>
      <c r="E93" s="459"/>
      <c r="F93" s="459"/>
      <c r="G93" s="456"/>
      <c r="H93" s="457"/>
      <c r="I93" s="455" t="s">
        <v>3</v>
      </c>
      <c r="J93" s="455"/>
      <c r="K93" s="455" t="s">
        <v>4</v>
      </c>
      <c r="L93" s="455"/>
    </row>
    <row r="94" spans="2:12" ht="12" customHeight="1" x14ac:dyDescent="0.35">
      <c r="B94" s="451" t="s">
        <v>409</v>
      </c>
      <c r="C94" s="451" t="s">
        <v>410</v>
      </c>
      <c r="D94" s="452" t="s">
        <v>411</v>
      </c>
      <c r="E94" s="451" t="s">
        <v>412</v>
      </c>
      <c r="F94" s="451" t="s">
        <v>413</v>
      </c>
      <c r="G94" s="77" t="s">
        <v>414</v>
      </c>
      <c r="H94" s="77" t="s">
        <v>415</v>
      </c>
      <c r="I94" s="78" t="s">
        <v>414</v>
      </c>
      <c r="J94" s="79" t="s">
        <v>415</v>
      </c>
      <c r="K94" s="79" t="s">
        <v>414</v>
      </c>
      <c r="L94" s="79" t="s">
        <v>415</v>
      </c>
    </row>
    <row r="95" spans="2:12" ht="12" customHeight="1" x14ac:dyDescent="0.35">
      <c r="B95" s="451"/>
      <c r="C95" s="451"/>
      <c r="D95" s="453"/>
      <c r="E95" s="451"/>
      <c r="F95" s="451"/>
      <c r="G95" s="77" t="s">
        <v>17</v>
      </c>
      <c r="H95" s="77" t="s">
        <v>416</v>
      </c>
      <c r="I95" s="78" t="s">
        <v>17</v>
      </c>
      <c r="J95" s="79" t="s">
        <v>416</v>
      </c>
      <c r="K95" s="79" t="s">
        <v>17</v>
      </c>
      <c r="L95" s="79" t="s">
        <v>416</v>
      </c>
    </row>
    <row r="96" spans="2:12" ht="12" customHeight="1" x14ac:dyDescent="0.35">
      <c r="B96" s="451"/>
      <c r="C96" s="451"/>
      <c r="D96" s="454"/>
      <c r="E96" s="451"/>
      <c r="F96" s="451"/>
      <c r="G96" s="106"/>
      <c r="H96" s="77" t="s">
        <v>17</v>
      </c>
      <c r="I96" s="94"/>
      <c r="J96" s="79" t="s">
        <v>17</v>
      </c>
      <c r="K96" s="85"/>
      <c r="L96" s="79" t="s">
        <v>17</v>
      </c>
    </row>
    <row r="97" spans="1:12" ht="12" customHeight="1" x14ac:dyDescent="0.35">
      <c r="B97" s="80" t="s">
        <v>5</v>
      </c>
      <c r="C97" s="81" t="s">
        <v>417</v>
      </c>
      <c r="D97" s="82"/>
      <c r="E97" s="82"/>
      <c r="F97" s="82"/>
      <c r="G97" s="82"/>
      <c r="H97" s="82"/>
      <c r="I97" s="83"/>
      <c r="J97" s="83"/>
      <c r="K97" s="83"/>
      <c r="L97" s="83"/>
    </row>
    <row r="98" spans="1:12" ht="12" customHeight="1" x14ac:dyDescent="0.35">
      <c r="A98" s="134">
        <v>10110000</v>
      </c>
      <c r="B98" s="84"/>
      <c r="C98" s="85" t="s">
        <v>30</v>
      </c>
      <c r="D98" s="84" t="s">
        <v>418</v>
      </c>
      <c r="E98" s="84" t="str">
        <f>VLOOKUP(C98,HSD!B:K,2,FALSE)</f>
        <v>OH</v>
      </c>
      <c r="F98" s="86">
        <v>1.25E-3</v>
      </c>
      <c r="G98" s="87">
        <f>VLOOKUP(C98,HSD!B:K,10,FALSE)</f>
        <v>150000</v>
      </c>
      <c r="H98" s="87">
        <f>F98*G98</f>
        <v>187.5</v>
      </c>
      <c r="I98" s="87">
        <v>78600</v>
      </c>
      <c r="J98" s="87">
        <f>F98*I98</f>
        <v>98.25</v>
      </c>
      <c r="K98" s="87">
        <v>78600</v>
      </c>
      <c r="L98" s="87">
        <f>F98*K98</f>
        <v>98.25</v>
      </c>
    </row>
    <row r="99" spans="1:12" ht="12" customHeight="1" x14ac:dyDescent="0.35">
      <c r="A99" s="134">
        <v>10120000</v>
      </c>
      <c r="B99" s="84"/>
      <c r="C99" s="85" t="s">
        <v>27</v>
      </c>
      <c r="D99" s="84" t="s">
        <v>419</v>
      </c>
      <c r="E99" s="84" t="str">
        <f>VLOOKUP(C99,HSD!B:K,2,FALSE)</f>
        <v>OH</v>
      </c>
      <c r="F99" s="86"/>
      <c r="G99" s="87">
        <f>VLOOKUP(C99,HSD!B:K,10,FALSE)</f>
        <v>150000</v>
      </c>
      <c r="H99" s="87">
        <f>F99*G99</f>
        <v>0</v>
      </c>
      <c r="I99" s="87">
        <v>91500</v>
      </c>
      <c r="J99" s="87">
        <f>F99*I99</f>
        <v>0</v>
      </c>
      <c r="K99" s="87">
        <v>91500</v>
      </c>
      <c r="L99" s="87">
        <f>F99*K99</f>
        <v>0</v>
      </c>
    </row>
    <row r="100" spans="1:12" ht="12" customHeight="1" x14ac:dyDescent="0.35">
      <c r="A100" s="134">
        <v>10130000</v>
      </c>
      <c r="B100" s="84"/>
      <c r="C100" s="85" t="s">
        <v>28</v>
      </c>
      <c r="D100" s="84" t="s">
        <v>420</v>
      </c>
      <c r="E100" s="84" t="str">
        <f>VLOOKUP(C100,HSD!B:K,2,FALSE)</f>
        <v>OH</v>
      </c>
      <c r="F100" s="86">
        <v>1.2500000000000001E-2</v>
      </c>
      <c r="G100" s="87">
        <f>VLOOKUP(C100,HSD!B:K,10,FALSE)</f>
        <v>120000</v>
      </c>
      <c r="H100" s="87">
        <f>F100*G100</f>
        <v>1500</v>
      </c>
      <c r="I100" s="87">
        <v>92500</v>
      </c>
      <c r="J100" s="87">
        <f>F100*I100</f>
        <v>1156.25</v>
      </c>
      <c r="K100" s="87">
        <v>92500</v>
      </c>
      <c r="L100" s="87">
        <f>F100*K100</f>
        <v>1156.25</v>
      </c>
    </row>
    <row r="101" spans="1:12" ht="12" customHeight="1" x14ac:dyDescent="0.35">
      <c r="B101" s="84"/>
      <c r="C101" s="85"/>
      <c r="D101" s="84"/>
      <c r="E101" s="84"/>
      <c r="F101" s="86"/>
      <c r="G101" s="87"/>
      <c r="H101" s="87"/>
      <c r="I101" s="87"/>
      <c r="J101" s="87"/>
      <c r="K101" s="87"/>
      <c r="L101" s="87"/>
    </row>
    <row r="102" spans="1:12" ht="12" customHeight="1" x14ac:dyDescent="0.35">
      <c r="B102" s="84"/>
      <c r="C102" s="88"/>
      <c r="D102" s="79"/>
      <c r="E102" s="79"/>
      <c r="F102" s="89" t="s">
        <v>421</v>
      </c>
      <c r="G102" s="101"/>
      <c r="H102" s="87">
        <f>SUM(H98:H101)</f>
        <v>1687.5</v>
      </c>
      <c r="I102" s="101"/>
      <c r="J102" s="87">
        <f>SUM(J98:J101)</f>
        <v>1254.5</v>
      </c>
      <c r="K102" s="101"/>
      <c r="L102" s="87">
        <f>SUM(L98:L101)</f>
        <v>1254.5</v>
      </c>
    </row>
    <row r="103" spans="1:12" ht="12" customHeight="1" x14ac:dyDescent="0.35">
      <c r="B103" s="84" t="s">
        <v>6</v>
      </c>
      <c r="C103" s="88" t="s">
        <v>422</v>
      </c>
      <c r="D103" s="79"/>
      <c r="E103" s="79"/>
      <c r="F103" s="90"/>
      <c r="G103" s="84"/>
      <c r="H103" s="87"/>
      <c r="I103" s="84"/>
      <c r="J103" s="87"/>
      <c r="K103" s="84"/>
      <c r="L103" s="87"/>
    </row>
    <row r="104" spans="1:12" ht="12" customHeight="1" x14ac:dyDescent="0.35">
      <c r="B104" s="84"/>
      <c r="C104" s="88"/>
      <c r="D104" s="79"/>
      <c r="E104" s="84"/>
      <c r="F104" s="102"/>
      <c r="G104" s="87"/>
      <c r="H104" s="87">
        <f>F104*G104</f>
        <v>0</v>
      </c>
      <c r="I104" s="87">
        <v>232500</v>
      </c>
      <c r="J104" s="87">
        <f>F104*I104</f>
        <v>0</v>
      </c>
      <c r="K104" s="87">
        <v>270000</v>
      </c>
      <c r="L104" s="87">
        <f>F104*K104</f>
        <v>0</v>
      </c>
    </row>
    <row r="105" spans="1:12" ht="12" customHeight="1" x14ac:dyDescent="0.35">
      <c r="B105" s="84"/>
      <c r="C105" s="88"/>
      <c r="D105" s="79"/>
      <c r="E105" s="84"/>
      <c r="F105" s="102"/>
      <c r="G105" s="87"/>
      <c r="H105" s="87">
        <f>F105*G105</f>
        <v>0</v>
      </c>
      <c r="I105" s="87">
        <v>1060</v>
      </c>
      <c r="J105" s="87">
        <f>F105*I105</f>
        <v>0</v>
      </c>
      <c r="K105" s="87">
        <v>1060</v>
      </c>
      <c r="L105" s="87">
        <f>F105*K105</f>
        <v>0</v>
      </c>
    </row>
    <row r="106" spans="1:12" ht="12" customHeight="1" x14ac:dyDescent="0.35">
      <c r="B106" s="84"/>
      <c r="C106" s="88"/>
      <c r="D106" s="79"/>
      <c r="E106" s="84"/>
      <c r="F106" s="102"/>
      <c r="G106" s="87"/>
      <c r="H106" s="87">
        <f>F106*G106</f>
        <v>0</v>
      </c>
      <c r="I106" s="87">
        <v>215000</v>
      </c>
      <c r="J106" s="87">
        <f>F106*I106</f>
        <v>0</v>
      </c>
      <c r="K106" s="87">
        <v>250000</v>
      </c>
      <c r="L106" s="87">
        <f>F106*K106</f>
        <v>0</v>
      </c>
    </row>
    <row r="107" spans="1:12" ht="12" customHeight="1" x14ac:dyDescent="0.35">
      <c r="B107" s="84"/>
      <c r="C107" s="88"/>
      <c r="D107" s="79"/>
      <c r="E107" s="79"/>
      <c r="F107" s="89" t="s">
        <v>423</v>
      </c>
      <c r="G107" s="101"/>
      <c r="H107" s="87">
        <f>SUM(H104:H106)</f>
        <v>0</v>
      </c>
      <c r="I107" s="101"/>
      <c r="J107" s="87">
        <f>SUM(J104:J106)</f>
        <v>0</v>
      </c>
      <c r="K107" s="101"/>
      <c r="L107" s="87">
        <f>SUM(L104:L106)</f>
        <v>0</v>
      </c>
    </row>
    <row r="108" spans="1:12" ht="12" customHeight="1" x14ac:dyDescent="0.35">
      <c r="B108" s="84" t="s">
        <v>7</v>
      </c>
      <c r="C108" s="88" t="s">
        <v>424</v>
      </c>
      <c r="D108" s="79"/>
      <c r="E108" s="79"/>
      <c r="F108" s="90"/>
      <c r="G108" s="84"/>
      <c r="H108" s="87"/>
      <c r="I108" s="84"/>
      <c r="J108" s="87"/>
      <c r="K108" s="84"/>
      <c r="L108" s="87"/>
    </row>
    <row r="109" spans="1:12" ht="12" customHeight="1" x14ac:dyDescent="0.35">
      <c r="B109" s="84"/>
      <c r="C109" s="88"/>
      <c r="D109" s="79"/>
      <c r="E109" s="79"/>
      <c r="F109" s="90"/>
      <c r="G109" s="87"/>
      <c r="H109" s="87">
        <f>F109*G109</f>
        <v>0</v>
      </c>
      <c r="I109" s="87"/>
      <c r="J109" s="87">
        <f>H109*I109</f>
        <v>0</v>
      </c>
      <c r="K109" s="87"/>
      <c r="L109" s="87">
        <f>J109*K109</f>
        <v>0</v>
      </c>
    </row>
    <row r="110" spans="1:12" ht="12" customHeight="1" x14ac:dyDescent="0.35">
      <c r="B110" s="84"/>
      <c r="C110" s="88"/>
      <c r="D110" s="79"/>
      <c r="E110" s="79"/>
      <c r="F110" s="89" t="s">
        <v>425</v>
      </c>
      <c r="G110" s="101"/>
      <c r="H110" s="87">
        <f>SUM(H109)</f>
        <v>0</v>
      </c>
      <c r="I110" s="101"/>
      <c r="J110" s="87">
        <f>SUM(J109)</f>
        <v>0</v>
      </c>
      <c r="K110" s="101"/>
      <c r="L110" s="87">
        <f>SUM(L109)</f>
        <v>0</v>
      </c>
    </row>
    <row r="111" spans="1:12" ht="12" customHeight="1" x14ac:dyDescent="0.35">
      <c r="B111" s="84" t="s">
        <v>8</v>
      </c>
      <c r="C111" s="103" t="s">
        <v>426</v>
      </c>
      <c r="D111" s="104"/>
      <c r="E111" s="104"/>
      <c r="F111" s="104"/>
      <c r="G111" s="105"/>
      <c r="H111" s="87">
        <f>H102+H107+H110</f>
        <v>1687.5</v>
      </c>
      <c r="I111" s="105"/>
      <c r="J111" s="87">
        <f>J102+J107+J110</f>
        <v>1254.5</v>
      </c>
      <c r="K111" s="105"/>
      <c r="L111" s="87">
        <f>L102+L107+L110</f>
        <v>1254.5</v>
      </c>
    </row>
    <row r="112" spans="1:12" ht="12" customHeight="1" x14ac:dyDescent="0.35">
      <c r="B112" s="84" t="s">
        <v>9</v>
      </c>
      <c r="C112" s="455" t="s">
        <v>427</v>
      </c>
      <c r="D112" s="455"/>
      <c r="E112" s="455"/>
      <c r="F112" s="95">
        <f>0</f>
        <v>0</v>
      </c>
      <c r="G112" s="85" t="s">
        <v>428</v>
      </c>
      <c r="H112" s="87">
        <f>H111*F112</f>
        <v>0</v>
      </c>
      <c r="I112" s="85" t="s">
        <v>428</v>
      </c>
      <c r="J112" s="87">
        <f>J111*F112</f>
        <v>0</v>
      </c>
      <c r="K112" s="85" t="s">
        <v>428</v>
      </c>
      <c r="L112" s="87">
        <f>L111*F112</f>
        <v>0</v>
      </c>
    </row>
    <row r="113" spans="1:12" ht="12" customHeight="1" x14ac:dyDescent="0.35">
      <c r="B113" s="84" t="s">
        <v>10</v>
      </c>
      <c r="C113" s="103" t="s">
        <v>429</v>
      </c>
      <c r="D113" s="104"/>
      <c r="E113" s="104"/>
      <c r="F113" s="104"/>
      <c r="G113" s="105"/>
      <c r="H113" s="96">
        <f>H111+H112</f>
        <v>1687.5</v>
      </c>
      <c r="I113" s="97"/>
      <c r="J113" s="96">
        <f>J111+J112</f>
        <v>1254.5</v>
      </c>
      <c r="K113" s="97"/>
      <c r="L113" s="96">
        <f>L111+L112</f>
        <v>1254.5</v>
      </c>
    </row>
    <row r="114" spans="1:12" ht="12" customHeight="1" x14ac:dyDescent="0.35">
      <c r="B114" s="98"/>
      <c r="H114" s="125"/>
      <c r="I114" s="126"/>
      <c r="J114" s="125"/>
      <c r="K114" s="126"/>
      <c r="L114" s="125"/>
    </row>
    <row r="115" spans="1:12" ht="29" customHeight="1" x14ac:dyDescent="0.35">
      <c r="B115" s="76" t="s">
        <v>470</v>
      </c>
      <c r="C115" s="458" t="s">
        <v>471</v>
      </c>
      <c r="D115" s="459"/>
      <c r="E115" s="459"/>
      <c r="F115" s="459"/>
      <c r="G115" s="456"/>
      <c r="H115" s="457"/>
      <c r="I115" s="455" t="s">
        <v>3</v>
      </c>
      <c r="J115" s="455"/>
      <c r="K115" s="455" t="s">
        <v>4</v>
      </c>
      <c r="L115" s="455"/>
    </row>
    <row r="116" spans="1:12" ht="12" customHeight="1" x14ac:dyDescent="0.35">
      <c r="B116" s="451" t="s">
        <v>409</v>
      </c>
      <c r="C116" s="451" t="s">
        <v>410</v>
      </c>
      <c r="D116" s="452" t="s">
        <v>411</v>
      </c>
      <c r="E116" s="451" t="s">
        <v>412</v>
      </c>
      <c r="F116" s="451" t="s">
        <v>413</v>
      </c>
      <c r="G116" s="77" t="s">
        <v>414</v>
      </c>
      <c r="H116" s="77" t="s">
        <v>415</v>
      </c>
      <c r="I116" s="78" t="s">
        <v>414</v>
      </c>
      <c r="J116" s="79" t="s">
        <v>415</v>
      </c>
      <c r="K116" s="79" t="s">
        <v>414</v>
      </c>
      <c r="L116" s="79" t="s">
        <v>415</v>
      </c>
    </row>
    <row r="117" spans="1:12" ht="12" customHeight="1" x14ac:dyDescent="0.35">
      <c r="B117" s="451"/>
      <c r="C117" s="451"/>
      <c r="D117" s="453"/>
      <c r="E117" s="451"/>
      <c r="F117" s="451"/>
      <c r="G117" s="77" t="s">
        <v>17</v>
      </c>
      <c r="H117" s="77" t="s">
        <v>416</v>
      </c>
      <c r="I117" s="78" t="s">
        <v>17</v>
      </c>
      <c r="J117" s="79" t="s">
        <v>416</v>
      </c>
      <c r="K117" s="79" t="s">
        <v>17</v>
      </c>
      <c r="L117" s="79" t="s">
        <v>416</v>
      </c>
    </row>
    <row r="118" spans="1:12" ht="12" customHeight="1" x14ac:dyDescent="0.35">
      <c r="B118" s="451"/>
      <c r="C118" s="451"/>
      <c r="D118" s="454"/>
      <c r="E118" s="451"/>
      <c r="F118" s="451"/>
      <c r="G118" s="106"/>
      <c r="H118" s="77" t="s">
        <v>17</v>
      </c>
      <c r="I118" s="94"/>
      <c r="J118" s="79" t="s">
        <v>17</v>
      </c>
      <c r="K118" s="85"/>
      <c r="L118" s="79" t="s">
        <v>17</v>
      </c>
    </row>
    <row r="119" spans="1:12" ht="12" customHeight="1" x14ac:dyDescent="0.35">
      <c r="B119" s="80" t="s">
        <v>5</v>
      </c>
      <c r="C119" s="81" t="s">
        <v>417</v>
      </c>
      <c r="D119" s="82"/>
      <c r="E119" s="82"/>
      <c r="F119" s="82"/>
      <c r="G119" s="82"/>
      <c r="H119" s="82"/>
      <c r="I119" s="83"/>
      <c r="J119" s="83"/>
      <c r="K119" s="83"/>
      <c r="L119" s="83"/>
    </row>
    <row r="120" spans="1:12" ht="12" customHeight="1" x14ac:dyDescent="0.35">
      <c r="A120" s="134">
        <v>10110000</v>
      </c>
      <c r="B120" s="84"/>
      <c r="C120" s="85" t="s">
        <v>30</v>
      </c>
      <c r="D120" s="84" t="s">
        <v>418</v>
      </c>
      <c r="E120" s="84" t="str">
        <f>VLOOKUP(C120,HSD!B:K,2,FALSE)</f>
        <v>OH</v>
      </c>
      <c r="F120" s="86">
        <v>5.3100000000000001E-2</v>
      </c>
      <c r="G120" s="87">
        <f>VLOOKUP(C120,HSD!B:K,10,FALSE)</f>
        <v>150000</v>
      </c>
      <c r="H120" s="87">
        <f>F120*G120</f>
        <v>7965</v>
      </c>
      <c r="I120" s="87">
        <v>78600</v>
      </c>
      <c r="J120" s="87">
        <f>F120*I120</f>
        <v>4173.66</v>
      </c>
      <c r="K120" s="87">
        <v>78600</v>
      </c>
      <c r="L120" s="87">
        <f>F120*K120</f>
        <v>4173.66</v>
      </c>
    </row>
    <row r="121" spans="1:12" ht="12" customHeight="1" x14ac:dyDescent="0.35">
      <c r="A121" s="134">
        <v>10120000</v>
      </c>
      <c r="B121" s="84"/>
      <c r="C121" s="85" t="s">
        <v>27</v>
      </c>
      <c r="D121" s="84" t="s">
        <v>419</v>
      </c>
      <c r="E121" s="84" t="str">
        <f>VLOOKUP(C121,HSD!B:K,2,FALSE)</f>
        <v>OH</v>
      </c>
      <c r="F121" s="86"/>
      <c r="G121" s="87">
        <f>VLOOKUP(C121,HSD!B:K,10,FALSE)</f>
        <v>150000</v>
      </c>
      <c r="H121" s="87">
        <f>F121*G121</f>
        <v>0</v>
      </c>
      <c r="I121" s="87">
        <v>91500</v>
      </c>
      <c r="J121" s="87">
        <f>F121*I121</f>
        <v>0</v>
      </c>
      <c r="K121" s="87">
        <v>91500</v>
      </c>
      <c r="L121" s="87">
        <f>F121*K121</f>
        <v>0</v>
      </c>
    </row>
    <row r="122" spans="1:12" ht="12" customHeight="1" x14ac:dyDescent="0.35">
      <c r="A122" s="134">
        <v>10130000</v>
      </c>
      <c r="B122" s="84"/>
      <c r="C122" s="85" t="s">
        <v>28</v>
      </c>
      <c r="D122" s="84" t="s">
        <v>420</v>
      </c>
      <c r="E122" s="84" t="str">
        <f>VLOOKUP(C122,HSD!B:K,2,FALSE)</f>
        <v>OH</v>
      </c>
      <c r="F122" s="86">
        <v>0.53100000000000003</v>
      </c>
      <c r="G122" s="87">
        <f>VLOOKUP(C122,HSD!B:K,10,FALSE)</f>
        <v>120000</v>
      </c>
      <c r="H122" s="87">
        <f>F122*G122</f>
        <v>63720</v>
      </c>
      <c r="I122" s="87">
        <v>92500</v>
      </c>
      <c r="J122" s="87">
        <f>F122*I122</f>
        <v>49117.5</v>
      </c>
      <c r="K122" s="87">
        <v>92500</v>
      </c>
      <c r="L122" s="87">
        <f>F122*K122</f>
        <v>49117.5</v>
      </c>
    </row>
    <row r="123" spans="1:12" ht="12" customHeight="1" x14ac:dyDescent="0.35">
      <c r="B123" s="84"/>
      <c r="C123" s="85"/>
      <c r="D123" s="84"/>
      <c r="E123" s="84"/>
      <c r="F123" s="86"/>
      <c r="G123" s="87"/>
      <c r="H123" s="87"/>
      <c r="I123" s="87"/>
      <c r="J123" s="87"/>
      <c r="K123" s="87"/>
      <c r="L123" s="87"/>
    </row>
    <row r="124" spans="1:12" ht="12" customHeight="1" x14ac:dyDescent="0.35">
      <c r="B124" s="84"/>
      <c r="C124" s="88"/>
      <c r="D124" s="79"/>
      <c r="E124" s="79"/>
      <c r="F124" s="89" t="s">
        <v>421</v>
      </c>
      <c r="G124" s="101"/>
      <c r="H124" s="87">
        <f>SUM(H120:H123)</f>
        <v>71685</v>
      </c>
      <c r="I124" s="101"/>
      <c r="J124" s="87">
        <f>SUM(J120:J123)</f>
        <v>53291.16</v>
      </c>
      <c r="K124" s="101"/>
      <c r="L124" s="87">
        <f>SUM(L120:L123)</f>
        <v>53291.16</v>
      </c>
    </row>
    <row r="125" spans="1:12" ht="12" customHeight="1" x14ac:dyDescent="0.35">
      <c r="B125" s="84" t="s">
        <v>6</v>
      </c>
      <c r="C125" s="88" t="s">
        <v>422</v>
      </c>
      <c r="D125" s="79"/>
      <c r="E125" s="79"/>
      <c r="F125" s="90"/>
      <c r="G125" s="84"/>
      <c r="H125" s="87"/>
      <c r="I125" s="84"/>
      <c r="J125" s="87"/>
      <c r="K125" s="84"/>
      <c r="L125" s="87"/>
    </row>
    <row r="126" spans="1:12" ht="12" customHeight="1" x14ac:dyDescent="0.35">
      <c r="B126" s="84"/>
      <c r="C126" s="88"/>
      <c r="D126" s="79"/>
      <c r="E126" s="84"/>
      <c r="F126" s="102"/>
      <c r="G126" s="87"/>
      <c r="H126" s="87">
        <f>F126*G126</f>
        <v>0</v>
      </c>
      <c r="I126" s="87">
        <v>232500</v>
      </c>
      <c r="J126" s="87">
        <f>F126*I126</f>
        <v>0</v>
      </c>
      <c r="K126" s="87">
        <v>270000</v>
      </c>
      <c r="L126" s="87">
        <f>F126*K126</f>
        <v>0</v>
      </c>
    </row>
    <row r="127" spans="1:12" ht="12" customHeight="1" x14ac:dyDescent="0.35">
      <c r="B127" s="84"/>
      <c r="C127" s="88"/>
      <c r="D127" s="79"/>
      <c r="E127" s="84"/>
      <c r="F127" s="102"/>
      <c r="G127" s="87"/>
      <c r="H127" s="87">
        <f>F127*G127</f>
        <v>0</v>
      </c>
      <c r="I127" s="87">
        <v>1060</v>
      </c>
      <c r="J127" s="87">
        <f>F127*I127</f>
        <v>0</v>
      </c>
      <c r="K127" s="87">
        <v>1060</v>
      </c>
      <c r="L127" s="87">
        <f>F127*K127</f>
        <v>0</v>
      </c>
    </row>
    <row r="128" spans="1:12" ht="12" customHeight="1" x14ac:dyDescent="0.35">
      <c r="B128" s="84"/>
      <c r="C128" s="88"/>
      <c r="D128" s="79"/>
      <c r="E128" s="84"/>
      <c r="F128" s="102"/>
      <c r="G128" s="87"/>
      <c r="H128" s="87">
        <f>F128*G128</f>
        <v>0</v>
      </c>
      <c r="I128" s="87">
        <v>215000</v>
      </c>
      <c r="J128" s="87">
        <f>F128*I128</f>
        <v>0</v>
      </c>
      <c r="K128" s="87">
        <v>250000</v>
      </c>
      <c r="L128" s="87">
        <f>F128*K128</f>
        <v>0</v>
      </c>
    </row>
    <row r="129" spans="1:12" ht="12" customHeight="1" x14ac:dyDescent="0.35">
      <c r="B129" s="84"/>
      <c r="C129" s="88"/>
      <c r="D129" s="79"/>
      <c r="E129" s="79"/>
      <c r="F129" s="89" t="s">
        <v>423</v>
      </c>
      <c r="G129" s="101"/>
      <c r="H129" s="87">
        <f>SUM(H126:H128)</f>
        <v>0</v>
      </c>
      <c r="I129" s="101"/>
      <c r="J129" s="87">
        <f>SUM(J126:J128)</f>
        <v>0</v>
      </c>
      <c r="K129" s="101"/>
      <c r="L129" s="87">
        <f>SUM(L126:L128)</f>
        <v>0</v>
      </c>
    </row>
    <row r="130" spans="1:12" ht="12" customHeight="1" x14ac:dyDescent="0.35">
      <c r="B130" s="84" t="s">
        <v>7</v>
      </c>
      <c r="C130" s="88" t="s">
        <v>424</v>
      </c>
      <c r="D130" s="79"/>
      <c r="E130" s="79"/>
      <c r="F130" s="90"/>
      <c r="G130" s="84"/>
      <c r="H130" s="87"/>
      <c r="I130" s="84"/>
      <c r="J130" s="87"/>
      <c r="K130" s="84"/>
      <c r="L130" s="87"/>
    </row>
    <row r="131" spans="1:12" ht="12" customHeight="1" x14ac:dyDescent="0.35">
      <c r="A131" s="134">
        <v>31210000</v>
      </c>
      <c r="B131" s="84"/>
      <c r="C131" s="85" t="s">
        <v>472</v>
      </c>
      <c r="D131" s="84" t="s">
        <v>418</v>
      </c>
      <c r="E131" s="84" t="str">
        <f>VLOOKUP(C131,HSD!B:K,2,FALSE)</f>
        <v>jam</v>
      </c>
      <c r="F131" s="86">
        <v>0.1062</v>
      </c>
      <c r="G131" s="87">
        <f>VLOOKUP(C131,HSD!B:K,10,FALSE)</f>
        <v>493079</v>
      </c>
      <c r="H131" s="87">
        <f>F131*G131</f>
        <v>52364.989800000003</v>
      </c>
      <c r="I131" s="87"/>
      <c r="J131" s="87">
        <f>H131*I131</f>
        <v>0</v>
      </c>
      <c r="K131" s="87"/>
      <c r="L131" s="87">
        <f>J131*K131</f>
        <v>0</v>
      </c>
    </row>
    <row r="132" spans="1:12" ht="12" customHeight="1" x14ac:dyDescent="0.35">
      <c r="B132" s="84"/>
      <c r="C132" s="88"/>
      <c r="D132" s="79"/>
      <c r="E132" s="79"/>
      <c r="F132" s="90"/>
      <c r="G132" s="87"/>
      <c r="H132" s="87"/>
      <c r="I132" s="87"/>
      <c r="J132" s="87"/>
      <c r="K132" s="87"/>
      <c r="L132" s="87"/>
    </row>
    <row r="133" spans="1:12" ht="12" customHeight="1" x14ac:dyDescent="0.35">
      <c r="B133" s="84"/>
      <c r="C133" s="88"/>
      <c r="D133" s="79"/>
      <c r="E133" s="79"/>
      <c r="F133" s="90"/>
      <c r="G133" s="87"/>
      <c r="H133" s="87">
        <f>F133*G133</f>
        <v>0</v>
      </c>
      <c r="I133" s="87"/>
      <c r="J133" s="87"/>
      <c r="K133" s="87"/>
      <c r="L133" s="87"/>
    </row>
    <row r="134" spans="1:12" ht="12" customHeight="1" x14ac:dyDescent="0.35">
      <c r="B134" s="84"/>
      <c r="C134" s="88"/>
      <c r="D134" s="79"/>
      <c r="E134" s="79"/>
      <c r="F134" s="89" t="s">
        <v>425</v>
      </c>
      <c r="G134" s="101"/>
      <c r="H134" s="87">
        <f>SUM(H131:H133)</f>
        <v>52364.989800000003</v>
      </c>
      <c r="I134" s="101"/>
      <c r="J134" s="87">
        <f>SUM(J131)</f>
        <v>0</v>
      </c>
      <c r="K134" s="101"/>
      <c r="L134" s="87">
        <f>SUM(L131)</f>
        <v>0</v>
      </c>
    </row>
    <row r="135" spans="1:12" ht="12" customHeight="1" x14ac:dyDescent="0.35">
      <c r="B135" s="84" t="s">
        <v>8</v>
      </c>
      <c r="C135" s="103" t="s">
        <v>426</v>
      </c>
      <c r="D135" s="104"/>
      <c r="E135" s="104"/>
      <c r="F135" s="104"/>
      <c r="G135" s="105"/>
      <c r="H135" s="87">
        <f>H124+H129+H134</f>
        <v>124049.98980000001</v>
      </c>
      <c r="I135" s="105"/>
      <c r="J135" s="87">
        <f>J124+J129+J134</f>
        <v>53291.16</v>
      </c>
      <c r="K135" s="105"/>
      <c r="L135" s="87">
        <f>L124+L129+L134</f>
        <v>53291.16</v>
      </c>
    </row>
    <row r="136" spans="1:12" ht="12" customHeight="1" x14ac:dyDescent="0.35">
      <c r="B136" s="84" t="s">
        <v>9</v>
      </c>
      <c r="C136" s="455" t="s">
        <v>427</v>
      </c>
      <c r="D136" s="455"/>
      <c r="E136" s="455"/>
      <c r="F136" s="95">
        <f>0</f>
        <v>0</v>
      </c>
      <c r="G136" s="85" t="s">
        <v>428</v>
      </c>
      <c r="H136" s="87">
        <f>H135*F136</f>
        <v>0</v>
      </c>
      <c r="I136" s="85" t="s">
        <v>428</v>
      </c>
      <c r="J136" s="87">
        <f>J135*F136</f>
        <v>0</v>
      </c>
      <c r="K136" s="85" t="s">
        <v>428</v>
      </c>
      <c r="L136" s="87">
        <f>L135*F136</f>
        <v>0</v>
      </c>
    </row>
    <row r="137" spans="1:12" ht="12" customHeight="1" x14ac:dyDescent="0.35">
      <c r="B137" s="84" t="s">
        <v>10</v>
      </c>
      <c r="C137" s="103" t="s">
        <v>429</v>
      </c>
      <c r="D137" s="104"/>
      <c r="E137" s="104"/>
      <c r="F137" s="104"/>
      <c r="G137" s="105"/>
      <c r="H137" s="96">
        <f>H135+H136</f>
        <v>124049.98980000001</v>
      </c>
      <c r="I137" s="97"/>
      <c r="J137" s="96">
        <f>J135+J136</f>
        <v>53291.16</v>
      </c>
      <c r="K137" s="97"/>
      <c r="L137" s="96">
        <f>L135+L136</f>
        <v>53291.16</v>
      </c>
    </row>
    <row r="139" spans="1:12" ht="29" customHeight="1" x14ac:dyDescent="0.35">
      <c r="B139" s="76" t="s">
        <v>474</v>
      </c>
      <c r="C139" s="458" t="s">
        <v>475</v>
      </c>
      <c r="D139" s="459"/>
      <c r="E139" s="459"/>
      <c r="F139" s="459"/>
      <c r="G139" s="456"/>
      <c r="H139" s="457"/>
      <c r="I139" s="455" t="s">
        <v>3</v>
      </c>
      <c r="J139" s="455"/>
      <c r="K139" s="455" t="s">
        <v>4</v>
      </c>
      <c r="L139" s="455"/>
    </row>
    <row r="140" spans="1:12" ht="12" customHeight="1" x14ac:dyDescent="0.35">
      <c r="B140" s="451" t="s">
        <v>409</v>
      </c>
      <c r="C140" s="451" t="s">
        <v>410</v>
      </c>
      <c r="D140" s="452" t="s">
        <v>411</v>
      </c>
      <c r="E140" s="451" t="s">
        <v>412</v>
      </c>
      <c r="F140" s="451" t="s">
        <v>413</v>
      </c>
      <c r="G140" s="77" t="s">
        <v>414</v>
      </c>
      <c r="H140" s="77" t="s">
        <v>415</v>
      </c>
      <c r="I140" s="78" t="s">
        <v>414</v>
      </c>
      <c r="J140" s="79" t="s">
        <v>415</v>
      </c>
      <c r="K140" s="79" t="s">
        <v>414</v>
      </c>
      <c r="L140" s="79" t="s">
        <v>415</v>
      </c>
    </row>
    <row r="141" spans="1:12" ht="12" customHeight="1" x14ac:dyDescent="0.35">
      <c r="B141" s="451"/>
      <c r="C141" s="451"/>
      <c r="D141" s="453"/>
      <c r="E141" s="451"/>
      <c r="F141" s="451"/>
      <c r="G141" s="77" t="s">
        <v>17</v>
      </c>
      <c r="H141" s="77" t="s">
        <v>416</v>
      </c>
      <c r="I141" s="78" t="s">
        <v>17</v>
      </c>
      <c r="J141" s="79" t="s">
        <v>416</v>
      </c>
      <c r="K141" s="79" t="s">
        <v>17</v>
      </c>
      <c r="L141" s="79" t="s">
        <v>416</v>
      </c>
    </row>
    <row r="142" spans="1:12" ht="12" customHeight="1" x14ac:dyDescent="0.35">
      <c r="B142" s="451"/>
      <c r="C142" s="451"/>
      <c r="D142" s="454"/>
      <c r="E142" s="451"/>
      <c r="F142" s="451"/>
      <c r="G142" s="106"/>
      <c r="H142" s="77" t="s">
        <v>17</v>
      </c>
      <c r="I142" s="94"/>
      <c r="J142" s="79" t="s">
        <v>17</v>
      </c>
      <c r="K142" s="85"/>
      <c r="L142" s="79" t="s">
        <v>17</v>
      </c>
    </row>
    <row r="143" spans="1:12" ht="12" customHeight="1" x14ac:dyDescent="0.35">
      <c r="B143" s="80" t="s">
        <v>5</v>
      </c>
      <c r="C143" s="81" t="s">
        <v>417</v>
      </c>
      <c r="D143" s="82"/>
      <c r="E143" s="82"/>
      <c r="F143" s="82"/>
      <c r="G143" s="82"/>
      <c r="H143" s="82"/>
      <c r="I143" s="83"/>
      <c r="J143" s="83"/>
      <c r="K143" s="83"/>
      <c r="L143" s="83"/>
    </row>
    <row r="144" spans="1:12" ht="12" customHeight="1" x14ac:dyDescent="0.35">
      <c r="A144" s="134">
        <v>10110000</v>
      </c>
      <c r="B144" s="84"/>
      <c r="C144" s="85" t="s">
        <v>30</v>
      </c>
      <c r="D144" s="84" t="s">
        <v>418</v>
      </c>
      <c r="E144" s="84" t="str">
        <f>VLOOKUP(C144,HSD!B:K,2,FALSE)</f>
        <v>OH</v>
      </c>
      <c r="F144" s="86">
        <v>6.6500000000000004E-2</v>
      </c>
      <c r="G144" s="87">
        <f>VLOOKUP(C144,HSD!B:K,10,FALSE)</f>
        <v>150000</v>
      </c>
      <c r="H144" s="87">
        <f>F144*G144</f>
        <v>9975</v>
      </c>
      <c r="I144" s="87">
        <v>78600</v>
      </c>
      <c r="J144" s="87">
        <f>F144*I144</f>
        <v>5226.9000000000005</v>
      </c>
      <c r="K144" s="87">
        <v>78600</v>
      </c>
      <c r="L144" s="87">
        <f>F144*K144</f>
        <v>5226.9000000000005</v>
      </c>
    </row>
    <row r="145" spans="1:12" ht="12" customHeight="1" x14ac:dyDescent="0.35">
      <c r="A145" s="134">
        <v>10120000</v>
      </c>
      <c r="B145" s="84"/>
      <c r="C145" s="85" t="s">
        <v>27</v>
      </c>
      <c r="D145" s="84" t="s">
        <v>419</v>
      </c>
      <c r="E145" s="84" t="str">
        <f>VLOOKUP(C145,HSD!B:K,2,FALSE)</f>
        <v>OH</v>
      </c>
      <c r="F145" s="86"/>
      <c r="G145" s="87">
        <f>VLOOKUP(C145,HSD!B:K,10,FALSE)</f>
        <v>150000</v>
      </c>
      <c r="H145" s="87">
        <f>F145*G145</f>
        <v>0</v>
      </c>
      <c r="I145" s="87">
        <v>91500</v>
      </c>
      <c r="J145" s="87">
        <f>F145*I145</f>
        <v>0</v>
      </c>
      <c r="K145" s="87">
        <v>91500</v>
      </c>
      <c r="L145" s="87">
        <f>F145*K145</f>
        <v>0</v>
      </c>
    </row>
    <row r="146" spans="1:12" ht="12" customHeight="1" x14ac:dyDescent="0.35">
      <c r="A146" s="134">
        <v>10130000</v>
      </c>
      <c r="B146" s="84"/>
      <c r="C146" s="85" t="s">
        <v>28</v>
      </c>
      <c r="D146" s="84" t="s">
        <v>420</v>
      </c>
      <c r="E146" s="84" t="str">
        <f>VLOOKUP(C146,HSD!B:K,2,FALSE)</f>
        <v>OH</v>
      </c>
      <c r="F146" s="86">
        <v>0.66539999999999999</v>
      </c>
      <c r="G146" s="87">
        <f>VLOOKUP(C146,HSD!B:K,10,FALSE)</f>
        <v>120000</v>
      </c>
      <c r="H146" s="87">
        <f>F146*G146</f>
        <v>79848</v>
      </c>
      <c r="I146" s="87">
        <v>92500</v>
      </c>
      <c r="J146" s="87">
        <f>F146*I146</f>
        <v>61549.5</v>
      </c>
      <c r="K146" s="87">
        <v>92500</v>
      </c>
      <c r="L146" s="87">
        <f>F146*K146</f>
        <v>61549.5</v>
      </c>
    </row>
    <row r="147" spans="1:12" ht="12" customHeight="1" x14ac:dyDescent="0.35">
      <c r="B147" s="84"/>
      <c r="C147" s="85"/>
      <c r="D147" s="84"/>
      <c r="E147" s="84"/>
      <c r="F147" s="86"/>
      <c r="G147" s="87"/>
      <c r="H147" s="87"/>
      <c r="I147" s="87"/>
      <c r="J147" s="87"/>
      <c r="K147" s="87"/>
      <c r="L147" s="87"/>
    </row>
    <row r="148" spans="1:12" ht="12" customHeight="1" x14ac:dyDescent="0.35">
      <c r="B148" s="84"/>
      <c r="C148" s="88"/>
      <c r="D148" s="79"/>
      <c r="E148" s="79"/>
      <c r="F148" s="89" t="s">
        <v>421</v>
      </c>
      <c r="G148" s="101"/>
      <c r="H148" s="87">
        <f>SUM(H144:H147)</f>
        <v>89823</v>
      </c>
      <c r="I148" s="101"/>
      <c r="J148" s="87">
        <f>SUM(J144:J147)</f>
        <v>66776.399999999994</v>
      </c>
      <c r="K148" s="101"/>
      <c r="L148" s="87">
        <f>SUM(L144:L147)</f>
        <v>66776.399999999994</v>
      </c>
    </row>
    <row r="149" spans="1:12" ht="12" customHeight="1" x14ac:dyDescent="0.35">
      <c r="B149" s="84" t="s">
        <v>6</v>
      </c>
      <c r="C149" s="88" t="s">
        <v>422</v>
      </c>
      <c r="D149" s="79"/>
      <c r="E149" s="79"/>
      <c r="F149" s="90"/>
      <c r="G149" s="84"/>
      <c r="H149" s="87"/>
      <c r="I149" s="84"/>
      <c r="J149" s="87"/>
      <c r="K149" s="84"/>
      <c r="L149" s="87"/>
    </row>
    <row r="150" spans="1:12" ht="12" customHeight="1" x14ac:dyDescent="0.35">
      <c r="B150" s="84"/>
      <c r="C150" s="88"/>
      <c r="D150" s="79"/>
      <c r="E150" s="84"/>
      <c r="F150" s="102"/>
      <c r="G150" s="87"/>
      <c r="H150" s="87">
        <f>F150*G150</f>
        <v>0</v>
      </c>
      <c r="I150" s="87">
        <v>232500</v>
      </c>
      <c r="J150" s="87">
        <f>F150*I150</f>
        <v>0</v>
      </c>
      <c r="K150" s="87">
        <v>270000</v>
      </c>
      <c r="L150" s="87">
        <f>F150*K150</f>
        <v>0</v>
      </c>
    </row>
    <row r="151" spans="1:12" ht="12" customHeight="1" x14ac:dyDescent="0.35">
      <c r="B151" s="84"/>
      <c r="C151" s="88"/>
      <c r="D151" s="79"/>
      <c r="E151" s="84"/>
      <c r="F151" s="102"/>
      <c r="G151" s="87"/>
      <c r="H151" s="87">
        <f>F151*G151</f>
        <v>0</v>
      </c>
      <c r="I151" s="87">
        <v>1060</v>
      </c>
      <c r="J151" s="87">
        <f>F151*I151</f>
        <v>0</v>
      </c>
      <c r="K151" s="87">
        <v>1060</v>
      </c>
      <c r="L151" s="87">
        <f>F151*K151</f>
        <v>0</v>
      </c>
    </row>
    <row r="152" spans="1:12" ht="12" customHeight="1" x14ac:dyDescent="0.35">
      <c r="B152" s="84"/>
      <c r="C152" s="88"/>
      <c r="D152" s="79"/>
      <c r="E152" s="84"/>
      <c r="F152" s="102"/>
      <c r="G152" s="87"/>
      <c r="H152" s="87">
        <f>F152*G152</f>
        <v>0</v>
      </c>
      <c r="I152" s="87">
        <v>215000</v>
      </c>
      <c r="J152" s="87">
        <f>F152*I152</f>
        <v>0</v>
      </c>
      <c r="K152" s="87">
        <v>250000</v>
      </c>
      <c r="L152" s="87">
        <f>F152*K152</f>
        <v>0</v>
      </c>
    </row>
    <row r="153" spans="1:12" ht="12" customHeight="1" x14ac:dyDescent="0.35">
      <c r="B153" s="84"/>
      <c r="C153" s="88"/>
      <c r="D153" s="79"/>
      <c r="E153" s="79"/>
      <c r="F153" s="89" t="s">
        <v>423</v>
      </c>
      <c r="G153" s="101"/>
      <c r="H153" s="87">
        <f>SUM(H150:H152)</f>
        <v>0</v>
      </c>
      <c r="I153" s="101"/>
      <c r="J153" s="87">
        <f>SUM(J150:J152)</f>
        <v>0</v>
      </c>
      <c r="K153" s="101"/>
      <c r="L153" s="87">
        <f>SUM(L150:L152)</f>
        <v>0</v>
      </c>
    </row>
    <row r="154" spans="1:12" ht="12" customHeight="1" x14ac:dyDescent="0.35">
      <c r="B154" s="84" t="s">
        <v>7</v>
      </c>
      <c r="C154" s="88" t="s">
        <v>424</v>
      </c>
      <c r="D154" s="79"/>
      <c r="E154" s="79"/>
      <c r="F154" s="90"/>
      <c r="G154" s="84"/>
      <c r="H154" s="87"/>
      <c r="I154" s="84"/>
      <c r="J154" s="87"/>
      <c r="K154" s="84"/>
      <c r="L154" s="87"/>
    </row>
    <row r="155" spans="1:12" ht="12" customHeight="1" x14ac:dyDescent="0.35">
      <c r="A155" s="134">
        <v>31210000</v>
      </c>
      <c r="B155" s="84"/>
      <c r="C155" s="85" t="s">
        <v>472</v>
      </c>
      <c r="D155" s="84" t="s">
        <v>418</v>
      </c>
      <c r="E155" s="84" t="str">
        <f>VLOOKUP(C155,HSD!B:K,2,FALSE)</f>
        <v>jam</v>
      </c>
      <c r="F155" s="86">
        <v>0.1109</v>
      </c>
      <c r="G155" s="87">
        <f>VLOOKUP(C155,HSD!B:K,10,FALSE)</f>
        <v>493079</v>
      </c>
      <c r="H155" s="87">
        <f>F155*G155</f>
        <v>54682.4611</v>
      </c>
      <c r="I155" s="87"/>
      <c r="J155" s="87">
        <f>H155*I155</f>
        <v>0</v>
      </c>
      <c r="K155" s="87"/>
      <c r="L155" s="87">
        <f>J155*K155</f>
        <v>0</v>
      </c>
    </row>
    <row r="156" spans="1:12" ht="12" customHeight="1" x14ac:dyDescent="0.35">
      <c r="B156" s="84"/>
      <c r="C156" s="88"/>
      <c r="D156" s="79"/>
      <c r="E156" s="79"/>
      <c r="F156" s="90"/>
      <c r="G156" s="87"/>
      <c r="H156" s="87"/>
      <c r="I156" s="87"/>
      <c r="J156" s="87"/>
      <c r="K156" s="87"/>
      <c r="L156" s="87"/>
    </row>
    <row r="157" spans="1:12" ht="12" customHeight="1" x14ac:dyDescent="0.35">
      <c r="B157" s="84"/>
      <c r="C157" s="88"/>
      <c r="D157" s="79"/>
      <c r="E157" s="79"/>
      <c r="F157" s="90"/>
      <c r="G157" s="87"/>
      <c r="H157" s="87">
        <f>F157*G157</f>
        <v>0</v>
      </c>
      <c r="I157" s="87"/>
      <c r="J157" s="87"/>
      <c r="K157" s="87"/>
      <c r="L157" s="87"/>
    </row>
    <row r="158" spans="1:12" ht="12" customHeight="1" x14ac:dyDescent="0.35">
      <c r="B158" s="84"/>
      <c r="C158" s="88"/>
      <c r="D158" s="79"/>
      <c r="E158" s="79"/>
      <c r="F158" s="89" t="s">
        <v>425</v>
      </c>
      <c r="G158" s="101"/>
      <c r="H158" s="87">
        <f>SUM(H155:H157)</f>
        <v>54682.4611</v>
      </c>
      <c r="I158" s="101"/>
      <c r="J158" s="87">
        <f>SUM(J155)</f>
        <v>0</v>
      </c>
      <c r="K158" s="101"/>
      <c r="L158" s="87">
        <f>SUM(L155)</f>
        <v>0</v>
      </c>
    </row>
    <row r="159" spans="1:12" ht="12" customHeight="1" x14ac:dyDescent="0.35">
      <c r="B159" s="84" t="s">
        <v>8</v>
      </c>
      <c r="C159" s="103" t="s">
        <v>426</v>
      </c>
      <c r="D159" s="104"/>
      <c r="E159" s="104"/>
      <c r="F159" s="104"/>
      <c r="G159" s="105"/>
      <c r="H159" s="87">
        <f>H148+H153+H158</f>
        <v>144505.46110000001</v>
      </c>
      <c r="I159" s="105"/>
      <c r="J159" s="87">
        <f>J148+J153+J158</f>
        <v>66776.399999999994</v>
      </c>
      <c r="K159" s="105"/>
      <c r="L159" s="87">
        <f>L148+L153+L158</f>
        <v>66776.399999999994</v>
      </c>
    </row>
    <row r="160" spans="1:12" ht="12" customHeight="1" x14ac:dyDescent="0.35">
      <c r="B160" s="84" t="s">
        <v>9</v>
      </c>
      <c r="C160" s="455" t="s">
        <v>427</v>
      </c>
      <c r="D160" s="455"/>
      <c r="E160" s="455"/>
      <c r="F160" s="95">
        <f>0</f>
        <v>0</v>
      </c>
      <c r="G160" s="85" t="s">
        <v>428</v>
      </c>
      <c r="H160" s="87">
        <f>H159*F160</f>
        <v>0</v>
      </c>
      <c r="I160" s="85" t="s">
        <v>428</v>
      </c>
      <c r="J160" s="87">
        <f>J159*F160</f>
        <v>0</v>
      </c>
      <c r="K160" s="85" t="s">
        <v>428</v>
      </c>
      <c r="L160" s="87">
        <f>L159*F160</f>
        <v>0</v>
      </c>
    </row>
    <row r="161" spans="1:12" ht="12" customHeight="1" x14ac:dyDescent="0.35">
      <c r="B161" s="84" t="s">
        <v>10</v>
      </c>
      <c r="C161" s="103" t="s">
        <v>429</v>
      </c>
      <c r="D161" s="104"/>
      <c r="E161" s="104"/>
      <c r="F161" s="104"/>
      <c r="G161" s="105"/>
      <c r="H161" s="96">
        <f>H159+H160</f>
        <v>144505.46110000001</v>
      </c>
      <c r="I161" s="97"/>
      <c r="J161" s="96">
        <f>J159+J160</f>
        <v>66776.399999999994</v>
      </c>
      <c r="K161" s="97"/>
      <c r="L161" s="96">
        <f>L159+L160</f>
        <v>66776.399999999994</v>
      </c>
    </row>
    <row r="163" spans="1:12" ht="29" customHeight="1" x14ac:dyDescent="0.35">
      <c r="B163" s="76" t="s">
        <v>476</v>
      </c>
      <c r="C163" s="458" t="s">
        <v>477</v>
      </c>
      <c r="D163" s="459"/>
      <c r="E163" s="459"/>
      <c r="F163" s="459"/>
      <c r="G163" s="456"/>
      <c r="H163" s="457"/>
      <c r="I163" s="455" t="s">
        <v>3</v>
      </c>
      <c r="J163" s="455"/>
      <c r="K163" s="455" t="s">
        <v>4</v>
      </c>
      <c r="L163" s="455"/>
    </row>
    <row r="164" spans="1:12" ht="12" customHeight="1" x14ac:dyDescent="0.35">
      <c r="B164" s="451" t="s">
        <v>409</v>
      </c>
      <c r="C164" s="451" t="s">
        <v>410</v>
      </c>
      <c r="D164" s="452" t="s">
        <v>411</v>
      </c>
      <c r="E164" s="451" t="s">
        <v>412</v>
      </c>
      <c r="F164" s="451" t="s">
        <v>413</v>
      </c>
      <c r="G164" s="77" t="s">
        <v>414</v>
      </c>
      <c r="H164" s="77" t="s">
        <v>415</v>
      </c>
      <c r="I164" s="78" t="s">
        <v>414</v>
      </c>
      <c r="J164" s="79" t="s">
        <v>415</v>
      </c>
      <c r="K164" s="79" t="s">
        <v>414</v>
      </c>
      <c r="L164" s="79" t="s">
        <v>415</v>
      </c>
    </row>
    <row r="165" spans="1:12" ht="12" customHeight="1" x14ac:dyDescent="0.35">
      <c r="B165" s="451"/>
      <c r="C165" s="451"/>
      <c r="D165" s="453"/>
      <c r="E165" s="451"/>
      <c r="F165" s="451"/>
      <c r="G165" s="77" t="s">
        <v>17</v>
      </c>
      <c r="H165" s="77" t="s">
        <v>416</v>
      </c>
      <c r="I165" s="78" t="s">
        <v>17</v>
      </c>
      <c r="J165" s="79" t="s">
        <v>416</v>
      </c>
      <c r="K165" s="79" t="s">
        <v>17</v>
      </c>
      <c r="L165" s="79" t="s">
        <v>416</v>
      </c>
    </row>
    <row r="166" spans="1:12" ht="12" customHeight="1" x14ac:dyDescent="0.35">
      <c r="B166" s="451"/>
      <c r="C166" s="451"/>
      <c r="D166" s="454"/>
      <c r="E166" s="451"/>
      <c r="F166" s="451"/>
      <c r="G166" s="106"/>
      <c r="H166" s="77" t="s">
        <v>17</v>
      </c>
      <c r="I166" s="94"/>
      <c r="J166" s="79" t="s">
        <v>17</v>
      </c>
      <c r="K166" s="85"/>
      <c r="L166" s="79" t="s">
        <v>17</v>
      </c>
    </row>
    <row r="167" spans="1:12" ht="12" customHeight="1" x14ac:dyDescent="0.35">
      <c r="B167" s="80" t="s">
        <v>5</v>
      </c>
      <c r="C167" s="81" t="s">
        <v>417</v>
      </c>
      <c r="D167" s="82"/>
      <c r="E167" s="82"/>
      <c r="F167" s="82"/>
      <c r="G167" s="82"/>
      <c r="H167" s="82"/>
      <c r="I167" s="83"/>
      <c r="J167" s="83"/>
      <c r="K167" s="83"/>
      <c r="L167" s="83"/>
    </row>
    <row r="168" spans="1:12" ht="12" customHeight="1" x14ac:dyDescent="0.35">
      <c r="A168" s="134">
        <v>10110000</v>
      </c>
      <c r="B168" s="84"/>
      <c r="C168" s="85" t="s">
        <v>30</v>
      </c>
      <c r="D168" s="84" t="s">
        <v>418</v>
      </c>
      <c r="E168" s="84" t="str">
        <f>VLOOKUP(C168,HSD!B:K,2,FALSE)</f>
        <v>OH</v>
      </c>
      <c r="F168" s="86">
        <v>8.2600000000000007E-2</v>
      </c>
      <c r="G168" s="87">
        <f>VLOOKUP(C168,HSD!B:K,10,FALSE)</f>
        <v>150000</v>
      </c>
      <c r="H168" s="87">
        <f>F168*G168</f>
        <v>12390.000000000002</v>
      </c>
      <c r="I168" s="87">
        <v>78600</v>
      </c>
      <c r="J168" s="87">
        <f>F168*I168</f>
        <v>6492.3600000000006</v>
      </c>
      <c r="K168" s="87">
        <v>78600</v>
      </c>
      <c r="L168" s="87">
        <f>F168*K168</f>
        <v>6492.3600000000006</v>
      </c>
    </row>
    <row r="169" spans="1:12" ht="12" customHeight="1" x14ac:dyDescent="0.35">
      <c r="A169" s="134">
        <v>10120000</v>
      </c>
      <c r="B169" s="84"/>
      <c r="C169" s="85" t="s">
        <v>27</v>
      </c>
      <c r="D169" s="84" t="s">
        <v>419</v>
      </c>
      <c r="E169" s="84" t="str">
        <f>VLOOKUP(C169,HSD!B:K,2,FALSE)</f>
        <v>OH</v>
      </c>
      <c r="F169" s="86"/>
      <c r="G169" s="87">
        <f>VLOOKUP(C169,HSD!B:K,10,FALSE)</f>
        <v>150000</v>
      </c>
      <c r="H169" s="87">
        <f>F169*G169</f>
        <v>0</v>
      </c>
      <c r="I169" s="87">
        <v>91500</v>
      </c>
      <c r="J169" s="87">
        <f>F169*I169</f>
        <v>0</v>
      </c>
      <c r="K169" s="87">
        <v>91500</v>
      </c>
      <c r="L169" s="87">
        <f>F169*K169</f>
        <v>0</v>
      </c>
    </row>
    <row r="170" spans="1:12" ht="12" customHeight="1" x14ac:dyDescent="0.35">
      <c r="A170" s="134">
        <v>10130000</v>
      </c>
      <c r="B170" s="84"/>
      <c r="C170" s="85" t="s">
        <v>28</v>
      </c>
      <c r="D170" s="84" t="s">
        <v>420</v>
      </c>
      <c r="E170" s="84" t="str">
        <f>VLOOKUP(C170,HSD!B:K,2,FALSE)</f>
        <v>OH</v>
      </c>
      <c r="F170" s="86">
        <v>0.82599999999999996</v>
      </c>
      <c r="G170" s="87">
        <f>VLOOKUP(C170,HSD!B:K,10,FALSE)</f>
        <v>120000</v>
      </c>
      <c r="H170" s="87">
        <f>F170*G170</f>
        <v>99120</v>
      </c>
      <c r="I170" s="87">
        <v>92500</v>
      </c>
      <c r="J170" s="87">
        <f>F170*I170</f>
        <v>76405</v>
      </c>
      <c r="K170" s="87">
        <v>92500</v>
      </c>
      <c r="L170" s="87">
        <f>F170*K170</f>
        <v>76405</v>
      </c>
    </row>
    <row r="171" spans="1:12" ht="12" customHeight="1" x14ac:dyDescent="0.35">
      <c r="B171" s="84"/>
      <c r="C171" s="85"/>
      <c r="D171" s="84"/>
      <c r="E171" s="84"/>
      <c r="F171" s="86"/>
      <c r="G171" s="87"/>
      <c r="H171" s="87"/>
      <c r="I171" s="87"/>
      <c r="J171" s="87"/>
      <c r="K171" s="87"/>
      <c r="L171" s="87"/>
    </row>
    <row r="172" spans="1:12" ht="12" customHeight="1" x14ac:dyDescent="0.35">
      <c r="B172" s="84"/>
      <c r="C172" s="88"/>
      <c r="D172" s="79"/>
      <c r="E172" s="79"/>
      <c r="F172" s="89" t="s">
        <v>421</v>
      </c>
      <c r="G172" s="101"/>
      <c r="H172" s="87">
        <f>SUM(H168:H171)</f>
        <v>111510</v>
      </c>
      <c r="I172" s="101"/>
      <c r="J172" s="87">
        <f>SUM(J168:J171)</f>
        <v>82897.36</v>
      </c>
      <c r="K172" s="101"/>
      <c r="L172" s="87">
        <f>SUM(L168:L171)</f>
        <v>82897.36</v>
      </c>
    </row>
    <row r="173" spans="1:12" ht="12" customHeight="1" x14ac:dyDescent="0.35">
      <c r="B173" s="84" t="s">
        <v>6</v>
      </c>
      <c r="C173" s="88" t="s">
        <v>422</v>
      </c>
      <c r="D173" s="79"/>
      <c r="E173" s="79"/>
      <c r="F173" s="90"/>
      <c r="G173" s="84"/>
      <c r="H173" s="87"/>
      <c r="I173" s="84"/>
      <c r="J173" s="87"/>
      <c r="K173" s="84"/>
      <c r="L173" s="87"/>
    </row>
    <row r="174" spans="1:12" ht="12" customHeight="1" x14ac:dyDescent="0.35">
      <c r="B174" s="84"/>
      <c r="C174" s="88"/>
      <c r="D174" s="79"/>
      <c r="E174" s="84"/>
      <c r="F174" s="102"/>
      <c r="G174" s="87"/>
      <c r="H174" s="87">
        <f>F174*G174</f>
        <v>0</v>
      </c>
      <c r="I174" s="87">
        <v>232500</v>
      </c>
      <c r="J174" s="87">
        <f>F174*I174</f>
        <v>0</v>
      </c>
      <c r="K174" s="87">
        <v>270000</v>
      </c>
      <c r="L174" s="87">
        <f>F174*K174</f>
        <v>0</v>
      </c>
    </row>
    <row r="175" spans="1:12" ht="12" customHeight="1" x14ac:dyDescent="0.35">
      <c r="B175" s="84"/>
      <c r="C175" s="88"/>
      <c r="D175" s="79"/>
      <c r="E175" s="84"/>
      <c r="F175" s="102"/>
      <c r="G175" s="87"/>
      <c r="H175" s="87">
        <f>F175*G175</f>
        <v>0</v>
      </c>
      <c r="I175" s="87">
        <v>1060</v>
      </c>
      <c r="J175" s="87">
        <f>F175*I175</f>
        <v>0</v>
      </c>
      <c r="K175" s="87">
        <v>1060</v>
      </c>
      <c r="L175" s="87">
        <f>F175*K175</f>
        <v>0</v>
      </c>
    </row>
    <row r="176" spans="1:12" ht="12" customHeight="1" x14ac:dyDescent="0.35">
      <c r="B176" s="84"/>
      <c r="C176" s="88"/>
      <c r="D176" s="79"/>
      <c r="E176" s="84"/>
      <c r="F176" s="102"/>
      <c r="G176" s="87"/>
      <c r="H176" s="87">
        <f>F176*G176</f>
        <v>0</v>
      </c>
      <c r="I176" s="87">
        <v>215000</v>
      </c>
      <c r="J176" s="87">
        <f>F176*I176</f>
        <v>0</v>
      </c>
      <c r="K176" s="87">
        <v>250000</v>
      </c>
      <c r="L176" s="87">
        <f>F176*K176</f>
        <v>0</v>
      </c>
    </row>
    <row r="177" spans="1:12" ht="12" customHeight="1" x14ac:dyDescent="0.35">
      <c r="B177" s="84"/>
      <c r="C177" s="88"/>
      <c r="D177" s="79"/>
      <c r="E177" s="79"/>
      <c r="F177" s="89" t="s">
        <v>423</v>
      </c>
      <c r="G177" s="101"/>
      <c r="H177" s="87">
        <f>SUM(H174:H176)</f>
        <v>0</v>
      </c>
      <c r="I177" s="101"/>
      <c r="J177" s="87">
        <f>SUM(J174:J176)</f>
        <v>0</v>
      </c>
      <c r="K177" s="101"/>
      <c r="L177" s="87">
        <f>SUM(L174:L176)</f>
        <v>0</v>
      </c>
    </row>
    <row r="178" spans="1:12" ht="12" customHeight="1" x14ac:dyDescent="0.35">
      <c r="B178" s="84" t="s">
        <v>7</v>
      </c>
      <c r="C178" s="88" t="s">
        <v>424</v>
      </c>
      <c r="D178" s="79"/>
      <c r="E178" s="79"/>
      <c r="F178" s="90"/>
      <c r="G178" s="84"/>
      <c r="H178" s="87"/>
      <c r="I178" s="84"/>
      <c r="J178" s="87"/>
      <c r="K178" s="84"/>
      <c r="L178" s="87"/>
    </row>
    <row r="179" spans="1:12" ht="12" customHeight="1" x14ac:dyDescent="0.35">
      <c r="A179" s="134">
        <v>31210000</v>
      </c>
      <c r="B179" s="84"/>
      <c r="C179" s="85" t="s">
        <v>472</v>
      </c>
      <c r="D179" s="84" t="s">
        <v>418</v>
      </c>
      <c r="E179" s="84" t="str">
        <f>VLOOKUP(C179,HSD!B:K,2,FALSE)</f>
        <v>jam</v>
      </c>
      <c r="F179" s="86">
        <v>0.11799999999999999</v>
      </c>
      <c r="G179" s="87">
        <f>VLOOKUP(C179,HSD!B:K,10,FALSE)</f>
        <v>493079</v>
      </c>
      <c r="H179" s="87">
        <f>F179*G179</f>
        <v>58183.322</v>
      </c>
      <c r="I179" s="87"/>
      <c r="J179" s="87">
        <f>H179*I179</f>
        <v>0</v>
      </c>
      <c r="K179" s="87"/>
      <c r="L179" s="87">
        <f>J179*K179</f>
        <v>0</v>
      </c>
    </row>
    <row r="180" spans="1:12" ht="12" customHeight="1" x14ac:dyDescent="0.35">
      <c r="B180" s="84"/>
      <c r="C180" s="88"/>
      <c r="D180" s="79"/>
      <c r="E180" s="79"/>
      <c r="F180" s="90"/>
      <c r="G180" s="87"/>
      <c r="H180" s="87"/>
      <c r="I180" s="87"/>
      <c r="J180" s="87"/>
      <c r="K180" s="87"/>
      <c r="L180" s="87"/>
    </row>
    <row r="181" spans="1:12" ht="12" customHeight="1" x14ac:dyDescent="0.35">
      <c r="B181" s="84"/>
      <c r="C181" s="88"/>
      <c r="D181" s="79"/>
      <c r="E181" s="79"/>
      <c r="F181" s="90"/>
      <c r="G181" s="87"/>
      <c r="H181" s="87">
        <f>F181*G181</f>
        <v>0</v>
      </c>
      <c r="I181" s="87"/>
      <c r="J181" s="87"/>
      <c r="K181" s="87"/>
      <c r="L181" s="87"/>
    </row>
    <row r="182" spans="1:12" ht="12" customHeight="1" x14ac:dyDescent="0.35">
      <c r="B182" s="84"/>
      <c r="C182" s="88"/>
      <c r="D182" s="79"/>
      <c r="E182" s="79"/>
      <c r="F182" s="89" t="s">
        <v>425</v>
      </c>
      <c r="G182" s="101"/>
      <c r="H182" s="87">
        <f>SUM(H179:H181)</f>
        <v>58183.322</v>
      </c>
      <c r="I182" s="101"/>
      <c r="J182" s="87">
        <f>SUM(J179)</f>
        <v>0</v>
      </c>
      <c r="K182" s="101"/>
      <c r="L182" s="87">
        <f>SUM(L179)</f>
        <v>0</v>
      </c>
    </row>
    <row r="183" spans="1:12" ht="12" customHeight="1" x14ac:dyDescent="0.35">
      <c r="B183" s="84" t="s">
        <v>8</v>
      </c>
      <c r="C183" s="103" t="s">
        <v>426</v>
      </c>
      <c r="D183" s="104"/>
      <c r="E183" s="104"/>
      <c r="F183" s="104"/>
      <c r="G183" s="105"/>
      <c r="H183" s="87">
        <f>H172+H177+H182</f>
        <v>169693.32199999999</v>
      </c>
      <c r="I183" s="105"/>
      <c r="J183" s="87">
        <f>J172+J177+J182</f>
        <v>82897.36</v>
      </c>
      <c r="K183" s="105"/>
      <c r="L183" s="87">
        <f>L172+L177+L182</f>
        <v>82897.36</v>
      </c>
    </row>
    <row r="184" spans="1:12" ht="12" customHeight="1" x14ac:dyDescent="0.35">
      <c r="B184" s="84" t="s">
        <v>9</v>
      </c>
      <c r="C184" s="455" t="s">
        <v>427</v>
      </c>
      <c r="D184" s="455"/>
      <c r="E184" s="455"/>
      <c r="F184" s="95">
        <f>0</f>
        <v>0</v>
      </c>
      <c r="G184" s="85" t="s">
        <v>428</v>
      </c>
      <c r="H184" s="87">
        <f>H183*F184</f>
        <v>0</v>
      </c>
      <c r="I184" s="85" t="s">
        <v>428</v>
      </c>
      <c r="J184" s="87">
        <f>J183*F184</f>
        <v>0</v>
      </c>
      <c r="K184" s="85" t="s">
        <v>428</v>
      </c>
      <c r="L184" s="87">
        <f>L183*F184</f>
        <v>0</v>
      </c>
    </row>
    <row r="185" spans="1:12" ht="12" customHeight="1" x14ac:dyDescent="0.35">
      <c r="B185" s="84" t="s">
        <v>10</v>
      </c>
      <c r="C185" s="103" t="s">
        <v>429</v>
      </c>
      <c r="D185" s="104"/>
      <c r="E185" s="104"/>
      <c r="F185" s="104"/>
      <c r="G185" s="105"/>
      <c r="H185" s="96">
        <f>H183+H184</f>
        <v>169693.32199999999</v>
      </c>
      <c r="I185" s="97"/>
      <c r="J185" s="96">
        <f>J183+J184</f>
        <v>82897.36</v>
      </c>
      <c r="K185" s="97"/>
      <c r="L185" s="96">
        <f>L183+L184</f>
        <v>82897.36</v>
      </c>
    </row>
    <row r="187" spans="1:12" ht="29" customHeight="1" x14ac:dyDescent="0.35">
      <c r="B187" s="76" t="s">
        <v>480</v>
      </c>
      <c r="C187" s="458" t="s">
        <v>478</v>
      </c>
      <c r="D187" s="459"/>
      <c r="E187" s="459"/>
      <c r="F187" s="459"/>
      <c r="G187" s="456"/>
      <c r="H187" s="457"/>
      <c r="I187" s="455" t="s">
        <v>3</v>
      </c>
      <c r="J187" s="455"/>
      <c r="K187" s="455" t="s">
        <v>4</v>
      </c>
      <c r="L187" s="455"/>
    </row>
    <row r="188" spans="1:12" ht="12" customHeight="1" x14ac:dyDescent="0.35">
      <c r="B188" s="451" t="s">
        <v>409</v>
      </c>
      <c r="C188" s="451" t="s">
        <v>410</v>
      </c>
      <c r="D188" s="452" t="s">
        <v>411</v>
      </c>
      <c r="E188" s="451" t="s">
        <v>412</v>
      </c>
      <c r="F188" s="451" t="s">
        <v>413</v>
      </c>
      <c r="G188" s="77" t="s">
        <v>414</v>
      </c>
      <c r="H188" s="77" t="s">
        <v>415</v>
      </c>
      <c r="I188" s="78" t="s">
        <v>414</v>
      </c>
      <c r="J188" s="79" t="s">
        <v>415</v>
      </c>
      <c r="K188" s="79" t="s">
        <v>414</v>
      </c>
      <c r="L188" s="79" t="s">
        <v>415</v>
      </c>
    </row>
    <row r="189" spans="1:12" ht="12" customHeight="1" x14ac:dyDescent="0.35">
      <c r="B189" s="451"/>
      <c r="C189" s="451"/>
      <c r="D189" s="453"/>
      <c r="E189" s="451"/>
      <c r="F189" s="451"/>
      <c r="G189" s="77" t="s">
        <v>17</v>
      </c>
      <c r="H189" s="77" t="s">
        <v>416</v>
      </c>
      <c r="I189" s="78" t="s">
        <v>17</v>
      </c>
      <c r="J189" s="79" t="s">
        <v>416</v>
      </c>
      <c r="K189" s="79" t="s">
        <v>17</v>
      </c>
      <c r="L189" s="79" t="s">
        <v>416</v>
      </c>
    </row>
    <row r="190" spans="1:12" ht="12" customHeight="1" x14ac:dyDescent="0.35">
      <c r="B190" s="451"/>
      <c r="C190" s="451"/>
      <c r="D190" s="454"/>
      <c r="E190" s="451"/>
      <c r="F190" s="451"/>
      <c r="G190" s="106"/>
      <c r="H190" s="77" t="s">
        <v>17</v>
      </c>
      <c r="I190" s="94"/>
      <c r="J190" s="79" t="s">
        <v>17</v>
      </c>
      <c r="K190" s="85"/>
      <c r="L190" s="79" t="s">
        <v>17</v>
      </c>
    </row>
    <row r="191" spans="1:12" ht="12" customHeight="1" x14ac:dyDescent="0.35">
      <c r="B191" s="80" t="s">
        <v>5</v>
      </c>
      <c r="C191" s="81" t="s">
        <v>417</v>
      </c>
      <c r="D191" s="82"/>
      <c r="E191" s="82"/>
      <c r="F191" s="82"/>
      <c r="G191" s="82"/>
      <c r="H191" s="82"/>
      <c r="I191" s="83"/>
      <c r="J191" s="83"/>
      <c r="K191" s="83"/>
      <c r="L191" s="83"/>
    </row>
    <row r="192" spans="1:12" ht="12" customHeight="1" x14ac:dyDescent="0.35">
      <c r="A192" s="134">
        <v>10110000</v>
      </c>
      <c r="B192" s="84"/>
      <c r="C192" s="85" t="s">
        <v>30</v>
      </c>
      <c r="D192" s="84" t="s">
        <v>418</v>
      </c>
      <c r="E192" s="84" t="str">
        <f>VLOOKUP(C192,HSD!B:K,2,FALSE)</f>
        <v>OH</v>
      </c>
      <c r="F192" s="86">
        <v>0.04</v>
      </c>
      <c r="G192" s="87">
        <f>VLOOKUP(C192,HSD!B:K,10,FALSE)</f>
        <v>150000</v>
      </c>
      <c r="H192" s="87">
        <f>F192*G192</f>
        <v>6000</v>
      </c>
      <c r="I192" s="87">
        <v>78600</v>
      </c>
      <c r="J192" s="87">
        <f>F192*I192</f>
        <v>3144</v>
      </c>
      <c r="K192" s="87">
        <v>78600</v>
      </c>
      <c r="L192" s="87">
        <f>F192*K192</f>
        <v>3144</v>
      </c>
    </row>
    <row r="193" spans="1:12" ht="12" customHeight="1" x14ac:dyDescent="0.35">
      <c r="A193" s="134">
        <v>10130000</v>
      </c>
      <c r="B193" s="84"/>
      <c r="C193" s="85" t="s">
        <v>28</v>
      </c>
      <c r="D193" s="84" t="s">
        <v>419</v>
      </c>
      <c r="E193" s="84" t="str">
        <f>VLOOKUP(C193,HSD!B:K,2,FALSE)</f>
        <v>OH</v>
      </c>
      <c r="F193" s="86">
        <v>0.4</v>
      </c>
      <c r="G193" s="87">
        <f>VLOOKUP(C193,HSD!B:K,10,FALSE)</f>
        <v>120000</v>
      </c>
      <c r="H193" s="87">
        <f>F193*G193</f>
        <v>48000</v>
      </c>
      <c r="I193" s="87">
        <v>91500</v>
      </c>
      <c r="J193" s="87">
        <f>F193*I193</f>
        <v>36600</v>
      </c>
      <c r="K193" s="87">
        <v>91500</v>
      </c>
      <c r="L193" s="87">
        <f>F193*K193</f>
        <v>36600</v>
      </c>
    </row>
    <row r="194" spans="1:12" ht="12" customHeight="1" x14ac:dyDescent="0.35">
      <c r="A194" s="134">
        <v>10143000</v>
      </c>
      <c r="B194" s="84"/>
      <c r="C194" s="85" t="s">
        <v>435</v>
      </c>
      <c r="D194" s="84" t="s">
        <v>420</v>
      </c>
      <c r="E194" s="84" t="str">
        <f>VLOOKUP(C194,HSD!B:K,2,FALSE)</f>
        <v>OH</v>
      </c>
      <c r="F194" s="86">
        <v>0.2</v>
      </c>
      <c r="G194" s="87">
        <f>VLOOKUP(C194,HSD!B:K,10,FALSE)</f>
        <v>250000</v>
      </c>
      <c r="H194" s="87">
        <f>F194*G194</f>
        <v>50000</v>
      </c>
      <c r="I194" s="87">
        <v>92500</v>
      </c>
      <c r="J194" s="87">
        <f>F194*I194</f>
        <v>18500</v>
      </c>
      <c r="K194" s="87">
        <v>92500</v>
      </c>
      <c r="L194" s="87">
        <f>F194*K194</f>
        <v>18500</v>
      </c>
    </row>
    <row r="195" spans="1:12" ht="12" customHeight="1" x14ac:dyDescent="0.35">
      <c r="B195" s="84"/>
      <c r="C195" s="85"/>
      <c r="D195" s="84"/>
      <c r="E195" s="84"/>
      <c r="F195" s="86"/>
      <c r="G195" s="87"/>
      <c r="H195" s="87"/>
      <c r="I195" s="87"/>
      <c r="J195" s="87"/>
      <c r="K195" s="87"/>
      <c r="L195" s="87"/>
    </row>
    <row r="196" spans="1:12" ht="12" customHeight="1" x14ac:dyDescent="0.35">
      <c r="B196" s="84"/>
      <c r="C196" s="88"/>
      <c r="D196" s="79"/>
      <c r="E196" s="79"/>
      <c r="F196" s="89" t="s">
        <v>421</v>
      </c>
      <c r="G196" s="101"/>
      <c r="H196" s="87">
        <f>SUM(H192:H195)</f>
        <v>104000</v>
      </c>
      <c r="I196" s="101"/>
      <c r="J196" s="87">
        <f>SUM(J192:J195)</f>
        <v>58244</v>
      </c>
      <c r="K196" s="101"/>
      <c r="L196" s="87">
        <f>SUM(L192:L195)</f>
        <v>58244</v>
      </c>
    </row>
    <row r="197" spans="1:12" ht="12" customHeight="1" x14ac:dyDescent="0.35">
      <c r="B197" s="84" t="s">
        <v>6</v>
      </c>
      <c r="C197" s="88" t="s">
        <v>422</v>
      </c>
      <c r="D197" s="79"/>
      <c r="E197" s="79"/>
      <c r="F197" s="90"/>
      <c r="G197" s="84"/>
      <c r="H197" s="87"/>
      <c r="I197" s="84"/>
      <c r="J197" s="87"/>
      <c r="K197" s="84"/>
      <c r="L197" s="87"/>
    </row>
    <row r="198" spans="1:12" ht="12" customHeight="1" x14ac:dyDescent="0.35">
      <c r="B198" s="84"/>
      <c r="C198" s="88"/>
      <c r="D198" s="79"/>
      <c r="E198" s="84"/>
      <c r="F198" s="102"/>
      <c r="G198" s="87"/>
      <c r="H198" s="87">
        <f>F198*G198</f>
        <v>0</v>
      </c>
      <c r="I198" s="87">
        <v>232500</v>
      </c>
      <c r="J198" s="87">
        <f>F198*I198</f>
        <v>0</v>
      </c>
      <c r="K198" s="87">
        <v>270000</v>
      </c>
      <c r="L198" s="87">
        <f>F198*K198</f>
        <v>0</v>
      </c>
    </row>
    <row r="199" spans="1:12" ht="12" customHeight="1" x14ac:dyDescent="0.35">
      <c r="B199" s="84"/>
      <c r="C199" s="88"/>
      <c r="D199" s="79"/>
      <c r="E199" s="84"/>
      <c r="F199" s="102"/>
      <c r="G199" s="87"/>
      <c r="H199" s="87">
        <f>F199*G199</f>
        <v>0</v>
      </c>
      <c r="I199" s="87">
        <v>1060</v>
      </c>
      <c r="J199" s="87">
        <f>F199*I199</f>
        <v>0</v>
      </c>
      <c r="K199" s="87">
        <v>1060</v>
      </c>
      <c r="L199" s="87">
        <f>F199*K199</f>
        <v>0</v>
      </c>
    </row>
    <row r="200" spans="1:12" ht="12" customHeight="1" x14ac:dyDescent="0.35">
      <c r="B200" s="84"/>
      <c r="C200" s="88"/>
      <c r="D200" s="79"/>
      <c r="E200" s="84"/>
      <c r="F200" s="102"/>
      <c r="G200" s="87"/>
      <c r="H200" s="87">
        <f>F200*G200</f>
        <v>0</v>
      </c>
      <c r="I200" s="87">
        <v>215000</v>
      </c>
      <c r="J200" s="87">
        <f>F200*I200</f>
        <v>0</v>
      </c>
      <c r="K200" s="87">
        <v>250000</v>
      </c>
      <c r="L200" s="87">
        <f>F200*K200</f>
        <v>0</v>
      </c>
    </row>
    <row r="201" spans="1:12" ht="12" customHeight="1" x14ac:dyDescent="0.35">
      <c r="B201" s="84"/>
      <c r="C201" s="88"/>
      <c r="D201" s="79"/>
      <c r="E201" s="79"/>
      <c r="F201" s="89" t="s">
        <v>423</v>
      </c>
      <c r="G201" s="101"/>
      <c r="H201" s="87">
        <f>SUM(H198:H200)</f>
        <v>0</v>
      </c>
      <c r="I201" s="101"/>
      <c r="J201" s="87">
        <f>SUM(J198:J200)</f>
        <v>0</v>
      </c>
      <c r="K201" s="101"/>
      <c r="L201" s="87">
        <f>SUM(L198:L200)</f>
        <v>0</v>
      </c>
    </row>
    <row r="202" spans="1:12" ht="12" customHeight="1" x14ac:dyDescent="0.35">
      <c r="B202" s="84" t="s">
        <v>7</v>
      </c>
      <c r="C202" s="88" t="s">
        <v>424</v>
      </c>
      <c r="D202" s="79"/>
      <c r="E202" s="79"/>
      <c r="F202" s="90"/>
      <c r="G202" s="84"/>
      <c r="H202" s="87"/>
      <c r="I202" s="84"/>
      <c r="J202" s="87"/>
      <c r="K202" s="84"/>
      <c r="L202" s="87"/>
    </row>
    <row r="203" spans="1:12" ht="12" customHeight="1" x14ac:dyDescent="0.35">
      <c r="B203" s="84"/>
      <c r="C203" s="85"/>
      <c r="D203" s="84"/>
      <c r="E203" s="84"/>
      <c r="F203" s="86"/>
      <c r="G203" s="87"/>
      <c r="H203" s="87">
        <f>F203*G203</f>
        <v>0</v>
      </c>
      <c r="I203" s="87"/>
      <c r="J203" s="87">
        <f>H203*I203</f>
        <v>0</v>
      </c>
      <c r="K203" s="87"/>
      <c r="L203" s="87">
        <f>J203*K203</f>
        <v>0</v>
      </c>
    </row>
    <row r="204" spans="1:12" ht="12" customHeight="1" x14ac:dyDescent="0.35">
      <c r="B204" s="84"/>
      <c r="C204" s="88"/>
      <c r="D204" s="79"/>
      <c r="E204" s="79"/>
      <c r="F204" s="90"/>
      <c r="G204" s="87"/>
      <c r="H204" s="87"/>
      <c r="I204" s="87"/>
      <c r="J204" s="87"/>
      <c r="K204" s="87"/>
      <c r="L204" s="87"/>
    </row>
    <row r="205" spans="1:12" ht="12" customHeight="1" x14ac:dyDescent="0.35">
      <c r="B205" s="84"/>
      <c r="C205" s="88"/>
      <c r="D205" s="79"/>
      <c r="E205" s="79"/>
      <c r="F205" s="90"/>
      <c r="G205" s="87"/>
      <c r="H205" s="87">
        <f>F205*G205</f>
        <v>0</v>
      </c>
      <c r="I205" s="87"/>
      <c r="J205" s="87"/>
      <c r="K205" s="87"/>
      <c r="L205" s="87"/>
    </row>
    <row r="206" spans="1:12" ht="12" customHeight="1" x14ac:dyDescent="0.35">
      <c r="B206" s="84"/>
      <c r="C206" s="88"/>
      <c r="D206" s="79"/>
      <c r="E206" s="79"/>
      <c r="F206" s="89" t="s">
        <v>425</v>
      </c>
      <c r="G206" s="101"/>
      <c r="H206" s="87">
        <f>SUM(H203:H205)</f>
        <v>0</v>
      </c>
      <c r="I206" s="101"/>
      <c r="J206" s="87">
        <f>SUM(J203)</f>
        <v>0</v>
      </c>
      <c r="K206" s="101"/>
      <c r="L206" s="87">
        <f>SUM(L203)</f>
        <v>0</v>
      </c>
    </row>
    <row r="207" spans="1:12" ht="12" customHeight="1" x14ac:dyDescent="0.35">
      <c r="B207" s="84" t="s">
        <v>8</v>
      </c>
      <c r="C207" s="103" t="s">
        <v>426</v>
      </c>
      <c r="D207" s="104"/>
      <c r="E207" s="104"/>
      <c r="F207" s="104"/>
      <c r="G207" s="105"/>
      <c r="H207" s="87">
        <f>H196+H201+H206</f>
        <v>104000</v>
      </c>
      <c r="I207" s="105"/>
      <c r="J207" s="87">
        <f>J196+J201+J206</f>
        <v>58244</v>
      </c>
      <c r="K207" s="105"/>
      <c r="L207" s="87">
        <f>L196+L201+L206</f>
        <v>58244</v>
      </c>
    </row>
    <row r="208" spans="1:12" ht="12" customHeight="1" x14ac:dyDescent="0.35">
      <c r="B208" s="84" t="s">
        <v>9</v>
      </c>
      <c r="C208" s="455" t="s">
        <v>427</v>
      </c>
      <c r="D208" s="455"/>
      <c r="E208" s="455"/>
      <c r="F208" s="95">
        <f>0</f>
        <v>0</v>
      </c>
      <c r="G208" s="85" t="s">
        <v>428</v>
      </c>
      <c r="H208" s="87">
        <f>H207*F208</f>
        <v>0</v>
      </c>
      <c r="I208" s="85" t="s">
        <v>428</v>
      </c>
      <c r="J208" s="87">
        <f>J207*F208</f>
        <v>0</v>
      </c>
      <c r="K208" s="85" t="s">
        <v>428</v>
      </c>
      <c r="L208" s="87">
        <f>L207*F208</f>
        <v>0</v>
      </c>
    </row>
    <row r="209" spans="1:12" ht="12" customHeight="1" x14ac:dyDescent="0.35">
      <c r="B209" s="84" t="s">
        <v>10</v>
      </c>
      <c r="C209" s="103" t="s">
        <v>429</v>
      </c>
      <c r="D209" s="104"/>
      <c r="E209" s="104"/>
      <c r="F209" s="104"/>
      <c r="G209" s="105"/>
      <c r="H209" s="96">
        <f>H207+H208</f>
        <v>104000</v>
      </c>
      <c r="I209" s="97"/>
      <c r="J209" s="96">
        <f>J207+J208</f>
        <v>58244</v>
      </c>
      <c r="K209" s="97"/>
      <c r="L209" s="96">
        <f>L207+L208</f>
        <v>58244</v>
      </c>
    </row>
    <row r="211" spans="1:12" ht="29" customHeight="1" x14ac:dyDescent="0.35">
      <c r="B211" s="76" t="s">
        <v>479</v>
      </c>
      <c r="C211" s="458" t="s">
        <v>481</v>
      </c>
      <c r="D211" s="459"/>
      <c r="E211" s="459"/>
      <c r="F211" s="459"/>
      <c r="G211" s="456"/>
      <c r="H211" s="457"/>
      <c r="I211" s="455" t="s">
        <v>3</v>
      </c>
      <c r="J211" s="455"/>
      <c r="K211" s="455" t="s">
        <v>4</v>
      </c>
      <c r="L211" s="455"/>
    </row>
    <row r="212" spans="1:12" ht="12" customHeight="1" x14ac:dyDescent="0.35">
      <c r="B212" s="451" t="s">
        <v>409</v>
      </c>
      <c r="C212" s="451" t="s">
        <v>410</v>
      </c>
      <c r="D212" s="452" t="s">
        <v>411</v>
      </c>
      <c r="E212" s="451" t="s">
        <v>412</v>
      </c>
      <c r="F212" s="451" t="s">
        <v>413</v>
      </c>
      <c r="G212" s="77" t="s">
        <v>414</v>
      </c>
      <c r="H212" s="77" t="s">
        <v>415</v>
      </c>
      <c r="I212" s="78" t="s">
        <v>414</v>
      </c>
      <c r="J212" s="79" t="s">
        <v>415</v>
      </c>
      <c r="K212" s="79" t="s">
        <v>414</v>
      </c>
      <c r="L212" s="79" t="s">
        <v>415</v>
      </c>
    </row>
    <row r="213" spans="1:12" ht="12" customHeight="1" x14ac:dyDescent="0.35">
      <c r="B213" s="451"/>
      <c r="C213" s="451"/>
      <c r="D213" s="453"/>
      <c r="E213" s="451"/>
      <c r="F213" s="451"/>
      <c r="G213" s="77" t="s">
        <v>17</v>
      </c>
      <c r="H213" s="77" t="s">
        <v>416</v>
      </c>
      <c r="I213" s="78" t="s">
        <v>17</v>
      </c>
      <c r="J213" s="79" t="s">
        <v>416</v>
      </c>
      <c r="K213" s="79" t="s">
        <v>17</v>
      </c>
      <c r="L213" s="79" t="s">
        <v>416</v>
      </c>
    </row>
    <row r="214" spans="1:12" ht="12" customHeight="1" x14ac:dyDescent="0.35">
      <c r="B214" s="451"/>
      <c r="C214" s="451"/>
      <c r="D214" s="454"/>
      <c r="E214" s="451"/>
      <c r="F214" s="451"/>
      <c r="G214" s="106"/>
      <c r="H214" s="77" t="s">
        <v>17</v>
      </c>
      <c r="I214" s="94"/>
      <c r="J214" s="79" t="s">
        <v>17</v>
      </c>
      <c r="K214" s="85"/>
      <c r="L214" s="79" t="s">
        <v>17</v>
      </c>
    </row>
    <row r="215" spans="1:12" ht="12" customHeight="1" x14ac:dyDescent="0.35">
      <c r="B215" s="80" t="s">
        <v>5</v>
      </c>
      <c r="C215" s="81" t="s">
        <v>417</v>
      </c>
      <c r="D215" s="82"/>
      <c r="E215" s="82"/>
      <c r="F215" s="82"/>
      <c r="G215" s="82"/>
      <c r="H215" s="82"/>
      <c r="I215" s="83"/>
      <c r="J215" s="83"/>
      <c r="K215" s="83"/>
      <c r="L215" s="83"/>
    </row>
    <row r="216" spans="1:12" ht="12" customHeight="1" x14ac:dyDescent="0.35">
      <c r="A216" s="134">
        <v>10110000</v>
      </c>
      <c r="B216" s="84"/>
      <c r="C216" s="85" t="s">
        <v>30</v>
      </c>
      <c r="D216" s="84" t="s">
        <v>418</v>
      </c>
      <c r="E216" s="84" t="str">
        <f>VLOOKUP(C216,HSD!B:K,2,FALSE)</f>
        <v>OH</v>
      </c>
      <c r="F216" s="86">
        <v>2.3999999999999998E-3</v>
      </c>
      <c r="G216" s="87">
        <f>VLOOKUP(C216,HSD!B:K,10,FALSE)</f>
        <v>150000</v>
      </c>
      <c r="H216" s="87">
        <f>F216*G216</f>
        <v>359.99999999999994</v>
      </c>
      <c r="I216" s="87">
        <v>78600</v>
      </c>
      <c r="J216" s="87">
        <f>F216*I216</f>
        <v>188.64</v>
      </c>
      <c r="K216" s="87">
        <v>78600</v>
      </c>
      <c r="L216" s="87">
        <f>F216*K216</f>
        <v>188.64</v>
      </c>
    </row>
    <row r="217" spans="1:12" ht="12" customHeight="1" x14ac:dyDescent="0.35">
      <c r="A217" s="134">
        <v>10130000</v>
      </c>
      <c r="B217" s="84"/>
      <c r="C217" s="85" t="s">
        <v>28</v>
      </c>
      <c r="D217" s="84" t="s">
        <v>419</v>
      </c>
      <c r="E217" s="84" t="str">
        <f>VLOOKUP(C217,HSD!B:K,2,FALSE)</f>
        <v>OH</v>
      </c>
      <c r="F217" s="86">
        <f>F216*10</f>
        <v>2.3999999999999997E-2</v>
      </c>
      <c r="G217" s="87">
        <f>VLOOKUP(C217,HSD!B:K,10,FALSE)</f>
        <v>120000</v>
      </c>
      <c r="H217" s="87">
        <f>F217*G217</f>
        <v>2879.9999999999995</v>
      </c>
      <c r="I217" s="87">
        <v>91500</v>
      </c>
      <c r="J217" s="87">
        <f>F217*I217</f>
        <v>2195.9999999999995</v>
      </c>
      <c r="K217" s="87">
        <v>91500</v>
      </c>
      <c r="L217" s="87">
        <f>F217*K217</f>
        <v>2195.9999999999995</v>
      </c>
    </row>
    <row r="218" spans="1:12" ht="12" customHeight="1" x14ac:dyDescent="0.35">
      <c r="A218" s="134">
        <v>10143000</v>
      </c>
      <c r="B218" s="84"/>
      <c r="C218" s="85" t="s">
        <v>435</v>
      </c>
      <c r="D218" s="84" t="s">
        <v>420</v>
      </c>
      <c r="E218" s="84" t="str">
        <f>VLOOKUP(C218,HSD!B:K,2,FALSE)</f>
        <v>OH</v>
      </c>
      <c r="F218" s="86">
        <v>2.4E-2</v>
      </c>
      <c r="G218" s="87">
        <f>VLOOKUP(C218,HSD!B:K,10,FALSE)</f>
        <v>250000</v>
      </c>
      <c r="H218" s="87">
        <f>F218*G218</f>
        <v>6000</v>
      </c>
      <c r="I218" s="87">
        <v>92500</v>
      </c>
      <c r="J218" s="87">
        <f>F218*I218</f>
        <v>2220</v>
      </c>
      <c r="K218" s="87">
        <v>92500</v>
      </c>
      <c r="L218" s="87">
        <f>F218*K218</f>
        <v>2220</v>
      </c>
    </row>
    <row r="219" spans="1:12" ht="12" customHeight="1" x14ac:dyDescent="0.35">
      <c r="B219" s="84"/>
      <c r="C219" s="85"/>
      <c r="D219" s="84"/>
      <c r="E219" s="84"/>
      <c r="F219" s="86"/>
      <c r="G219" s="87"/>
      <c r="H219" s="87"/>
      <c r="I219" s="87"/>
      <c r="J219" s="87"/>
      <c r="K219" s="87"/>
      <c r="L219" s="87"/>
    </row>
    <row r="220" spans="1:12" ht="12" customHeight="1" x14ac:dyDescent="0.35">
      <c r="B220" s="84"/>
      <c r="C220" s="88"/>
      <c r="D220" s="79"/>
      <c r="E220" s="79"/>
      <c r="F220" s="89" t="s">
        <v>421</v>
      </c>
      <c r="G220" s="101"/>
      <c r="H220" s="87">
        <f>SUM(H216:H219)</f>
        <v>9240</v>
      </c>
      <c r="I220" s="101"/>
      <c r="J220" s="87">
        <f>SUM(J216:J219)</f>
        <v>4604.6399999999994</v>
      </c>
      <c r="K220" s="101"/>
      <c r="L220" s="87">
        <f>SUM(L216:L219)</f>
        <v>4604.6399999999994</v>
      </c>
    </row>
    <row r="221" spans="1:12" ht="12" customHeight="1" x14ac:dyDescent="0.35">
      <c r="B221" s="84" t="s">
        <v>6</v>
      </c>
      <c r="C221" s="88" t="s">
        <v>422</v>
      </c>
      <c r="D221" s="79"/>
      <c r="E221" s="79"/>
      <c r="F221" s="90"/>
      <c r="G221" s="84"/>
      <c r="H221" s="87"/>
      <c r="I221" s="84"/>
      <c r="J221" s="87"/>
      <c r="K221" s="84"/>
      <c r="L221" s="87"/>
    </row>
    <row r="222" spans="1:12" ht="12" customHeight="1" x14ac:dyDescent="0.35">
      <c r="B222" s="84"/>
      <c r="C222" s="85"/>
      <c r="D222" s="84"/>
      <c r="E222" s="84"/>
      <c r="F222" s="86"/>
      <c r="G222" s="87"/>
      <c r="H222" s="87">
        <f>F222*G222</f>
        <v>0</v>
      </c>
      <c r="I222" s="87">
        <v>232500</v>
      </c>
      <c r="J222" s="87">
        <f>F222*I222</f>
        <v>0</v>
      </c>
      <c r="K222" s="87">
        <v>270000</v>
      </c>
      <c r="L222" s="87">
        <f>F222*K222</f>
        <v>0</v>
      </c>
    </row>
    <row r="223" spans="1:12" ht="12" customHeight="1" x14ac:dyDescent="0.35">
      <c r="B223" s="84"/>
      <c r="C223" s="88"/>
      <c r="D223" s="79"/>
      <c r="E223" s="84"/>
      <c r="F223" s="102"/>
      <c r="G223" s="87"/>
      <c r="H223" s="87">
        <f>F223*G223</f>
        <v>0</v>
      </c>
      <c r="I223" s="87">
        <v>1060</v>
      </c>
      <c r="J223" s="87">
        <f>F223*I223</f>
        <v>0</v>
      </c>
      <c r="K223" s="87">
        <v>1060</v>
      </c>
      <c r="L223" s="87">
        <f>F223*K223</f>
        <v>0</v>
      </c>
    </row>
    <row r="224" spans="1:12" ht="12" customHeight="1" x14ac:dyDescent="0.35">
      <c r="B224" s="84"/>
      <c r="C224" s="88"/>
      <c r="D224" s="79"/>
      <c r="E224" s="84"/>
      <c r="F224" s="102"/>
      <c r="G224" s="87"/>
      <c r="H224" s="87">
        <f>F224*G224</f>
        <v>0</v>
      </c>
      <c r="I224" s="87">
        <v>215000</v>
      </c>
      <c r="J224" s="87">
        <f>F224*I224</f>
        <v>0</v>
      </c>
      <c r="K224" s="87">
        <v>250000</v>
      </c>
      <c r="L224" s="87">
        <f>F224*K224</f>
        <v>0</v>
      </c>
    </row>
    <row r="225" spans="1:12" ht="12" customHeight="1" x14ac:dyDescent="0.35">
      <c r="B225" s="84"/>
      <c r="C225" s="88"/>
      <c r="D225" s="79"/>
      <c r="E225" s="79"/>
      <c r="F225" s="89" t="s">
        <v>423</v>
      </c>
      <c r="G225" s="101"/>
      <c r="H225" s="87">
        <f>SUM(H222:H224)</f>
        <v>0</v>
      </c>
      <c r="I225" s="101"/>
      <c r="J225" s="87">
        <f>SUM(J222:J224)</f>
        <v>0</v>
      </c>
      <c r="K225" s="101"/>
      <c r="L225" s="87">
        <f>SUM(L222:L224)</f>
        <v>0</v>
      </c>
    </row>
    <row r="226" spans="1:12" ht="12" customHeight="1" x14ac:dyDescent="0.35">
      <c r="B226" s="84" t="s">
        <v>7</v>
      </c>
      <c r="C226" s="88" t="s">
        <v>424</v>
      </c>
      <c r="D226" s="79"/>
      <c r="E226" s="79"/>
      <c r="F226" s="90"/>
      <c r="G226" s="84"/>
      <c r="H226" s="87"/>
      <c r="I226" s="84"/>
      <c r="J226" s="87"/>
      <c r="K226" s="84"/>
      <c r="L226" s="87"/>
    </row>
    <row r="227" spans="1:12" ht="12" customHeight="1" x14ac:dyDescent="0.35">
      <c r="A227" s="134" t="s">
        <v>511</v>
      </c>
      <c r="B227" s="84"/>
      <c r="C227" s="85" t="s">
        <v>1882</v>
      </c>
      <c r="D227" s="84" t="s">
        <v>420</v>
      </c>
      <c r="E227" s="84" t="str">
        <f>VLOOKUP(C227,HSD!B:K,2,FALSE)</f>
        <v>hari</v>
      </c>
      <c r="F227" s="86">
        <v>2.4E-2</v>
      </c>
      <c r="G227" s="87">
        <f>VLOOKUP(C227,HSD!B:K,10,FALSE)</f>
        <v>382800</v>
      </c>
      <c r="H227" s="87">
        <f>F227*G227</f>
        <v>9187.2000000000007</v>
      </c>
      <c r="I227" s="87"/>
      <c r="J227" s="87">
        <f>H227*I227</f>
        <v>0</v>
      </c>
      <c r="K227" s="87"/>
      <c r="L227" s="87">
        <f>J227*K227</f>
        <v>0</v>
      </c>
    </row>
    <row r="228" spans="1:12" ht="12" customHeight="1" x14ac:dyDescent="0.35">
      <c r="B228" s="84"/>
      <c r="C228" s="88"/>
      <c r="D228" s="79"/>
      <c r="E228" s="79"/>
      <c r="F228" s="90"/>
      <c r="G228" s="87"/>
      <c r="H228" s="87"/>
      <c r="I228" s="87"/>
      <c r="J228" s="87"/>
      <c r="K228" s="87"/>
      <c r="L228" s="87"/>
    </row>
    <row r="229" spans="1:12" ht="12" customHeight="1" x14ac:dyDescent="0.35">
      <c r="B229" s="84"/>
      <c r="C229" s="88"/>
      <c r="D229" s="79"/>
      <c r="E229" s="79"/>
      <c r="F229" s="90"/>
      <c r="G229" s="87"/>
      <c r="H229" s="87">
        <f>F229*G229</f>
        <v>0</v>
      </c>
      <c r="I229" s="87"/>
      <c r="J229" s="87"/>
      <c r="K229" s="87"/>
      <c r="L229" s="87"/>
    </row>
    <row r="230" spans="1:12" ht="12" customHeight="1" x14ac:dyDescent="0.35">
      <c r="B230" s="84"/>
      <c r="C230" s="88"/>
      <c r="D230" s="79"/>
      <c r="E230" s="79"/>
      <c r="F230" s="89" t="s">
        <v>425</v>
      </c>
      <c r="G230" s="101"/>
      <c r="H230" s="87">
        <f>SUM(H227:H229)</f>
        <v>9187.2000000000007</v>
      </c>
      <c r="I230" s="101"/>
      <c r="J230" s="87">
        <f>SUM(J227)</f>
        <v>0</v>
      </c>
      <c r="K230" s="101"/>
      <c r="L230" s="87">
        <f>SUM(L227)</f>
        <v>0</v>
      </c>
    </row>
    <row r="231" spans="1:12" ht="12" customHeight="1" x14ac:dyDescent="0.35">
      <c r="B231" s="84" t="s">
        <v>8</v>
      </c>
      <c r="C231" s="103" t="s">
        <v>426</v>
      </c>
      <c r="D231" s="104"/>
      <c r="E231" s="104"/>
      <c r="F231" s="104"/>
      <c r="G231" s="105"/>
      <c r="H231" s="87">
        <f>H220+H225+H230</f>
        <v>18427.2</v>
      </c>
      <c r="I231" s="105"/>
      <c r="J231" s="87">
        <f>J220+J225+J230</f>
        <v>4604.6399999999994</v>
      </c>
      <c r="K231" s="105"/>
      <c r="L231" s="87">
        <f>L220+L225+L230</f>
        <v>4604.6399999999994</v>
      </c>
    </row>
    <row r="232" spans="1:12" ht="12" customHeight="1" x14ac:dyDescent="0.35">
      <c r="B232" s="84" t="s">
        <v>9</v>
      </c>
      <c r="C232" s="455" t="s">
        <v>427</v>
      </c>
      <c r="D232" s="455"/>
      <c r="E232" s="455"/>
      <c r="F232" s="95">
        <f>0</f>
        <v>0</v>
      </c>
      <c r="G232" s="85" t="s">
        <v>428</v>
      </c>
      <c r="H232" s="87">
        <f>H231*F232</f>
        <v>0</v>
      </c>
      <c r="I232" s="85" t="s">
        <v>428</v>
      </c>
      <c r="J232" s="87">
        <f>J231*F232</f>
        <v>0</v>
      </c>
      <c r="K232" s="85" t="s">
        <v>428</v>
      </c>
      <c r="L232" s="87">
        <f>L231*F232</f>
        <v>0</v>
      </c>
    </row>
    <row r="233" spans="1:12" ht="12" customHeight="1" x14ac:dyDescent="0.35">
      <c r="B233" s="84" t="s">
        <v>10</v>
      </c>
      <c r="C233" s="103" t="s">
        <v>429</v>
      </c>
      <c r="D233" s="104"/>
      <c r="E233" s="104"/>
      <c r="F233" s="104"/>
      <c r="G233" s="105"/>
      <c r="H233" s="96">
        <f>H231+H232</f>
        <v>18427.2</v>
      </c>
      <c r="I233" s="97"/>
      <c r="J233" s="96">
        <f>J231+J232</f>
        <v>4604.6399999999994</v>
      </c>
      <c r="K233" s="97"/>
      <c r="L233" s="96">
        <f>L231+L232</f>
        <v>4604.6399999999994</v>
      </c>
    </row>
    <row r="235" spans="1:12" ht="29" customHeight="1" x14ac:dyDescent="0.35">
      <c r="B235" s="76" t="s">
        <v>2051</v>
      </c>
      <c r="C235" s="458" t="s">
        <v>2052</v>
      </c>
      <c r="D235" s="459"/>
      <c r="E235" s="459"/>
      <c r="F235" s="459"/>
      <c r="G235" s="456"/>
      <c r="H235" s="457"/>
      <c r="I235" s="455" t="s">
        <v>3</v>
      </c>
      <c r="J235" s="455"/>
      <c r="K235" s="455" t="s">
        <v>4</v>
      </c>
      <c r="L235" s="455"/>
    </row>
    <row r="236" spans="1:12" ht="12" customHeight="1" x14ac:dyDescent="0.35">
      <c r="B236" s="451" t="s">
        <v>409</v>
      </c>
      <c r="C236" s="451" t="s">
        <v>410</v>
      </c>
      <c r="D236" s="452" t="s">
        <v>411</v>
      </c>
      <c r="E236" s="451" t="s">
        <v>412</v>
      </c>
      <c r="F236" s="451" t="s">
        <v>413</v>
      </c>
      <c r="G236" s="77" t="s">
        <v>414</v>
      </c>
      <c r="H236" s="77" t="s">
        <v>415</v>
      </c>
      <c r="I236" s="78" t="s">
        <v>414</v>
      </c>
      <c r="J236" s="79" t="s">
        <v>415</v>
      </c>
      <c r="K236" s="79" t="s">
        <v>414</v>
      </c>
      <c r="L236" s="79" t="s">
        <v>415</v>
      </c>
    </row>
    <row r="237" spans="1:12" ht="12" customHeight="1" x14ac:dyDescent="0.35">
      <c r="B237" s="451"/>
      <c r="C237" s="451"/>
      <c r="D237" s="453"/>
      <c r="E237" s="451"/>
      <c r="F237" s="451"/>
      <c r="G237" s="77" t="s">
        <v>17</v>
      </c>
      <c r="H237" s="77" t="s">
        <v>416</v>
      </c>
      <c r="I237" s="78" t="s">
        <v>17</v>
      </c>
      <c r="J237" s="79" t="s">
        <v>416</v>
      </c>
      <c r="K237" s="79" t="s">
        <v>17</v>
      </c>
      <c r="L237" s="79" t="s">
        <v>416</v>
      </c>
    </row>
    <row r="238" spans="1:12" ht="12" customHeight="1" x14ac:dyDescent="0.35">
      <c r="B238" s="451"/>
      <c r="C238" s="451"/>
      <c r="D238" s="454"/>
      <c r="E238" s="451"/>
      <c r="F238" s="451"/>
      <c r="G238" s="106"/>
      <c r="H238" s="77" t="s">
        <v>17</v>
      </c>
      <c r="I238" s="94"/>
      <c r="J238" s="79" t="s">
        <v>17</v>
      </c>
      <c r="K238" s="85"/>
      <c r="L238" s="79" t="s">
        <v>17</v>
      </c>
    </row>
    <row r="239" spans="1:12" ht="12" customHeight="1" x14ac:dyDescent="0.35">
      <c r="B239" s="80" t="s">
        <v>5</v>
      </c>
      <c r="C239" s="81" t="s">
        <v>417</v>
      </c>
      <c r="D239" s="82"/>
      <c r="E239" s="82"/>
      <c r="F239" s="82"/>
      <c r="G239" s="82"/>
      <c r="H239" s="82"/>
      <c r="I239" s="83"/>
      <c r="J239" s="83"/>
      <c r="K239" s="83"/>
      <c r="L239" s="83"/>
    </row>
    <row r="240" spans="1:12" ht="12" customHeight="1" x14ac:dyDescent="0.35">
      <c r="A240" s="134">
        <v>10111000</v>
      </c>
      <c r="B240" s="84"/>
      <c r="C240" s="85" t="s">
        <v>1885</v>
      </c>
      <c r="D240" s="84" t="s">
        <v>418</v>
      </c>
      <c r="E240" s="84" t="str">
        <f>VLOOKUP(C240,HSD!B:K,2,FALSE)</f>
        <v>OJ</v>
      </c>
      <c r="F240" s="86">
        <f>F242/10</f>
        <v>3.3500000000000001E-3</v>
      </c>
      <c r="G240" s="87">
        <f>VLOOKUP(C240,HSD!B:K,10,FALSE)</f>
        <v>18750</v>
      </c>
      <c r="H240" s="87">
        <f>F240*G240</f>
        <v>62.8125</v>
      </c>
      <c r="I240" s="87">
        <v>78600</v>
      </c>
      <c r="J240" s="87">
        <f>F240*I240</f>
        <v>263.31</v>
      </c>
      <c r="K240" s="87">
        <v>78600</v>
      </c>
      <c r="L240" s="87">
        <f>F240*K240</f>
        <v>263.31</v>
      </c>
    </row>
    <row r="241" spans="1:12" ht="12" customHeight="1" x14ac:dyDescent="0.35">
      <c r="A241" s="134">
        <v>10121110</v>
      </c>
      <c r="B241" s="84"/>
      <c r="C241" s="85" t="s">
        <v>1887</v>
      </c>
      <c r="D241" s="84" t="s">
        <v>419</v>
      </c>
      <c r="E241" s="84" t="str">
        <f>VLOOKUP(C241,HSD!B:K,2,FALSE)</f>
        <v>OJ</v>
      </c>
      <c r="F241" s="86">
        <f>F240*10</f>
        <v>3.3500000000000002E-2</v>
      </c>
      <c r="G241" s="87">
        <f>VLOOKUP(C241,HSD!B:K,10,FALSE)</f>
        <v>16250</v>
      </c>
      <c r="H241" s="87"/>
      <c r="I241" s="87">
        <v>91500</v>
      </c>
      <c r="J241" s="87">
        <f>F241*I241</f>
        <v>3065.25</v>
      </c>
      <c r="K241" s="87">
        <v>91500</v>
      </c>
      <c r="L241" s="87">
        <f>F241*K241</f>
        <v>3065.25</v>
      </c>
    </row>
    <row r="242" spans="1:12" ht="12" customHeight="1" x14ac:dyDescent="0.35">
      <c r="A242" s="134">
        <v>10131000</v>
      </c>
      <c r="B242" s="84"/>
      <c r="C242" s="85" t="s">
        <v>1888</v>
      </c>
      <c r="D242" s="84" t="s">
        <v>420</v>
      </c>
      <c r="E242" s="84" t="str">
        <f>VLOOKUP(C242,HSD!B:K,2,FALSE)</f>
        <v>OJ</v>
      </c>
      <c r="F242" s="86">
        <v>3.3500000000000002E-2</v>
      </c>
      <c r="G242" s="87">
        <f>VLOOKUP(C242,HSD!B:K,10,FALSE)</f>
        <v>15000</v>
      </c>
      <c r="H242" s="87">
        <f>F242*G242</f>
        <v>502.50000000000006</v>
      </c>
      <c r="I242" s="87">
        <v>92500</v>
      </c>
      <c r="J242" s="87">
        <f>F242*I242</f>
        <v>3098.75</v>
      </c>
      <c r="K242" s="87">
        <v>92500</v>
      </c>
      <c r="L242" s="87">
        <f>F242*K242</f>
        <v>3098.75</v>
      </c>
    </row>
    <row r="243" spans="1:12" ht="12" customHeight="1" x14ac:dyDescent="0.35">
      <c r="B243" s="84"/>
      <c r="C243" s="85"/>
      <c r="D243" s="84"/>
      <c r="E243" s="84"/>
      <c r="F243" s="86"/>
      <c r="G243" s="87"/>
      <c r="H243" s="87"/>
      <c r="I243" s="87"/>
      <c r="J243" s="87"/>
      <c r="K243" s="87"/>
      <c r="L243" s="87"/>
    </row>
    <row r="244" spans="1:12" ht="12" customHeight="1" x14ac:dyDescent="0.35">
      <c r="B244" s="84"/>
      <c r="C244" s="88"/>
      <c r="D244" s="79"/>
      <c r="E244" s="79"/>
      <c r="F244" s="89" t="s">
        <v>421</v>
      </c>
      <c r="G244" s="101"/>
      <c r="H244" s="87">
        <f>SUM(H240:H243)</f>
        <v>565.3125</v>
      </c>
      <c r="I244" s="101"/>
      <c r="J244" s="87">
        <f>SUM(J240:J243)</f>
        <v>6427.3099999999995</v>
      </c>
      <c r="K244" s="101"/>
      <c r="L244" s="87">
        <f>SUM(L240:L243)</f>
        <v>6427.3099999999995</v>
      </c>
    </row>
    <row r="245" spans="1:12" ht="12" customHeight="1" x14ac:dyDescent="0.35">
      <c r="B245" s="84" t="s">
        <v>6</v>
      </c>
      <c r="C245" s="88" t="s">
        <v>422</v>
      </c>
      <c r="D245" s="79"/>
      <c r="E245" s="79"/>
      <c r="F245" s="90"/>
      <c r="G245" s="84"/>
      <c r="H245" s="87"/>
      <c r="I245" s="84"/>
      <c r="J245" s="87"/>
      <c r="K245" s="84"/>
      <c r="L245" s="87"/>
    </row>
    <row r="246" spans="1:12" ht="12" customHeight="1" x14ac:dyDescent="0.35">
      <c r="B246" s="84"/>
      <c r="C246" s="85"/>
      <c r="D246" s="84"/>
      <c r="E246" s="84"/>
      <c r="F246" s="86"/>
      <c r="G246" s="87"/>
      <c r="H246" s="87">
        <f>F246*G246</f>
        <v>0</v>
      </c>
      <c r="I246" s="87">
        <v>232500</v>
      </c>
      <c r="J246" s="87">
        <f>F246*I246</f>
        <v>0</v>
      </c>
      <c r="K246" s="87">
        <v>270000</v>
      </c>
      <c r="L246" s="87">
        <f>F246*K246</f>
        <v>0</v>
      </c>
    </row>
    <row r="247" spans="1:12" ht="12" customHeight="1" x14ac:dyDescent="0.35">
      <c r="B247" s="84"/>
      <c r="C247" s="88"/>
      <c r="D247" s="79"/>
      <c r="E247" s="84"/>
      <c r="F247" s="102"/>
      <c r="G247" s="87"/>
      <c r="H247" s="87">
        <f>F247*G247</f>
        <v>0</v>
      </c>
      <c r="I247" s="87">
        <v>1060</v>
      </c>
      <c r="J247" s="87">
        <f>F247*I247</f>
        <v>0</v>
      </c>
      <c r="K247" s="87">
        <v>1060</v>
      </c>
      <c r="L247" s="87">
        <f>F247*K247</f>
        <v>0</v>
      </c>
    </row>
    <row r="248" spans="1:12" ht="12" customHeight="1" x14ac:dyDescent="0.35">
      <c r="B248" s="84"/>
      <c r="C248" s="88"/>
      <c r="D248" s="79"/>
      <c r="E248" s="84"/>
      <c r="F248" s="102"/>
      <c r="G248" s="87"/>
      <c r="H248" s="87">
        <f>F248*G248</f>
        <v>0</v>
      </c>
      <c r="I248" s="87">
        <v>215000</v>
      </c>
      <c r="J248" s="87">
        <f>F248*I248</f>
        <v>0</v>
      </c>
      <c r="K248" s="87">
        <v>250000</v>
      </c>
      <c r="L248" s="87">
        <f>F248*K248</f>
        <v>0</v>
      </c>
    </row>
    <row r="249" spans="1:12" ht="12" customHeight="1" x14ac:dyDescent="0.35">
      <c r="B249" s="84"/>
      <c r="C249" s="88"/>
      <c r="D249" s="79"/>
      <c r="E249" s="79"/>
      <c r="F249" s="89" t="s">
        <v>423</v>
      </c>
      <c r="G249" s="101"/>
      <c r="H249" s="87">
        <f>SUM(H246:H248)</f>
        <v>0</v>
      </c>
      <c r="I249" s="101"/>
      <c r="J249" s="87">
        <f>SUM(J246:J248)</f>
        <v>0</v>
      </c>
      <c r="K249" s="101"/>
      <c r="L249" s="87">
        <f>SUM(L246:L248)</f>
        <v>0</v>
      </c>
    </row>
    <row r="250" spans="1:12" ht="12" customHeight="1" x14ac:dyDescent="0.35">
      <c r="B250" s="84" t="s">
        <v>7</v>
      </c>
      <c r="C250" s="88" t="s">
        <v>424</v>
      </c>
      <c r="D250" s="79"/>
      <c r="E250" s="79"/>
      <c r="F250" s="90"/>
      <c r="G250" s="84"/>
      <c r="H250" s="87"/>
      <c r="I250" s="84"/>
      <c r="J250" s="87"/>
      <c r="K250" s="84"/>
      <c r="L250" s="87"/>
    </row>
    <row r="251" spans="1:12" ht="12" customHeight="1" x14ac:dyDescent="0.35">
      <c r="A251" s="134">
        <v>31100008</v>
      </c>
      <c r="B251" s="84"/>
      <c r="C251" s="85" t="s">
        <v>1836</v>
      </c>
      <c r="D251" s="84" t="s">
        <v>418</v>
      </c>
      <c r="E251" s="84" t="str">
        <f>VLOOKUP(C251,HSD!B:K,2,FALSE)</f>
        <v>jam</v>
      </c>
      <c r="F251" s="86">
        <v>1.6729999999999998E-2</v>
      </c>
      <c r="G251" s="87">
        <f>VLOOKUP(C251,HSD!B:K,10,FALSE)</f>
        <v>1053489.6200000001</v>
      </c>
      <c r="H251" s="87">
        <f>F251*G251</f>
        <v>17624.881342600002</v>
      </c>
      <c r="I251" s="87"/>
      <c r="J251" s="87">
        <f>H251*I251</f>
        <v>0</v>
      </c>
      <c r="K251" s="87"/>
      <c r="L251" s="87">
        <f>J251*K251</f>
        <v>0</v>
      </c>
    </row>
    <row r="252" spans="1:12" ht="12" customHeight="1" x14ac:dyDescent="0.35">
      <c r="B252" s="84"/>
      <c r="C252" s="88"/>
      <c r="D252" s="79"/>
      <c r="E252" s="79"/>
      <c r="F252" s="90"/>
      <c r="G252" s="87"/>
      <c r="H252" s="87"/>
      <c r="I252" s="87"/>
      <c r="J252" s="87"/>
      <c r="K252" s="87"/>
      <c r="L252" s="87"/>
    </row>
    <row r="253" spans="1:12" ht="12" customHeight="1" x14ac:dyDescent="0.35">
      <c r="B253" s="84"/>
      <c r="C253" s="88"/>
      <c r="D253" s="79"/>
      <c r="E253" s="79"/>
      <c r="F253" s="90"/>
      <c r="G253" s="87"/>
      <c r="H253" s="87">
        <f>F253*G253</f>
        <v>0</v>
      </c>
      <c r="I253" s="87"/>
      <c r="J253" s="87"/>
      <c r="K253" s="87"/>
      <c r="L253" s="87"/>
    </row>
    <row r="254" spans="1:12" ht="12" customHeight="1" x14ac:dyDescent="0.35">
      <c r="B254" s="84"/>
      <c r="C254" s="88"/>
      <c r="D254" s="79"/>
      <c r="E254" s="79"/>
      <c r="F254" s="89" t="s">
        <v>425</v>
      </c>
      <c r="G254" s="101"/>
      <c r="H254" s="87">
        <f>SUM(H251:H253)</f>
        <v>17624.881342600002</v>
      </c>
      <c r="I254" s="101"/>
      <c r="J254" s="87">
        <f>SUM(J251)</f>
        <v>0</v>
      </c>
      <c r="K254" s="101"/>
      <c r="L254" s="87">
        <f>SUM(L251)</f>
        <v>0</v>
      </c>
    </row>
    <row r="255" spans="1:12" ht="12" customHeight="1" x14ac:dyDescent="0.35">
      <c r="B255" s="84" t="s">
        <v>8</v>
      </c>
      <c r="C255" s="103" t="s">
        <v>426</v>
      </c>
      <c r="D255" s="104"/>
      <c r="E255" s="104"/>
      <c r="F255" s="104"/>
      <c r="G255" s="105"/>
      <c r="H255" s="87">
        <f>H244+H249+H254</f>
        <v>18190.193842600002</v>
      </c>
      <c r="I255" s="105"/>
      <c r="J255" s="87">
        <f>J244+J249+J254</f>
        <v>6427.3099999999995</v>
      </c>
      <c r="K255" s="105"/>
      <c r="L255" s="87">
        <f>L244+L249+L254</f>
        <v>6427.3099999999995</v>
      </c>
    </row>
    <row r="256" spans="1:12" ht="12" customHeight="1" x14ac:dyDescent="0.35">
      <c r="B256" s="84" t="s">
        <v>9</v>
      </c>
      <c r="C256" s="455" t="s">
        <v>427</v>
      </c>
      <c r="D256" s="455"/>
      <c r="E256" s="455"/>
      <c r="F256" s="95">
        <f>0</f>
        <v>0</v>
      </c>
      <c r="G256" s="85" t="s">
        <v>428</v>
      </c>
      <c r="H256" s="87">
        <f>H255*F256</f>
        <v>0</v>
      </c>
      <c r="I256" s="85" t="s">
        <v>428</v>
      </c>
      <c r="J256" s="87">
        <f>J255*F256</f>
        <v>0</v>
      </c>
      <c r="K256" s="85" t="s">
        <v>428</v>
      </c>
      <c r="L256" s="87">
        <f>L255*F256</f>
        <v>0</v>
      </c>
    </row>
    <row r="257" spans="1:12" ht="12" customHeight="1" x14ac:dyDescent="0.35">
      <c r="B257" s="84" t="s">
        <v>10</v>
      </c>
      <c r="C257" s="103" t="s">
        <v>429</v>
      </c>
      <c r="D257" s="104"/>
      <c r="E257" s="104"/>
      <c r="F257" s="104"/>
      <c r="G257" s="105"/>
      <c r="H257" s="96">
        <f>H255+H256</f>
        <v>18190.193842600002</v>
      </c>
      <c r="I257" s="97"/>
      <c r="J257" s="96">
        <f>J255+J256</f>
        <v>6427.3099999999995</v>
      </c>
      <c r="K257" s="97"/>
      <c r="L257" s="96">
        <f>L255+L256</f>
        <v>6427.3099999999995</v>
      </c>
    </row>
    <row r="259" spans="1:12" ht="29" customHeight="1" x14ac:dyDescent="0.35">
      <c r="B259" s="76" t="s">
        <v>512</v>
      </c>
      <c r="C259" s="458" t="s">
        <v>516</v>
      </c>
      <c r="D259" s="459"/>
      <c r="E259" s="459"/>
      <c r="F259" s="459"/>
      <c r="G259" s="456"/>
      <c r="H259" s="457"/>
      <c r="I259" s="455" t="s">
        <v>3</v>
      </c>
      <c r="J259" s="455"/>
      <c r="K259" s="455" t="s">
        <v>4</v>
      </c>
      <c r="L259" s="455"/>
    </row>
    <row r="260" spans="1:12" ht="12" customHeight="1" x14ac:dyDescent="0.35">
      <c r="B260" s="451" t="s">
        <v>409</v>
      </c>
      <c r="C260" s="451" t="s">
        <v>410</v>
      </c>
      <c r="D260" s="452" t="s">
        <v>411</v>
      </c>
      <c r="E260" s="451" t="s">
        <v>412</v>
      </c>
      <c r="F260" s="451" t="s">
        <v>413</v>
      </c>
      <c r="G260" s="77" t="s">
        <v>414</v>
      </c>
      <c r="H260" s="77" t="s">
        <v>415</v>
      </c>
      <c r="I260" s="78" t="s">
        <v>414</v>
      </c>
      <c r="J260" s="79" t="s">
        <v>415</v>
      </c>
      <c r="K260" s="79" t="s">
        <v>414</v>
      </c>
      <c r="L260" s="79" t="s">
        <v>415</v>
      </c>
    </row>
    <row r="261" spans="1:12" ht="12" customHeight="1" x14ac:dyDescent="0.35">
      <c r="B261" s="451"/>
      <c r="C261" s="451"/>
      <c r="D261" s="453"/>
      <c r="E261" s="451"/>
      <c r="F261" s="451"/>
      <c r="G261" s="77" t="s">
        <v>17</v>
      </c>
      <c r="H261" s="77" t="s">
        <v>416</v>
      </c>
      <c r="I261" s="78" t="s">
        <v>17</v>
      </c>
      <c r="J261" s="79" t="s">
        <v>416</v>
      </c>
      <c r="K261" s="79" t="s">
        <v>17</v>
      </c>
      <c r="L261" s="79" t="s">
        <v>416</v>
      </c>
    </row>
    <row r="262" spans="1:12" ht="12" customHeight="1" x14ac:dyDescent="0.35">
      <c r="B262" s="451"/>
      <c r="C262" s="451"/>
      <c r="D262" s="454"/>
      <c r="E262" s="451"/>
      <c r="F262" s="451"/>
      <c r="G262" s="106"/>
      <c r="H262" s="77" t="s">
        <v>17</v>
      </c>
      <c r="I262" s="94"/>
      <c r="J262" s="79" t="s">
        <v>17</v>
      </c>
      <c r="K262" s="85"/>
      <c r="L262" s="79" t="s">
        <v>17</v>
      </c>
    </row>
    <row r="263" spans="1:12" ht="12" customHeight="1" x14ac:dyDescent="0.35">
      <c r="B263" s="80" t="s">
        <v>5</v>
      </c>
      <c r="C263" s="81" t="s">
        <v>417</v>
      </c>
      <c r="D263" s="82"/>
      <c r="E263" s="82"/>
      <c r="F263" s="82"/>
      <c r="G263" s="82"/>
      <c r="H263" s="82"/>
      <c r="I263" s="83"/>
      <c r="J263" s="83"/>
      <c r="K263" s="83"/>
      <c r="L263" s="83"/>
    </row>
    <row r="264" spans="1:12" ht="12" customHeight="1" x14ac:dyDescent="0.35">
      <c r="A264" s="134">
        <v>10111000</v>
      </c>
      <c r="B264" s="84"/>
      <c r="C264" s="85" t="s">
        <v>1885</v>
      </c>
      <c r="D264" s="84" t="s">
        <v>418</v>
      </c>
      <c r="E264" s="84" t="s">
        <v>439</v>
      </c>
      <c r="F264" s="86">
        <f>F266/10</f>
        <v>1.7700000000000001E-3</v>
      </c>
      <c r="G264" s="87">
        <f>VLOOKUP(C264,HSD!B:K,10,FALSE)</f>
        <v>18750</v>
      </c>
      <c r="H264" s="87">
        <f>F264*G264</f>
        <v>33.1875</v>
      </c>
      <c r="I264" s="87">
        <v>78600</v>
      </c>
      <c r="J264" s="87">
        <f>F264*I264</f>
        <v>139.12200000000001</v>
      </c>
      <c r="K264" s="87">
        <v>78600</v>
      </c>
      <c r="L264" s="87">
        <f>F264*K264</f>
        <v>139.12200000000001</v>
      </c>
    </row>
    <row r="265" spans="1:12" ht="12" customHeight="1" x14ac:dyDescent="0.35">
      <c r="A265" s="134">
        <v>10121110</v>
      </c>
      <c r="B265" s="84"/>
      <c r="C265" s="85" t="s">
        <v>1887</v>
      </c>
      <c r="D265" s="84" t="s">
        <v>419</v>
      </c>
      <c r="E265" s="84" t="s">
        <v>439</v>
      </c>
      <c r="F265" s="86">
        <v>8.8999999999999999E-3</v>
      </c>
      <c r="G265" s="87">
        <f>VLOOKUP(C265,HSD!B:K,10,FALSE)</f>
        <v>16250</v>
      </c>
      <c r="H265" s="87">
        <f>F265*G265</f>
        <v>144.625</v>
      </c>
      <c r="I265" s="87">
        <v>91500</v>
      </c>
      <c r="J265" s="87">
        <f>F265*I265</f>
        <v>814.35</v>
      </c>
      <c r="K265" s="87">
        <v>91500</v>
      </c>
      <c r="L265" s="87">
        <f>F265*K265</f>
        <v>814.35</v>
      </c>
    </row>
    <row r="266" spans="1:12" ht="12" customHeight="1" x14ac:dyDescent="0.35">
      <c r="A266" s="134">
        <v>10131000</v>
      </c>
      <c r="B266" s="84"/>
      <c r="C266" s="85" t="s">
        <v>1888</v>
      </c>
      <c r="D266" s="84" t="s">
        <v>420</v>
      </c>
      <c r="E266" s="84" t="s">
        <v>439</v>
      </c>
      <c r="F266" s="86">
        <v>1.77E-2</v>
      </c>
      <c r="G266" s="87">
        <f>VLOOKUP(C266,HSD!B:K,10,FALSE)</f>
        <v>15000</v>
      </c>
      <c r="H266" s="87">
        <f>F266*G266</f>
        <v>265.5</v>
      </c>
      <c r="I266" s="87">
        <v>92500</v>
      </c>
      <c r="J266" s="87">
        <f>F266*I266</f>
        <v>1637.25</v>
      </c>
      <c r="K266" s="87">
        <v>92500</v>
      </c>
      <c r="L266" s="87">
        <f>F266*K266</f>
        <v>1637.25</v>
      </c>
    </row>
    <row r="267" spans="1:12" ht="12" customHeight="1" x14ac:dyDescent="0.35">
      <c r="B267" s="84"/>
      <c r="C267" s="85"/>
      <c r="D267" s="84"/>
      <c r="E267" s="84"/>
      <c r="F267" s="86"/>
      <c r="G267" s="87"/>
      <c r="H267" s="87"/>
      <c r="I267" s="87"/>
      <c r="J267" s="87"/>
      <c r="K267" s="87"/>
      <c r="L267" s="87"/>
    </row>
    <row r="268" spans="1:12" ht="12" customHeight="1" x14ac:dyDescent="0.35">
      <c r="B268" s="84"/>
      <c r="C268" s="88"/>
      <c r="D268" s="79"/>
      <c r="E268" s="79"/>
      <c r="F268" s="89" t="s">
        <v>421</v>
      </c>
      <c r="G268" s="101"/>
      <c r="H268" s="87">
        <f>SUM(H264:H267)</f>
        <v>443.3125</v>
      </c>
      <c r="I268" s="101"/>
      <c r="J268" s="87">
        <f>SUM(J264:J267)</f>
        <v>2590.7219999999998</v>
      </c>
      <c r="K268" s="101"/>
      <c r="L268" s="87">
        <f>SUM(L264:L267)</f>
        <v>2590.7219999999998</v>
      </c>
    </row>
    <row r="269" spans="1:12" ht="12" customHeight="1" x14ac:dyDescent="0.35">
      <c r="B269" s="84" t="s">
        <v>6</v>
      </c>
      <c r="C269" s="88" t="s">
        <v>422</v>
      </c>
      <c r="D269" s="79"/>
      <c r="E269" s="79"/>
      <c r="F269" s="90"/>
      <c r="G269" s="84"/>
      <c r="H269" s="87"/>
      <c r="I269" s="84"/>
      <c r="J269" s="87"/>
      <c r="K269" s="84"/>
      <c r="L269" s="87"/>
    </row>
    <row r="270" spans="1:12" ht="12" customHeight="1" x14ac:dyDescent="0.35">
      <c r="B270" s="84"/>
      <c r="C270" s="85"/>
      <c r="D270" s="84"/>
      <c r="E270" s="84"/>
      <c r="F270" s="86"/>
      <c r="G270" s="87"/>
      <c r="H270" s="87">
        <f>F270*G270</f>
        <v>0</v>
      </c>
      <c r="I270" s="87">
        <v>232500</v>
      </c>
      <c r="J270" s="87">
        <f>F270*I270</f>
        <v>0</v>
      </c>
      <c r="K270" s="87">
        <v>270000</v>
      </c>
      <c r="L270" s="87">
        <f>F270*K270</f>
        <v>0</v>
      </c>
    </row>
    <row r="271" spans="1:12" ht="12" customHeight="1" x14ac:dyDescent="0.35">
      <c r="B271" s="84"/>
      <c r="C271" s="88"/>
      <c r="D271" s="79"/>
      <c r="E271" s="84"/>
      <c r="F271" s="102"/>
      <c r="G271" s="87"/>
      <c r="H271" s="87">
        <f>F271*G271</f>
        <v>0</v>
      </c>
      <c r="I271" s="87">
        <v>1060</v>
      </c>
      <c r="J271" s="87">
        <f>F271*I271</f>
        <v>0</v>
      </c>
      <c r="K271" s="87">
        <v>1060</v>
      </c>
      <c r="L271" s="87">
        <f>F271*K271</f>
        <v>0</v>
      </c>
    </row>
    <row r="272" spans="1:12" ht="12" customHeight="1" x14ac:dyDescent="0.35">
      <c r="B272" s="84"/>
      <c r="C272" s="88"/>
      <c r="D272" s="79"/>
      <c r="E272" s="84"/>
      <c r="F272" s="102"/>
      <c r="G272" s="87"/>
      <c r="H272" s="87">
        <f>F272*G272</f>
        <v>0</v>
      </c>
      <c r="I272" s="87">
        <v>215000</v>
      </c>
      <c r="J272" s="87">
        <f>F272*I272</f>
        <v>0</v>
      </c>
      <c r="K272" s="87">
        <v>250000</v>
      </c>
      <c r="L272" s="87">
        <f>F272*K272</f>
        <v>0</v>
      </c>
    </row>
    <row r="273" spans="1:12" ht="12" customHeight="1" x14ac:dyDescent="0.35">
      <c r="B273" s="84"/>
      <c r="C273" s="88"/>
      <c r="D273" s="79"/>
      <c r="E273" s="79"/>
      <c r="F273" s="89" t="s">
        <v>423</v>
      </c>
      <c r="G273" s="101"/>
      <c r="H273" s="87">
        <f>SUM(H270:H272)</f>
        <v>0</v>
      </c>
      <c r="I273" s="101"/>
      <c r="J273" s="87">
        <f>SUM(J270:J272)</f>
        <v>0</v>
      </c>
      <c r="K273" s="101"/>
      <c r="L273" s="87">
        <f>SUM(L270:L272)</f>
        <v>0</v>
      </c>
    </row>
    <row r="274" spans="1:12" ht="12" customHeight="1" x14ac:dyDescent="0.35">
      <c r="B274" s="84" t="s">
        <v>7</v>
      </c>
      <c r="C274" s="88" t="s">
        <v>424</v>
      </c>
      <c r="D274" s="79"/>
      <c r="E274" s="79"/>
      <c r="F274" s="90"/>
      <c r="G274" s="84"/>
      <c r="H274" s="87"/>
      <c r="I274" s="84"/>
      <c r="J274" s="87"/>
      <c r="K274" s="84"/>
      <c r="L274" s="87"/>
    </row>
    <row r="275" spans="1:12" ht="12" customHeight="1" x14ac:dyDescent="0.35">
      <c r="A275" s="134">
        <v>31100008</v>
      </c>
      <c r="B275" s="84"/>
      <c r="C275" s="85" t="s">
        <v>1836</v>
      </c>
      <c r="D275" s="84" t="s">
        <v>418</v>
      </c>
      <c r="E275" s="84" t="str">
        <f>VLOOKUP(C275,HSD!B:K,2,FALSE)</f>
        <v>jam</v>
      </c>
      <c r="F275" s="86">
        <v>8.8999999999999999E-3</v>
      </c>
      <c r="G275" s="87">
        <f>VLOOKUP(C275,HSD!B:K,10,FALSE)</f>
        <v>1053489.6200000001</v>
      </c>
      <c r="H275" s="87">
        <f>F275*G275</f>
        <v>9376.0576180000007</v>
      </c>
      <c r="I275" s="87"/>
      <c r="J275" s="87">
        <f>H275*I275</f>
        <v>0</v>
      </c>
      <c r="K275" s="87"/>
      <c r="L275" s="87">
        <f>J275*K275</f>
        <v>0</v>
      </c>
    </row>
    <row r="276" spans="1:12" ht="12" customHeight="1" x14ac:dyDescent="0.35">
      <c r="B276" s="84"/>
      <c r="C276" s="88"/>
      <c r="D276" s="79"/>
      <c r="E276" s="79"/>
      <c r="F276" s="90"/>
      <c r="G276" s="87"/>
      <c r="H276" s="87"/>
      <c r="I276" s="87"/>
      <c r="J276" s="87"/>
      <c r="K276" s="87"/>
      <c r="L276" s="87"/>
    </row>
    <row r="277" spans="1:12" ht="12" customHeight="1" x14ac:dyDescent="0.35">
      <c r="B277" s="84"/>
      <c r="C277" s="88"/>
      <c r="D277" s="79"/>
      <c r="E277" s="79"/>
      <c r="F277" s="90"/>
      <c r="G277" s="87"/>
      <c r="H277" s="87">
        <f>F277*G277</f>
        <v>0</v>
      </c>
      <c r="I277" s="87"/>
      <c r="J277" s="87"/>
      <c r="K277" s="87"/>
      <c r="L277" s="87"/>
    </row>
    <row r="278" spans="1:12" ht="12" customHeight="1" x14ac:dyDescent="0.35">
      <c r="B278" s="84"/>
      <c r="C278" s="88"/>
      <c r="D278" s="79"/>
      <c r="E278" s="79"/>
      <c r="F278" s="89" t="s">
        <v>425</v>
      </c>
      <c r="G278" s="101"/>
      <c r="H278" s="87">
        <f>SUM(H275:H277)</f>
        <v>9376.0576180000007</v>
      </c>
      <c r="I278" s="101"/>
      <c r="J278" s="87">
        <f>SUM(J275)</f>
        <v>0</v>
      </c>
      <c r="K278" s="101"/>
      <c r="L278" s="87">
        <f>SUM(L275)</f>
        <v>0</v>
      </c>
    </row>
    <row r="279" spans="1:12" ht="12" customHeight="1" x14ac:dyDescent="0.35">
      <c r="B279" s="84" t="s">
        <v>8</v>
      </c>
      <c r="C279" s="103" t="s">
        <v>426</v>
      </c>
      <c r="D279" s="104"/>
      <c r="E279" s="104"/>
      <c r="F279" s="104"/>
      <c r="G279" s="105"/>
      <c r="H279" s="87">
        <f>H268+H273+H278</f>
        <v>9819.3701180000007</v>
      </c>
      <c r="I279" s="105"/>
      <c r="J279" s="87">
        <f>J268+J273+J278</f>
        <v>2590.7219999999998</v>
      </c>
      <c r="K279" s="105"/>
      <c r="L279" s="87">
        <f>L268+L273+L278</f>
        <v>2590.7219999999998</v>
      </c>
    </row>
    <row r="280" spans="1:12" ht="12" customHeight="1" x14ac:dyDescent="0.35">
      <c r="B280" s="84" t="s">
        <v>9</v>
      </c>
      <c r="C280" s="455" t="s">
        <v>427</v>
      </c>
      <c r="D280" s="455"/>
      <c r="E280" s="455"/>
      <c r="F280" s="95">
        <f>0</f>
        <v>0</v>
      </c>
      <c r="G280" s="85" t="s">
        <v>428</v>
      </c>
      <c r="H280" s="87">
        <f>H279*F280</f>
        <v>0</v>
      </c>
      <c r="I280" s="85" t="s">
        <v>428</v>
      </c>
      <c r="J280" s="87">
        <f>J279*F280</f>
        <v>0</v>
      </c>
      <c r="K280" s="85" t="s">
        <v>428</v>
      </c>
      <c r="L280" s="87">
        <f>L279*F280</f>
        <v>0</v>
      </c>
    </row>
    <row r="281" spans="1:12" ht="12" customHeight="1" x14ac:dyDescent="0.35">
      <c r="B281" s="84" t="s">
        <v>10</v>
      </c>
      <c r="C281" s="103" t="s">
        <v>429</v>
      </c>
      <c r="D281" s="104"/>
      <c r="E281" s="104"/>
      <c r="F281" s="104"/>
      <c r="G281" s="105"/>
      <c r="H281" s="96">
        <f>H279+H280</f>
        <v>9819.3701180000007</v>
      </c>
      <c r="I281" s="97"/>
      <c r="J281" s="96">
        <f>J279+J280</f>
        <v>2590.7219999999998</v>
      </c>
      <c r="K281" s="97"/>
      <c r="L281" s="96">
        <f>L279+L280</f>
        <v>2590.7219999999998</v>
      </c>
    </row>
    <row r="283" spans="1:12" ht="29" customHeight="1" x14ac:dyDescent="0.35">
      <c r="B283" s="76" t="s">
        <v>513</v>
      </c>
      <c r="C283" s="458" t="s">
        <v>517</v>
      </c>
      <c r="D283" s="459"/>
      <c r="E283" s="459"/>
      <c r="F283" s="459"/>
      <c r="G283" s="456"/>
      <c r="H283" s="457"/>
      <c r="I283" s="455" t="s">
        <v>3</v>
      </c>
      <c r="J283" s="455"/>
      <c r="K283" s="455" t="s">
        <v>4</v>
      </c>
      <c r="L283" s="455"/>
    </row>
    <row r="284" spans="1:12" ht="12" customHeight="1" x14ac:dyDescent="0.35">
      <c r="B284" s="451" t="s">
        <v>409</v>
      </c>
      <c r="C284" s="451" t="s">
        <v>410</v>
      </c>
      <c r="D284" s="452" t="s">
        <v>411</v>
      </c>
      <c r="E284" s="451" t="s">
        <v>412</v>
      </c>
      <c r="F284" s="451" t="s">
        <v>413</v>
      </c>
      <c r="G284" s="77" t="s">
        <v>414</v>
      </c>
      <c r="H284" s="77" t="s">
        <v>415</v>
      </c>
      <c r="I284" s="78" t="s">
        <v>414</v>
      </c>
      <c r="J284" s="79" t="s">
        <v>415</v>
      </c>
      <c r="K284" s="79" t="s">
        <v>414</v>
      </c>
      <c r="L284" s="79" t="s">
        <v>415</v>
      </c>
    </row>
    <row r="285" spans="1:12" ht="12" customHeight="1" x14ac:dyDescent="0.35">
      <c r="B285" s="451"/>
      <c r="C285" s="451"/>
      <c r="D285" s="453"/>
      <c r="E285" s="451"/>
      <c r="F285" s="451"/>
      <c r="G285" s="77" t="s">
        <v>17</v>
      </c>
      <c r="H285" s="77" t="s">
        <v>416</v>
      </c>
      <c r="I285" s="78" t="s">
        <v>17</v>
      </c>
      <c r="J285" s="79" t="s">
        <v>416</v>
      </c>
      <c r="K285" s="79" t="s">
        <v>17</v>
      </c>
      <c r="L285" s="79" t="s">
        <v>416</v>
      </c>
    </row>
    <row r="286" spans="1:12" ht="12" customHeight="1" x14ac:dyDescent="0.35">
      <c r="B286" s="451"/>
      <c r="C286" s="451"/>
      <c r="D286" s="454"/>
      <c r="E286" s="451"/>
      <c r="F286" s="451"/>
      <c r="G286" s="106"/>
      <c r="H286" s="77" t="s">
        <v>17</v>
      </c>
      <c r="I286" s="94"/>
      <c r="J286" s="79" t="s">
        <v>17</v>
      </c>
      <c r="K286" s="85"/>
      <c r="L286" s="79" t="s">
        <v>17</v>
      </c>
    </row>
    <row r="287" spans="1:12" ht="12" customHeight="1" x14ac:dyDescent="0.35">
      <c r="B287" s="80" t="s">
        <v>5</v>
      </c>
      <c r="C287" s="81" t="s">
        <v>417</v>
      </c>
      <c r="D287" s="82"/>
      <c r="E287" s="82"/>
      <c r="F287" s="82"/>
      <c r="G287" s="82"/>
      <c r="H287" s="82"/>
      <c r="I287" s="83"/>
      <c r="J287" s="83"/>
      <c r="K287" s="83"/>
      <c r="L287" s="83"/>
    </row>
    <row r="288" spans="1:12" ht="12" customHeight="1" x14ac:dyDescent="0.35">
      <c r="A288" s="134">
        <v>10111000</v>
      </c>
      <c r="B288" s="84"/>
      <c r="C288" s="85" t="s">
        <v>1885</v>
      </c>
      <c r="D288" s="84" t="s">
        <v>418</v>
      </c>
      <c r="E288" s="84" t="s">
        <v>439</v>
      </c>
      <c r="F288" s="86">
        <v>1.6999999999999999E-3</v>
      </c>
      <c r="G288" s="87">
        <f>VLOOKUP(C288,HSD!B:K,10,FALSE)</f>
        <v>18750</v>
      </c>
      <c r="H288" s="87">
        <f>F288*G288</f>
        <v>31.875</v>
      </c>
      <c r="I288" s="87">
        <v>78600</v>
      </c>
      <c r="J288" s="87">
        <f>F288*I288</f>
        <v>133.62</v>
      </c>
      <c r="K288" s="87">
        <v>78600</v>
      </c>
      <c r="L288" s="87">
        <f>F288*K288</f>
        <v>133.62</v>
      </c>
    </row>
    <row r="289" spans="1:12" ht="12" customHeight="1" x14ac:dyDescent="0.35">
      <c r="A289" s="134">
        <v>10121110</v>
      </c>
      <c r="B289" s="84"/>
      <c r="C289" s="85" t="s">
        <v>1887</v>
      </c>
      <c r="D289" s="84" t="s">
        <v>419</v>
      </c>
      <c r="E289" s="84" t="s">
        <v>439</v>
      </c>
      <c r="F289" s="86">
        <v>1.7299999999999999E-2</v>
      </c>
      <c r="G289" s="87">
        <f>VLOOKUP(C289,HSD!B:K,10,FALSE)</f>
        <v>16250</v>
      </c>
      <c r="H289" s="87">
        <f>F289*G289</f>
        <v>281.125</v>
      </c>
      <c r="I289" s="87">
        <v>91500</v>
      </c>
      <c r="J289" s="87">
        <f>F289*I289</f>
        <v>1582.95</v>
      </c>
      <c r="K289" s="87">
        <v>91500</v>
      </c>
      <c r="L289" s="87">
        <f>F289*K289</f>
        <v>1582.95</v>
      </c>
    </row>
    <row r="290" spans="1:12" ht="12" customHeight="1" x14ac:dyDescent="0.35">
      <c r="A290" s="134">
        <v>10131000</v>
      </c>
      <c r="B290" s="84"/>
      <c r="C290" s="85" t="s">
        <v>1888</v>
      </c>
      <c r="D290" s="84" t="s">
        <v>420</v>
      </c>
      <c r="E290" s="84" t="s">
        <v>439</v>
      </c>
      <c r="F290" s="86">
        <v>8.6999999999999994E-3</v>
      </c>
      <c r="G290" s="87">
        <f>VLOOKUP(C290,HSD!B:K,10,FALSE)</f>
        <v>15000</v>
      </c>
      <c r="H290" s="87">
        <f>F290*G290</f>
        <v>130.5</v>
      </c>
      <c r="I290" s="87">
        <v>92500</v>
      </c>
      <c r="J290" s="87">
        <f>F290*I290</f>
        <v>804.75</v>
      </c>
      <c r="K290" s="87">
        <v>92500</v>
      </c>
      <c r="L290" s="87">
        <f>F290*K290</f>
        <v>804.75</v>
      </c>
    </row>
    <row r="291" spans="1:12" ht="12" customHeight="1" x14ac:dyDescent="0.35">
      <c r="B291" s="84"/>
      <c r="C291" s="85"/>
      <c r="D291" s="84"/>
      <c r="E291" s="84"/>
      <c r="F291" s="86"/>
      <c r="G291" s="87"/>
      <c r="H291" s="87"/>
      <c r="I291" s="87"/>
      <c r="J291" s="87"/>
      <c r="K291" s="87"/>
      <c r="L291" s="87"/>
    </row>
    <row r="292" spans="1:12" ht="12" customHeight="1" x14ac:dyDescent="0.35">
      <c r="B292" s="84"/>
      <c r="C292" s="88"/>
      <c r="D292" s="79"/>
      <c r="E292" s="79"/>
      <c r="F292" s="89" t="s">
        <v>421</v>
      </c>
      <c r="G292" s="101"/>
      <c r="H292" s="87">
        <f>SUM(H288:H291)</f>
        <v>443.5</v>
      </c>
      <c r="I292" s="101"/>
      <c r="J292" s="87">
        <f>SUM(J288:J291)</f>
        <v>2521.3200000000002</v>
      </c>
      <c r="K292" s="101"/>
      <c r="L292" s="87">
        <f>SUM(L288:L291)</f>
        <v>2521.3200000000002</v>
      </c>
    </row>
    <row r="293" spans="1:12" ht="12" customHeight="1" x14ac:dyDescent="0.35">
      <c r="B293" s="84" t="s">
        <v>6</v>
      </c>
      <c r="C293" s="88" t="s">
        <v>422</v>
      </c>
      <c r="D293" s="79"/>
      <c r="E293" s="79"/>
      <c r="F293" s="90"/>
      <c r="G293" s="84"/>
      <c r="H293" s="87"/>
      <c r="I293" s="84"/>
      <c r="J293" s="87"/>
      <c r="K293" s="84"/>
      <c r="L293" s="87"/>
    </row>
    <row r="294" spans="1:12" ht="12" customHeight="1" x14ac:dyDescent="0.35">
      <c r="B294" s="84"/>
      <c r="C294" s="85"/>
      <c r="D294" s="84"/>
      <c r="E294" s="84"/>
      <c r="F294" s="86"/>
      <c r="G294" s="87"/>
      <c r="H294" s="87">
        <f>F294*G294</f>
        <v>0</v>
      </c>
      <c r="I294" s="87">
        <v>232500</v>
      </c>
      <c r="J294" s="87">
        <f>F294*I294</f>
        <v>0</v>
      </c>
      <c r="K294" s="87">
        <v>270000</v>
      </c>
      <c r="L294" s="87">
        <f>F294*K294</f>
        <v>0</v>
      </c>
    </row>
    <row r="295" spans="1:12" ht="12" customHeight="1" x14ac:dyDescent="0.35">
      <c r="B295" s="84"/>
      <c r="C295" s="88"/>
      <c r="D295" s="79"/>
      <c r="E295" s="84"/>
      <c r="F295" s="102"/>
      <c r="G295" s="87"/>
      <c r="H295" s="87">
        <f>F295*G295</f>
        <v>0</v>
      </c>
      <c r="I295" s="87">
        <v>1060</v>
      </c>
      <c r="J295" s="87">
        <f>F295*I295</f>
        <v>0</v>
      </c>
      <c r="K295" s="87">
        <v>1060</v>
      </c>
      <c r="L295" s="87">
        <f>F295*K295</f>
        <v>0</v>
      </c>
    </row>
    <row r="296" spans="1:12" ht="12" customHeight="1" x14ac:dyDescent="0.35">
      <c r="B296" s="84"/>
      <c r="C296" s="88"/>
      <c r="D296" s="79"/>
      <c r="E296" s="84"/>
      <c r="F296" s="102"/>
      <c r="G296" s="87"/>
      <c r="H296" s="87">
        <f>F296*G296</f>
        <v>0</v>
      </c>
      <c r="I296" s="87">
        <v>215000</v>
      </c>
      <c r="J296" s="87">
        <f>F296*I296</f>
        <v>0</v>
      </c>
      <c r="K296" s="87">
        <v>250000</v>
      </c>
      <c r="L296" s="87">
        <f>F296*K296</f>
        <v>0</v>
      </c>
    </row>
    <row r="297" spans="1:12" ht="12" customHeight="1" x14ac:dyDescent="0.35">
      <c r="B297" s="84"/>
      <c r="C297" s="88"/>
      <c r="D297" s="79"/>
      <c r="E297" s="79"/>
      <c r="F297" s="89" t="s">
        <v>423</v>
      </c>
      <c r="G297" s="101"/>
      <c r="H297" s="87">
        <f>SUM(H294:H296)</f>
        <v>0</v>
      </c>
      <c r="I297" s="101"/>
      <c r="J297" s="87">
        <f>SUM(J294:J296)</f>
        <v>0</v>
      </c>
      <c r="K297" s="101"/>
      <c r="L297" s="87">
        <f>SUM(L294:L296)</f>
        <v>0</v>
      </c>
    </row>
    <row r="298" spans="1:12" ht="12" customHeight="1" x14ac:dyDescent="0.35">
      <c r="B298" s="84" t="s">
        <v>7</v>
      </c>
      <c r="C298" s="88" t="s">
        <v>424</v>
      </c>
      <c r="D298" s="79"/>
      <c r="E298" s="79"/>
      <c r="F298" s="90"/>
      <c r="G298" s="84"/>
      <c r="H298" s="87"/>
      <c r="I298" s="84"/>
      <c r="J298" s="87"/>
      <c r="K298" s="84"/>
      <c r="L298" s="87"/>
    </row>
    <row r="299" spans="1:12" ht="12" customHeight="1" x14ac:dyDescent="0.35">
      <c r="A299" s="134">
        <v>31100008</v>
      </c>
      <c r="B299" s="84"/>
      <c r="C299" s="85" t="s">
        <v>1836</v>
      </c>
      <c r="D299" s="84" t="s">
        <v>418</v>
      </c>
      <c r="E299" s="84" t="str">
        <f>VLOOKUP(C299,HSD!B:K,2,FALSE)</f>
        <v>jam</v>
      </c>
      <c r="F299" s="86">
        <v>8.6999999999999994E-3</v>
      </c>
      <c r="G299" s="87">
        <f>VLOOKUP(C299,HSD!B:K,10,FALSE)</f>
        <v>1053489.6200000001</v>
      </c>
      <c r="H299" s="87">
        <f>F299*G299</f>
        <v>9165.3596940000007</v>
      </c>
      <c r="I299" s="87"/>
      <c r="J299" s="87">
        <f>H299*I299</f>
        <v>0</v>
      </c>
      <c r="K299" s="87"/>
      <c r="L299" s="87">
        <f>J299*K299</f>
        <v>0</v>
      </c>
    </row>
    <row r="300" spans="1:12" ht="12" customHeight="1" x14ac:dyDescent="0.35">
      <c r="B300" s="84"/>
      <c r="C300" s="88"/>
      <c r="D300" s="79"/>
      <c r="E300" s="79"/>
      <c r="F300" s="90"/>
      <c r="G300" s="87"/>
      <c r="H300" s="87"/>
      <c r="I300" s="87"/>
      <c r="J300" s="87"/>
      <c r="K300" s="87"/>
      <c r="L300" s="87"/>
    </row>
    <row r="301" spans="1:12" ht="12" customHeight="1" x14ac:dyDescent="0.35">
      <c r="B301" s="84"/>
      <c r="C301" s="88"/>
      <c r="D301" s="79"/>
      <c r="E301" s="79"/>
      <c r="F301" s="90"/>
      <c r="G301" s="87"/>
      <c r="H301" s="87">
        <f>F301*G301</f>
        <v>0</v>
      </c>
      <c r="I301" s="87"/>
      <c r="J301" s="87"/>
      <c r="K301" s="87"/>
      <c r="L301" s="87"/>
    </row>
    <row r="302" spans="1:12" ht="12" customHeight="1" x14ac:dyDescent="0.35">
      <c r="B302" s="84"/>
      <c r="C302" s="88"/>
      <c r="D302" s="79"/>
      <c r="E302" s="79"/>
      <c r="F302" s="89" t="s">
        <v>425</v>
      </c>
      <c r="G302" s="101"/>
      <c r="H302" s="87">
        <f>SUM(H299:H301)</f>
        <v>9165.3596940000007</v>
      </c>
      <c r="I302" s="101"/>
      <c r="J302" s="87">
        <f>SUM(J299)</f>
        <v>0</v>
      </c>
      <c r="K302" s="101"/>
      <c r="L302" s="87">
        <f>SUM(L299)</f>
        <v>0</v>
      </c>
    </row>
    <row r="303" spans="1:12" ht="12" customHeight="1" x14ac:dyDescent="0.35">
      <c r="B303" s="84" t="s">
        <v>8</v>
      </c>
      <c r="C303" s="103" t="s">
        <v>426</v>
      </c>
      <c r="D303" s="104"/>
      <c r="E303" s="104"/>
      <c r="F303" s="104"/>
      <c r="G303" s="105"/>
      <c r="H303" s="87">
        <f>H292+H297+H302</f>
        <v>9608.8596940000007</v>
      </c>
      <c r="I303" s="105"/>
      <c r="J303" s="87">
        <f>J292+J297+J302</f>
        <v>2521.3200000000002</v>
      </c>
      <c r="K303" s="105"/>
      <c r="L303" s="87">
        <f>L292+L297+L302</f>
        <v>2521.3200000000002</v>
      </c>
    </row>
    <row r="304" spans="1:12" ht="12" customHeight="1" x14ac:dyDescent="0.35">
      <c r="B304" s="84" t="s">
        <v>9</v>
      </c>
      <c r="C304" s="455" t="s">
        <v>427</v>
      </c>
      <c r="D304" s="455"/>
      <c r="E304" s="455"/>
      <c r="F304" s="95">
        <f>0</f>
        <v>0</v>
      </c>
      <c r="G304" s="85" t="s">
        <v>428</v>
      </c>
      <c r="H304" s="87">
        <f>H303*F304</f>
        <v>0</v>
      </c>
      <c r="I304" s="85" t="s">
        <v>428</v>
      </c>
      <c r="J304" s="87">
        <f>J303*F304</f>
        <v>0</v>
      </c>
      <c r="K304" s="85" t="s">
        <v>428</v>
      </c>
      <c r="L304" s="87">
        <f>L303*F304</f>
        <v>0</v>
      </c>
    </row>
    <row r="305" spans="1:12" ht="12" customHeight="1" x14ac:dyDescent="0.35">
      <c r="B305" s="84" t="s">
        <v>10</v>
      </c>
      <c r="C305" s="103" t="s">
        <v>429</v>
      </c>
      <c r="D305" s="104"/>
      <c r="E305" s="104"/>
      <c r="F305" s="104"/>
      <c r="G305" s="105"/>
      <c r="H305" s="96">
        <f>H303+H304</f>
        <v>9608.8596940000007</v>
      </c>
      <c r="I305" s="97"/>
      <c r="J305" s="96">
        <f>J303+J304</f>
        <v>2521.3200000000002</v>
      </c>
      <c r="K305" s="97"/>
      <c r="L305" s="96">
        <f>L303+L304</f>
        <v>2521.3200000000002</v>
      </c>
    </row>
    <row r="307" spans="1:12" ht="29" customHeight="1" x14ac:dyDescent="0.35">
      <c r="B307" s="76" t="s">
        <v>514</v>
      </c>
      <c r="C307" s="458" t="s">
        <v>518</v>
      </c>
      <c r="D307" s="459"/>
      <c r="E307" s="459"/>
      <c r="F307" s="459"/>
      <c r="G307" s="456"/>
      <c r="H307" s="457"/>
      <c r="I307" s="455" t="s">
        <v>3</v>
      </c>
      <c r="J307" s="455"/>
      <c r="K307" s="455" t="s">
        <v>4</v>
      </c>
      <c r="L307" s="455"/>
    </row>
    <row r="308" spans="1:12" ht="12" customHeight="1" x14ac:dyDescent="0.35">
      <c r="B308" s="451" t="s">
        <v>409</v>
      </c>
      <c r="C308" s="451" t="s">
        <v>410</v>
      </c>
      <c r="D308" s="452" t="s">
        <v>411</v>
      </c>
      <c r="E308" s="451" t="s">
        <v>412</v>
      </c>
      <c r="F308" s="451" t="s">
        <v>413</v>
      </c>
      <c r="G308" s="77" t="s">
        <v>414</v>
      </c>
      <c r="H308" s="77" t="s">
        <v>415</v>
      </c>
      <c r="I308" s="78" t="s">
        <v>414</v>
      </c>
      <c r="J308" s="79" t="s">
        <v>415</v>
      </c>
      <c r="K308" s="79" t="s">
        <v>414</v>
      </c>
      <c r="L308" s="79" t="s">
        <v>415</v>
      </c>
    </row>
    <row r="309" spans="1:12" ht="12" customHeight="1" x14ac:dyDescent="0.35">
      <c r="B309" s="451"/>
      <c r="C309" s="451"/>
      <c r="D309" s="453"/>
      <c r="E309" s="451"/>
      <c r="F309" s="451"/>
      <c r="G309" s="77" t="s">
        <v>17</v>
      </c>
      <c r="H309" s="77" t="s">
        <v>416</v>
      </c>
      <c r="I309" s="78" t="s">
        <v>17</v>
      </c>
      <c r="J309" s="79" t="s">
        <v>416</v>
      </c>
      <c r="K309" s="79" t="s">
        <v>17</v>
      </c>
      <c r="L309" s="79" t="s">
        <v>416</v>
      </c>
    </row>
    <row r="310" spans="1:12" ht="12" customHeight="1" x14ac:dyDescent="0.35">
      <c r="B310" s="451"/>
      <c r="C310" s="451"/>
      <c r="D310" s="454"/>
      <c r="E310" s="451"/>
      <c r="F310" s="451"/>
      <c r="G310" s="106"/>
      <c r="H310" s="77" t="s">
        <v>17</v>
      </c>
      <c r="I310" s="94"/>
      <c r="J310" s="79" t="s">
        <v>17</v>
      </c>
      <c r="K310" s="85"/>
      <c r="L310" s="79" t="s">
        <v>17</v>
      </c>
    </row>
    <row r="311" spans="1:12" ht="12" customHeight="1" x14ac:dyDescent="0.35">
      <c r="B311" s="80" t="s">
        <v>5</v>
      </c>
      <c r="C311" s="81" t="s">
        <v>417</v>
      </c>
      <c r="D311" s="82"/>
      <c r="E311" s="82"/>
      <c r="F311" s="82"/>
      <c r="G311" s="82"/>
      <c r="H311" s="82"/>
      <c r="I311" s="83"/>
      <c r="J311" s="83"/>
      <c r="K311" s="83"/>
      <c r="L311" s="83"/>
    </row>
    <row r="312" spans="1:12" ht="12" customHeight="1" x14ac:dyDescent="0.35">
      <c r="A312" s="134">
        <v>10111000</v>
      </c>
      <c r="B312" s="84"/>
      <c r="C312" s="85" t="s">
        <v>1885</v>
      </c>
      <c r="D312" s="84" t="s">
        <v>418</v>
      </c>
      <c r="E312" s="84" t="str">
        <f>VLOOKUP(C312,HSD!B:K,2,FALSE)</f>
        <v>OJ</v>
      </c>
      <c r="F312" s="86">
        <v>2.3999999999999998E-3</v>
      </c>
      <c r="G312" s="87">
        <f>VLOOKUP(C312,HSD!B:K,10,FALSE)</f>
        <v>18750</v>
      </c>
      <c r="H312" s="87">
        <f>F312*G312</f>
        <v>44.999999999999993</v>
      </c>
      <c r="I312" s="87">
        <v>78600</v>
      </c>
      <c r="J312" s="87">
        <f>F312*I312</f>
        <v>188.64</v>
      </c>
      <c r="K312" s="87">
        <v>78600</v>
      </c>
      <c r="L312" s="87">
        <f>F312*K312</f>
        <v>188.64</v>
      </c>
    </row>
    <row r="313" spans="1:12" ht="12" customHeight="1" x14ac:dyDescent="0.35">
      <c r="A313" s="134">
        <v>10121110</v>
      </c>
      <c r="B313" s="84"/>
      <c r="C313" s="85" t="s">
        <v>1887</v>
      </c>
      <c r="D313" s="84" t="s">
        <v>419</v>
      </c>
      <c r="E313" s="84" t="str">
        <f>VLOOKUP(C313,HSD!B:K,2,FALSE)</f>
        <v>OJ</v>
      </c>
      <c r="F313" s="86">
        <v>1.24E-2</v>
      </c>
      <c r="G313" s="87">
        <f>VLOOKUP(C313,HSD!B:K,10,FALSE)</f>
        <v>16250</v>
      </c>
      <c r="H313" s="87">
        <f>F313*G313</f>
        <v>201.5</v>
      </c>
      <c r="I313" s="87">
        <v>91500</v>
      </c>
      <c r="J313" s="87">
        <f>F313*I313</f>
        <v>1134.5999999999999</v>
      </c>
      <c r="K313" s="87">
        <v>91500</v>
      </c>
      <c r="L313" s="87">
        <f>F313*K313</f>
        <v>1134.5999999999999</v>
      </c>
    </row>
    <row r="314" spans="1:12" ht="12" customHeight="1" x14ac:dyDescent="0.35">
      <c r="A314" s="134">
        <v>10131000</v>
      </c>
      <c r="B314" s="84"/>
      <c r="C314" s="85" t="s">
        <v>1888</v>
      </c>
      <c r="D314" s="84" t="s">
        <v>420</v>
      </c>
      <c r="E314" s="84" t="str">
        <f>VLOOKUP(C314,HSD!B:K,2,FALSE)</f>
        <v>OJ</v>
      </c>
      <c r="F314" s="86">
        <v>2.4799999999999999E-2</v>
      </c>
      <c r="G314" s="87">
        <f>VLOOKUP(C314,HSD!B:K,10,FALSE)</f>
        <v>15000</v>
      </c>
      <c r="H314" s="87">
        <f>F314*G314</f>
        <v>372</v>
      </c>
      <c r="I314" s="87">
        <v>92500</v>
      </c>
      <c r="J314" s="87">
        <f>F314*I314</f>
        <v>2294</v>
      </c>
      <c r="K314" s="87">
        <v>92500</v>
      </c>
      <c r="L314" s="87">
        <f>F314*K314</f>
        <v>2294</v>
      </c>
    </row>
    <row r="315" spans="1:12" ht="12" customHeight="1" x14ac:dyDescent="0.35">
      <c r="B315" s="84"/>
      <c r="C315" s="85"/>
      <c r="D315" s="84"/>
      <c r="E315" s="84"/>
      <c r="F315" s="86"/>
      <c r="G315" s="87"/>
      <c r="H315" s="87"/>
      <c r="I315" s="87"/>
      <c r="J315" s="87"/>
      <c r="K315" s="87"/>
      <c r="L315" s="87"/>
    </row>
    <row r="316" spans="1:12" ht="12" customHeight="1" x14ac:dyDescent="0.35">
      <c r="B316" s="84"/>
      <c r="C316" s="88"/>
      <c r="D316" s="79"/>
      <c r="E316" s="79"/>
      <c r="F316" s="89" t="s">
        <v>421</v>
      </c>
      <c r="G316" s="101"/>
      <c r="H316" s="87">
        <f>SUM(H312:H315)</f>
        <v>618.5</v>
      </c>
      <c r="I316" s="101"/>
      <c r="J316" s="87">
        <f>SUM(J312:J315)</f>
        <v>3617.24</v>
      </c>
      <c r="K316" s="101"/>
      <c r="L316" s="87">
        <f>SUM(L312:L315)</f>
        <v>3617.24</v>
      </c>
    </row>
    <row r="317" spans="1:12" ht="12" customHeight="1" x14ac:dyDescent="0.35">
      <c r="B317" s="84" t="s">
        <v>6</v>
      </c>
      <c r="C317" s="88" t="s">
        <v>422</v>
      </c>
      <c r="D317" s="79"/>
      <c r="E317" s="79"/>
      <c r="F317" s="90"/>
      <c r="G317" s="84"/>
      <c r="H317" s="87"/>
      <c r="I317" s="84"/>
      <c r="J317" s="87"/>
      <c r="K317" s="84"/>
      <c r="L317" s="87"/>
    </row>
    <row r="318" spans="1:12" ht="12" customHeight="1" x14ac:dyDescent="0.35">
      <c r="B318" s="84"/>
      <c r="C318" s="85"/>
      <c r="D318" s="84"/>
      <c r="E318" s="84"/>
      <c r="F318" s="86"/>
      <c r="G318" s="87"/>
      <c r="H318" s="87">
        <f>F318*G318</f>
        <v>0</v>
      </c>
      <c r="I318" s="87">
        <v>232500</v>
      </c>
      <c r="J318" s="87">
        <f>F318*I318</f>
        <v>0</v>
      </c>
      <c r="K318" s="87">
        <v>270000</v>
      </c>
      <c r="L318" s="87">
        <f>F318*K318</f>
        <v>0</v>
      </c>
    </row>
    <row r="319" spans="1:12" ht="12" customHeight="1" x14ac:dyDescent="0.35">
      <c r="B319" s="84"/>
      <c r="C319" s="88"/>
      <c r="D319" s="79"/>
      <c r="E319" s="84"/>
      <c r="F319" s="102"/>
      <c r="G319" s="87"/>
      <c r="H319" s="87">
        <f>F319*G319</f>
        <v>0</v>
      </c>
      <c r="I319" s="87">
        <v>1060</v>
      </c>
      <c r="J319" s="87">
        <f>F319*I319</f>
        <v>0</v>
      </c>
      <c r="K319" s="87">
        <v>1060</v>
      </c>
      <c r="L319" s="87">
        <f>F319*K319</f>
        <v>0</v>
      </c>
    </row>
    <row r="320" spans="1:12" ht="12" customHeight="1" x14ac:dyDescent="0.35">
      <c r="B320" s="84"/>
      <c r="C320" s="88"/>
      <c r="D320" s="79"/>
      <c r="E320" s="84"/>
      <c r="F320" s="102"/>
      <c r="G320" s="87"/>
      <c r="H320" s="87">
        <f>F320*G320</f>
        <v>0</v>
      </c>
      <c r="I320" s="87">
        <v>215000</v>
      </c>
      <c r="J320" s="87">
        <f>F320*I320</f>
        <v>0</v>
      </c>
      <c r="K320" s="87">
        <v>250000</v>
      </c>
      <c r="L320" s="87">
        <f>F320*K320</f>
        <v>0</v>
      </c>
    </row>
    <row r="321" spans="1:12" ht="12" customHeight="1" x14ac:dyDescent="0.35">
      <c r="B321" s="84"/>
      <c r="C321" s="88"/>
      <c r="D321" s="79"/>
      <c r="E321" s="79"/>
      <c r="F321" s="89"/>
      <c r="G321" s="101"/>
      <c r="H321" s="87">
        <f>SUM(H318:H320)</f>
        <v>0</v>
      </c>
      <c r="I321" s="101"/>
      <c r="J321" s="87">
        <f>SUM(J318:J320)</f>
        <v>0</v>
      </c>
      <c r="K321" s="101"/>
      <c r="L321" s="87">
        <f>SUM(L318:L320)</f>
        <v>0</v>
      </c>
    </row>
    <row r="322" spans="1:12" ht="12" customHeight="1" x14ac:dyDescent="0.35">
      <c r="B322" s="84" t="s">
        <v>7</v>
      </c>
      <c r="C322" s="88" t="s">
        <v>424</v>
      </c>
      <c r="D322" s="79"/>
      <c r="E322" s="79"/>
      <c r="F322" s="90"/>
      <c r="G322" s="84"/>
      <c r="H322" s="87"/>
      <c r="I322" s="84"/>
      <c r="J322" s="87"/>
      <c r="K322" s="84"/>
      <c r="L322" s="87"/>
    </row>
    <row r="323" spans="1:12" ht="12" customHeight="1" x14ac:dyDescent="0.35">
      <c r="A323" s="134">
        <v>31100008</v>
      </c>
      <c r="B323" s="84"/>
      <c r="C323" s="85" t="s">
        <v>1836</v>
      </c>
      <c r="D323" s="84" t="s">
        <v>418</v>
      </c>
      <c r="E323" s="84" t="str">
        <f>VLOOKUP(C323,HSD!B:K,2,FALSE)</f>
        <v>jam</v>
      </c>
      <c r="F323" s="127">
        <v>1.24E-2</v>
      </c>
      <c r="G323" s="87">
        <f>VLOOKUP(C323,HSD!B:K,10,FALSE)</f>
        <v>1053489.6200000001</v>
      </c>
      <c r="H323" s="87">
        <f>F323*G323</f>
        <v>13063.271288000002</v>
      </c>
      <c r="I323" s="87"/>
      <c r="J323" s="87">
        <f>H323*I323</f>
        <v>0</v>
      </c>
      <c r="K323" s="87"/>
      <c r="L323" s="87">
        <f>J323*K323</f>
        <v>0</v>
      </c>
    </row>
    <row r="324" spans="1:12" ht="12" customHeight="1" x14ac:dyDescent="0.35">
      <c r="B324" s="84"/>
      <c r="C324" s="88"/>
      <c r="D324" s="79"/>
      <c r="E324" s="79"/>
      <c r="F324" s="90"/>
      <c r="G324" s="87"/>
      <c r="H324" s="87"/>
      <c r="I324" s="87"/>
      <c r="J324" s="87"/>
      <c r="K324" s="87"/>
      <c r="L324" s="87"/>
    </row>
    <row r="325" spans="1:12" ht="12" customHeight="1" x14ac:dyDescent="0.35">
      <c r="B325" s="84"/>
      <c r="C325" s="88"/>
      <c r="D325" s="79"/>
      <c r="E325" s="79"/>
      <c r="F325" s="90"/>
      <c r="G325" s="87"/>
      <c r="H325" s="87">
        <f>F325*G325</f>
        <v>0</v>
      </c>
      <c r="I325" s="87"/>
      <c r="J325" s="87"/>
      <c r="K325" s="87"/>
      <c r="L325" s="87"/>
    </row>
    <row r="326" spans="1:12" ht="12" customHeight="1" x14ac:dyDescent="0.35">
      <c r="B326" s="84"/>
      <c r="C326" s="88"/>
      <c r="D326" s="79"/>
      <c r="E326" s="79"/>
      <c r="F326" s="89" t="s">
        <v>425</v>
      </c>
      <c r="G326" s="101"/>
      <c r="H326" s="87">
        <f>SUM(H323:H325)</f>
        <v>13063.271288000002</v>
      </c>
      <c r="I326" s="101"/>
      <c r="J326" s="87">
        <f>SUM(J323)</f>
        <v>0</v>
      </c>
      <c r="K326" s="101"/>
      <c r="L326" s="87">
        <f>SUM(L323)</f>
        <v>0</v>
      </c>
    </row>
    <row r="327" spans="1:12" ht="12" customHeight="1" x14ac:dyDescent="0.35">
      <c r="B327" s="84" t="s">
        <v>8</v>
      </c>
      <c r="C327" s="103" t="s">
        <v>426</v>
      </c>
      <c r="D327" s="104"/>
      <c r="E327" s="104"/>
      <c r="F327" s="104"/>
      <c r="G327" s="105"/>
      <c r="H327" s="87">
        <f>H316+H321+H326</f>
        <v>13681.771288000002</v>
      </c>
      <c r="I327" s="105"/>
      <c r="J327" s="87">
        <f>J316+J321+J326</f>
        <v>3617.24</v>
      </c>
      <c r="K327" s="105"/>
      <c r="L327" s="87">
        <f>L316+L321+L326</f>
        <v>3617.24</v>
      </c>
    </row>
    <row r="328" spans="1:12" ht="12" customHeight="1" x14ac:dyDescent="0.35">
      <c r="B328" s="84" t="s">
        <v>9</v>
      </c>
      <c r="C328" s="455" t="s">
        <v>427</v>
      </c>
      <c r="D328" s="455"/>
      <c r="E328" s="455"/>
      <c r="F328" s="95">
        <f>0</f>
        <v>0</v>
      </c>
      <c r="G328" s="85" t="s">
        <v>428</v>
      </c>
      <c r="H328" s="87">
        <f>H327*F328</f>
        <v>0</v>
      </c>
      <c r="I328" s="85" t="s">
        <v>428</v>
      </c>
      <c r="J328" s="87">
        <f>J327*F328</f>
        <v>0</v>
      </c>
      <c r="K328" s="85" t="s">
        <v>428</v>
      </c>
      <c r="L328" s="87">
        <f>L327*F328</f>
        <v>0</v>
      </c>
    </row>
    <row r="329" spans="1:12" ht="12" customHeight="1" x14ac:dyDescent="0.35">
      <c r="B329" s="84" t="s">
        <v>10</v>
      </c>
      <c r="C329" s="103" t="s">
        <v>429</v>
      </c>
      <c r="D329" s="104"/>
      <c r="E329" s="104"/>
      <c r="F329" s="104"/>
      <c r="G329" s="105"/>
      <c r="H329" s="96">
        <f>H327+H328</f>
        <v>13681.771288000002</v>
      </c>
      <c r="I329" s="97"/>
      <c r="J329" s="96">
        <f>J327+J328</f>
        <v>3617.24</v>
      </c>
      <c r="K329" s="97"/>
      <c r="L329" s="96">
        <f>L327+L328</f>
        <v>3617.24</v>
      </c>
    </row>
    <row r="331" spans="1:12" ht="29" customHeight="1" x14ac:dyDescent="0.35">
      <c r="B331" s="76" t="s">
        <v>520</v>
      </c>
      <c r="C331" s="458" t="s">
        <v>519</v>
      </c>
      <c r="D331" s="459"/>
      <c r="E331" s="459"/>
      <c r="F331" s="459"/>
      <c r="G331" s="456"/>
      <c r="H331" s="457"/>
      <c r="I331" s="455" t="s">
        <v>3</v>
      </c>
      <c r="J331" s="455"/>
      <c r="K331" s="455" t="s">
        <v>4</v>
      </c>
      <c r="L331" s="455"/>
    </row>
    <row r="332" spans="1:12" ht="12" customHeight="1" x14ac:dyDescent="0.35">
      <c r="B332" s="451" t="s">
        <v>409</v>
      </c>
      <c r="C332" s="451" t="s">
        <v>410</v>
      </c>
      <c r="D332" s="452" t="s">
        <v>411</v>
      </c>
      <c r="E332" s="451" t="s">
        <v>412</v>
      </c>
      <c r="F332" s="451" t="s">
        <v>413</v>
      </c>
      <c r="G332" s="77" t="s">
        <v>414</v>
      </c>
      <c r="H332" s="77" t="s">
        <v>415</v>
      </c>
      <c r="I332" s="78" t="s">
        <v>414</v>
      </c>
      <c r="J332" s="79" t="s">
        <v>415</v>
      </c>
      <c r="K332" s="79" t="s">
        <v>414</v>
      </c>
      <c r="L332" s="79" t="s">
        <v>415</v>
      </c>
    </row>
    <row r="333" spans="1:12" ht="12" customHeight="1" x14ac:dyDescent="0.35">
      <c r="B333" s="451"/>
      <c r="C333" s="451"/>
      <c r="D333" s="453"/>
      <c r="E333" s="451"/>
      <c r="F333" s="451"/>
      <c r="G333" s="77" t="s">
        <v>17</v>
      </c>
      <c r="H333" s="77" t="s">
        <v>416</v>
      </c>
      <c r="I333" s="78" t="s">
        <v>17</v>
      </c>
      <c r="J333" s="79" t="s">
        <v>416</v>
      </c>
      <c r="K333" s="79" t="s">
        <v>17</v>
      </c>
      <c r="L333" s="79" t="s">
        <v>416</v>
      </c>
    </row>
    <row r="334" spans="1:12" ht="12" customHeight="1" x14ac:dyDescent="0.35">
      <c r="B334" s="451"/>
      <c r="C334" s="451"/>
      <c r="D334" s="454"/>
      <c r="E334" s="451"/>
      <c r="F334" s="451"/>
      <c r="G334" s="106"/>
      <c r="H334" s="77" t="s">
        <v>17</v>
      </c>
      <c r="I334" s="94"/>
      <c r="J334" s="79" t="s">
        <v>17</v>
      </c>
      <c r="K334" s="85"/>
      <c r="L334" s="79" t="s">
        <v>17</v>
      </c>
    </row>
    <row r="335" spans="1:12" ht="12" customHeight="1" x14ac:dyDescent="0.35">
      <c r="B335" s="80" t="s">
        <v>5</v>
      </c>
      <c r="C335" s="81" t="s">
        <v>417</v>
      </c>
      <c r="D335" s="82"/>
      <c r="E335" s="82"/>
      <c r="F335" s="82"/>
      <c r="G335" s="82"/>
      <c r="H335" s="82"/>
      <c r="I335" s="83"/>
      <c r="J335" s="83"/>
      <c r="K335" s="83"/>
      <c r="L335" s="83"/>
    </row>
    <row r="336" spans="1:12" ht="12" customHeight="1" x14ac:dyDescent="0.35">
      <c r="A336" s="134">
        <v>10111000</v>
      </c>
      <c r="B336" s="84"/>
      <c r="C336" s="85" t="s">
        <v>1885</v>
      </c>
      <c r="D336" s="84" t="s">
        <v>418</v>
      </c>
      <c r="E336" s="84" t="str">
        <f>VLOOKUP(C336,HSD!B:K,2,FALSE)</f>
        <v>OJ</v>
      </c>
      <c r="F336" s="86">
        <v>2.7000000000000001E-3</v>
      </c>
      <c r="G336" s="87">
        <f>VLOOKUP(C336,HSD!B:K,10,FALSE)</f>
        <v>18750</v>
      </c>
      <c r="H336" s="87">
        <f>F336*G336</f>
        <v>50.625</v>
      </c>
      <c r="I336" s="87">
        <v>78600</v>
      </c>
      <c r="J336" s="87">
        <f>F336*I336</f>
        <v>212.22</v>
      </c>
      <c r="K336" s="87">
        <v>78600</v>
      </c>
      <c r="L336" s="87">
        <f>F336*K336</f>
        <v>212.22</v>
      </c>
    </row>
    <row r="337" spans="1:12" ht="12" customHeight="1" x14ac:dyDescent="0.35">
      <c r="A337" s="134">
        <v>10121110</v>
      </c>
      <c r="B337" s="84"/>
      <c r="C337" s="85" t="s">
        <v>1887</v>
      </c>
      <c r="D337" s="84" t="s">
        <v>419</v>
      </c>
      <c r="E337" s="84" t="str">
        <f>VLOOKUP(C337,HSD!B:K,2,FALSE)</f>
        <v>OJ</v>
      </c>
      <c r="F337" s="86">
        <v>1.37E-2</v>
      </c>
      <c r="G337" s="87">
        <f>VLOOKUP(C337,HSD!B:K,10,FALSE)</f>
        <v>16250</v>
      </c>
      <c r="H337" s="87">
        <f>F337*G337</f>
        <v>222.625</v>
      </c>
      <c r="I337" s="87">
        <v>91500</v>
      </c>
      <c r="J337" s="87">
        <f>F337*I337</f>
        <v>1253.55</v>
      </c>
      <c r="K337" s="87">
        <v>91500</v>
      </c>
      <c r="L337" s="87">
        <f>F337*K337</f>
        <v>1253.55</v>
      </c>
    </row>
    <row r="338" spans="1:12" ht="12" customHeight="1" x14ac:dyDescent="0.35">
      <c r="A338" s="134">
        <v>10131000</v>
      </c>
      <c r="B338" s="84"/>
      <c r="C338" s="85" t="s">
        <v>1888</v>
      </c>
      <c r="D338" s="84" t="s">
        <v>420</v>
      </c>
      <c r="E338" s="84" t="str">
        <f>VLOOKUP(C338,HSD!B:K,2,FALSE)</f>
        <v>OJ</v>
      </c>
      <c r="F338" s="86">
        <v>2.7300000000000001E-2</v>
      </c>
      <c r="G338" s="87">
        <f>VLOOKUP(C338,HSD!B:K,10,FALSE)</f>
        <v>15000</v>
      </c>
      <c r="H338" s="87">
        <f>F338*G338</f>
        <v>409.5</v>
      </c>
      <c r="I338" s="87">
        <v>92500</v>
      </c>
      <c r="J338" s="87">
        <f>F338*I338</f>
        <v>2525.25</v>
      </c>
      <c r="K338" s="87">
        <v>92500</v>
      </c>
      <c r="L338" s="87">
        <f>F338*K338</f>
        <v>2525.25</v>
      </c>
    </row>
    <row r="339" spans="1:12" ht="12" customHeight="1" x14ac:dyDescent="0.35">
      <c r="B339" s="84"/>
      <c r="C339" s="85"/>
      <c r="D339" s="84"/>
      <c r="E339" s="84"/>
      <c r="F339" s="86"/>
      <c r="G339" s="87"/>
      <c r="H339" s="87"/>
      <c r="I339" s="87"/>
      <c r="J339" s="87"/>
      <c r="K339" s="87"/>
      <c r="L339" s="87"/>
    </row>
    <row r="340" spans="1:12" ht="12" customHeight="1" x14ac:dyDescent="0.35">
      <c r="B340" s="84"/>
      <c r="C340" s="88"/>
      <c r="D340" s="79"/>
      <c r="E340" s="79"/>
      <c r="F340" s="89" t="s">
        <v>421</v>
      </c>
      <c r="G340" s="101"/>
      <c r="H340" s="87">
        <f>SUM(H336:H339)</f>
        <v>682.75</v>
      </c>
      <c r="I340" s="101"/>
      <c r="J340" s="87">
        <f>SUM(J336:J339)</f>
        <v>3991.02</v>
      </c>
      <c r="K340" s="101"/>
      <c r="L340" s="87">
        <f>SUM(L336:L339)</f>
        <v>3991.02</v>
      </c>
    </row>
    <row r="341" spans="1:12" ht="12" customHeight="1" x14ac:dyDescent="0.35">
      <c r="B341" s="84" t="s">
        <v>6</v>
      </c>
      <c r="C341" s="88" t="s">
        <v>422</v>
      </c>
      <c r="D341" s="79"/>
      <c r="E341" s="79"/>
      <c r="F341" s="90"/>
      <c r="G341" s="84"/>
      <c r="H341" s="87"/>
      <c r="I341" s="84"/>
      <c r="J341" s="87"/>
      <c r="K341" s="84"/>
      <c r="L341" s="87"/>
    </row>
    <row r="342" spans="1:12" ht="12" customHeight="1" x14ac:dyDescent="0.35">
      <c r="B342" s="84"/>
      <c r="C342" s="85"/>
      <c r="D342" s="84"/>
      <c r="E342" s="84"/>
      <c r="F342" s="86"/>
      <c r="G342" s="87"/>
      <c r="H342" s="87">
        <f>F342*G342</f>
        <v>0</v>
      </c>
      <c r="I342" s="87">
        <v>232500</v>
      </c>
      <c r="J342" s="87">
        <f>F342*I342</f>
        <v>0</v>
      </c>
      <c r="K342" s="87">
        <v>270000</v>
      </c>
      <c r="L342" s="87">
        <f>F342*K342</f>
        <v>0</v>
      </c>
    </row>
    <row r="343" spans="1:12" ht="12" customHeight="1" x14ac:dyDescent="0.35">
      <c r="B343" s="84"/>
      <c r="C343" s="88"/>
      <c r="D343" s="79"/>
      <c r="E343" s="84"/>
      <c r="F343" s="102"/>
      <c r="G343" s="87"/>
      <c r="H343" s="87">
        <f>F343*G343</f>
        <v>0</v>
      </c>
      <c r="I343" s="87">
        <v>1060</v>
      </c>
      <c r="J343" s="87">
        <f>F343*I343</f>
        <v>0</v>
      </c>
      <c r="K343" s="87">
        <v>1060</v>
      </c>
      <c r="L343" s="87">
        <f>F343*K343</f>
        <v>0</v>
      </c>
    </row>
    <row r="344" spans="1:12" ht="12" customHeight="1" x14ac:dyDescent="0.35">
      <c r="B344" s="84"/>
      <c r="C344" s="88"/>
      <c r="D344" s="79"/>
      <c r="E344" s="84"/>
      <c r="F344" s="102"/>
      <c r="G344" s="87"/>
      <c r="H344" s="87">
        <f>F344*G344</f>
        <v>0</v>
      </c>
      <c r="I344" s="87">
        <v>215000</v>
      </c>
      <c r="J344" s="87">
        <f>F344*I344</f>
        <v>0</v>
      </c>
      <c r="K344" s="87">
        <v>250000</v>
      </c>
      <c r="L344" s="87">
        <f>F344*K344</f>
        <v>0</v>
      </c>
    </row>
    <row r="345" spans="1:12" ht="12" customHeight="1" x14ac:dyDescent="0.35">
      <c r="B345" s="84"/>
      <c r="C345" s="88"/>
      <c r="D345" s="79"/>
      <c r="E345" s="79"/>
      <c r="F345" s="89"/>
      <c r="G345" s="101"/>
      <c r="H345" s="87">
        <f>SUM(H342:H344)</f>
        <v>0</v>
      </c>
      <c r="I345" s="101"/>
      <c r="J345" s="87">
        <f>SUM(J342:J344)</f>
        <v>0</v>
      </c>
      <c r="K345" s="101"/>
      <c r="L345" s="87">
        <f>SUM(L342:L344)</f>
        <v>0</v>
      </c>
    </row>
    <row r="346" spans="1:12" ht="12" customHeight="1" x14ac:dyDescent="0.35">
      <c r="B346" s="84" t="s">
        <v>7</v>
      </c>
      <c r="C346" s="88" t="s">
        <v>424</v>
      </c>
      <c r="D346" s="79"/>
      <c r="E346" s="79"/>
      <c r="F346" s="90"/>
      <c r="G346" s="84"/>
      <c r="H346" s="87"/>
      <c r="I346" s="84"/>
      <c r="J346" s="87"/>
      <c r="K346" s="84"/>
      <c r="L346" s="87"/>
    </row>
    <row r="347" spans="1:12" ht="12" customHeight="1" x14ac:dyDescent="0.35">
      <c r="A347" s="134">
        <v>31100008</v>
      </c>
      <c r="B347" s="84"/>
      <c r="C347" s="85" t="s">
        <v>1836</v>
      </c>
      <c r="D347" s="84" t="s">
        <v>418</v>
      </c>
      <c r="E347" s="84" t="str">
        <f>VLOOKUP(C347,HSD!B:K,2,FALSE)</f>
        <v>jam</v>
      </c>
      <c r="F347" s="127">
        <v>1.37E-2</v>
      </c>
      <c r="G347" s="87">
        <f>VLOOKUP(C347,HSD!B:K,10,FALSE)</f>
        <v>1053489.6200000001</v>
      </c>
      <c r="H347" s="87">
        <f>F347*G347</f>
        <v>14432.807794000002</v>
      </c>
      <c r="I347" s="87"/>
      <c r="J347" s="87">
        <f>H347*I347</f>
        <v>0</v>
      </c>
      <c r="K347" s="87"/>
      <c r="L347" s="87">
        <f>J347*K347</f>
        <v>0</v>
      </c>
    </row>
    <row r="348" spans="1:12" ht="12" customHeight="1" x14ac:dyDescent="0.35">
      <c r="B348" s="84"/>
      <c r="C348" s="88"/>
      <c r="D348" s="79"/>
      <c r="E348" s="79"/>
      <c r="F348" s="90"/>
      <c r="G348" s="87"/>
      <c r="H348" s="87"/>
      <c r="I348" s="87"/>
      <c r="J348" s="87"/>
      <c r="K348" s="87"/>
      <c r="L348" s="87"/>
    </row>
    <row r="349" spans="1:12" ht="12" customHeight="1" x14ac:dyDescent="0.35">
      <c r="B349" s="84"/>
      <c r="C349" s="88"/>
      <c r="D349" s="79"/>
      <c r="E349" s="79"/>
      <c r="F349" s="90"/>
      <c r="G349" s="87"/>
      <c r="H349" s="87">
        <f>F349*G349</f>
        <v>0</v>
      </c>
      <c r="I349" s="87"/>
      <c r="J349" s="87"/>
      <c r="K349" s="87"/>
      <c r="L349" s="87"/>
    </row>
    <row r="350" spans="1:12" ht="12" customHeight="1" x14ac:dyDescent="0.35">
      <c r="B350" s="84"/>
      <c r="C350" s="88"/>
      <c r="D350" s="79"/>
      <c r="E350" s="79"/>
      <c r="F350" s="89" t="s">
        <v>425</v>
      </c>
      <c r="G350" s="101"/>
      <c r="H350" s="87">
        <f>SUM(H347:H349)</f>
        <v>14432.807794000002</v>
      </c>
      <c r="I350" s="101"/>
      <c r="J350" s="87">
        <f>SUM(J347)</f>
        <v>0</v>
      </c>
      <c r="K350" s="101"/>
      <c r="L350" s="87">
        <f>SUM(L347)</f>
        <v>0</v>
      </c>
    </row>
    <row r="351" spans="1:12" ht="12" customHeight="1" x14ac:dyDescent="0.35">
      <c r="B351" s="84" t="s">
        <v>8</v>
      </c>
      <c r="C351" s="103" t="s">
        <v>426</v>
      </c>
      <c r="D351" s="104"/>
      <c r="E351" s="104"/>
      <c r="F351" s="104"/>
      <c r="G351" s="105"/>
      <c r="H351" s="87">
        <f>H340+H345+H350</f>
        <v>15115.557794000002</v>
      </c>
      <c r="I351" s="105"/>
      <c r="J351" s="87">
        <f>J340+J345+J350</f>
        <v>3991.02</v>
      </c>
      <c r="K351" s="105"/>
      <c r="L351" s="87">
        <f>L340+L345+L350</f>
        <v>3991.02</v>
      </c>
    </row>
    <row r="352" spans="1:12" ht="12" customHeight="1" x14ac:dyDescent="0.35">
      <c r="B352" s="84" t="s">
        <v>9</v>
      </c>
      <c r="C352" s="455" t="s">
        <v>427</v>
      </c>
      <c r="D352" s="455"/>
      <c r="E352" s="455"/>
      <c r="F352" s="95">
        <f>0</f>
        <v>0</v>
      </c>
      <c r="G352" s="85" t="s">
        <v>428</v>
      </c>
      <c r="H352" s="87">
        <f>H351*F352</f>
        <v>0</v>
      </c>
      <c r="I352" s="85" t="s">
        <v>428</v>
      </c>
      <c r="J352" s="87">
        <f>J351*F352</f>
        <v>0</v>
      </c>
      <c r="K352" s="85" t="s">
        <v>428</v>
      </c>
      <c r="L352" s="87">
        <f>L351*F352</f>
        <v>0</v>
      </c>
    </row>
    <row r="353" spans="1:12" ht="12" customHeight="1" x14ac:dyDescent="0.35">
      <c r="B353" s="84" t="s">
        <v>10</v>
      </c>
      <c r="C353" s="103" t="s">
        <v>429</v>
      </c>
      <c r="D353" s="104"/>
      <c r="E353" s="104"/>
      <c r="F353" s="104"/>
      <c r="G353" s="105"/>
      <c r="H353" s="96">
        <f>H351+H352</f>
        <v>15115.557794000002</v>
      </c>
      <c r="I353" s="97"/>
      <c r="J353" s="96">
        <f>J351+J352</f>
        <v>3991.02</v>
      </c>
      <c r="K353" s="97"/>
      <c r="L353" s="96">
        <f>L351+L352</f>
        <v>3991.02</v>
      </c>
    </row>
    <row r="355" spans="1:12" ht="29" customHeight="1" x14ac:dyDescent="0.35">
      <c r="B355" s="76" t="s">
        <v>521</v>
      </c>
      <c r="C355" s="458" t="s">
        <v>522</v>
      </c>
      <c r="D355" s="459"/>
      <c r="E355" s="459"/>
      <c r="F355" s="459"/>
      <c r="G355" s="456"/>
      <c r="H355" s="457"/>
      <c r="I355" s="455" t="s">
        <v>3</v>
      </c>
      <c r="J355" s="455"/>
      <c r="K355" s="455" t="s">
        <v>4</v>
      </c>
      <c r="L355" s="455"/>
    </row>
    <row r="356" spans="1:12" ht="12" customHeight="1" x14ac:dyDescent="0.35">
      <c r="B356" s="451" t="s">
        <v>409</v>
      </c>
      <c r="C356" s="451" t="s">
        <v>410</v>
      </c>
      <c r="D356" s="452" t="s">
        <v>411</v>
      </c>
      <c r="E356" s="451" t="s">
        <v>412</v>
      </c>
      <c r="F356" s="451" t="s">
        <v>413</v>
      </c>
      <c r="G356" s="77" t="s">
        <v>414</v>
      </c>
      <c r="H356" s="77" t="s">
        <v>415</v>
      </c>
      <c r="I356" s="78" t="s">
        <v>414</v>
      </c>
      <c r="J356" s="79" t="s">
        <v>415</v>
      </c>
      <c r="K356" s="79" t="s">
        <v>414</v>
      </c>
      <c r="L356" s="79" t="s">
        <v>415</v>
      </c>
    </row>
    <row r="357" spans="1:12" ht="12" customHeight="1" x14ac:dyDescent="0.35">
      <c r="B357" s="451"/>
      <c r="C357" s="451"/>
      <c r="D357" s="453"/>
      <c r="E357" s="451"/>
      <c r="F357" s="451"/>
      <c r="G357" s="77" t="s">
        <v>17</v>
      </c>
      <c r="H357" s="77" t="s">
        <v>416</v>
      </c>
      <c r="I357" s="78" t="s">
        <v>17</v>
      </c>
      <c r="J357" s="79" t="s">
        <v>416</v>
      </c>
      <c r="K357" s="79" t="s">
        <v>17</v>
      </c>
      <c r="L357" s="79" t="s">
        <v>416</v>
      </c>
    </row>
    <row r="358" spans="1:12" ht="12" customHeight="1" x14ac:dyDescent="0.35">
      <c r="B358" s="451"/>
      <c r="C358" s="451"/>
      <c r="D358" s="454"/>
      <c r="E358" s="451"/>
      <c r="F358" s="451"/>
      <c r="G358" s="106"/>
      <c r="H358" s="77" t="s">
        <v>17</v>
      </c>
      <c r="I358" s="94"/>
      <c r="J358" s="79" t="s">
        <v>17</v>
      </c>
      <c r="K358" s="85"/>
      <c r="L358" s="79" t="s">
        <v>17</v>
      </c>
    </row>
    <row r="359" spans="1:12" ht="12" customHeight="1" x14ac:dyDescent="0.35">
      <c r="B359" s="80" t="s">
        <v>5</v>
      </c>
      <c r="C359" s="81" t="s">
        <v>417</v>
      </c>
      <c r="D359" s="82"/>
      <c r="E359" s="82"/>
      <c r="F359" s="82"/>
      <c r="G359" s="82"/>
      <c r="H359" s="82"/>
      <c r="I359" s="83"/>
      <c r="J359" s="83"/>
      <c r="K359" s="83"/>
      <c r="L359" s="83"/>
    </row>
    <row r="360" spans="1:12" ht="12" customHeight="1" x14ac:dyDescent="0.35">
      <c r="A360" s="134">
        <v>10111000</v>
      </c>
      <c r="B360" s="84"/>
      <c r="C360" s="85" t="s">
        <v>1885</v>
      </c>
      <c r="D360" s="84" t="s">
        <v>418</v>
      </c>
      <c r="E360" s="84" t="str">
        <f>VLOOKUP(C360,HSD!B:K,2,FALSE)</f>
        <v>OJ</v>
      </c>
      <c r="F360" s="86">
        <v>3.8E-3</v>
      </c>
      <c r="G360" s="87">
        <f>VLOOKUP(C360,HSD!B:K,10,FALSE)</f>
        <v>18750</v>
      </c>
      <c r="H360" s="87">
        <f>F360*G360</f>
        <v>71.25</v>
      </c>
      <c r="I360" s="87">
        <v>78600</v>
      </c>
      <c r="J360" s="87">
        <f>F360*I360</f>
        <v>298.68</v>
      </c>
      <c r="K360" s="87">
        <v>78600</v>
      </c>
      <c r="L360" s="87">
        <f>F360*K360</f>
        <v>298.68</v>
      </c>
    </row>
    <row r="361" spans="1:12" ht="12" customHeight="1" x14ac:dyDescent="0.35">
      <c r="A361" s="134">
        <v>10121110</v>
      </c>
      <c r="B361" s="84"/>
      <c r="C361" s="85" t="s">
        <v>1887</v>
      </c>
      <c r="D361" s="84" t="s">
        <v>419</v>
      </c>
      <c r="E361" s="84" t="str">
        <f>VLOOKUP(C361,HSD!B:K,2,FALSE)</f>
        <v>OJ</v>
      </c>
      <c r="F361" s="86">
        <v>1.9400000000000001E-2</v>
      </c>
      <c r="G361" s="87">
        <f>VLOOKUP(C361,HSD!B:K,10,FALSE)</f>
        <v>16250</v>
      </c>
      <c r="H361" s="87">
        <f>F361*G361</f>
        <v>315.25</v>
      </c>
      <c r="I361" s="87">
        <v>91500</v>
      </c>
      <c r="J361" s="87">
        <f>F361*I361</f>
        <v>1775.1000000000001</v>
      </c>
      <c r="K361" s="87">
        <v>91500</v>
      </c>
      <c r="L361" s="87">
        <f>F361*K361</f>
        <v>1775.1000000000001</v>
      </c>
    </row>
    <row r="362" spans="1:12" ht="12" customHeight="1" x14ac:dyDescent="0.35">
      <c r="A362" s="134">
        <v>10131000</v>
      </c>
      <c r="B362" s="84"/>
      <c r="C362" s="85" t="s">
        <v>1888</v>
      </c>
      <c r="D362" s="84" t="s">
        <v>420</v>
      </c>
      <c r="E362" s="84" t="str">
        <f>VLOOKUP(C362,HSD!B:K,2,FALSE)</f>
        <v>OJ</v>
      </c>
      <c r="F362" s="86">
        <v>3.8800000000000001E-2</v>
      </c>
      <c r="G362" s="87">
        <f>VLOOKUP(C362,HSD!B:K,10,FALSE)</f>
        <v>15000</v>
      </c>
      <c r="H362" s="87">
        <f>F362*G362</f>
        <v>582</v>
      </c>
      <c r="I362" s="87">
        <v>92500</v>
      </c>
      <c r="J362" s="87">
        <f>F362*I362</f>
        <v>3589</v>
      </c>
      <c r="K362" s="87">
        <v>92500</v>
      </c>
      <c r="L362" s="87">
        <f>F362*K362</f>
        <v>3589</v>
      </c>
    </row>
    <row r="363" spans="1:12" ht="12" customHeight="1" x14ac:dyDescent="0.35">
      <c r="B363" s="84"/>
      <c r="C363" s="85"/>
      <c r="D363" s="84"/>
      <c r="E363" s="84"/>
      <c r="F363" s="86"/>
      <c r="G363" s="87"/>
      <c r="H363" s="87"/>
      <c r="I363" s="87"/>
      <c r="J363" s="87"/>
      <c r="K363" s="87"/>
      <c r="L363" s="87"/>
    </row>
    <row r="364" spans="1:12" ht="12" customHeight="1" x14ac:dyDescent="0.35">
      <c r="B364" s="84"/>
      <c r="C364" s="88"/>
      <c r="D364" s="79"/>
      <c r="E364" s="79"/>
      <c r="F364" s="89" t="s">
        <v>421</v>
      </c>
      <c r="G364" s="101"/>
      <c r="H364" s="87">
        <f>SUM(H360:H363)</f>
        <v>968.5</v>
      </c>
      <c r="I364" s="101"/>
      <c r="J364" s="87">
        <f>SUM(J360:J363)</f>
        <v>5662.7800000000007</v>
      </c>
      <c r="K364" s="101"/>
      <c r="L364" s="87">
        <f>SUM(L360:L363)</f>
        <v>5662.7800000000007</v>
      </c>
    </row>
    <row r="365" spans="1:12" ht="12" customHeight="1" x14ac:dyDescent="0.35">
      <c r="B365" s="84" t="s">
        <v>6</v>
      </c>
      <c r="C365" s="88" t="s">
        <v>422</v>
      </c>
      <c r="D365" s="79"/>
      <c r="E365" s="79"/>
      <c r="F365" s="90"/>
      <c r="G365" s="84"/>
      <c r="H365" s="87"/>
      <c r="I365" s="84"/>
      <c r="J365" s="87"/>
      <c r="K365" s="84"/>
      <c r="L365" s="87"/>
    </row>
    <row r="366" spans="1:12" ht="12" customHeight="1" x14ac:dyDescent="0.35">
      <c r="B366" s="84"/>
      <c r="C366" s="85"/>
      <c r="D366" s="84"/>
      <c r="E366" s="84"/>
      <c r="F366" s="86"/>
      <c r="G366" s="87"/>
      <c r="H366" s="87">
        <f>F366*G366</f>
        <v>0</v>
      </c>
      <c r="I366" s="87">
        <v>232500</v>
      </c>
      <c r="J366" s="87">
        <f>F366*I366</f>
        <v>0</v>
      </c>
      <c r="K366" s="87">
        <v>270000</v>
      </c>
      <c r="L366" s="87">
        <f>F366*K366</f>
        <v>0</v>
      </c>
    </row>
    <row r="367" spans="1:12" ht="12" customHeight="1" x14ac:dyDescent="0.35">
      <c r="B367" s="84"/>
      <c r="C367" s="88"/>
      <c r="D367" s="79"/>
      <c r="E367" s="84"/>
      <c r="F367" s="102"/>
      <c r="G367" s="87"/>
      <c r="H367" s="87">
        <f>F367*G367</f>
        <v>0</v>
      </c>
      <c r="I367" s="87">
        <v>1060</v>
      </c>
      <c r="J367" s="87">
        <f>F367*I367</f>
        <v>0</v>
      </c>
      <c r="K367" s="87">
        <v>1060</v>
      </c>
      <c r="L367" s="87">
        <f>F367*K367</f>
        <v>0</v>
      </c>
    </row>
    <row r="368" spans="1:12" ht="12" customHeight="1" x14ac:dyDescent="0.35">
      <c r="B368" s="84"/>
      <c r="C368" s="88"/>
      <c r="D368" s="79"/>
      <c r="E368" s="84"/>
      <c r="F368" s="102"/>
      <c r="G368" s="87"/>
      <c r="H368" s="87">
        <f>F368*G368</f>
        <v>0</v>
      </c>
      <c r="I368" s="87">
        <v>215000</v>
      </c>
      <c r="J368" s="87">
        <f>F368*I368</f>
        <v>0</v>
      </c>
      <c r="K368" s="87">
        <v>250000</v>
      </c>
      <c r="L368" s="87">
        <f>F368*K368</f>
        <v>0</v>
      </c>
    </row>
    <row r="369" spans="1:12" ht="12" customHeight="1" x14ac:dyDescent="0.35">
      <c r="B369" s="84"/>
      <c r="C369" s="88"/>
      <c r="D369" s="79"/>
      <c r="E369" s="79"/>
      <c r="F369" s="89"/>
      <c r="G369" s="101"/>
      <c r="H369" s="87">
        <f>SUM(H366:H368)</f>
        <v>0</v>
      </c>
      <c r="I369" s="101"/>
      <c r="J369" s="87">
        <f>SUM(J366:J368)</f>
        <v>0</v>
      </c>
      <c r="K369" s="101"/>
      <c r="L369" s="87">
        <f>SUM(L366:L368)</f>
        <v>0</v>
      </c>
    </row>
    <row r="370" spans="1:12" ht="12" customHeight="1" x14ac:dyDescent="0.35">
      <c r="B370" s="84" t="s">
        <v>7</v>
      </c>
      <c r="C370" s="88" t="s">
        <v>424</v>
      </c>
      <c r="D370" s="79"/>
      <c r="E370" s="79"/>
      <c r="F370" s="90"/>
      <c r="G370" s="84"/>
      <c r="H370" s="87"/>
      <c r="I370" s="84"/>
      <c r="J370" s="87"/>
      <c r="K370" s="84"/>
      <c r="L370" s="87"/>
    </row>
    <row r="371" spans="1:12" ht="12" customHeight="1" x14ac:dyDescent="0.35">
      <c r="A371" s="134">
        <v>31100008</v>
      </c>
      <c r="B371" s="84"/>
      <c r="C371" s="85" t="s">
        <v>1836</v>
      </c>
      <c r="D371" s="84" t="s">
        <v>418</v>
      </c>
      <c r="E371" s="84" t="str">
        <f>VLOOKUP(C371,HSD!B:K,2,FALSE)</f>
        <v>jam</v>
      </c>
      <c r="F371" s="128">
        <f>F361</f>
        <v>1.9400000000000001E-2</v>
      </c>
      <c r="G371" s="87">
        <f>VLOOKUP(C371,HSD!B:K,10,FALSE)</f>
        <v>1053489.6200000001</v>
      </c>
      <c r="H371" s="87">
        <f>F371*G371</f>
        <v>20437.698628000002</v>
      </c>
      <c r="I371" s="87"/>
      <c r="J371" s="87">
        <f>H371*I371</f>
        <v>0</v>
      </c>
      <c r="K371" s="87"/>
      <c r="L371" s="87">
        <f>J371*K371</f>
        <v>0</v>
      </c>
    </row>
    <row r="372" spans="1:12" ht="12" customHeight="1" x14ac:dyDescent="0.35">
      <c r="B372" s="84"/>
      <c r="C372" s="88"/>
      <c r="D372" s="79"/>
      <c r="E372" s="79"/>
      <c r="F372" s="90"/>
      <c r="G372" s="87"/>
      <c r="H372" s="87"/>
      <c r="I372" s="87"/>
      <c r="J372" s="87"/>
      <c r="K372" s="87"/>
      <c r="L372" s="87"/>
    </row>
    <row r="373" spans="1:12" ht="12" customHeight="1" x14ac:dyDescent="0.35">
      <c r="B373" s="84"/>
      <c r="C373" s="88"/>
      <c r="D373" s="79"/>
      <c r="E373" s="79"/>
      <c r="F373" s="90"/>
      <c r="G373" s="87"/>
      <c r="H373" s="87">
        <f>F373*G373</f>
        <v>0</v>
      </c>
      <c r="I373" s="87"/>
      <c r="J373" s="87"/>
      <c r="K373" s="87"/>
      <c r="L373" s="87"/>
    </row>
    <row r="374" spans="1:12" ht="12" customHeight="1" x14ac:dyDescent="0.35">
      <c r="B374" s="84"/>
      <c r="C374" s="88"/>
      <c r="D374" s="79"/>
      <c r="E374" s="79"/>
      <c r="F374" s="89" t="s">
        <v>425</v>
      </c>
      <c r="G374" s="101"/>
      <c r="H374" s="87">
        <f>SUM(H371:H373)</f>
        <v>20437.698628000002</v>
      </c>
      <c r="I374" s="101"/>
      <c r="J374" s="87">
        <f>SUM(J371)</f>
        <v>0</v>
      </c>
      <c r="K374" s="101"/>
      <c r="L374" s="87">
        <f>SUM(L371)</f>
        <v>0</v>
      </c>
    </row>
    <row r="375" spans="1:12" ht="12" customHeight="1" x14ac:dyDescent="0.35">
      <c r="B375" s="84" t="s">
        <v>8</v>
      </c>
      <c r="C375" s="103" t="s">
        <v>426</v>
      </c>
      <c r="D375" s="104"/>
      <c r="E375" s="104"/>
      <c r="F375" s="104"/>
      <c r="G375" s="105"/>
      <c r="H375" s="87">
        <f>H364+H369+H374</f>
        <v>21406.198628000002</v>
      </c>
      <c r="I375" s="105"/>
      <c r="J375" s="87">
        <f>J364+J369+J374</f>
        <v>5662.7800000000007</v>
      </c>
      <c r="K375" s="105"/>
      <c r="L375" s="87">
        <f>L364+L369+L374</f>
        <v>5662.7800000000007</v>
      </c>
    </row>
    <row r="376" spans="1:12" ht="12" customHeight="1" x14ac:dyDescent="0.35">
      <c r="B376" s="84" t="s">
        <v>9</v>
      </c>
      <c r="C376" s="455" t="s">
        <v>427</v>
      </c>
      <c r="D376" s="455"/>
      <c r="E376" s="455"/>
      <c r="F376" s="95">
        <f>0</f>
        <v>0</v>
      </c>
      <c r="G376" s="85" t="s">
        <v>428</v>
      </c>
      <c r="H376" s="87">
        <f>H375*F376</f>
        <v>0</v>
      </c>
      <c r="I376" s="85" t="s">
        <v>428</v>
      </c>
      <c r="J376" s="87">
        <f>J375*F376</f>
        <v>0</v>
      </c>
      <c r="K376" s="85" t="s">
        <v>428</v>
      </c>
      <c r="L376" s="87">
        <f>L375*F376</f>
        <v>0</v>
      </c>
    </row>
    <row r="377" spans="1:12" ht="12" customHeight="1" x14ac:dyDescent="0.35">
      <c r="B377" s="84" t="s">
        <v>10</v>
      </c>
      <c r="C377" s="103" t="s">
        <v>429</v>
      </c>
      <c r="D377" s="104"/>
      <c r="E377" s="104"/>
      <c r="F377" s="104"/>
      <c r="G377" s="105"/>
      <c r="H377" s="96">
        <f>H375+H376</f>
        <v>21406.198628000002</v>
      </c>
      <c r="I377" s="97"/>
      <c r="J377" s="96">
        <f>J375+J376</f>
        <v>5662.7800000000007</v>
      </c>
      <c r="K377" s="97"/>
      <c r="L377" s="96">
        <f>L375+L376</f>
        <v>5662.7800000000007</v>
      </c>
    </row>
    <row r="379" spans="1:12" ht="29" customHeight="1" x14ac:dyDescent="0.35">
      <c r="B379" s="76" t="s">
        <v>523</v>
      </c>
      <c r="C379" s="458" t="s">
        <v>524</v>
      </c>
      <c r="D379" s="459"/>
      <c r="E379" s="459"/>
      <c r="F379" s="459"/>
      <c r="G379" s="456"/>
      <c r="H379" s="457"/>
      <c r="I379" s="455" t="s">
        <v>3</v>
      </c>
      <c r="J379" s="455"/>
      <c r="K379" s="455" t="s">
        <v>4</v>
      </c>
      <c r="L379" s="455"/>
    </row>
    <row r="380" spans="1:12" ht="12" customHeight="1" x14ac:dyDescent="0.35">
      <c r="B380" s="451" t="s">
        <v>409</v>
      </c>
      <c r="C380" s="451" t="s">
        <v>410</v>
      </c>
      <c r="D380" s="452" t="s">
        <v>411</v>
      </c>
      <c r="E380" s="451" t="s">
        <v>412</v>
      </c>
      <c r="F380" s="451" t="s">
        <v>413</v>
      </c>
      <c r="G380" s="77" t="s">
        <v>414</v>
      </c>
      <c r="H380" s="77" t="s">
        <v>415</v>
      </c>
      <c r="I380" s="78" t="s">
        <v>414</v>
      </c>
      <c r="J380" s="79" t="s">
        <v>415</v>
      </c>
      <c r="K380" s="79" t="s">
        <v>414</v>
      </c>
      <c r="L380" s="79" t="s">
        <v>415</v>
      </c>
    </row>
    <row r="381" spans="1:12" ht="12" customHeight="1" x14ac:dyDescent="0.35">
      <c r="B381" s="451"/>
      <c r="C381" s="451"/>
      <c r="D381" s="453"/>
      <c r="E381" s="451"/>
      <c r="F381" s="451"/>
      <c r="G381" s="77" t="s">
        <v>17</v>
      </c>
      <c r="H381" s="77" t="s">
        <v>416</v>
      </c>
      <c r="I381" s="78" t="s">
        <v>17</v>
      </c>
      <c r="J381" s="79" t="s">
        <v>416</v>
      </c>
      <c r="K381" s="79" t="s">
        <v>17</v>
      </c>
      <c r="L381" s="79" t="s">
        <v>416</v>
      </c>
    </row>
    <row r="382" spans="1:12" ht="12" customHeight="1" x14ac:dyDescent="0.35">
      <c r="B382" s="451"/>
      <c r="C382" s="451"/>
      <c r="D382" s="454"/>
      <c r="E382" s="451"/>
      <c r="F382" s="451"/>
      <c r="G382" s="106"/>
      <c r="H382" s="77" t="s">
        <v>17</v>
      </c>
      <c r="I382" s="94"/>
      <c r="J382" s="79" t="s">
        <v>17</v>
      </c>
      <c r="K382" s="85"/>
      <c r="L382" s="79" t="s">
        <v>17</v>
      </c>
    </row>
    <row r="383" spans="1:12" ht="12" customHeight="1" x14ac:dyDescent="0.35">
      <c r="B383" s="80" t="s">
        <v>5</v>
      </c>
      <c r="C383" s="81" t="s">
        <v>417</v>
      </c>
      <c r="D383" s="82"/>
      <c r="E383" s="82"/>
      <c r="F383" s="82"/>
      <c r="G383" s="82"/>
      <c r="H383" s="82"/>
      <c r="I383" s="83"/>
      <c r="J383" s="83"/>
      <c r="K383" s="83"/>
      <c r="L383" s="83"/>
    </row>
    <row r="384" spans="1:12" ht="12" customHeight="1" x14ac:dyDescent="0.35">
      <c r="A384" s="134">
        <v>10111000</v>
      </c>
      <c r="B384" s="84"/>
      <c r="C384" s="85" t="s">
        <v>1885</v>
      </c>
      <c r="D384" s="84" t="s">
        <v>418</v>
      </c>
      <c r="E384" s="84" t="str">
        <f>VLOOKUP(C384,HSD!B:K,2,FALSE)</f>
        <v>OJ</v>
      </c>
      <c r="F384" s="86">
        <v>2.3E-3</v>
      </c>
      <c r="G384" s="87">
        <f>VLOOKUP(C384,HSD!B:K,10,FALSE)</f>
        <v>18750</v>
      </c>
      <c r="H384" s="87">
        <f>F384*G384</f>
        <v>43.125</v>
      </c>
      <c r="I384" s="87">
        <v>78600</v>
      </c>
      <c r="J384" s="87">
        <f>F384*I384</f>
        <v>180.78</v>
      </c>
      <c r="K384" s="87">
        <v>78600</v>
      </c>
      <c r="L384" s="87">
        <f>F384*K384</f>
        <v>180.78</v>
      </c>
    </row>
    <row r="385" spans="1:12" ht="12" customHeight="1" x14ac:dyDescent="0.35">
      <c r="A385" s="134">
        <v>10121110</v>
      </c>
      <c r="B385" s="84"/>
      <c r="C385" s="85" t="s">
        <v>1887</v>
      </c>
      <c r="D385" s="84" t="s">
        <v>419</v>
      </c>
      <c r="E385" s="84" t="str">
        <f>VLOOKUP(C385,HSD!B:K,2,FALSE)</f>
        <v>OJ</v>
      </c>
      <c r="F385" s="86">
        <v>1.17E-2</v>
      </c>
      <c r="G385" s="87">
        <f>VLOOKUP(C385,HSD!B:K,10,FALSE)</f>
        <v>16250</v>
      </c>
      <c r="H385" s="87">
        <f>F385*G385</f>
        <v>190.125</v>
      </c>
      <c r="I385" s="87">
        <v>91500</v>
      </c>
      <c r="J385" s="87">
        <f>F385*I385</f>
        <v>1070.55</v>
      </c>
      <c r="K385" s="87">
        <v>91500</v>
      </c>
      <c r="L385" s="87">
        <f>F385*K385</f>
        <v>1070.55</v>
      </c>
    </row>
    <row r="386" spans="1:12" ht="12" customHeight="1" x14ac:dyDescent="0.35">
      <c r="A386" s="134">
        <v>10131000</v>
      </c>
      <c r="B386" s="84"/>
      <c r="C386" s="85" t="s">
        <v>1888</v>
      </c>
      <c r="D386" s="84" t="s">
        <v>420</v>
      </c>
      <c r="E386" s="84" t="str">
        <f>VLOOKUP(C386,HSD!B:K,2,FALSE)</f>
        <v>OJ</v>
      </c>
      <c r="F386" s="86">
        <v>2.3400000000000001E-2</v>
      </c>
      <c r="G386" s="87">
        <f>VLOOKUP(C386,HSD!B:K,10,FALSE)</f>
        <v>15000</v>
      </c>
      <c r="H386" s="87">
        <f>F386*G386</f>
        <v>351</v>
      </c>
      <c r="I386" s="87">
        <v>92500</v>
      </c>
      <c r="J386" s="87">
        <f>F386*I386</f>
        <v>2164.5</v>
      </c>
      <c r="K386" s="87">
        <v>92500</v>
      </c>
      <c r="L386" s="87">
        <f>F386*K386</f>
        <v>2164.5</v>
      </c>
    </row>
    <row r="387" spans="1:12" ht="12" customHeight="1" x14ac:dyDescent="0.35">
      <c r="B387" s="84"/>
      <c r="C387" s="85"/>
      <c r="D387" s="84"/>
      <c r="E387" s="84"/>
      <c r="F387" s="86"/>
      <c r="G387" s="87"/>
      <c r="H387" s="87"/>
      <c r="I387" s="87"/>
      <c r="J387" s="87"/>
      <c r="K387" s="87"/>
      <c r="L387" s="87"/>
    </row>
    <row r="388" spans="1:12" ht="12" customHeight="1" x14ac:dyDescent="0.35">
      <c r="B388" s="84"/>
      <c r="C388" s="88"/>
      <c r="D388" s="79"/>
      <c r="E388" s="79"/>
      <c r="F388" s="89" t="s">
        <v>421</v>
      </c>
      <c r="G388" s="101"/>
      <c r="H388" s="87">
        <f>SUM(H384:H387)</f>
        <v>584.25</v>
      </c>
      <c r="I388" s="101"/>
      <c r="J388" s="87">
        <f>SUM(J384:J387)</f>
        <v>3415.83</v>
      </c>
      <c r="K388" s="101"/>
      <c r="L388" s="87">
        <f>SUM(L384:L387)</f>
        <v>3415.83</v>
      </c>
    </row>
    <row r="389" spans="1:12" ht="12" customHeight="1" x14ac:dyDescent="0.35">
      <c r="B389" s="84" t="s">
        <v>6</v>
      </c>
      <c r="C389" s="88" t="s">
        <v>422</v>
      </c>
      <c r="D389" s="79"/>
      <c r="E389" s="79"/>
      <c r="F389" s="90"/>
      <c r="G389" s="84"/>
      <c r="H389" s="87"/>
      <c r="I389" s="84"/>
      <c r="J389" s="87"/>
      <c r="K389" s="84"/>
      <c r="L389" s="87"/>
    </row>
    <row r="390" spans="1:12" ht="12" customHeight="1" x14ac:dyDescent="0.35">
      <c r="B390" s="84"/>
      <c r="C390" s="85"/>
      <c r="D390" s="84"/>
      <c r="E390" s="84"/>
      <c r="F390" s="86"/>
      <c r="G390" s="87"/>
      <c r="H390" s="87">
        <f>F390*G390</f>
        <v>0</v>
      </c>
      <c r="I390" s="87">
        <v>232500</v>
      </c>
      <c r="J390" s="87">
        <f>F390*I390</f>
        <v>0</v>
      </c>
      <c r="K390" s="87">
        <v>270000</v>
      </c>
      <c r="L390" s="87">
        <f>F390*K390</f>
        <v>0</v>
      </c>
    </row>
    <row r="391" spans="1:12" ht="12" customHeight="1" x14ac:dyDescent="0.35">
      <c r="B391" s="84"/>
      <c r="C391" s="88"/>
      <c r="D391" s="79"/>
      <c r="E391" s="84"/>
      <c r="F391" s="102"/>
      <c r="G391" s="87"/>
      <c r="H391" s="87">
        <f>F391*G391</f>
        <v>0</v>
      </c>
      <c r="I391" s="87">
        <v>1060</v>
      </c>
      <c r="J391" s="87">
        <f>F391*I391</f>
        <v>0</v>
      </c>
      <c r="K391" s="87">
        <v>1060</v>
      </c>
      <c r="L391" s="87">
        <f>F391*K391</f>
        <v>0</v>
      </c>
    </row>
    <row r="392" spans="1:12" ht="12" customHeight="1" x14ac:dyDescent="0.35">
      <c r="B392" s="84"/>
      <c r="C392" s="88"/>
      <c r="D392" s="79"/>
      <c r="E392" s="84"/>
      <c r="F392" s="102"/>
      <c r="G392" s="87"/>
      <c r="H392" s="87">
        <f>F392*G392</f>
        <v>0</v>
      </c>
      <c r="I392" s="87">
        <v>215000</v>
      </c>
      <c r="J392" s="87">
        <f>F392*I392</f>
        <v>0</v>
      </c>
      <c r="K392" s="87">
        <v>250000</v>
      </c>
      <c r="L392" s="87">
        <f>F392*K392</f>
        <v>0</v>
      </c>
    </row>
    <row r="393" spans="1:12" ht="12" customHeight="1" x14ac:dyDescent="0.35">
      <c r="B393" s="84"/>
      <c r="C393" s="88"/>
      <c r="D393" s="79"/>
      <c r="E393" s="79"/>
      <c r="F393" s="89"/>
      <c r="G393" s="101"/>
      <c r="H393" s="87">
        <f>SUM(H390:H392)</f>
        <v>0</v>
      </c>
      <c r="I393" s="101"/>
      <c r="J393" s="87">
        <f>SUM(J390:J392)</f>
        <v>0</v>
      </c>
      <c r="K393" s="101"/>
      <c r="L393" s="87">
        <f>SUM(L390:L392)</f>
        <v>0</v>
      </c>
    </row>
    <row r="394" spans="1:12" ht="12" customHeight="1" x14ac:dyDescent="0.35">
      <c r="B394" s="84" t="s">
        <v>7</v>
      </c>
      <c r="C394" s="88" t="s">
        <v>424</v>
      </c>
      <c r="D394" s="79"/>
      <c r="E394" s="79"/>
      <c r="F394" s="90"/>
      <c r="G394" s="84"/>
      <c r="H394" s="87"/>
      <c r="I394" s="84"/>
      <c r="J394" s="87"/>
      <c r="K394" s="84"/>
      <c r="L394" s="87"/>
    </row>
    <row r="395" spans="1:12" ht="12" customHeight="1" x14ac:dyDescent="0.35">
      <c r="A395" s="134">
        <v>31100008</v>
      </c>
      <c r="B395" s="84"/>
      <c r="C395" s="85" t="s">
        <v>1836</v>
      </c>
      <c r="D395" s="84" t="s">
        <v>418</v>
      </c>
      <c r="E395" s="84" t="str">
        <f>VLOOKUP(C395,HSD!B:K,2,FALSE)</f>
        <v>jam</v>
      </c>
      <c r="F395" s="128">
        <f>F385</f>
        <v>1.17E-2</v>
      </c>
      <c r="G395" s="87">
        <f>VLOOKUP(C395,HSD!B:K,10,FALSE)</f>
        <v>1053489.6200000001</v>
      </c>
      <c r="H395" s="87">
        <f>F395*G395</f>
        <v>12325.828554000002</v>
      </c>
      <c r="I395" s="87"/>
      <c r="J395" s="87">
        <f>H395*I395</f>
        <v>0</v>
      </c>
      <c r="K395" s="87"/>
      <c r="L395" s="87">
        <f>J395*K395</f>
        <v>0</v>
      </c>
    </row>
    <row r="396" spans="1:12" ht="12" customHeight="1" x14ac:dyDescent="0.35">
      <c r="B396" s="84"/>
      <c r="C396" s="88"/>
      <c r="D396" s="79"/>
      <c r="E396" s="79"/>
      <c r="F396" s="90"/>
      <c r="G396" s="87"/>
      <c r="H396" s="87"/>
      <c r="I396" s="87"/>
      <c r="J396" s="87"/>
      <c r="K396" s="87"/>
      <c r="L396" s="87"/>
    </row>
    <row r="397" spans="1:12" ht="12" customHeight="1" x14ac:dyDescent="0.35">
      <c r="B397" s="84"/>
      <c r="C397" s="88"/>
      <c r="D397" s="79"/>
      <c r="E397" s="79"/>
      <c r="F397" s="90"/>
      <c r="G397" s="87"/>
      <c r="H397" s="87">
        <f>F397*G397</f>
        <v>0</v>
      </c>
      <c r="I397" s="87"/>
      <c r="J397" s="87"/>
      <c r="K397" s="87"/>
      <c r="L397" s="87"/>
    </row>
    <row r="398" spans="1:12" ht="12" customHeight="1" x14ac:dyDescent="0.35">
      <c r="B398" s="84"/>
      <c r="C398" s="88"/>
      <c r="D398" s="79"/>
      <c r="E398" s="79"/>
      <c r="F398" s="89" t="s">
        <v>425</v>
      </c>
      <c r="G398" s="101"/>
      <c r="H398" s="87">
        <f>SUM(H395:H397)</f>
        <v>12325.828554000002</v>
      </c>
      <c r="I398" s="101"/>
      <c r="J398" s="87">
        <f>SUM(J395)</f>
        <v>0</v>
      </c>
      <c r="K398" s="101"/>
      <c r="L398" s="87">
        <f>SUM(L395)</f>
        <v>0</v>
      </c>
    </row>
    <row r="399" spans="1:12" ht="12" customHeight="1" x14ac:dyDescent="0.35">
      <c r="B399" s="84" t="s">
        <v>8</v>
      </c>
      <c r="C399" s="103" t="s">
        <v>426</v>
      </c>
      <c r="D399" s="104"/>
      <c r="E399" s="104"/>
      <c r="F399" s="104"/>
      <c r="G399" s="105"/>
      <c r="H399" s="87">
        <f>H388+H393+H398</f>
        <v>12910.078554000002</v>
      </c>
      <c r="I399" s="105"/>
      <c r="J399" s="87">
        <f>J388+J393+J398</f>
        <v>3415.83</v>
      </c>
      <c r="K399" s="105"/>
      <c r="L399" s="87">
        <f>L388+L393+L398</f>
        <v>3415.83</v>
      </c>
    </row>
    <row r="400" spans="1:12" ht="12" customHeight="1" x14ac:dyDescent="0.35">
      <c r="B400" s="84" t="s">
        <v>9</v>
      </c>
      <c r="C400" s="455" t="s">
        <v>427</v>
      </c>
      <c r="D400" s="455"/>
      <c r="E400" s="455"/>
      <c r="F400" s="95">
        <f>0</f>
        <v>0</v>
      </c>
      <c r="G400" s="85" t="s">
        <v>428</v>
      </c>
      <c r="H400" s="87">
        <f>H399*F400</f>
        <v>0</v>
      </c>
      <c r="I400" s="85" t="s">
        <v>428</v>
      </c>
      <c r="J400" s="87">
        <f>J399*F400</f>
        <v>0</v>
      </c>
      <c r="K400" s="85" t="s">
        <v>428</v>
      </c>
      <c r="L400" s="87">
        <f>L399*F400</f>
        <v>0</v>
      </c>
    </row>
    <row r="401" spans="1:12" ht="12" customHeight="1" x14ac:dyDescent="0.35">
      <c r="B401" s="84" t="s">
        <v>10</v>
      </c>
      <c r="C401" s="103" t="s">
        <v>429</v>
      </c>
      <c r="D401" s="104"/>
      <c r="E401" s="104"/>
      <c r="F401" s="104"/>
      <c r="G401" s="105"/>
      <c r="H401" s="96">
        <f>H399+H400</f>
        <v>12910.078554000002</v>
      </c>
      <c r="I401" s="97"/>
      <c r="J401" s="96">
        <f>J399+J400</f>
        <v>3415.83</v>
      </c>
      <c r="K401" s="97"/>
      <c r="L401" s="96">
        <f>L399+L400</f>
        <v>3415.83</v>
      </c>
    </row>
    <row r="403" spans="1:12" ht="29" customHeight="1" x14ac:dyDescent="0.35">
      <c r="B403" s="76" t="s">
        <v>525</v>
      </c>
      <c r="C403" s="458" t="s">
        <v>526</v>
      </c>
      <c r="D403" s="459"/>
      <c r="E403" s="459"/>
      <c r="F403" s="459"/>
      <c r="G403" s="456"/>
      <c r="H403" s="457"/>
      <c r="I403" s="455" t="s">
        <v>3</v>
      </c>
      <c r="J403" s="455"/>
      <c r="K403" s="455" t="s">
        <v>4</v>
      </c>
      <c r="L403" s="455"/>
    </row>
    <row r="404" spans="1:12" ht="12" customHeight="1" x14ac:dyDescent="0.35">
      <c r="B404" s="451" t="s">
        <v>409</v>
      </c>
      <c r="C404" s="451" t="s">
        <v>410</v>
      </c>
      <c r="D404" s="452" t="s">
        <v>411</v>
      </c>
      <c r="E404" s="451" t="s">
        <v>412</v>
      </c>
      <c r="F404" s="451" t="s">
        <v>413</v>
      </c>
      <c r="G404" s="77" t="s">
        <v>414</v>
      </c>
      <c r="H404" s="77" t="s">
        <v>415</v>
      </c>
      <c r="I404" s="78" t="s">
        <v>414</v>
      </c>
      <c r="J404" s="79" t="s">
        <v>415</v>
      </c>
      <c r="K404" s="79" t="s">
        <v>414</v>
      </c>
      <c r="L404" s="79" t="s">
        <v>415</v>
      </c>
    </row>
    <row r="405" spans="1:12" ht="12" customHeight="1" x14ac:dyDescent="0.35">
      <c r="B405" s="451"/>
      <c r="C405" s="451"/>
      <c r="D405" s="453"/>
      <c r="E405" s="451"/>
      <c r="F405" s="451"/>
      <c r="G405" s="77" t="s">
        <v>17</v>
      </c>
      <c r="H405" s="77" t="s">
        <v>416</v>
      </c>
      <c r="I405" s="78" t="s">
        <v>17</v>
      </c>
      <c r="J405" s="79" t="s">
        <v>416</v>
      </c>
      <c r="K405" s="79" t="s">
        <v>17</v>
      </c>
      <c r="L405" s="79" t="s">
        <v>416</v>
      </c>
    </row>
    <row r="406" spans="1:12" ht="12" customHeight="1" x14ac:dyDescent="0.35">
      <c r="B406" s="451"/>
      <c r="C406" s="451"/>
      <c r="D406" s="454"/>
      <c r="E406" s="451"/>
      <c r="F406" s="451"/>
      <c r="G406" s="106"/>
      <c r="H406" s="77" t="s">
        <v>17</v>
      </c>
      <c r="I406" s="94"/>
      <c r="J406" s="79" t="s">
        <v>17</v>
      </c>
      <c r="K406" s="85"/>
      <c r="L406" s="79" t="s">
        <v>17</v>
      </c>
    </row>
    <row r="407" spans="1:12" ht="12" customHeight="1" x14ac:dyDescent="0.35">
      <c r="B407" s="80" t="s">
        <v>5</v>
      </c>
      <c r="C407" s="81" t="s">
        <v>417</v>
      </c>
      <c r="D407" s="82"/>
      <c r="E407" s="82"/>
      <c r="F407" s="82"/>
      <c r="G407" s="82"/>
      <c r="H407" s="82"/>
      <c r="I407" s="83"/>
      <c r="J407" s="83"/>
      <c r="K407" s="83"/>
      <c r="L407" s="83"/>
    </row>
    <row r="408" spans="1:12" ht="12" customHeight="1" x14ac:dyDescent="0.35">
      <c r="A408" s="134">
        <v>10111000</v>
      </c>
      <c r="B408" s="84"/>
      <c r="C408" s="85" t="s">
        <v>1885</v>
      </c>
      <c r="D408" s="84" t="s">
        <v>418</v>
      </c>
      <c r="E408" s="84" t="str">
        <f>VLOOKUP(C408,HSD!B:K,2,FALSE)</f>
        <v>OJ</v>
      </c>
      <c r="F408" s="86">
        <v>4.7000000000000002E-3</v>
      </c>
      <c r="G408" s="87">
        <f>VLOOKUP(C408,HSD!B:K,10,FALSE)</f>
        <v>18750</v>
      </c>
      <c r="H408" s="87">
        <f>F408*G408</f>
        <v>88.125</v>
      </c>
      <c r="I408" s="87">
        <v>78600</v>
      </c>
      <c r="J408" s="87">
        <f>F408*I408</f>
        <v>369.42</v>
      </c>
      <c r="K408" s="87">
        <v>78600</v>
      </c>
      <c r="L408" s="87">
        <f>F408*K408</f>
        <v>369.42</v>
      </c>
    </row>
    <row r="409" spans="1:12" ht="12" customHeight="1" x14ac:dyDescent="0.35">
      <c r="A409" s="134">
        <v>10121110</v>
      </c>
      <c r="B409" s="84"/>
      <c r="C409" s="85" t="s">
        <v>1887</v>
      </c>
      <c r="D409" s="84" t="s">
        <v>419</v>
      </c>
      <c r="E409" s="84" t="str">
        <f>VLOOKUP(C409,HSD!B:K,2,FALSE)</f>
        <v>OJ</v>
      </c>
      <c r="F409" s="86">
        <v>2.3699999999999999E-2</v>
      </c>
      <c r="G409" s="87">
        <f>VLOOKUP(C409,HSD!B:K,10,FALSE)</f>
        <v>16250</v>
      </c>
      <c r="H409" s="87">
        <f>F409*G409</f>
        <v>385.125</v>
      </c>
      <c r="I409" s="87">
        <v>91500</v>
      </c>
      <c r="J409" s="87">
        <f>F409*I409</f>
        <v>2168.5499999999997</v>
      </c>
      <c r="K409" s="87">
        <v>91500</v>
      </c>
      <c r="L409" s="87">
        <f>F409*K409</f>
        <v>2168.5499999999997</v>
      </c>
    </row>
    <row r="410" spans="1:12" ht="12" customHeight="1" x14ac:dyDescent="0.35">
      <c r="A410" s="134">
        <v>10131000</v>
      </c>
      <c r="B410" s="84"/>
      <c r="C410" s="85" t="s">
        <v>1888</v>
      </c>
      <c r="D410" s="84" t="s">
        <v>420</v>
      </c>
      <c r="E410" s="84" t="str">
        <f>VLOOKUP(C410,HSD!B:K,2,FALSE)</f>
        <v>OJ</v>
      </c>
      <c r="F410" s="86">
        <v>4.7300000000000002E-2</v>
      </c>
      <c r="G410" s="87">
        <f>VLOOKUP(C410,HSD!B:K,10,FALSE)</f>
        <v>15000</v>
      </c>
      <c r="H410" s="87">
        <f>F410*G410</f>
        <v>709.5</v>
      </c>
      <c r="I410" s="87">
        <v>92500</v>
      </c>
      <c r="J410" s="87">
        <f>F410*I410</f>
        <v>4375.25</v>
      </c>
      <c r="K410" s="87">
        <v>92500</v>
      </c>
      <c r="L410" s="87">
        <f>F410*K410</f>
        <v>4375.25</v>
      </c>
    </row>
    <row r="411" spans="1:12" ht="12" customHeight="1" x14ac:dyDescent="0.35">
      <c r="B411" s="84"/>
      <c r="C411" s="85"/>
      <c r="D411" s="84"/>
      <c r="E411" s="84"/>
      <c r="F411" s="86"/>
      <c r="G411" s="87"/>
      <c r="H411" s="87"/>
      <c r="I411" s="87"/>
      <c r="J411" s="87"/>
      <c r="K411" s="87"/>
      <c r="L411" s="87"/>
    </row>
    <row r="412" spans="1:12" ht="12" customHeight="1" x14ac:dyDescent="0.35">
      <c r="B412" s="84"/>
      <c r="C412" s="88"/>
      <c r="D412" s="79"/>
      <c r="E412" s="79"/>
      <c r="F412" s="89" t="s">
        <v>421</v>
      </c>
      <c r="G412" s="101"/>
      <c r="H412" s="87">
        <f>SUM(H408:H411)</f>
        <v>1182.75</v>
      </c>
      <c r="I412" s="101"/>
      <c r="J412" s="87">
        <f>SUM(J408:J411)</f>
        <v>6913.2199999999993</v>
      </c>
      <c r="K412" s="101"/>
      <c r="L412" s="87">
        <f>SUM(L408:L411)</f>
        <v>6913.2199999999993</v>
      </c>
    </row>
    <row r="413" spans="1:12" ht="12" customHeight="1" x14ac:dyDescent="0.35">
      <c r="B413" s="84" t="s">
        <v>6</v>
      </c>
      <c r="C413" s="88" t="s">
        <v>422</v>
      </c>
      <c r="D413" s="79"/>
      <c r="E413" s="79"/>
      <c r="F413" s="90"/>
      <c r="G413" s="84"/>
      <c r="H413" s="87"/>
      <c r="I413" s="84"/>
      <c r="J413" s="87"/>
      <c r="K413" s="84"/>
      <c r="L413" s="87"/>
    </row>
    <row r="414" spans="1:12" ht="12" customHeight="1" x14ac:dyDescent="0.35">
      <c r="B414" s="84"/>
      <c r="C414" s="85"/>
      <c r="D414" s="84"/>
      <c r="E414" s="84"/>
      <c r="F414" s="86"/>
      <c r="G414" s="87"/>
      <c r="H414" s="87">
        <f>F414*G414</f>
        <v>0</v>
      </c>
      <c r="I414" s="87">
        <v>232500</v>
      </c>
      <c r="J414" s="87">
        <f>F414*I414</f>
        <v>0</v>
      </c>
      <c r="K414" s="87">
        <v>270000</v>
      </c>
      <c r="L414" s="87">
        <f>F414*K414</f>
        <v>0</v>
      </c>
    </row>
    <row r="415" spans="1:12" ht="12" customHeight="1" x14ac:dyDescent="0.35">
      <c r="B415" s="84"/>
      <c r="C415" s="88"/>
      <c r="D415" s="79"/>
      <c r="E415" s="84"/>
      <c r="F415" s="102"/>
      <c r="G415" s="87"/>
      <c r="H415" s="87">
        <f>F415*G415</f>
        <v>0</v>
      </c>
      <c r="I415" s="87">
        <v>1060</v>
      </c>
      <c r="J415" s="87">
        <f>F415*I415</f>
        <v>0</v>
      </c>
      <c r="K415" s="87">
        <v>1060</v>
      </c>
      <c r="L415" s="87">
        <f>F415*K415</f>
        <v>0</v>
      </c>
    </row>
    <row r="416" spans="1:12" ht="12" customHeight="1" x14ac:dyDescent="0.35">
      <c r="B416" s="84"/>
      <c r="C416" s="88"/>
      <c r="D416" s="79"/>
      <c r="E416" s="84"/>
      <c r="F416" s="102"/>
      <c r="G416" s="87"/>
      <c r="H416" s="87">
        <f>F416*G416</f>
        <v>0</v>
      </c>
      <c r="I416" s="87">
        <v>215000</v>
      </c>
      <c r="J416" s="87">
        <f>F416*I416</f>
        <v>0</v>
      </c>
      <c r="K416" s="87">
        <v>250000</v>
      </c>
      <c r="L416" s="87">
        <f>F416*K416</f>
        <v>0</v>
      </c>
    </row>
    <row r="417" spans="1:12" ht="12" customHeight="1" x14ac:dyDescent="0.35">
      <c r="B417" s="84"/>
      <c r="C417" s="88"/>
      <c r="D417" s="79"/>
      <c r="E417" s="79"/>
      <c r="F417" s="89"/>
      <c r="G417" s="101"/>
      <c r="H417" s="87">
        <f>SUM(H414:H416)</f>
        <v>0</v>
      </c>
      <c r="I417" s="101"/>
      <c r="J417" s="87">
        <f>SUM(J414:J416)</f>
        <v>0</v>
      </c>
      <c r="K417" s="101"/>
      <c r="L417" s="87">
        <f>SUM(L414:L416)</f>
        <v>0</v>
      </c>
    </row>
    <row r="418" spans="1:12" ht="12" customHeight="1" x14ac:dyDescent="0.35">
      <c r="B418" s="84" t="s">
        <v>7</v>
      </c>
      <c r="C418" s="88" t="s">
        <v>424</v>
      </c>
      <c r="D418" s="79"/>
      <c r="E418" s="79"/>
      <c r="F418" s="90"/>
      <c r="G418" s="84"/>
      <c r="H418" s="87"/>
      <c r="I418" s="84"/>
      <c r="J418" s="87"/>
      <c r="K418" s="84"/>
      <c r="L418" s="87"/>
    </row>
    <row r="419" spans="1:12" ht="12" customHeight="1" x14ac:dyDescent="0.35">
      <c r="A419" s="134">
        <v>31100008</v>
      </c>
      <c r="B419" s="84"/>
      <c r="C419" s="85" t="s">
        <v>1836</v>
      </c>
      <c r="D419" s="84" t="s">
        <v>418</v>
      </c>
      <c r="E419" s="84" t="str">
        <f>VLOOKUP(C419,HSD!B:K,2,FALSE)</f>
        <v>jam</v>
      </c>
      <c r="F419" s="128">
        <f>F409</f>
        <v>2.3699999999999999E-2</v>
      </c>
      <c r="G419" s="87">
        <f>VLOOKUP(C419,HSD!B:K,10,FALSE)</f>
        <v>1053489.6200000001</v>
      </c>
      <c r="H419" s="87">
        <f>F419*G419</f>
        <v>24967.703994000003</v>
      </c>
      <c r="I419" s="87"/>
      <c r="J419" s="87">
        <f>H419*I419</f>
        <v>0</v>
      </c>
      <c r="K419" s="87"/>
      <c r="L419" s="87">
        <f>J419*K419</f>
        <v>0</v>
      </c>
    </row>
    <row r="420" spans="1:12" ht="12" customHeight="1" x14ac:dyDescent="0.35">
      <c r="B420" s="84"/>
      <c r="C420" s="88"/>
      <c r="D420" s="79"/>
      <c r="E420" s="79"/>
      <c r="F420" s="90"/>
      <c r="G420" s="87"/>
      <c r="H420" s="87"/>
      <c r="I420" s="87"/>
      <c r="J420" s="87"/>
      <c r="K420" s="87"/>
      <c r="L420" s="87"/>
    </row>
    <row r="421" spans="1:12" ht="12" customHeight="1" x14ac:dyDescent="0.35">
      <c r="B421" s="84"/>
      <c r="C421" s="88"/>
      <c r="D421" s="79"/>
      <c r="E421" s="79"/>
      <c r="F421" s="90"/>
      <c r="G421" s="87"/>
      <c r="H421" s="87">
        <f>F421*G421</f>
        <v>0</v>
      </c>
      <c r="I421" s="87"/>
      <c r="J421" s="87"/>
      <c r="K421" s="87"/>
      <c r="L421" s="87"/>
    </row>
    <row r="422" spans="1:12" ht="12" customHeight="1" x14ac:dyDescent="0.35">
      <c r="B422" s="84"/>
      <c r="C422" s="88"/>
      <c r="D422" s="79"/>
      <c r="E422" s="79"/>
      <c r="F422" s="89" t="s">
        <v>425</v>
      </c>
      <c r="G422" s="101"/>
      <c r="H422" s="87">
        <f>SUM(H419:H421)</f>
        <v>24967.703994000003</v>
      </c>
      <c r="I422" s="101"/>
      <c r="J422" s="87">
        <f>SUM(J419)</f>
        <v>0</v>
      </c>
      <c r="K422" s="101"/>
      <c r="L422" s="87">
        <f>SUM(L419)</f>
        <v>0</v>
      </c>
    </row>
    <row r="423" spans="1:12" ht="12" customHeight="1" x14ac:dyDescent="0.35">
      <c r="B423" s="84" t="s">
        <v>8</v>
      </c>
      <c r="C423" s="103" t="s">
        <v>426</v>
      </c>
      <c r="D423" s="104"/>
      <c r="E423" s="104"/>
      <c r="F423" s="104"/>
      <c r="G423" s="105"/>
      <c r="H423" s="87">
        <f>H412+H417+H422</f>
        <v>26150.453994000003</v>
      </c>
      <c r="I423" s="105"/>
      <c r="J423" s="87">
        <f>J412+J417+J422</f>
        <v>6913.2199999999993</v>
      </c>
      <c r="K423" s="105"/>
      <c r="L423" s="87">
        <f>L412+L417+L422</f>
        <v>6913.2199999999993</v>
      </c>
    </row>
    <row r="424" spans="1:12" ht="12" customHeight="1" x14ac:dyDescent="0.35">
      <c r="B424" s="84" t="s">
        <v>9</v>
      </c>
      <c r="C424" s="455" t="s">
        <v>427</v>
      </c>
      <c r="D424" s="455"/>
      <c r="E424" s="455"/>
      <c r="F424" s="95">
        <f>0</f>
        <v>0</v>
      </c>
      <c r="G424" s="85" t="s">
        <v>428</v>
      </c>
      <c r="H424" s="87">
        <f>H423*F424</f>
        <v>0</v>
      </c>
      <c r="I424" s="85" t="s">
        <v>428</v>
      </c>
      <c r="J424" s="87">
        <f>J423*F424</f>
        <v>0</v>
      </c>
      <c r="K424" s="85" t="s">
        <v>428</v>
      </c>
      <c r="L424" s="87">
        <f>L423*F424</f>
        <v>0</v>
      </c>
    </row>
    <row r="425" spans="1:12" ht="12" customHeight="1" x14ac:dyDescent="0.35">
      <c r="B425" s="84" t="s">
        <v>10</v>
      </c>
      <c r="C425" s="103" t="s">
        <v>429</v>
      </c>
      <c r="D425" s="104"/>
      <c r="E425" s="104"/>
      <c r="F425" s="104"/>
      <c r="G425" s="105"/>
      <c r="H425" s="96">
        <f>H423+H424</f>
        <v>26150.453994000003</v>
      </c>
      <c r="I425" s="97"/>
      <c r="J425" s="96">
        <f>J423+J424</f>
        <v>6913.2199999999993</v>
      </c>
      <c r="K425" s="97"/>
      <c r="L425" s="96">
        <f>L423+L424</f>
        <v>6913.2199999999993</v>
      </c>
    </row>
    <row r="427" spans="1:12" ht="29" customHeight="1" x14ac:dyDescent="0.35">
      <c r="B427" s="76" t="s">
        <v>527</v>
      </c>
      <c r="C427" s="458" t="s">
        <v>528</v>
      </c>
      <c r="D427" s="459"/>
      <c r="E427" s="459"/>
      <c r="F427" s="459"/>
      <c r="G427" s="456"/>
      <c r="H427" s="457"/>
      <c r="I427" s="455" t="s">
        <v>3</v>
      </c>
      <c r="J427" s="455"/>
      <c r="K427" s="455" t="s">
        <v>4</v>
      </c>
      <c r="L427" s="455"/>
    </row>
    <row r="428" spans="1:12" ht="12" customHeight="1" x14ac:dyDescent="0.35">
      <c r="B428" s="451" t="s">
        <v>409</v>
      </c>
      <c r="C428" s="451" t="s">
        <v>410</v>
      </c>
      <c r="D428" s="452" t="s">
        <v>411</v>
      </c>
      <c r="E428" s="451" t="s">
        <v>412</v>
      </c>
      <c r="F428" s="451" t="s">
        <v>413</v>
      </c>
      <c r="G428" s="77" t="s">
        <v>414</v>
      </c>
      <c r="H428" s="77" t="s">
        <v>415</v>
      </c>
      <c r="I428" s="78" t="s">
        <v>414</v>
      </c>
      <c r="J428" s="79" t="s">
        <v>415</v>
      </c>
      <c r="K428" s="79" t="s">
        <v>414</v>
      </c>
      <c r="L428" s="79" t="s">
        <v>415</v>
      </c>
    </row>
    <row r="429" spans="1:12" ht="12" customHeight="1" x14ac:dyDescent="0.35">
      <c r="B429" s="451"/>
      <c r="C429" s="451"/>
      <c r="D429" s="453"/>
      <c r="E429" s="451"/>
      <c r="F429" s="451"/>
      <c r="G429" s="77" t="s">
        <v>17</v>
      </c>
      <c r="H429" s="77" t="s">
        <v>416</v>
      </c>
      <c r="I429" s="78" t="s">
        <v>17</v>
      </c>
      <c r="J429" s="79" t="s">
        <v>416</v>
      </c>
      <c r="K429" s="79" t="s">
        <v>17</v>
      </c>
      <c r="L429" s="79" t="s">
        <v>416</v>
      </c>
    </row>
    <row r="430" spans="1:12" ht="12" customHeight="1" x14ac:dyDescent="0.35">
      <c r="B430" s="451"/>
      <c r="C430" s="451"/>
      <c r="D430" s="454"/>
      <c r="E430" s="451"/>
      <c r="F430" s="451"/>
      <c r="G430" s="106"/>
      <c r="H430" s="77" t="s">
        <v>17</v>
      </c>
      <c r="I430" s="94"/>
      <c r="J430" s="79" t="s">
        <v>17</v>
      </c>
      <c r="K430" s="85"/>
      <c r="L430" s="79" t="s">
        <v>17</v>
      </c>
    </row>
    <row r="431" spans="1:12" ht="12" customHeight="1" x14ac:dyDescent="0.35">
      <c r="B431" s="80" t="s">
        <v>5</v>
      </c>
      <c r="C431" s="81" t="s">
        <v>417</v>
      </c>
      <c r="D431" s="82"/>
      <c r="E431" s="82"/>
      <c r="F431" s="82"/>
      <c r="G431" s="82"/>
      <c r="H431" s="82"/>
      <c r="I431" s="83"/>
      <c r="J431" s="83"/>
      <c r="K431" s="83"/>
      <c r="L431" s="83"/>
    </row>
    <row r="432" spans="1:12" ht="12" customHeight="1" x14ac:dyDescent="0.35">
      <c r="A432" s="134">
        <v>10111000</v>
      </c>
      <c r="B432" s="84"/>
      <c r="C432" s="85" t="s">
        <v>1885</v>
      </c>
      <c r="D432" s="84" t="s">
        <v>418</v>
      </c>
      <c r="E432" s="84" t="str">
        <f>VLOOKUP(C432,HSD!B:K,2,FALSE)</f>
        <v>OJ</v>
      </c>
      <c r="F432" s="86">
        <v>1.9E-3</v>
      </c>
      <c r="G432" s="87">
        <f>VLOOKUP(C432,HSD!B:K,10,FALSE)</f>
        <v>18750</v>
      </c>
      <c r="H432" s="87">
        <f>F432*G432</f>
        <v>35.625</v>
      </c>
      <c r="I432" s="87">
        <v>78600</v>
      </c>
      <c r="J432" s="87">
        <f>F432*I432</f>
        <v>149.34</v>
      </c>
      <c r="K432" s="87">
        <v>78600</v>
      </c>
      <c r="L432" s="87">
        <f>F432*K432</f>
        <v>149.34</v>
      </c>
    </row>
    <row r="433" spans="1:12" ht="12" customHeight="1" x14ac:dyDescent="0.35">
      <c r="A433" s="134">
        <v>10121110</v>
      </c>
      <c r="B433" s="84"/>
      <c r="C433" s="85" t="s">
        <v>1887</v>
      </c>
      <c r="D433" s="84" t="s">
        <v>419</v>
      </c>
      <c r="E433" s="84" t="str">
        <f>VLOOKUP(C433,HSD!B:K,2,FALSE)</f>
        <v>OJ</v>
      </c>
      <c r="F433" s="86">
        <v>9.7000000000000003E-3</v>
      </c>
      <c r="G433" s="87">
        <f>VLOOKUP(C433,HSD!B:K,10,FALSE)</f>
        <v>16250</v>
      </c>
      <c r="H433" s="87">
        <f>F433*G433</f>
        <v>157.625</v>
      </c>
      <c r="I433" s="87">
        <v>91500</v>
      </c>
      <c r="J433" s="87">
        <f>F433*I433</f>
        <v>887.55000000000007</v>
      </c>
      <c r="K433" s="87">
        <v>91500</v>
      </c>
      <c r="L433" s="87">
        <f>F433*K433</f>
        <v>887.55000000000007</v>
      </c>
    </row>
    <row r="434" spans="1:12" ht="12" customHeight="1" x14ac:dyDescent="0.35">
      <c r="A434" s="134">
        <v>10131000</v>
      </c>
      <c r="B434" s="84"/>
      <c r="C434" s="85" t="s">
        <v>1888</v>
      </c>
      <c r="D434" s="84" t="s">
        <v>420</v>
      </c>
      <c r="E434" s="84" t="str">
        <f>VLOOKUP(C434,HSD!B:K,2,FALSE)</f>
        <v>OJ</v>
      </c>
      <c r="F434" s="86">
        <v>1.95E-2</v>
      </c>
      <c r="G434" s="87">
        <f>VLOOKUP(C434,HSD!B:K,10,FALSE)</f>
        <v>15000</v>
      </c>
      <c r="H434" s="87">
        <f>F434*G434</f>
        <v>292.5</v>
      </c>
      <c r="I434" s="87">
        <v>92500</v>
      </c>
      <c r="J434" s="87">
        <f>F434*I434</f>
        <v>1803.75</v>
      </c>
      <c r="K434" s="87">
        <v>92500</v>
      </c>
      <c r="L434" s="87">
        <f>F434*K434</f>
        <v>1803.75</v>
      </c>
    </row>
    <row r="435" spans="1:12" ht="12" customHeight="1" x14ac:dyDescent="0.35">
      <c r="B435" s="84"/>
      <c r="C435" s="85"/>
      <c r="D435" s="84"/>
      <c r="E435" s="84"/>
      <c r="F435" s="86"/>
      <c r="G435" s="87"/>
      <c r="H435" s="87"/>
      <c r="I435" s="87"/>
      <c r="J435" s="87"/>
      <c r="K435" s="87"/>
      <c r="L435" s="87"/>
    </row>
    <row r="436" spans="1:12" ht="12" customHeight="1" x14ac:dyDescent="0.35">
      <c r="B436" s="84"/>
      <c r="C436" s="88"/>
      <c r="D436" s="79"/>
      <c r="E436" s="79"/>
      <c r="F436" s="89" t="s">
        <v>421</v>
      </c>
      <c r="G436" s="101"/>
      <c r="H436" s="87">
        <f>SUM(H432:H435)</f>
        <v>485.75</v>
      </c>
      <c r="I436" s="101"/>
      <c r="J436" s="87">
        <f>SUM(J432:J435)</f>
        <v>2840.6400000000003</v>
      </c>
      <c r="K436" s="101"/>
      <c r="L436" s="87">
        <f>SUM(L432:L435)</f>
        <v>2840.6400000000003</v>
      </c>
    </row>
    <row r="437" spans="1:12" ht="12" customHeight="1" x14ac:dyDescent="0.35">
      <c r="B437" s="84" t="s">
        <v>6</v>
      </c>
      <c r="C437" s="88" t="s">
        <v>422</v>
      </c>
      <c r="D437" s="79"/>
      <c r="E437" s="79"/>
      <c r="F437" s="90"/>
      <c r="G437" s="84"/>
      <c r="H437" s="87"/>
      <c r="I437" s="84"/>
      <c r="J437" s="87"/>
      <c r="K437" s="84"/>
      <c r="L437" s="87"/>
    </row>
    <row r="438" spans="1:12" ht="12" customHeight="1" x14ac:dyDescent="0.35">
      <c r="B438" s="84"/>
      <c r="C438" s="85"/>
      <c r="D438" s="84"/>
      <c r="E438" s="84"/>
      <c r="F438" s="86"/>
      <c r="G438" s="87"/>
      <c r="H438" s="87">
        <f>F438*G438</f>
        <v>0</v>
      </c>
      <c r="I438" s="87">
        <v>232500</v>
      </c>
      <c r="J438" s="87">
        <f>F438*I438</f>
        <v>0</v>
      </c>
      <c r="K438" s="87">
        <v>270000</v>
      </c>
      <c r="L438" s="87">
        <f>F438*K438</f>
        <v>0</v>
      </c>
    </row>
    <row r="439" spans="1:12" ht="12" customHeight="1" x14ac:dyDescent="0.35">
      <c r="B439" s="84"/>
      <c r="C439" s="88"/>
      <c r="D439" s="79"/>
      <c r="E439" s="84"/>
      <c r="F439" s="102"/>
      <c r="G439" s="87"/>
      <c r="H439" s="87">
        <f>F439*G439</f>
        <v>0</v>
      </c>
      <c r="I439" s="87">
        <v>1060</v>
      </c>
      <c r="J439" s="87">
        <f>F439*I439</f>
        <v>0</v>
      </c>
      <c r="K439" s="87">
        <v>1060</v>
      </c>
      <c r="L439" s="87">
        <f>F439*K439</f>
        <v>0</v>
      </c>
    </row>
    <row r="440" spans="1:12" ht="12" customHeight="1" x14ac:dyDescent="0.35">
      <c r="B440" s="84"/>
      <c r="C440" s="88"/>
      <c r="D440" s="79"/>
      <c r="E440" s="84"/>
      <c r="F440" s="102"/>
      <c r="G440" s="87"/>
      <c r="H440" s="87">
        <f>F440*G440</f>
        <v>0</v>
      </c>
      <c r="I440" s="87">
        <v>215000</v>
      </c>
      <c r="J440" s="87">
        <f>F440*I440</f>
        <v>0</v>
      </c>
      <c r="K440" s="87">
        <v>250000</v>
      </c>
      <c r="L440" s="87">
        <f>F440*K440</f>
        <v>0</v>
      </c>
    </row>
    <row r="441" spans="1:12" ht="12" customHeight="1" x14ac:dyDescent="0.35">
      <c r="B441" s="84"/>
      <c r="C441" s="88"/>
      <c r="D441" s="79"/>
      <c r="E441" s="79"/>
      <c r="F441" s="89"/>
      <c r="G441" s="101"/>
      <c r="H441" s="87">
        <f>SUM(H438:H440)</f>
        <v>0</v>
      </c>
      <c r="I441" s="101"/>
      <c r="J441" s="87">
        <f>SUM(J438:J440)</f>
        <v>0</v>
      </c>
      <c r="K441" s="101"/>
      <c r="L441" s="87">
        <f>SUM(L438:L440)</f>
        <v>0</v>
      </c>
    </row>
    <row r="442" spans="1:12" ht="12" customHeight="1" x14ac:dyDescent="0.35">
      <c r="B442" s="84" t="s">
        <v>7</v>
      </c>
      <c r="C442" s="88" t="s">
        <v>424</v>
      </c>
      <c r="D442" s="79"/>
      <c r="E442" s="79"/>
      <c r="F442" s="90"/>
      <c r="G442" s="84"/>
      <c r="H442" s="87"/>
      <c r="I442" s="84"/>
      <c r="J442" s="87"/>
      <c r="K442" s="84"/>
      <c r="L442" s="87"/>
    </row>
    <row r="443" spans="1:12" ht="12" customHeight="1" x14ac:dyDescent="0.35">
      <c r="A443" s="134">
        <v>31100008</v>
      </c>
      <c r="B443" s="84"/>
      <c r="C443" s="85" t="s">
        <v>1836</v>
      </c>
      <c r="D443" s="84" t="s">
        <v>418</v>
      </c>
      <c r="E443" s="84" t="str">
        <f>VLOOKUP(C443,HSD!B:K,2,FALSE)</f>
        <v>jam</v>
      </c>
      <c r="F443" s="128">
        <v>9.7000000000000003E-3</v>
      </c>
      <c r="G443" s="87">
        <f>VLOOKUP(C443,HSD!B:K,10,FALSE)</f>
        <v>1053489.6200000001</v>
      </c>
      <c r="H443" s="87">
        <f>F443*G443</f>
        <v>10218.849314000001</v>
      </c>
      <c r="I443" s="87"/>
      <c r="J443" s="87">
        <f>H443*I443</f>
        <v>0</v>
      </c>
      <c r="K443" s="87"/>
      <c r="L443" s="87">
        <f>J443*K443</f>
        <v>0</v>
      </c>
    </row>
    <row r="444" spans="1:12" ht="12" customHeight="1" x14ac:dyDescent="0.35">
      <c r="B444" s="84"/>
      <c r="C444" s="88"/>
      <c r="D444" s="79"/>
      <c r="E444" s="79"/>
      <c r="F444" s="90"/>
      <c r="G444" s="87"/>
      <c r="H444" s="87"/>
      <c r="I444" s="87"/>
      <c r="J444" s="87"/>
      <c r="K444" s="87"/>
      <c r="L444" s="87"/>
    </row>
    <row r="445" spans="1:12" ht="12" customHeight="1" x14ac:dyDescent="0.35">
      <c r="B445" s="84"/>
      <c r="C445" s="88"/>
      <c r="D445" s="79"/>
      <c r="E445" s="79"/>
      <c r="F445" s="90"/>
      <c r="G445" s="87"/>
      <c r="H445" s="87">
        <f>F445*G445</f>
        <v>0</v>
      </c>
      <c r="I445" s="87"/>
      <c r="J445" s="87"/>
      <c r="K445" s="87"/>
      <c r="L445" s="87"/>
    </row>
    <row r="446" spans="1:12" ht="12" customHeight="1" x14ac:dyDescent="0.35">
      <c r="B446" s="84"/>
      <c r="C446" s="88"/>
      <c r="D446" s="79"/>
      <c r="E446" s="79"/>
      <c r="F446" s="89" t="s">
        <v>425</v>
      </c>
      <c r="G446" s="101"/>
      <c r="H446" s="87">
        <f>SUM(H443:H445)</f>
        <v>10218.849314000001</v>
      </c>
      <c r="I446" s="101"/>
      <c r="J446" s="87">
        <f>SUM(J443)</f>
        <v>0</v>
      </c>
      <c r="K446" s="101"/>
      <c r="L446" s="87">
        <f>SUM(L443)</f>
        <v>0</v>
      </c>
    </row>
    <row r="447" spans="1:12" ht="12" customHeight="1" x14ac:dyDescent="0.35">
      <c r="B447" s="84" t="s">
        <v>8</v>
      </c>
      <c r="C447" s="103" t="s">
        <v>426</v>
      </c>
      <c r="D447" s="104"/>
      <c r="E447" s="104"/>
      <c r="F447" s="104"/>
      <c r="G447" s="105"/>
      <c r="H447" s="87">
        <f>H436+H441+H446</f>
        <v>10704.599314000001</v>
      </c>
      <c r="I447" s="105"/>
      <c r="J447" s="87">
        <f>J436+J441+J446</f>
        <v>2840.6400000000003</v>
      </c>
      <c r="K447" s="105"/>
      <c r="L447" s="87">
        <f>L436+L441+L446</f>
        <v>2840.6400000000003</v>
      </c>
    </row>
    <row r="448" spans="1:12" ht="12" customHeight="1" x14ac:dyDescent="0.35">
      <c r="B448" s="84" t="s">
        <v>9</v>
      </c>
      <c r="C448" s="455" t="s">
        <v>427</v>
      </c>
      <c r="D448" s="455"/>
      <c r="E448" s="455"/>
      <c r="F448" s="95">
        <f>0</f>
        <v>0</v>
      </c>
      <c r="G448" s="85" t="s">
        <v>428</v>
      </c>
      <c r="H448" s="87">
        <f>H447*F448</f>
        <v>0</v>
      </c>
      <c r="I448" s="85" t="s">
        <v>428</v>
      </c>
      <c r="J448" s="87">
        <f>J447*F448</f>
        <v>0</v>
      </c>
      <c r="K448" s="85" t="s">
        <v>428</v>
      </c>
      <c r="L448" s="87">
        <f>L447*F448</f>
        <v>0</v>
      </c>
    </row>
    <row r="449" spans="1:12" ht="12" customHeight="1" x14ac:dyDescent="0.35">
      <c r="B449" s="84" t="s">
        <v>10</v>
      </c>
      <c r="C449" s="103" t="s">
        <v>429</v>
      </c>
      <c r="D449" s="104"/>
      <c r="E449" s="104"/>
      <c r="F449" s="104"/>
      <c r="G449" s="105"/>
      <c r="H449" s="96">
        <f>H447+H448</f>
        <v>10704.599314000001</v>
      </c>
      <c r="I449" s="97"/>
      <c r="J449" s="96">
        <f>J447+J448</f>
        <v>2840.6400000000003</v>
      </c>
      <c r="K449" s="97"/>
      <c r="L449" s="96">
        <f>L447+L448</f>
        <v>2840.6400000000003</v>
      </c>
    </row>
    <row r="451" spans="1:12" ht="29" customHeight="1" x14ac:dyDescent="0.35">
      <c r="B451" s="76" t="s">
        <v>529</v>
      </c>
      <c r="C451" s="458" t="s">
        <v>530</v>
      </c>
      <c r="D451" s="459"/>
      <c r="E451" s="459"/>
      <c r="F451" s="459"/>
      <c r="G451" s="456"/>
      <c r="H451" s="457"/>
      <c r="I451" s="455" t="s">
        <v>3</v>
      </c>
      <c r="J451" s="455"/>
      <c r="K451" s="455" t="s">
        <v>4</v>
      </c>
      <c r="L451" s="455"/>
    </row>
    <row r="452" spans="1:12" ht="12" customHeight="1" x14ac:dyDescent="0.35">
      <c r="B452" s="451" t="s">
        <v>409</v>
      </c>
      <c r="C452" s="451" t="s">
        <v>410</v>
      </c>
      <c r="D452" s="452" t="s">
        <v>411</v>
      </c>
      <c r="E452" s="451" t="s">
        <v>412</v>
      </c>
      <c r="F452" s="451" t="s">
        <v>413</v>
      </c>
      <c r="G452" s="77" t="s">
        <v>414</v>
      </c>
      <c r="H452" s="77" t="s">
        <v>415</v>
      </c>
      <c r="I452" s="78" t="s">
        <v>414</v>
      </c>
      <c r="J452" s="79" t="s">
        <v>415</v>
      </c>
      <c r="K452" s="79" t="s">
        <v>414</v>
      </c>
      <c r="L452" s="79" t="s">
        <v>415</v>
      </c>
    </row>
    <row r="453" spans="1:12" ht="12" customHeight="1" x14ac:dyDescent="0.35">
      <c r="B453" s="451"/>
      <c r="C453" s="451"/>
      <c r="D453" s="453"/>
      <c r="E453" s="451"/>
      <c r="F453" s="451"/>
      <c r="G453" s="77" t="s">
        <v>17</v>
      </c>
      <c r="H453" s="77" t="s">
        <v>416</v>
      </c>
      <c r="I453" s="78" t="s">
        <v>17</v>
      </c>
      <c r="J453" s="79" t="s">
        <v>416</v>
      </c>
      <c r="K453" s="79" t="s">
        <v>17</v>
      </c>
      <c r="L453" s="79" t="s">
        <v>416</v>
      </c>
    </row>
    <row r="454" spans="1:12" ht="12" customHeight="1" x14ac:dyDescent="0.35">
      <c r="B454" s="451"/>
      <c r="C454" s="451"/>
      <c r="D454" s="454"/>
      <c r="E454" s="451"/>
      <c r="F454" s="451"/>
      <c r="G454" s="106"/>
      <c r="H454" s="77" t="s">
        <v>17</v>
      </c>
      <c r="I454" s="94"/>
      <c r="J454" s="79" t="s">
        <v>17</v>
      </c>
      <c r="K454" s="85"/>
      <c r="L454" s="79" t="s">
        <v>17</v>
      </c>
    </row>
    <row r="455" spans="1:12" ht="12" customHeight="1" x14ac:dyDescent="0.35">
      <c r="B455" s="80" t="s">
        <v>5</v>
      </c>
      <c r="C455" s="81" t="s">
        <v>417</v>
      </c>
      <c r="D455" s="82"/>
      <c r="E455" s="82"/>
      <c r="F455" s="82"/>
      <c r="G455" s="82"/>
      <c r="H455" s="82"/>
      <c r="I455" s="83"/>
      <c r="J455" s="83"/>
      <c r="K455" s="83"/>
      <c r="L455" s="83"/>
    </row>
    <row r="456" spans="1:12" ht="12" customHeight="1" x14ac:dyDescent="0.35">
      <c r="A456" s="134">
        <v>10111000</v>
      </c>
      <c r="B456" s="84"/>
      <c r="C456" s="85" t="s">
        <v>1885</v>
      </c>
      <c r="D456" s="84" t="s">
        <v>418</v>
      </c>
      <c r="E456" s="84" t="str">
        <f>VLOOKUP(C456,HSD!B:K,2,FALSE)</f>
        <v>OJ</v>
      </c>
      <c r="F456" s="86">
        <v>2.0999999999999999E-3</v>
      </c>
      <c r="G456" s="87">
        <f>VLOOKUP(C456,HSD!B:K,10,FALSE)</f>
        <v>18750</v>
      </c>
      <c r="H456" s="87">
        <f>F456*G456</f>
        <v>39.375</v>
      </c>
      <c r="I456" s="87">
        <v>78600</v>
      </c>
      <c r="J456" s="87">
        <f>F456*I456</f>
        <v>165.06</v>
      </c>
      <c r="K456" s="87">
        <v>78600</v>
      </c>
      <c r="L456" s="87">
        <f>F456*K456</f>
        <v>165.06</v>
      </c>
    </row>
    <row r="457" spans="1:12" ht="12" customHeight="1" x14ac:dyDescent="0.35">
      <c r="A457" s="134">
        <v>10121110</v>
      </c>
      <c r="B457" s="84"/>
      <c r="C457" s="85" t="s">
        <v>1887</v>
      </c>
      <c r="D457" s="84" t="s">
        <v>419</v>
      </c>
      <c r="E457" s="84" t="str">
        <f>VLOOKUP(C457,HSD!B:K,2,FALSE)</f>
        <v>OJ</v>
      </c>
      <c r="F457" s="86">
        <v>1.0800000000000001E-2</v>
      </c>
      <c r="G457" s="87">
        <f>VLOOKUP(C457,HSD!B:K,10,FALSE)</f>
        <v>16250</v>
      </c>
      <c r="H457" s="87">
        <f>F457*G457</f>
        <v>175.5</v>
      </c>
      <c r="I457" s="87">
        <v>91500</v>
      </c>
      <c r="J457" s="87">
        <f>F457*I457</f>
        <v>988.2</v>
      </c>
      <c r="K457" s="87">
        <v>91500</v>
      </c>
      <c r="L457" s="87">
        <f>F457*K457</f>
        <v>988.2</v>
      </c>
    </row>
    <row r="458" spans="1:12" ht="12" customHeight="1" x14ac:dyDescent="0.35">
      <c r="A458" s="134">
        <v>10131000</v>
      </c>
      <c r="B458" s="84"/>
      <c r="C458" s="85" t="s">
        <v>1888</v>
      </c>
      <c r="D458" s="84" t="s">
        <v>420</v>
      </c>
      <c r="E458" s="84" t="str">
        <f>VLOOKUP(C458,HSD!B:K,2,FALSE)</f>
        <v>OJ</v>
      </c>
      <c r="F458" s="86">
        <v>2.1700000000000001E-2</v>
      </c>
      <c r="G458" s="87">
        <f>VLOOKUP(C458,HSD!B:K,10,FALSE)</f>
        <v>15000</v>
      </c>
      <c r="H458" s="87">
        <f>F458*G458</f>
        <v>325.5</v>
      </c>
      <c r="I458" s="87">
        <v>92500</v>
      </c>
      <c r="J458" s="87">
        <f>F458*I458</f>
        <v>2007.25</v>
      </c>
      <c r="K458" s="87">
        <v>92500</v>
      </c>
      <c r="L458" s="87">
        <f>F458*K458</f>
        <v>2007.25</v>
      </c>
    </row>
    <row r="459" spans="1:12" ht="12" customHeight="1" x14ac:dyDescent="0.35">
      <c r="B459" s="84"/>
      <c r="C459" s="85"/>
      <c r="D459" s="84"/>
      <c r="E459" s="84"/>
      <c r="F459" s="86"/>
      <c r="G459" s="87"/>
      <c r="H459" s="87"/>
      <c r="I459" s="87"/>
      <c r="J459" s="87"/>
      <c r="K459" s="87"/>
      <c r="L459" s="87"/>
    </row>
    <row r="460" spans="1:12" ht="12" customHeight="1" x14ac:dyDescent="0.35">
      <c r="B460" s="84"/>
      <c r="C460" s="88"/>
      <c r="D460" s="79"/>
      <c r="E460" s="79"/>
      <c r="F460" s="89" t="s">
        <v>421</v>
      </c>
      <c r="G460" s="101"/>
      <c r="H460" s="87">
        <f>SUM(H456:H459)</f>
        <v>540.375</v>
      </c>
      <c r="I460" s="101"/>
      <c r="J460" s="87">
        <f>SUM(J456:J459)</f>
        <v>3160.51</v>
      </c>
      <c r="K460" s="101"/>
      <c r="L460" s="87">
        <f>SUM(L456:L459)</f>
        <v>3160.51</v>
      </c>
    </row>
    <row r="461" spans="1:12" ht="12" customHeight="1" x14ac:dyDescent="0.35">
      <c r="B461" s="84" t="s">
        <v>6</v>
      </c>
      <c r="C461" s="88" t="s">
        <v>422</v>
      </c>
      <c r="D461" s="79"/>
      <c r="E461" s="79"/>
      <c r="F461" s="90"/>
      <c r="G461" s="84"/>
      <c r="H461" s="87"/>
      <c r="I461" s="84"/>
      <c r="J461" s="87"/>
      <c r="K461" s="84"/>
      <c r="L461" s="87"/>
    </row>
    <row r="462" spans="1:12" ht="12" customHeight="1" x14ac:dyDescent="0.35">
      <c r="B462" s="84"/>
      <c r="C462" s="85"/>
      <c r="D462" s="84"/>
      <c r="E462" s="84"/>
      <c r="F462" s="86"/>
      <c r="G462" s="87"/>
      <c r="H462" s="87">
        <f>F462*G462</f>
        <v>0</v>
      </c>
      <c r="I462" s="87">
        <v>232500</v>
      </c>
      <c r="J462" s="87">
        <f>F462*I462</f>
        <v>0</v>
      </c>
      <c r="K462" s="87">
        <v>270000</v>
      </c>
      <c r="L462" s="87">
        <f>F462*K462</f>
        <v>0</v>
      </c>
    </row>
    <row r="463" spans="1:12" ht="12" customHeight="1" x14ac:dyDescent="0.35">
      <c r="B463" s="84"/>
      <c r="C463" s="88"/>
      <c r="D463" s="79"/>
      <c r="E463" s="84"/>
      <c r="F463" s="102"/>
      <c r="G463" s="87"/>
      <c r="H463" s="87">
        <f>F463*G463</f>
        <v>0</v>
      </c>
      <c r="I463" s="87">
        <v>1060</v>
      </c>
      <c r="J463" s="87">
        <f>F463*I463</f>
        <v>0</v>
      </c>
      <c r="K463" s="87">
        <v>1060</v>
      </c>
      <c r="L463" s="87">
        <f>F463*K463</f>
        <v>0</v>
      </c>
    </row>
    <row r="464" spans="1:12" ht="12" customHeight="1" x14ac:dyDescent="0.35">
      <c r="B464" s="84"/>
      <c r="C464" s="88"/>
      <c r="D464" s="79"/>
      <c r="E464" s="84"/>
      <c r="F464" s="102"/>
      <c r="G464" s="87"/>
      <c r="H464" s="87">
        <f>F464*G464</f>
        <v>0</v>
      </c>
      <c r="I464" s="87">
        <v>215000</v>
      </c>
      <c r="J464" s="87">
        <f>F464*I464</f>
        <v>0</v>
      </c>
      <c r="K464" s="87">
        <v>250000</v>
      </c>
      <c r="L464" s="87">
        <f>F464*K464</f>
        <v>0</v>
      </c>
    </row>
    <row r="465" spans="1:12" ht="12" customHeight="1" x14ac:dyDescent="0.35">
      <c r="B465" s="84"/>
      <c r="C465" s="88"/>
      <c r="D465" s="79"/>
      <c r="E465" s="79"/>
      <c r="F465" s="89"/>
      <c r="G465" s="101"/>
      <c r="H465" s="87">
        <f>SUM(H462:H464)</f>
        <v>0</v>
      </c>
      <c r="I465" s="101"/>
      <c r="J465" s="87">
        <f>SUM(J462:J464)</f>
        <v>0</v>
      </c>
      <c r="K465" s="101"/>
      <c r="L465" s="87">
        <f>SUM(L462:L464)</f>
        <v>0</v>
      </c>
    </row>
    <row r="466" spans="1:12" ht="12" customHeight="1" x14ac:dyDescent="0.35">
      <c r="B466" s="84" t="s">
        <v>7</v>
      </c>
      <c r="C466" s="88" t="s">
        <v>424</v>
      </c>
      <c r="D466" s="79"/>
      <c r="E466" s="79"/>
      <c r="F466" s="90"/>
      <c r="G466" s="84"/>
      <c r="H466" s="87"/>
      <c r="I466" s="84"/>
      <c r="J466" s="87"/>
      <c r="K466" s="84"/>
      <c r="L466" s="87"/>
    </row>
    <row r="467" spans="1:12" ht="12" customHeight="1" x14ac:dyDescent="0.35">
      <c r="A467" s="134">
        <v>31100008</v>
      </c>
      <c r="B467" s="84"/>
      <c r="C467" s="85" t="s">
        <v>1836</v>
      </c>
      <c r="D467" s="84" t="s">
        <v>418</v>
      </c>
      <c r="E467" s="84" t="str">
        <f>VLOOKUP(C467,HSD!B:K,2,FALSE)</f>
        <v>jam</v>
      </c>
      <c r="F467" s="128">
        <v>1.0800000000000001E-2</v>
      </c>
      <c r="G467" s="87">
        <f>VLOOKUP(C467,HSD!B:K,10,FALSE)</f>
        <v>1053489.6200000001</v>
      </c>
      <c r="H467" s="87">
        <f>F467*G467</f>
        <v>11377.687896000001</v>
      </c>
      <c r="I467" s="87"/>
      <c r="J467" s="87">
        <f>H467*I467</f>
        <v>0</v>
      </c>
      <c r="K467" s="87"/>
      <c r="L467" s="87">
        <f>J467*K467</f>
        <v>0</v>
      </c>
    </row>
    <row r="468" spans="1:12" ht="12" customHeight="1" x14ac:dyDescent="0.35">
      <c r="B468" s="84"/>
      <c r="C468" s="88"/>
      <c r="D468" s="79"/>
      <c r="E468" s="79"/>
      <c r="F468" s="90"/>
      <c r="G468" s="87"/>
      <c r="H468" s="87"/>
      <c r="I468" s="87"/>
      <c r="J468" s="87"/>
      <c r="K468" s="87"/>
      <c r="L468" s="87"/>
    </row>
    <row r="469" spans="1:12" ht="12" customHeight="1" x14ac:dyDescent="0.35">
      <c r="B469" s="84"/>
      <c r="C469" s="88"/>
      <c r="D469" s="79"/>
      <c r="E469" s="79"/>
      <c r="F469" s="90"/>
      <c r="G469" s="87"/>
      <c r="H469" s="87">
        <f>F469*G469</f>
        <v>0</v>
      </c>
      <c r="I469" s="87"/>
      <c r="J469" s="87"/>
      <c r="K469" s="87"/>
      <c r="L469" s="87"/>
    </row>
    <row r="470" spans="1:12" ht="12" customHeight="1" x14ac:dyDescent="0.35">
      <c r="B470" s="84"/>
      <c r="C470" s="88"/>
      <c r="D470" s="79"/>
      <c r="E470" s="79"/>
      <c r="F470" s="89" t="s">
        <v>425</v>
      </c>
      <c r="G470" s="101"/>
      <c r="H470" s="87">
        <f>SUM(H467:H469)</f>
        <v>11377.687896000001</v>
      </c>
      <c r="I470" s="101"/>
      <c r="J470" s="87">
        <f>SUM(J467)</f>
        <v>0</v>
      </c>
      <c r="K470" s="101"/>
      <c r="L470" s="87">
        <f>SUM(L467)</f>
        <v>0</v>
      </c>
    </row>
    <row r="471" spans="1:12" ht="12" customHeight="1" x14ac:dyDescent="0.35">
      <c r="B471" s="84" t="s">
        <v>8</v>
      </c>
      <c r="C471" s="103" t="s">
        <v>426</v>
      </c>
      <c r="D471" s="104"/>
      <c r="E471" s="104"/>
      <c r="F471" s="104"/>
      <c r="G471" s="105"/>
      <c r="H471" s="87">
        <f>H460+H465+H470</f>
        <v>11918.062896000001</v>
      </c>
      <c r="I471" s="105"/>
      <c r="J471" s="87">
        <f>J460+J465+J470</f>
        <v>3160.51</v>
      </c>
      <c r="K471" s="105"/>
      <c r="L471" s="87">
        <f>L460+L465+L470</f>
        <v>3160.51</v>
      </c>
    </row>
    <row r="472" spans="1:12" ht="12" customHeight="1" x14ac:dyDescent="0.35">
      <c r="B472" s="84" t="s">
        <v>9</v>
      </c>
      <c r="C472" s="455" t="s">
        <v>427</v>
      </c>
      <c r="D472" s="455"/>
      <c r="E472" s="455"/>
      <c r="F472" s="95">
        <f>0</f>
        <v>0</v>
      </c>
      <c r="G472" s="85" t="s">
        <v>428</v>
      </c>
      <c r="H472" s="87">
        <f>H471*F472</f>
        <v>0</v>
      </c>
      <c r="I472" s="85" t="s">
        <v>428</v>
      </c>
      <c r="J472" s="87">
        <f>J471*F472</f>
        <v>0</v>
      </c>
      <c r="K472" s="85" t="s">
        <v>428</v>
      </c>
      <c r="L472" s="87">
        <f>L471*F472</f>
        <v>0</v>
      </c>
    </row>
    <row r="473" spans="1:12" ht="12" customHeight="1" x14ac:dyDescent="0.35">
      <c r="B473" s="84" t="s">
        <v>10</v>
      </c>
      <c r="C473" s="103" t="s">
        <v>429</v>
      </c>
      <c r="D473" s="104"/>
      <c r="E473" s="104"/>
      <c r="F473" s="104"/>
      <c r="G473" s="105"/>
      <c r="H473" s="96">
        <f>H471+H472</f>
        <v>11918.062896000001</v>
      </c>
      <c r="I473" s="97"/>
      <c r="J473" s="96">
        <f>J471+J472</f>
        <v>3160.51</v>
      </c>
      <c r="K473" s="97"/>
      <c r="L473" s="96">
        <f>L471+L472</f>
        <v>3160.51</v>
      </c>
    </row>
    <row r="475" spans="1:12" ht="29" customHeight="1" x14ac:dyDescent="0.35">
      <c r="B475" s="76" t="s">
        <v>531</v>
      </c>
      <c r="C475" s="458" t="s">
        <v>533</v>
      </c>
      <c r="D475" s="459"/>
      <c r="E475" s="459"/>
      <c r="F475" s="459"/>
      <c r="G475" s="456"/>
      <c r="H475" s="457"/>
      <c r="I475" s="455" t="s">
        <v>3</v>
      </c>
      <c r="J475" s="455"/>
      <c r="K475" s="455" t="s">
        <v>4</v>
      </c>
      <c r="L475" s="455"/>
    </row>
    <row r="476" spans="1:12" ht="12" customHeight="1" x14ac:dyDescent="0.35">
      <c r="B476" s="451" t="s">
        <v>409</v>
      </c>
      <c r="C476" s="451" t="s">
        <v>410</v>
      </c>
      <c r="D476" s="452" t="s">
        <v>411</v>
      </c>
      <c r="E476" s="451" t="s">
        <v>412</v>
      </c>
      <c r="F476" s="451" t="s">
        <v>413</v>
      </c>
      <c r="G476" s="77" t="s">
        <v>414</v>
      </c>
      <c r="H476" s="77" t="s">
        <v>415</v>
      </c>
      <c r="I476" s="78" t="s">
        <v>414</v>
      </c>
      <c r="J476" s="79" t="s">
        <v>415</v>
      </c>
      <c r="K476" s="79" t="s">
        <v>414</v>
      </c>
      <c r="L476" s="79" t="s">
        <v>415</v>
      </c>
    </row>
    <row r="477" spans="1:12" ht="12" customHeight="1" x14ac:dyDescent="0.35">
      <c r="B477" s="451"/>
      <c r="C477" s="451"/>
      <c r="D477" s="453"/>
      <c r="E477" s="451"/>
      <c r="F477" s="451"/>
      <c r="G477" s="77" t="s">
        <v>17</v>
      </c>
      <c r="H477" s="77" t="s">
        <v>416</v>
      </c>
      <c r="I477" s="78" t="s">
        <v>17</v>
      </c>
      <c r="J477" s="79" t="s">
        <v>416</v>
      </c>
      <c r="K477" s="79" t="s">
        <v>17</v>
      </c>
      <c r="L477" s="79" t="s">
        <v>416</v>
      </c>
    </row>
    <row r="478" spans="1:12" ht="12" customHeight="1" x14ac:dyDescent="0.35">
      <c r="B478" s="451"/>
      <c r="C478" s="451"/>
      <c r="D478" s="454"/>
      <c r="E478" s="451"/>
      <c r="F478" s="451"/>
      <c r="G478" s="106"/>
      <c r="H478" s="77" t="s">
        <v>17</v>
      </c>
      <c r="I478" s="94"/>
      <c r="J478" s="79" t="s">
        <v>17</v>
      </c>
      <c r="K478" s="85"/>
      <c r="L478" s="79" t="s">
        <v>17</v>
      </c>
    </row>
    <row r="479" spans="1:12" ht="12" customHeight="1" x14ac:dyDescent="0.35">
      <c r="B479" s="80" t="s">
        <v>5</v>
      </c>
      <c r="C479" s="81" t="s">
        <v>417</v>
      </c>
      <c r="D479" s="82"/>
      <c r="E479" s="82"/>
      <c r="F479" s="82"/>
      <c r="G479" s="82"/>
      <c r="H479" s="82"/>
      <c r="I479" s="83"/>
      <c r="J479" s="83"/>
      <c r="K479" s="83"/>
      <c r="L479" s="83"/>
    </row>
    <row r="480" spans="1:12" ht="12" customHeight="1" x14ac:dyDescent="0.35">
      <c r="A480" s="134">
        <v>10111000</v>
      </c>
      <c r="B480" s="84"/>
      <c r="C480" s="85" t="s">
        <v>1885</v>
      </c>
      <c r="D480" s="84" t="s">
        <v>418</v>
      </c>
      <c r="E480" s="84" t="str">
        <f>VLOOKUP(C480,HSD!B:K,2,FALSE)</f>
        <v>OJ</v>
      </c>
      <c r="F480" s="86">
        <v>2.3E-3</v>
      </c>
      <c r="G480" s="87">
        <f>VLOOKUP(C480,HSD!B:K,10,FALSE)</f>
        <v>18750</v>
      </c>
      <c r="H480" s="87">
        <f>F480*G480</f>
        <v>43.125</v>
      </c>
      <c r="I480" s="87">
        <v>78600</v>
      </c>
      <c r="J480" s="87">
        <f>F480*I480</f>
        <v>180.78</v>
      </c>
      <c r="K480" s="87">
        <v>78600</v>
      </c>
      <c r="L480" s="87">
        <f>F480*K480</f>
        <v>180.78</v>
      </c>
    </row>
    <row r="481" spans="1:12" ht="12" customHeight="1" x14ac:dyDescent="0.35">
      <c r="A481" s="134">
        <v>10121110</v>
      </c>
      <c r="B481" s="84"/>
      <c r="C481" s="85" t="s">
        <v>1887</v>
      </c>
      <c r="D481" s="84" t="s">
        <v>419</v>
      </c>
      <c r="E481" s="84" t="str">
        <f>VLOOKUP(C481,HSD!B:K,2,FALSE)</f>
        <v>OJ</v>
      </c>
      <c r="F481" s="86">
        <v>1.1900000000000001E-2</v>
      </c>
      <c r="G481" s="87">
        <f>VLOOKUP(C481,HSD!B:K,10,FALSE)</f>
        <v>16250</v>
      </c>
      <c r="H481" s="87">
        <f>F481*G481</f>
        <v>193.375</v>
      </c>
      <c r="I481" s="87">
        <v>91500</v>
      </c>
      <c r="J481" s="87">
        <f>F481*I481</f>
        <v>1088.8500000000001</v>
      </c>
      <c r="K481" s="87">
        <v>91500</v>
      </c>
      <c r="L481" s="87">
        <f>F481*K481</f>
        <v>1088.8500000000001</v>
      </c>
    </row>
    <row r="482" spans="1:12" ht="12" customHeight="1" x14ac:dyDescent="0.35">
      <c r="A482" s="134">
        <v>10131000</v>
      </c>
      <c r="B482" s="84"/>
      <c r="C482" s="85" t="s">
        <v>1888</v>
      </c>
      <c r="D482" s="84" t="s">
        <v>420</v>
      </c>
      <c r="E482" s="84" t="str">
        <f>VLOOKUP(C482,HSD!B:K,2,FALSE)</f>
        <v>OJ</v>
      </c>
      <c r="F482" s="86">
        <v>2.3800000000000002E-2</v>
      </c>
      <c r="G482" s="87">
        <f>VLOOKUP(C482,HSD!B:K,10,FALSE)</f>
        <v>15000</v>
      </c>
      <c r="H482" s="87">
        <f>F482*G482</f>
        <v>357</v>
      </c>
      <c r="I482" s="87">
        <v>92500</v>
      </c>
      <c r="J482" s="87">
        <f>F482*I482</f>
        <v>2201.5</v>
      </c>
      <c r="K482" s="87">
        <v>92500</v>
      </c>
      <c r="L482" s="87">
        <f>F482*K482</f>
        <v>2201.5</v>
      </c>
    </row>
    <row r="483" spans="1:12" ht="12" customHeight="1" x14ac:dyDescent="0.35">
      <c r="B483" s="84"/>
      <c r="C483" s="85"/>
      <c r="D483" s="84"/>
      <c r="E483" s="84"/>
      <c r="F483" s="86"/>
      <c r="G483" s="87"/>
      <c r="H483" s="87"/>
      <c r="I483" s="87"/>
      <c r="J483" s="87"/>
      <c r="K483" s="87"/>
      <c r="L483" s="87"/>
    </row>
    <row r="484" spans="1:12" ht="12" customHeight="1" x14ac:dyDescent="0.35">
      <c r="B484" s="84"/>
      <c r="C484" s="88"/>
      <c r="D484" s="79"/>
      <c r="E484" s="79"/>
      <c r="F484" s="89" t="s">
        <v>421</v>
      </c>
      <c r="G484" s="101"/>
      <c r="H484" s="87">
        <f>SUM(H480:H483)</f>
        <v>593.5</v>
      </c>
      <c r="I484" s="101"/>
      <c r="J484" s="87">
        <f>SUM(J480:J483)</f>
        <v>3471.13</v>
      </c>
      <c r="K484" s="101"/>
      <c r="L484" s="87">
        <f>SUM(L480:L483)</f>
        <v>3471.13</v>
      </c>
    </row>
    <row r="485" spans="1:12" ht="12" customHeight="1" x14ac:dyDescent="0.35">
      <c r="B485" s="84" t="s">
        <v>6</v>
      </c>
      <c r="C485" s="88" t="s">
        <v>422</v>
      </c>
      <c r="D485" s="79"/>
      <c r="E485" s="79"/>
      <c r="F485" s="90"/>
      <c r="G485" s="84"/>
      <c r="H485" s="87"/>
      <c r="I485" s="84"/>
      <c r="J485" s="87"/>
      <c r="K485" s="84"/>
      <c r="L485" s="87"/>
    </row>
    <row r="486" spans="1:12" ht="12" customHeight="1" x14ac:dyDescent="0.35">
      <c r="B486" s="84"/>
      <c r="C486" s="85"/>
      <c r="D486" s="84"/>
      <c r="E486" s="84"/>
      <c r="F486" s="86"/>
      <c r="G486" s="87"/>
      <c r="H486" s="87">
        <f>F486*G486</f>
        <v>0</v>
      </c>
      <c r="I486" s="87">
        <v>232500</v>
      </c>
      <c r="J486" s="87">
        <f>F486*I486</f>
        <v>0</v>
      </c>
      <c r="K486" s="87">
        <v>270000</v>
      </c>
      <c r="L486" s="87">
        <f>F486*K486</f>
        <v>0</v>
      </c>
    </row>
    <row r="487" spans="1:12" ht="12" customHeight="1" x14ac:dyDescent="0.35">
      <c r="B487" s="84"/>
      <c r="C487" s="88"/>
      <c r="D487" s="79"/>
      <c r="E487" s="84"/>
      <c r="F487" s="102"/>
      <c r="G487" s="87"/>
      <c r="H487" s="87">
        <f>F487*G487</f>
        <v>0</v>
      </c>
      <c r="I487" s="87">
        <v>1060</v>
      </c>
      <c r="J487" s="87">
        <f>F487*I487</f>
        <v>0</v>
      </c>
      <c r="K487" s="87">
        <v>1060</v>
      </c>
      <c r="L487" s="87">
        <f>F487*K487</f>
        <v>0</v>
      </c>
    </row>
    <row r="488" spans="1:12" ht="12" customHeight="1" x14ac:dyDescent="0.35">
      <c r="B488" s="84"/>
      <c r="C488" s="88"/>
      <c r="D488" s="79"/>
      <c r="E488" s="84"/>
      <c r="F488" s="102"/>
      <c r="G488" s="87"/>
      <c r="H488" s="87">
        <f>F488*G488</f>
        <v>0</v>
      </c>
      <c r="I488" s="87">
        <v>215000</v>
      </c>
      <c r="J488" s="87">
        <f>F488*I488</f>
        <v>0</v>
      </c>
      <c r="K488" s="87">
        <v>250000</v>
      </c>
      <c r="L488" s="87">
        <f>F488*K488</f>
        <v>0</v>
      </c>
    </row>
    <row r="489" spans="1:12" ht="12" customHeight="1" x14ac:dyDescent="0.35">
      <c r="B489" s="84"/>
      <c r="C489" s="88"/>
      <c r="D489" s="79"/>
      <c r="E489" s="79"/>
      <c r="F489" s="89"/>
      <c r="G489" s="101"/>
      <c r="H489" s="87">
        <f>SUM(H486:H488)</f>
        <v>0</v>
      </c>
      <c r="I489" s="101"/>
      <c r="J489" s="87">
        <f>SUM(J486:J488)</f>
        <v>0</v>
      </c>
      <c r="K489" s="101"/>
      <c r="L489" s="87">
        <f>SUM(L486:L488)</f>
        <v>0</v>
      </c>
    </row>
    <row r="490" spans="1:12" ht="12" customHeight="1" x14ac:dyDescent="0.35">
      <c r="B490" s="84" t="s">
        <v>7</v>
      </c>
      <c r="C490" s="88" t="s">
        <v>424</v>
      </c>
      <c r="D490" s="79"/>
      <c r="E490" s="79"/>
      <c r="F490" s="90"/>
      <c r="G490" s="84"/>
      <c r="H490" s="87"/>
      <c r="I490" s="84"/>
      <c r="J490" s="87"/>
      <c r="K490" s="84"/>
      <c r="L490" s="87"/>
    </row>
    <row r="491" spans="1:12" ht="12" customHeight="1" x14ac:dyDescent="0.35">
      <c r="A491" s="134">
        <v>31100008</v>
      </c>
      <c r="B491" s="84"/>
      <c r="C491" s="85" t="s">
        <v>1836</v>
      </c>
      <c r="D491" s="84" t="s">
        <v>418</v>
      </c>
      <c r="E491" s="84" t="str">
        <f>VLOOKUP(C491,HSD!B:K,2,FALSE)</f>
        <v>jam</v>
      </c>
      <c r="F491" s="128">
        <v>1.1900000000000001E-2</v>
      </c>
      <c r="G491" s="87">
        <f>VLOOKUP(C491,HSD!B:K,10,FALSE)</f>
        <v>1053489.6200000001</v>
      </c>
      <c r="H491" s="87">
        <f>F491*G491</f>
        <v>12536.526478000002</v>
      </c>
      <c r="I491" s="87"/>
      <c r="J491" s="87">
        <f>H491*I491</f>
        <v>0</v>
      </c>
      <c r="K491" s="87"/>
      <c r="L491" s="87">
        <f>J491*K491</f>
        <v>0</v>
      </c>
    </row>
    <row r="492" spans="1:12" ht="12" customHeight="1" x14ac:dyDescent="0.35">
      <c r="B492" s="84"/>
      <c r="C492" s="88"/>
      <c r="D492" s="79"/>
      <c r="E492" s="79"/>
      <c r="F492" s="90"/>
      <c r="G492" s="87"/>
      <c r="H492" s="87"/>
      <c r="I492" s="87"/>
      <c r="J492" s="87"/>
      <c r="K492" s="87"/>
      <c r="L492" s="87"/>
    </row>
    <row r="493" spans="1:12" ht="12" customHeight="1" x14ac:dyDescent="0.35">
      <c r="B493" s="84"/>
      <c r="C493" s="88"/>
      <c r="D493" s="79"/>
      <c r="E493" s="79"/>
      <c r="F493" s="90"/>
      <c r="G493" s="87"/>
      <c r="H493" s="87">
        <f>F493*G493</f>
        <v>0</v>
      </c>
      <c r="I493" s="87"/>
      <c r="J493" s="87"/>
      <c r="K493" s="87"/>
      <c r="L493" s="87"/>
    </row>
    <row r="494" spans="1:12" ht="12" customHeight="1" x14ac:dyDescent="0.35">
      <c r="B494" s="84"/>
      <c r="C494" s="88"/>
      <c r="D494" s="79"/>
      <c r="E494" s="79"/>
      <c r="F494" s="89" t="s">
        <v>425</v>
      </c>
      <c r="G494" s="101"/>
      <c r="H494" s="87">
        <f>SUM(H491:H493)</f>
        <v>12536.526478000002</v>
      </c>
      <c r="I494" s="101"/>
      <c r="J494" s="87">
        <f>SUM(J491)</f>
        <v>0</v>
      </c>
      <c r="K494" s="101"/>
      <c r="L494" s="87">
        <f>SUM(L491)</f>
        <v>0</v>
      </c>
    </row>
    <row r="495" spans="1:12" ht="12" customHeight="1" x14ac:dyDescent="0.35">
      <c r="B495" s="84" t="s">
        <v>8</v>
      </c>
      <c r="C495" s="103" t="s">
        <v>426</v>
      </c>
      <c r="D495" s="104"/>
      <c r="E495" s="104"/>
      <c r="F495" s="104"/>
      <c r="G495" s="105"/>
      <c r="H495" s="87">
        <f>H484+H489+H494</f>
        <v>13130.026478000002</v>
      </c>
      <c r="I495" s="105"/>
      <c r="J495" s="87">
        <f>J484+J489+J494</f>
        <v>3471.13</v>
      </c>
      <c r="K495" s="105"/>
      <c r="L495" s="87">
        <f>L484+L489+L494</f>
        <v>3471.13</v>
      </c>
    </row>
    <row r="496" spans="1:12" ht="12" customHeight="1" x14ac:dyDescent="0.35">
      <c r="B496" s="84" t="s">
        <v>9</v>
      </c>
      <c r="C496" s="455" t="s">
        <v>427</v>
      </c>
      <c r="D496" s="455"/>
      <c r="E496" s="455"/>
      <c r="F496" s="95">
        <f>0</f>
        <v>0</v>
      </c>
      <c r="G496" s="85" t="s">
        <v>428</v>
      </c>
      <c r="H496" s="87">
        <f>H495*F496</f>
        <v>0</v>
      </c>
      <c r="I496" s="85" t="s">
        <v>428</v>
      </c>
      <c r="J496" s="87">
        <f>J495*F496</f>
        <v>0</v>
      </c>
      <c r="K496" s="85" t="s">
        <v>428</v>
      </c>
      <c r="L496" s="87">
        <f>L495*F496</f>
        <v>0</v>
      </c>
    </row>
    <row r="497" spans="1:12" ht="12" customHeight="1" x14ac:dyDescent="0.35">
      <c r="B497" s="84" t="s">
        <v>10</v>
      </c>
      <c r="C497" s="103" t="s">
        <v>429</v>
      </c>
      <c r="D497" s="104"/>
      <c r="E497" s="104"/>
      <c r="F497" s="104"/>
      <c r="G497" s="105"/>
      <c r="H497" s="96">
        <f>H495+H496</f>
        <v>13130.026478000002</v>
      </c>
      <c r="I497" s="97"/>
      <c r="J497" s="96">
        <f>J495+J496</f>
        <v>3471.13</v>
      </c>
      <c r="K497" s="97"/>
      <c r="L497" s="96">
        <f>L495+L496</f>
        <v>3471.13</v>
      </c>
    </row>
    <row r="499" spans="1:12" ht="29" customHeight="1" x14ac:dyDescent="0.35">
      <c r="B499" s="76" t="s">
        <v>532</v>
      </c>
      <c r="C499" s="458" t="s">
        <v>534</v>
      </c>
      <c r="D499" s="459"/>
      <c r="E499" s="459"/>
      <c r="F499" s="459"/>
      <c r="G499" s="456"/>
      <c r="H499" s="457"/>
      <c r="I499" s="455" t="s">
        <v>3</v>
      </c>
      <c r="J499" s="455"/>
      <c r="K499" s="455" t="s">
        <v>4</v>
      </c>
      <c r="L499" s="455"/>
    </row>
    <row r="500" spans="1:12" ht="12" customHeight="1" x14ac:dyDescent="0.35">
      <c r="B500" s="451" t="s">
        <v>409</v>
      </c>
      <c r="C500" s="451" t="s">
        <v>410</v>
      </c>
      <c r="D500" s="452" t="s">
        <v>411</v>
      </c>
      <c r="E500" s="451" t="s">
        <v>412</v>
      </c>
      <c r="F500" s="451" t="s">
        <v>413</v>
      </c>
      <c r="G500" s="77" t="s">
        <v>414</v>
      </c>
      <c r="H500" s="77" t="s">
        <v>415</v>
      </c>
      <c r="I500" s="78" t="s">
        <v>414</v>
      </c>
      <c r="J500" s="79" t="s">
        <v>415</v>
      </c>
      <c r="K500" s="79" t="s">
        <v>414</v>
      </c>
      <c r="L500" s="79" t="s">
        <v>415</v>
      </c>
    </row>
    <row r="501" spans="1:12" ht="12" customHeight="1" x14ac:dyDescent="0.35">
      <c r="B501" s="451"/>
      <c r="C501" s="451"/>
      <c r="D501" s="453"/>
      <c r="E501" s="451"/>
      <c r="F501" s="451"/>
      <c r="G501" s="77" t="s">
        <v>17</v>
      </c>
      <c r="H501" s="77" t="s">
        <v>416</v>
      </c>
      <c r="I501" s="78" t="s">
        <v>17</v>
      </c>
      <c r="J501" s="79" t="s">
        <v>416</v>
      </c>
      <c r="K501" s="79" t="s">
        <v>17</v>
      </c>
      <c r="L501" s="79" t="s">
        <v>416</v>
      </c>
    </row>
    <row r="502" spans="1:12" ht="12" customHeight="1" x14ac:dyDescent="0.35">
      <c r="B502" s="451"/>
      <c r="C502" s="451"/>
      <c r="D502" s="454"/>
      <c r="E502" s="451"/>
      <c r="F502" s="451"/>
      <c r="G502" s="106"/>
      <c r="H502" s="77" t="s">
        <v>17</v>
      </c>
      <c r="I502" s="94"/>
      <c r="J502" s="79" t="s">
        <v>17</v>
      </c>
      <c r="K502" s="85"/>
      <c r="L502" s="79" t="s">
        <v>17</v>
      </c>
    </row>
    <row r="503" spans="1:12" ht="12" customHeight="1" x14ac:dyDescent="0.35">
      <c r="B503" s="80" t="s">
        <v>5</v>
      </c>
      <c r="C503" s="81" t="s">
        <v>417</v>
      </c>
      <c r="D503" s="82"/>
      <c r="E503" s="82"/>
      <c r="F503" s="82"/>
      <c r="G503" s="82"/>
      <c r="H503" s="82"/>
      <c r="I503" s="83"/>
      <c r="J503" s="83"/>
      <c r="K503" s="83"/>
      <c r="L503" s="83"/>
    </row>
    <row r="504" spans="1:12" ht="12" customHeight="1" x14ac:dyDescent="0.35">
      <c r="A504" s="134">
        <v>10111000</v>
      </c>
      <c r="B504" s="84"/>
      <c r="C504" s="85" t="s">
        <v>1885</v>
      </c>
      <c r="D504" s="84" t="s">
        <v>418</v>
      </c>
      <c r="E504" s="84" t="str">
        <f>VLOOKUP(C504,HSD!B:K,2,FALSE)</f>
        <v>OJ</v>
      </c>
      <c r="F504" s="86">
        <v>3.0999999999999999E-3</v>
      </c>
      <c r="G504" s="87">
        <f>VLOOKUP(C504,HSD!B:K,10,FALSE)</f>
        <v>18750</v>
      </c>
      <c r="H504" s="87">
        <f>F504*G504</f>
        <v>58.125</v>
      </c>
      <c r="I504" s="87">
        <v>78600</v>
      </c>
      <c r="J504" s="87">
        <f>F504*I504</f>
        <v>243.66</v>
      </c>
      <c r="K504" s="87">
        <v>78600</v>
      </c>
      <c r="L504" s="87">
        <f>F504*K504</f>
        <v>243.66</v>
      </c>
    </row>
    <row r="505" spans="1:12" ht="12" customHeight="1" x14ac:dyDescent="0.35">
      <c r="A505" s="134">
        <v>10121110</v>
      </c>
      <c r="B505" s="84"/>
      <c r="C505" s="85" t="s">
        <v>1887</v>
      </c>
      <c r="D505" s="84" t="s">
        <v>419</v>
      </c>
      <c r="E505" s="84" t="str">
        <f>VLOOKUP(C505,HSD!B:K,2,FALSE)</f>
        <v>OJ</v>
      </c>
      <c r="F505" s="86">
        <v>1.5800000000000002E-2</v>
      </c>
      <c r="G505" s="87">
        <f>VLOOKUP(C505,HSD!B:K,10,FALSE)</f>
        <v>16250</v>
      </c>
      <c r="H505" s="87">
        <f>F505*G505</f>
        <v>256.75</v>
      </c>
      <c r="I505" s="87">
        <v>91500</v>
      </c>
      <c r="J505" s="87">
        <f>F505*I505</f>
        <v>1445.7</v>
      </c>
      <c r="K505" s="87">
        <v>91500</v>
      </c>
      <c r="L505" s="87">
        <f>F505*K505</f>
        <v>1445.7</v>
      </c>
    </row>
    <row r="506" spans="1:12" ht="12" customHeight="1" x14ac:dyDescent="0.35">
      <c r="A506" s="134">
        <v>10131000</v>
      </c>
      <c r="B506" s="84"/>
      <c r="C506" s="85" t="s">
        <v>1888</v>
      </c>
      <c r="D506" s="84" t="s">
        <v>420</v>
      </c>
      <c r="E506" s="84" t="str">
        <f>VLOOKUP(C506,HSD!B:K,2,FALSE)</f>
        <v>OJ</v>
      </c>
      <c r="F506" s="86">
        <v>3.1600000000000003E-2</v>
      </c>
      <c r="G506" s="87">
        <f>VLOOKUP(C506,HSD!B:K,10,FALSE)</f>
        <v>15000</v>
      </c>
      <c r="H506" s="87">
        <f>F506*G506</f>
        <v>474.00000000000006</v>
      </c>
      <c r="I506" s="87">
        <v>92500</v>
      </c>
      <c r="J506" s="87">
        <f>F506*I506</f>
        <v>2923.0000000000005</v>
      </c>
      <c r="K506" s="87">
        <v>92500</v>
      </c>
      <c r="L506" s="87">
        <f>F506*K506</f>
        <v>2923.0000000000005</v>
      </c>
    </row>
    <row r="507" spans="1:12" ht="12" customHeight="1" x14ac:dyDescent="0.35">
      <c r="B507" s="84"/>
      <c r="C507" s="85"/>
      <c r="D507" s="84"/>
      <c r="E507" s="84"/>
      <c r="F507" s="86"/>
      <c r="G507" s="87"/>
      <c r="H507" s="87"/>
      <c r="I507" s="87"/>
      <c r="J507" s="87"/>
      <c r="K507" s="87"/>
      <c r="L507" s="87"/>
    </row>
    <row r="508" spans="1:12" ht="12" customHeight="1" x14ac:dyDescent="0.35">
      <c r="B508" s="84"/>
      <c r="C508" s="88"/>
      <c r="D508" s="79"/>
      <c r="E508" s="79"/>
      <c r="F508" s="89" t="s">
        <v>421</v>
      </c>
      <c r="G508" s="101"/>
      <c r="H508" s="87">
        <f>SUM(H504:H507)</f>
        <v>788.875</v>
      </c>
      <c r="I508" s="101"/>
      <c r="J508" s="87">
        <f>SUM(J504:J507)</f>
        <v>4612.3600000000006</v>
      </c>
      <c r="K508" s="101"/>
      <c r="L508" s="87">
        <f>SUM(L504:L507)</f>
        <v>4612.3600000000006</v>
      </c>
    </row>
    <row r="509" spans="1:12" ht="12" customHeight="1" x14ac:dyDescent="0.35">
      <c r="B509" s="84" t="s">
        <v>6</v>
      </c>
      <c r="C509" s="88" t="s">
        <v>422</v>
      </c>
      <c r="D509" s="79"/>
      <c r="E509" s="79"/>
      <c r="F509" s="90"/>
      <c r="G509" s="84"/>
      <c r="H509" s="87"/>
      <c r="I509" s="84"/>
      <c r="J509" s="87"/>
      <c r="K509" s="84"/>
      <c r="L509" s="87"/>
    </row>
    <row r="510" spans="1:12" ht="12" customHeight="1" x14ac:dyDescent="0.35">
      <c r="B510" s="84"/>
      <c r="C510" s="85"/>
      <c r="D510" s="84"/>
      <c r="E510" s="84"/>
      <c r="F510" s="86"/>
      <c r="G510" s="87"/>
      <c r="H510" s="87">
        <f>F510*G510</f>
        <v>0</v>
      </c>
      <c r="I510" s="87">
        <v>232500</v>
      </c>
      <c r="J510" s="87">
        <f>F510*I510</f>
        <v>0</v>
      </c>
      <c r="K510" s="87">
        <v>270000</v>
      </c>
      <c r="L510" s="87">
        <f>F510*K510</f>
        <v>0</v>
      </c>
    </row>
    <row r="511" spans="1:12" ht="12" customHeight="1" x14ac:dyDescent="0.35">
      <c r="B511" s="84"/>
      <c r="C511" s="88"/>
      <c r="D511" s="79"/>
      <c r="E511" s="84"/>
      <c r="F511" s="102"/>
      <c r="G511" s="87"/>
      <c r="H511" s="87">
        <f>F511*G511</f>
        <v>0</v>
      </c>
      <c r="I511" s="87">
        <v>1060</v>
      </c>
      <c r="J511" s="87">
        <f>F511*I511</f>
        <v>0</v>
      </c>
      <c r="K511" s="87">
        <v>1060</v>
      </c>
      <c r="L511" s="87">
        <f>F511*K511</f>
        <v>0</v>
      </c>
    </row>
    <row r="512" spans="1:12" ht="12" customHeight="1" x14ac:dyDescent="0.35">
      <c r="B512" s="84"/>
      <c r="C512" s="88"/>
      <c r="D512" s="79"/>
      <c r="E512" s="84"/>
      <c r="F512" s="102"/>
      <c r="G512" s="87"/>
      <c r="H512" s="87">
        <f>F512*G512</f>
        <v>0</v>
      </c>
      <c r="I512" s="87">
        <v>215000</v>
      </c>
      <c r="J512" s="87">
        <f>F512*I512</f>
        <v>0</v>
      </c>
      <c r="K512" s="87">
        <v>250000</v>
      </c>
      <c r="L512" s="87">
        <f>F512*K512</f>
        <v>0</v>
      </c>
    </row>
    <row r="513" spans="1:12" ht="12" customHeight="1" x14ac:dyDescent="0.35">
      <c r="B513" s="84"/>
      <c r="C513" s="88"/>
      <c r="D513" s="79"/>
      <c r="E513" s="79"/>
      <c r="F513" s="89"/>
      <c r="G513" s="101"/>
      <c r="H513" s="87">
        <f>SUM(H510:H512)</f>
        <v>0</v>
      </c>
      <c r="I513" s="101"/>
      <c r="J513" s="87">
        <f>SUM(J510:J512)</f>
        <v>0</v>
      </c>
      <c r="K513" s="101"/>
      <c r="L513" s="87">
        <f>SUM(L510:L512)</f>
        <v>0</v>
      </c>
    </row>
    <row r="514" spans="1:12" ht="12" customHeight="1" x14ac:dyDescent="0.35">
      <c r="B514" s="84" t="s">
        <v>7</v>
      </c>
      <c r="C514" s="88" t="s">
        <v>424</v>
      </c>
      <c r="D514" s="79"/>
      <c r="E514" s="79"/>
      <c r="F514" s="90"/>
      <c r="G514" s="84"/>
      <c r="H514" s="87"/>
      <c r="I514" s="84"/>
      <c r="J514" s="87"/>
      <c r="K514" s="84"/>
      <c r="L514" s="87"/>
    </row>
    <row r="515" spans="1:12" ht="12" customHeight="1" x14ac:dyDescent="0.35">
      <c r="A515" s="134">
        <v>31100008</v>
      </c>
      <c r="B515" s="84"/>
      <c r="C515" s="85" t="s">
        <v>1837</v>
      </c>
      <c r="D515" s="84" t="s">
        <v>418</v>
      </c>
      <c r="E515" s="84" t="str">
        <f>VLOOKUP(C515,HSD!B:K,2,FALSE)</f>
        <v>jam</v>
      </c>
      <c r="F515" s="128">
        <v>1.5800000000000002E-2</v>
      </c>
      <c r="G515" s="87">
        <f>VLOOKUP(C515,HSD!B:K,10,FALSE)</f>
        <v>565678.43999999994</v>
      </c>
      <c r="H515" s="87">
        <f>F515*G515</f>
        <v>8937.7193520000001</v>
      </c>
      <c r="I515" s="87"/>
      <c r="J515" s="87">
        <f>H515*I515</f>
        <v>0</v>
      </c>
      <c r="K515" s="87"/>
      <c r="L515" s="87">
        <f>J515*K515</f>
        <v>0</v>
      </c>
    </row>
    <row r="516" spans="1:12" ht="12" customHeight="1" x14ac:dyDescent="0.35">
      <c r="B516" s="84"/>
      <c r="C516" s="88"/>
      <c r="D516" s="79"/>
      <c r="E516" s="79"/>
      <c r="F516" s="90"/>
      <c r="G516" s="87"/>
      <c r="H516" s="87"/>
      <c r="I516" s="87"/>
      <c r="J516" s="87"/>
      <c r="K516" s="87"/>
      <c r="L516" s="87"/>
    </row>
    <row r="517" spans="1:12" ht="12" customHeight="1" x14ac:dyDescent="0.35">
      <c r="B517" s="84"/>
      <c r="C517" s="88"/>
      <c r="D517" s="79"/>
      <c r="E517" s="79"/>
      <c r="F517" s="90"/>
      <c r="G517" s="87"/>
      <c r="H517" s="87">
        <f>F517*G517</f>
        <v>0</v>
      </c>
      <c r="I517" s="87"/>
      <c r="J517" s="87"/>
      <c r="K517" s="87"/>
      <c r="L517" s="87"/>
    </row>
    <row r="518" spans="1:12" ht="12" customHeight="1" x14ac:dyDescent="0.35">
      <c r="B518" s="84"/>
      <c r="C518" s="88"/>
      <c r="D518" s="79"/>
      <c r="E518" s="79"/>
      <c r="F518" s="89" t="s">
        <v>425</v>
      </c>
      <c r="G518" s="101"/>
      <c r="H518" s="87">
        <f>SUM(H515:H517)</f>
        <v>8937.7193520000001</v>
      </c>
      <c r="I518" s="101"/>
      <c r="J518" s="87">
        <f>SUM(J515)</f>
        <v>0</v>
      </c>
      <c r="K518" s="101"/>
      <c r="L518" s="87">
        <f>SUM(L515)</f>
        <v>0</v>
      </c>
    </row>
    <row r="519" spans="1:12" ht="12" customHeight="1" x14ac:dyDescent="0.35">
      <c r="B519" s="84" t="s">
        <v>8</v>
      </c>
      <c r="C519" s="103" t="s">
        <v>426</v>
      </c>
      <c r="D519" s="104"/>
      <c r="E519" s="104"/>
      <c r="F519" s="104"/>
      <c r="G519" s="105"/>
      <c r="H519" s="87">
        <f>H508+H513+H518</f>
        <v>9726.5943520000001</v>
      </c>
      <c r="I519" s="105"/>
      <c r="J519" s="87">
        <f>J508+J513+J518</f>
        <v>4612.3600000000006</v>
      </c>
      <c r="K519" s="105"/>
      <c r="L519" s="87">
        <f>L508+L513+L518</f>
        <v>4612.3600000000006</v>
      </c>
    </row>
    <row r="520" spans="1:12" ht="12" customHeight="1" x14ac:dyDescent="0.35">
      <c r="B520" s="84" t="s">
        <v>9</v>
      </c>
      <c r="C520" s="455" t="s">
        <v>427</v>
      </c>
      <c r="D520" s="455"/>
      <c r="E520" s="455"/>
      <c r="F520" s="95">
        <f>0</f>
        <v>0</v>
      </c>
      <c r="G520" s="85" t="s">
        <v>428</v>
      </c>
      <c r="H520" s="87">
        <f>H519*F520</f>
        <v>0</v>
      </c>
      <c r="I520" s="85" t="s">
        <v>428</v>
      </c>
      <c r="J520" s="87">
        <f>J519*F520</f>
        <v>0</v>
      </c>
      <c r="K520" s="85" t="s">
        <v>428</v>
      </c>
      <c r="L520" s="87">
        <f>L519*F520</f>
        <v>0</v>
      </c>
    </row>
    <row r="521" spans="1:12" ht="12" customHeight="1" x14ac:dyDescent="0.35">
      <c r="B521" s="84" t="s">
        <v>10</v>
      </c>
      <c r="C521" s="103" t="s">
        <v>429</v>
      </c>
      <c r="D521" s="104"/>
      <c r="E521" s="104"/>
      <c r="F521" s="104"/>
      <c r="G521" s="105"/>
      <c r="H521" s="96">
        <f>H519+H520</f>
        <v>9726.5943520000001</v>
      </c>
      <c r="I521" s="97"/>
      <c r="J521" s="96">
        <f>J519+J520</f>
        <v>4612.3600000000006</v>
      </c>
      <c r="K521" s="97"/>
      <c r="L521" s="96">
        <f>L519+L520</f>
        <v>4612.3600000000006</v>
      </c>
    </row>
    <row r="523" spans="1:12" ht="29" customHeight="1" x14ac:dyDescent="0.35">
      <c r="B523" s="76" t="s">
        <v>535</v>
      </c>
      <c r="C523" s="458" t="s">
        <v>536</v>
      </c>
      <c r="D523" s="459"/>
      <c r="E523" s="459"/>
      <c r="F523" s="459"/>
      <c r="G523" s="456"/>
      <c r="H523" s="457"/>
      <c r="I523" s="455" t="s">
        <v>3</v>
      </c>
      <c r="J523" s="455"/>
      <c r="K523" s="455" t="s">
        <v>4</v>
      </c>
      <c r="L523" s="455"/>
    </row>
    <row r="524" spans="1:12" ht="12" customHeight="1" x14ac:dyDescent="0.35">
      <c r="B524" s="451" t="s">
        <v>409</v>
      </c>
      <c r="C524" s="451" t="s">
        <v>410</v>
      </c>
      <c r="D524" s="452" t="s">
        <v>411</v>
      </c>
      <c r="E524" s="451" t="s">
        <v>412</v>
      </c>
      <c r="F524" s="451" t="s">
        <v>413</v>
      </c>
      <c r="G524" s="77" t="s">
        <v>414</v>
      </c>
      <c r="H524" s="77" t="s">
        <v>415</v>
      </c>
      <c r="I524" s="78" t="s">
        <v>414</v>
      </c>
      <c r="J524" s="79" t="s">
        <v>415</v>
      </c>
      <c r="K524" s="79" t="s">
        <v>414</v>
      </c>
      <c r="L524" s="79" t="s">
        <v>415</v>
      </c>
    </row>
    <row r="525" spans="1:12" ht="12" customHeight="1" x14ac:dyDescent="0.35">
      <c r="B525" s="451"/>
      <c r="C525" s="451"/>
      <c r="D525" s="453"/>
      <c r="E525" s="451"/>
      <c r="F525" s="451"/>
      <c r="G525" s="77" t="s">
        <v>17</v>
      </c>
      <c r="H525" s="77" t="s">
        <v>416</v>
      </c>
      <c r="I525" s="78" t="s">
        <v>17</v>
      </c>
      <c r="J525" s="79" t="s">
        <v>416</v>
      </c>
      <c r="K525" s="79" t="s">
        <v>17</v>
      </c>
      <c r="L525" s="79" t="s">
        <v>416</v>
      </c>
    </row>
    <row r="526" spans="1:12" ht="12" customHeight="1" x14ac:dyDescent="0.35">
      <c r="B526" s="451"/>
      <c r="C526" s="451"/>
      <c r="D526" s="454"/>
      <c r="E526" s="451"/>
      <c r="F526" s="451"/>
      <c r="G526" s="106"/>
      <c r="H526" s="77" t="s">
        <v>17</v>
      </c>
      <c r="I526" s="94"/>
      <c r="J526" s="79" t="s">
        <v>17</v>
      </c>
      <c r="K526" s="85"/>
      <c r="L526" s="79" t="s">
        <v>17</v>
      </c>
    </row>
    <row r="527" spans="1:12" ht="12" customHeight="1" x14ac:dyDescent="0.35">
      <c r="B527" s="80" t="s">
        <v>5</v>
      </c>
      <c r="C527" s="81" t="s">
        <v>417</v>
      </c>
      <c r="D527" s="82"/>
      <c r="E527" s="82"/>
      <c r="F527" s="82"/>
      <c r="G527" s="82"/>
      <c r="H527" s="82"/>
      <c r="I527" s="83"/>
      <c r="J527" s="83"/>
      <c r="K527" s="83"/>
      <c r="L527" s="83"/>
    </row>
    <row r="528" spans="1:12" ht="12" customHeight="1" x14ac:dyDescent="0.35">
      <c r="A528" s="134">
        <v>10111000</v>
      </c>
      <c r="B528" s="84"/>
      <c r="C528" s="85" t="s">
        <v>1885</v>
      </c>
      <c r="D528" s="84" t="s">
        <v>418</v>
      </c>
      <c r="E528" s="84" t="str">
        <f>VLOOKUP(C528,HSD!B:K,2,FALSE)</f>
        <v>OJ</v>
      </c>
      <c r="F528" s="86">
        <v>3.5000000000000001E-3</v>
      </c>
      <c r="G528" s="87">
        <f>VLOOKUP(C528,HSD!B:K,10,FALSE)</f>
        <v>18750</v>
      </c>
      <c r="H528" s="87">
        <f>F528*G528</f>
        <v>65.625</v>
      </c>
      <c r="I528" s="87">
        <v>78600</v>
      </c>
      <c r="J528" s="87">
        <f>F528*I528</f>
        <v>275.10000000000002</v>
      </c>
      <c r="K528" s="87">
        <v>78600</v>
      </c>
      <c r="L528" s="87">
        <f>F528*K528</f>
        <v>275.10000000000002</v>
      </c>
    </row>
    <row r="529" spans="1:12" ht="12" customHeight="1" x14ac:dyDescent="0.35">
      <c r="A529" s="134">
        <v>10121110</v>
      </c>
      <c r="B529" s="84"/>
      <c r="C529" s="85" t="s">
        <v>1887</v>
      </c>
      <c r="D529" s="84" t="s">
        <v>419</v>
      </c>
      <c r="E529" s="84" t="str">
        <f>VLOOKUP(C529,HSD!B:K,2,FALSE)</f>
        <v>OJ</v>
      </c>
      <c r="F529" s="86">
        <v>1.7600000000000001E-2</v>
      </c>
      <c r="G529" s="87">
        <f>VLOOKUP(C529,HSD!B:K,10,FALSE)</f>
        <v>16250</v>
      </c>
      <c r="H529" s="87">
        <f>F529*G529</f>
        <v>286</v>
      </c>
      <c r="I529" s="87">
        <v>91500</v>
      </c>
      <c r="J529" s="87">
        <f>F529*I529</f>
        <v>1610.4</v>
      </c>
      <c r="K529" s="87">
        <v>91500</v>
      </c>
      <c r="L529" s="87">
        <f>F529*K529</f>
        <v>1610.4</v>
      </c>
    </row>
    <row r="530" spans="1:12" ht="12" customHeight="1" x14ac:dyDescent="0.35">
      <c r="A530" s="134">
        <v>10131000</v>
      </c>
      <c r="B530" s="84"/>
      <c r="C530" s="85" t="s">
        <v>1888</v>
      </c>
      <c r="D530" s="84" t="s">
        <v>420</v>
      </c>
      <c r="E530" s="84" t="str">
        <f>VLOOKUP(C530,HSD!B:K,2,FALSE)</f>
        <v>OJ</v>
      </c>
      <c r="F530" s="86">
        <v>3.5200000000000002E-2</v>
      </c>
      <c r="G530" s="87">
        <f>VLOOKUP(C530,HSD!B:K,10,FALSE)</f>
        <v>15000</v>
      </c>
      <c r="H530" s="87">
        <f>F530*G530</f>
        <v>528</v>
      </c>
      <c r="I530" s="87">
        <v>92500</v>
      </c>
      <c r="J530" s="87">
        <f>F530*I530</f>
        <v>3256</v>
      </c>
      <c r="K530" s="87">
        <v>92500</v>
      </c>
      <c r="L530" s="87">
        <f>F530*K530</f>
        <v>3256</v>
      </c>
    </row>
    <row r="531" spans="1:12" ht="12" customHeight="1" x14ac:dyDescent="0.35">
      <c r="B531" s="84"/>
      <c r="C531" s="85"/>
      <c r="D531" s="84"/>
      <c r="E531" s="84"/>
      <c r="F531" s="86"/>
      <c r="G531" s="87"/>
      <c r="H531" s="87"/>
      <c r="I531" s="87"/>
      <c r="J531" s="87"/>
      <c r="K531" s="87"/>
      <c r="L531" s="87"/>
    </row>
    <row r="532" spans="1:12" ht="12" customHeight="1" x14ac:dyDescent="0.35">
      <c r="B532" s="84"/>
      <c r="C532" s="88"/>
      <c r="D532" s="79"/>
      <c r="E532" s="79"/>
      <c r="F532" s="89" t="s">
        <v>421</v>
      </c>
      <c r="G532" s="101"/>
      <c r="H532" s="87">
        <f>SUM(H528:H531)</f>
        <v>879.625</v>
      </c>
      <c r="I532" s="101"/>
      <c r="J532" s="87">
        <f>SUM(J528:J531)</f>
        <v>5141.5</v>
      </c>
      <c r="K532" s="101"/>
      <c r="L532" s="87">
        <f>SUM(L528:L531)</f>
        <v>5141.5</v>
      </c>
    </row>
    <row r="533" spans="1:12" ht="12" customHeight="1" x14ac:dyDescent="0.35">
      <c r="B533" s="84" t="s">
        <v>6</v>
      </c>
      <c r="C533" s="88" t="s">
        <v>422</v>
      </c>
      <c r="D533" s="79"/>
      <c r="E533" s="79"/>
      <c r="F533" s="90"/>
      <c r="G533" s="84"/>
      <c r="H533" s="87"/>
      <c r="I533" s="84"/>
      <c r="J533" s="87"/>
      <c r="K533" s="84"/>
      <c r="L533" s="87"/>
    </row>
    <row r="534" spans="1:12" ht="12" customHeight="1" x14ac:dyDescent="0.35">
      <c r="B534" s="84"/>
      <c r="C534" s="85"/>
      <c r="D534" s="84"/>
      <c r="E534" s="84"/>
      <c r="F534" s="86"/>
      <c r="G534" s="87"/>
      <c r="H534" s="87">
        <f>F534*G534</f>
        <v>0</v>
      </c>
      <c r="I534" s="87">
        <v>232500</v>
      </c>
      <c r="J534" s="87">
        <f>F534*I534</f>
        <v>0</v>
      </c>
      <c r="K534" s="87">
        <v>270000</v>
      </c>
      <c r="L534" s="87">
        <f>F534*K534</f>
        <v>0</v>
      </c>
    </row>
    <row r="535" spans="1:12" ht="12" customHeight="1" x14ac:dyDescent="0.35">
      <c r="B535" s="84"/>
      <c r="C535" s="88"/>
      <c r="D535" s="79"/>
      <c r="E535" s="84"/>
      <c r="F535" s="102"/>
      <c r="G535" s="87"/>
      <c r="H535" s="87">
        <f>F535*G535</f>
        <v>0</v>
      </c>
      <c r="I535" s="87">
        <v>1060</v>
      </c>
      <c r="J535" s="87">
        <f>F535*I535</f>
        <v>0</v>
      </c>
      <c r="K535" s="87">
        <v>1060</v>
      </c>
      <c r="L535" s="87">
        <f>F535*K535</f>
        <v>0</v>
      </c>
    </row>
    <row r="536" spans="1:12" ht="12" customHeight="1" x14ac:dyDescent="0.35">
      <c r="B536" s="84"/>
      <c r="C536" s="88"/>
      <c r="D536" s="79"/>
      <c r="E536" s="84"/>
      <c r="F536" s="102"/>
      <c r="G536" s="87"/>
      <c r="H536" s="87">
        <f>F536*G536</f>
        <v>0</v>
      </c>
      <c r="I536" s="87">
        <v>215000</v>
      </c>
      <c r="J536" s="87">
        <f>F536*I536</f>
        <v>0</v>
      </c>
      <c r="K536" s="87">
        <v>250000</v>
      </c>
      <c r="L536" s="87">
        <f>F536*K536</f>
        <v>0</v>
      </c>
    </row>
    <row r="537" spans="1:12" ht="12" customHeight="1" x14ac:dyDescent="0.35">
      <c r="B537" s="84"/>
      <c r="C537" s="88"/>
      <c r="D537" s="79"/>
      <c r="E537" s="79"/>
      <c r="F537" s="89"/>
      <c r="G537" s="101"/>
      <c r="H537" s="87">
        <f>SUM(H534:H536)</f>
        <v>0</v>
      </c>
      <c r="I537" s="101"/>
      <c r="J537" s="87">
        <f>SUM(J534:J536)</f>
        <v>0</v>
      </c>
      <c r="K537" s="101"/>
      <c r="L537" s="87">
        <f>SUM(L534:L536)</f>
        <v>0</v>
      </c>
    </row>
    <row r="538" spans="1:12" ht="12" customHeight="1" x14ac:dyDescent="0.35">
      <c r="B538" s="84" t="s">
        <v>7</v>
      </c>
      <c r="C538" s="88" t="s">
        <v>424</v>
      </c>
      <c r="D538" s="79"/>
      <c r="E538" s="79"/>
      <c r="F538" s="90"/>
      <c r="G538" s="84"/>
      <c r="H538" s="87"/>
      <c r="I538" s="84"/>
      <c r="J538" s="87"/>
      <c r="K538" s="84"/>
      <c r="L538" s="87"/>
    </row>
    <row r="539" spans="1:12" ht="12" customHeight="1" x14ac:dyDescent="0.35">
      <c r="A539" s="134">
        <v>31100008</v>
      </c>
      <c r="B539" s="84"/>
      <c r="C539" s="85" t="s">
        <v>1837</v>
      </c>
      <c r="D539" s="84" t="s">
        <v>418</v>
      </c>
      <c r="E539" s="84" t="str">
        <f>VLOOKUP(C539,HSD!B:K,2,FALSE)</f>
        <v>jam</v>
      </c>
      <c r="F539" s="128">
        <v>1.7600000000000001E-2</v>
      </c>
      <c r="G539" s="87">
        <f>VLOOKUP(C539,HSD!B:K,10,FALSE)</f>
        <v>565678.43999999994</v>
      </c>
      <c r="H539" s="87">
        <f>F539*G539</f>
        <v>9955.9405439999991</v>
      </c>
      <c r="I539" s="87"/>
      <c r="J539" s="87">
        <f>H539*I539</f>
        <v>0</v>
      </c>
      <c r="K539" s="87"/>
      <c r="L539" s="87">
        <f>J539*K539</f>
        <v>0</v>
      </c>
    </row>
    <row r="540" spans="1:12" ht="12" customHeight="1" x14ac:dyDescent="0.35">
      <c r="B540" s="84"/>
      <c r="C540" s="88"/>
      <c r="D540" s="79"/>
      <c r="E540" s="79"/>
      <c r="F540" s="90"/>
      <c r="G540" s="87"/>
      <c r="H540" s="87"/>
      <c r="I540" s="87"/>
      <c r="J540" s="87"/>
      <c r="K540" s="87"/>
      <c r="L540" s="87"/>
    </row>
    <row r="541" spans="1:12" ht="12" customHeight="1" x14ac:dyDescent="0.35">
      <c r="B541" s="84"/>
      <c r="C541" s="88"/>
      <c r="D541" s="79"/>
      <c r="E541" s="79"/>
      <c r="F541" s="90"/>
      <c r="G541" s="87"/>
      <c r="H541" s="87">
        <f>F541*G541</f>
        <v>0</v>
      </c>
      <c r="I541" s="87"/>
      <c r="J541" s="87"/>
      <c r="K541" s="87"/>
      <c r="L541" s="87"/>
    </row>
    <row r="542" spans="1:12" ht="12" customHeight="1" x14ac:dyDescent="0.35">
      <c r="B542" s="84"/>
      <c r="C542" s="88"/>
      <c r="D542" s="79"/>
      <c r="E542" s="79"/>
      <c r="F542" s="89" t="s">
        <v>425</v>
      </c>
      <c r="G542" s="101"/>
      <c r="H542" s="87">
        <f>SUM(H539:H541)</f>
        <v>9955.9405439999991</v>
      </c>
      <c r="I542" s="101"/>
      <c r="J542" s="87">
        <f>SUM(J539)</f>
        <v>0</v>
      </c>
      <c r="K542" s="101"/>
      <c r="L542" s="87">
        <f>SUM(L539)</f>
        <v>0</v>
      </c>
    </row>
    <row r="543" spans="1:12" ht="12" customHeight="1" x14ac:dyDescent="0.35">
      <c r="B543" s="84" t="s">
        <v>8</v>
      </c>
      <c r="C543" s="103" t="s">
        <v>426</v>
      </c>
      <c r="D543" s="104"/>
      <c r="E543" s="104"/>
      <c r="F543" s="104"/>
      <c r="G543" s="105"/>
      <c r="H543" s="87">
        <f>H532+H537+H542</f>
        <v>10835.565543999999</v>
      </c>
      <c r="I543" s="105"/>
      <c r="J543" s="87">
        <f>J532+J537+J542</f>
        <v>5141.5</v>
      </c>
      <c r="K543" s="105"/>
      <c r="L543" s="87">
        <f>L532+L537+L542</f>
        <v>5141.5</v>
      </c>
    </row>
    <row r="544" spans="1:12" ht="12" customHeight="1" x14ac:dyDescent="0.35">
      <c r="B544" s="84" t="s">
        <v>9</v>
      </c>
      <c r="C544" s="455" t="s">
        <v>427</v>
      </c>
      <c r="D544" s="455"/>
      <c r="E544" s="455"/>
      <c r="F544" s="95">
        <f>0</f>
        <v>0</v>
      </c>
      <c r="G544" s="85" t="s">
        <v>428</v>
      </c>
      <c r="H544" s="87">
        <f>H543*F544</f>
        <v>0</v>
      </c>
      <c r="I544" s="85" t="s">
        <v>428</v>
      </c>
      <c r="J544" s="87">
        <f>J543*F544</f>
        <v>0</v>
      </c>
      <c r="K544" s="85" t="s">
        <v>428</v>
      </c>
      <c r="L544" s="87">
        <f>L543*F544</f>
        <v>0</v>
      </c>
    </row>
    <row r="545" spans="1:12" ht="12" customHeight="1" x14ac:dyDescent="0.35">
      <c r="B545" s="84" t="s">
        <v>10</v>
      </c>
      <c r="C545" s="103" t="s">
        <v>429</v>
      </c>
      <c r="D545" s="104"/>
      <c r="E545" s="104"/>
      <c r="F545" s="104"/>
      <c r="G545" s="105"/>
      <c r="H545" s="96">
        <f>H543+H544</f>
        <v>10835.565543999999</v>
      </c>
      <c r="I545" s="97"/>
      <c r="J545" s="96">
        <f>J543+J544</f>
        <v>5141.5</v>
      </c>
      <c r="K545" s="97"/>
      <c r="L545" s="96">
        <f>L543+L544</f>
        <v>5141.5</v>
      </c>
    </row>
    <row r="547" spans="1:12" ht="29" customHeight="1" x14ac:dyDescent="0.35">
      <c r="B547" s="76" t="s">
        <v>537</v>
      </c>
      <c r="C547" s="458" t="s">
        <v>538</v>
      </c>
      <c r="D547" s="459"/>
      <c r="E547" s="459"/>
      <c r="F547" s="459"/>
      <c r="G547" s="456"/>
      <c r="H547" s="457"/>
      <c r="I547" s="455" t="s">
        <v>3</v>
      </c>
      <c r="J547" s="455"/>
      <c r="K547" s="455" t="s">
        <v>4</v>
      </c>
      <c r="L547" s="455"/>
    </row>
    <row r="548" spans="1:12" ht="12" customHeight="1" x14ac:dyDescent="0.35">
      <c r="B548" s="451" t="s">
        <v>409</v>
      </c>
      <c r="C548" s="451" t="s">
        <v>410</v>
      </c>
      <c r="D548" s="452" t="s">
        <v>411</v>
      </c>
      <c r="E548" s="451" t="s">
        <v>412</v>
      </c>
      <c r="F548" s="451" t="s">
        <v>413</v>
      </c>
      <c r="G548" s="77" t="s">
        <v>414</v>
      </c>
      <c r="H548" s="77" t="s">
        <v>415</v>
      </c>
      <c r="I548" s="78" t="s">
        <v>414</v>
      </c>
      <c r="J548" s="79" t="s">
        <v>415</v>
      </c>
      <c r="K548" s="79" t="s">
        <v>414</v>
      </c>
      <c r="L548" s="79" t="s">
        <v>415</v>
      </c>
    </row>
    <row r="549" spans="1:12" ht="12" customHeight="1" x14ac:dyDescent="0.35">
      <c r="B549" s="451"/>
      <c r="C549" s="451"/>
      <c r="D549" s="453"/>
      <c r="E549" s="451"/>
      <c r="F549" s="451"/>
      <c r="G549" s="77" t="s">
        <v>17</v>
      </c>
      <c r="H549" s="77" t="s">
        <v>416</v>
      </c>
      <c r="I549" s="78" t="s">
        <v>17</v>
      </c>
      <c r="J549" s="79" t="s">
        <v>416</v>
      </c>
      <c r="K549" s="79" t="s">
        <v>17</v>
      </c>
      <c r="L549" s="79" t="s">
        <v>416</v>
      </c>
    </row>
    <row r="550" spans="1:12" ht="12" customHeight="1" x14ac:dyDescent="0.35">
      <c r="B550" s="451"/>
      <c r="C550" s="451"/>
      <c r="D550" s="454"/>
      <c r="E550" s="451"/>
      <c r="F550" s="451"/>
      <c r="G550" s="106"/>
      <c r="H550" s="77" t="s">
        <v>17</v>
      </c>
      <c r="I550" s="94"/>
      <c r="J550" s="79" t="s">
        <v>17</v>
      </c>
      <c r="K550" s="85"/>
      <c r="L550" s="79" t="s">
        <v>17</v>
      </c>
    </row>
    <row r="551" spans="1:12" ht="12" customHeight="1" x14ac:dyDescent="0.35">
      <c r="B551" s="80" t="s">
        <v>5</v>
      </c>
      <c r="C551" s="81" t="s">
        <v>417</v>
      </c>
      <c r="D551" s="82"/>
      <c r="E551" s="82"/>
      <c r="F551" s="82"/>
      <c r="G551" s="82"/>
      <c r="H551" s="82"/>
      <c r="I551" s="83"/>
      <c r="J551" s="83"/>
      <c r="K551" s="83"/>
      <c r="L551" s="83"/>
    </row>
    <row r="552" spans="1:12" ht="12" customHeight="1" x14ac:dyDescent="0.35">
      <c r="A552" s="134">
        <v>10111000</v>
      </c>
      <c r="B552" s="84"/>
      <c r="C552" s="85" t="s">
        <v>1885</v>
      </c>
      <c r="D552" s="84" t="s">
        <v>418</v>
      </c>
      <c r="E552" s="84" t="str">
        <f>VLOOKUP(C552,HSD!B:K,2,FALSE)</f>
        <v>OJ</v>
      </c>
      <c r="F552" s="86">
        <v>3.8E-3</v>
      </c>
      <c r="G552" s="87">
        <f>VLOOKUP(C552,HSD!B:K,10,FALSE)</f>
        <v>18750</v>
      </c>
      <c r="H552" s="87">
        <f>F552*G552</f>
        <v>71.25</v>
      </c>
      <c r="I552" s="87">
        <v>78600</v>
      </c>
      <c r="J552" s="87">
        <f>F552*I552</f>
        <v>298.68</v>
      </c>
      <c r="K552" s="87">
        <v>78600</v>
      </c>
      <c r="L552" s="87">
        <f>F552*K552</f>
        <v>298.68</v>
      </c>
    </row>
    <row r="553" spans="1:12" ht="12" customHeight="1" x14ac:dyDescent="0.35">
      <c r="A553" s="134">
        <v>10121110</v>
      </c>
      <c r="B553" s="84"/>
      <c r="C553" s="85" t="s">
        <v>1887</v>
      </c>
      <c r="D553" s="84" t="s">
        <v>419</v>
      </c>
      <c r="E553" s="84" t="str">
        <f>VLOOKUP(C553,HSD!B:K,2,FALSE)</f>
        <v>OJ</v>
      </c>
      <c r="F553" s="86">
        <v>1.9400000000000001E-2</v>
      </c>
      <c r="G553" s="87">
        <f>VLOOKUP(C553,HSD!B:K,10,FALSE)</f>
        <v>16250</v>
      </c>
      <c r="H553" s="87">
        <f>F553*G553</f>
        <v>315.25</v>
      </c>
      <c r="I553" s="87">
        <v>91500</v>
      </c>
      <c r="J553" s="87">
        <f>F553*I553</f>
        <v>1775.1000000000001</v>
      </c>
      <c r="K553" s="87">
        <v>91500</v>
      </c>
      <c r="L553" s="87">
        <f>F553*K553</f>
        <v>1775.1000000000001</v>
      </c>
    </row>
    <row r="554" spans="1:12" ht="12" customHeight="1" x14ac:dyDescent="0.35">
      <c r="A554" s="134">
        <v>10131000</v>
      </c>
      <c r="B554" s="84"/>
      <c r="C554" s="85" t="s">
        <v>1888</v>
      </c>
      <c r="D554" s="84" t="s">
        <v>420</v>
      </c>
      <c r="E554" s="84" t="str">
        <f>VLOOKUP(C554,HSD!B:K,2,FALSE)</f>
        <v>OJ</v>
      </c>
      <c r="F554" s="86">
        <v>3.8800000000000001E-2</v>
      </c>
      <c r="G554" s="87">
        <f>VLOOKUP(C554,HSD!B:K,10,FALSE)</f>
        <v>15000</v>
      </c>
      <c r="H554" s="87">
        <f>F554*G554</f>
        <v>582</v>
      </c>
      <c r="I554" s="87">
        <v>92500</v>
      </c>
      <c r="J554" s="87">
        <f>F554*I554</f>
        <v>3589</v>
      </c>
      <c r="K554" s="87">
        <v>92500</v>
      </c>
      <c r="L554" s="87">
        <f>F554*K554</f>
        <v>3589</v>
      </c>
    </row>
    <row r="555" spans="1:12" ht="12" customHeight="1" x14ac:dyDescent="0.35">
      <c r="B555" s="84"/>
      <c r="C555" s="85"/>
      <c r="D555" s="84"/>
      <c r="E555" s="84"/>
      <c r="F555" s="86"/>
      <c r="G555" s="87"/>
      <c r="H555" s="87"/>
      <c r="I555" s="87"/>
      <c r="J555" s="87"/>
      <c r="K555" s="87"/>
      <c r="L555" s="87"/>
    </row>
    <row r="556" spans="1:12" ht="12" customHeight="1" x14ac:dyDescent="0.35">
      <c r="B556" s="84"/>
      <c r="C556" s="88"/>
      <c r="D556" s="79"/>
      <c r="E556" s="79"/>
      <c r="F556" s="89" t="s">
        <v>421</v>
      </c>
      <c r="G556" s="101"/>
      <c r="H556" s="87">
        <f>SUM(H552:H555)</f>
        <v>968.5</v>
      </c>
      <c r="I556" s="101"/>
      <c r="J556" s="87">
        <f>SUM(J552:J555)</f>
        <v>5662.7800000000007</v>
      </c>
      <c r="K556" s="101"/>
      <c r="L556" s="87">
        <f>SUM(L552:L555)</f>
        <v>5662.7800000000007</v>
      </c>
    </row>
    <row r="557" spans="1:12" ht="12" customHeight="1" x14ac:dyDescent="0.35">
      <c r="B557" s="84" t="s">
        <v>6</v>
      </c>
      <c r="C557" s="88" t="s">
        <v>422</v>
      </c>
      <c r="D557" s="79"/>
      <c r="E557" s="79"/>
      <c r="F557" s="90"/>
      <c r="G557" s="84"/>
      <c r="H557" s="87"/>
      <c r="I557" s="84"/>
      <c r="J557" s="87"/>
      <c r="K557" s="84"/>
      <c r="L557" s="87"/>
    </row>
    <row r="558" spans="1:12" ht="12" customHeight="1" x14ac:dyDescent="0.35">
      <c r="B558" s="84"/>
      <c r="C558" s="85"/>
      <c r="D558" s="84"/>
      <c r="E558" s="84"/>
      <c r="F558" s="86"/>
      <c r="G558" s="87"/>
      <c r="H558" s="87">
        <f>F558*G558</f>
        <v>0</v>
      </c>
      <c r="I558" s="87">
        <v>232500</v>
      </c>
      <c r="J558" s="87">
        <f>F558*I558</f>
        <v>0</v>
      </c>
      <c r="K558" s="87">
        <v>270000</v>
      </c>
      <c r="L558" s="87">
        <f>F558*K558</f>
        <v>0</v>
      </c>
    </row>
    <row r="559" spans="1:12" ht="12" customHeight="1" x14ac:dyDescent="0.35">
      <c r="B559" s="84"/>
      <c r="C559" s="88"/>
      <c r="D559" s="79"/>
      <c r="E559" s="84"/>
      <c r="F559" s="102"/>
      <c r="G559" s="87"/>
      <c r="H559" s="87">
        <f>F559*G559</f>
        <v>0</v>
      </c>
      <c r="I559" s="87">
        <v>1060</v>
      </c>
      <c r="J559" s="87">
        <f>F559*I559</f>
        <v>0</v>
      </c>
      <c r="K559" s="87">
        <v>1060</v>
      </c>
      <c r="L559" s="87">
        <f>F559*K559</f>
        <v>0</v>
      </c>
    </row>
    <row r="560" spans="1:12" ht="12" customHeight="1" x14ac:dyDescent="0.35">
      <c r="B560" s="84"/>
      <c r="C560" s="88"/>
      <c r="D560" s="79"/>
      <c r="E560" s="84"/>
      <c r="F560" s="102"/>
      <c r="G560" s="87"/>
      <c r="H560" s="87">
        <f>F560*G560</f>
        <v>0</v>
      </c>
      <c r="I560" s="87">
        <v>215000</v>
      </c>
      <c r="J560" s="87">
        <f>F560*I560</f>
        <v>0</v>
      </c>
      <c r="K560" s="87">
        <v>250000</v>
      </c>
      <c r="L560" s="87">
        <f>F560*K560</f>
        <v>0</v>
      </c>
    </row>
    <row r="561" spans="1:12" ht="12" customHeight="1" x14ac:dyDescent="0.35">
      <c r="B561" s="84"/>
      <c r="C561" s="88"/>
      <c r="D561" s="79"/>
      <c r="E561" s="79"/>
      <c r="F561" s="89"/>
      <c r="G561" s="101"/>
      <c r="H561" s="87">
        <f>SUM(H558:H560)</f>
        <v>0</v>
      </c>
      <c r="I561" s="101"/>
      <c r="J561" s="87">
        <f>SUM(J558:J560)</f>
        <v>0</v>
      </c>
      <c r="K561" s="101"/>
      <c r="L561" s="87">
        <f>SUM(L558:L560)</f>
        <v>0</v>
      </c>
    </row>
    <row r="562" spans="1:12" ht="12" customHeight="1" x14ac:dyDescent="0.35">
      <c r="B562" s="84" t="s">
        <v>7</v>
      </c>
      <c r="C562" s="88" t="s">
        <v>424</v>
      </c>
      <c r="D562" s="79"/>
      <c r="E562" s="79"/>
      <c r="F562" s="90"/>
      <c r="G562" s="84"/>
      <c r="H562" s="87"/>
      <c r="I562" s="84"/>
      <c r="J562" s="87"/>
      <c r="K562" s="84"/>
      <c r="L562" s="87"/>
    </row>
    <row r="563" spans="1:12" ht="12" customHeight="1" x14ac:dyDescent="0.35">
      <c r="A563" s="134">
        <v>31100008</v>
      </c>
      <c r="B563" s="84"/>
      <c r="C563" s="85" t="s">
        <v>1837</v>
      </c>
      <c r="D563" s="84" t="s">
        <v>418</v>
      </c>
      <c r="E563" s="84" t="str">
        <f>VLOOKUP(C563,HSD!B:K,2,FALSE)</f>
        <v>jam</v>
      </c>
      <c r="F563" s="128">
        <v>1.9400000000000001E-2</v>
      </c>
      <c r="G563" s="87">
        <f>VLOOKUP(C563,HSD!B:K,10,FALSE)</f>
        <v>565678.43999999994</v>
      </c>
      <c r="H563" s="87">
        <f>F563*G563</f>
        <v>10974.161736</v>
      </c>
      <c r="I563" s="87"/>
      <c r="J563" s="87">
        <f>H563*I563</f>
        <v>0</v>
      </c>
      <c r="K563" s="87"/>
      <c r="L563" s="87">
        <f>J563*K563</f>
        <v>0</v>
      </c>
    </row>
    <row r="564" spans="1:12" ht="12" customHeight="1" x14ac:dyDescent="0.35">
      <c r="B564" s="84"/>
      <c r="C564" s="88"/>
      <c r="D564" s="79"/>
      <c r="E564" s="79"/>
      <c r="F564" s="90"/>
      <c r="G564" s="87"/>
      <c r="H564" s="87"/>
      <c r="I564" s="87"/>
      <c r="J564" s="87"/>
      <c r="K564" s="87"/>
      <c r="L564" s="87"/>
    </row>
    <row r="565" spans="1:12" ht="12" customHeight="1" x14ac:dyDescent="0.35">
      <c r="B565" s="84"/>
      <c r="C565" s="88"/>
      <c r="D565" s="79"/>
      <c r="E565" s="79"/>
      <c r="F565" s="90"/>
      <c r="G565" s="87"/>
      <c r="H565" s="87">
        <f>F565*G565</f>
        <v>0</v>
      </c>
      <c r="I565" s="87"/>
      <c r="J565" s="87"/>
      <c r="K565" s="87"/>
      <c r="L565" s="87"/>
    </row>
    <row r="566" spans="1:12" ht="12" customHeight="1" x14ac:dyDescent="0.35">
      <c r="B566" s="84"/>
      <c r="C566" s="88"/>
      <c r="D566" s="79"/>
      <c r="E566" s="79"/>
      <c r="F566" s="89" t="s">
        <v>425</v>
      </c>
      <c r="G566" s="101"/>
      <c r="H566" s="87">
        <f>SUM(H563:H565)</f>
        <v>10974.161736</v>
      </c>
      <c r="I566" s="101"/>
      <c r="J566" s="87">
        <f>SUM(J563)</f>
        <v>0</v>
      </c>
      <c r="K566" s="101"/>
      <c r="L566" s="87">
        <f>SUM(L563)</f>
        <v>0</v>
      </c>
    </row>
    <row r="567" spans="1:12" ht="12" customHeight="1" x14ac:dyDescent="0.35">
      <c r="B567" s="84" t="s">
        <v>8</v>
      </c>
      <c r="C567" s="103" t="s">
        <v>426</v>
      </c>
      <c r="D567" s="104"/>
      <c r="E567" s="104"/>
      <c r="F567" s="104"/>
      <c r="G567" s="105"/>
      <c r="H567" s="87">
        <f>H556+H561+H566</f>
        <v>11942.661736</v>
      </c>
      <c r="I567" s="105"/>
      <c r="J567" s="87">
        <f>J556+J561+J566</f>
        <v>5662.7800000000007</v>
      </c>
      <c r="K567" s="105"/>
      <c r="L567" s="87">
        <f>L556+L561+L566</f>
        <v>5662.7800000000007</v>
      </c>
    </row>
    <row r="568" spans="1:12" ht="12" customHeight="1" x14ac:dyDescent="0.35">
      <c r="B568" s="84" t="s">
        <v>9</v>
      </c>
      <c r="C568" s="455" t="s">
        <v>427</v>
      </c>
      <c r="D568" s="455"/>
      <c r="E568" s="455"/>
      <c r="F568" s="95">
        <f>0</f>
        <v>0</v>
      </c>
      <c r="G568" s="85" t="s">
        <v>428</v>
      </c>
      <c r="H568" s="87">
        <f>H567*F568</f>
        <v>0</v>
      </c>
      <c r="I568" s="85" t="s">
        <v>428</v>
      </c>
      <c r="J568" s="87">
        <f>J567*F568</f>
        <v>0</v>
      </c>
      <c r="K568" s="85" t="s">
        <v>428</v>
      </c>
      <c r="L568" s="87">
        <f>L567*F568</f>
        <v>0</v>
      </c>
    </row>
    <row r="569" spans="1:12" ht="12" customHeight="1" x14ac:dyDescent="0.35">
      <c r="B569" s="84" t="s">
        <v>10</v>
      </c>
      <c r="C569" s="103" t="s">
        <v>429</v>
      </c>
      <c r="D569" s="104"/>
      <c r="E569" s="104"/>
      <c r="F569" s="104"/>
      <c r="G569" s="105"/>
      <c r="H569" s="96">
        <f>H567+H568</f>
        <v>11942.661736</v>
      </c>
      <c r="I569" s="97"/>
      <c r="J569" s="96">
        <f>J567+J568</f>
        <v>5662.7800000000007</v>
      </c>
      <c r="K569" s="97"/>
      <c r="L569" s="96">
        <f>L567+L568</f>
        <v>5662.7800000000007</v>
      </c>
    </row>
    <row r="571" spans="1:12" ht="29" customHeight="1" x14ac:dyDescent="0.35">
      <c r="B571" s="76" t="s">
        <v>539</v>
      </c>
      <c r="C571" s="458" t="s">
        <v>540</v>
      </c>
      <c r="D571" s="459"/>
      <c r="E571" s="459"/>
      <c r="F571" s="459"/>
      <c r="G571" s="456"/>
      <c r="H571" s="457"/>
      <c r="I571" s="455" t="s">
        <v>3</v>
      </c>
      <c r="J571" s="455"/>
      <c r="K571" s="455" t="s">
        <v>4</v>
      </c>
      <c r="L571" s="455"/>
    </row>
    <row r="572" spans="1:12" ht="12" customHeight="1" x14ac:dyDescent="0.35">
      <c r="B572" s="451" t="s">
        <v>409</v>
      </c>
      <c r="C572" s="451" t="s">
        <v>410</v>
      </c>
      <c r="D572" s="452" t="s">
        <v>411</v>
      </c>
      <c r="E572" s="451" t="s">
        <v>412</v>
      </c>
      <c r="F572" s="451" t="s">
        <v>413</v>
      </c>
      <c r="G572" s="77" t="s">
        <v>414</v>
      </c>
      <c r="H572" s="77" t="s">
        <v>415</v>
      </c>
      <c r="I572" s="78" t="s">
        <v>414</v>
      </c>
      <c r="J572" s="79" t="s">
        <v>415</v>
      </c>
      <c r="K572" s="79" t="s">
        <v>414</v>
      </c>
      <c r="L572" s="79" t="s">
        <v>415</v>
      </c>
    </row>
    <row r="573" spans="1:12" ht="12" customHeight="1" x14ac:dyDescent="0.35">
      <c r="B573" s="451"/>
      <c r="C573" s="451"/>
      <c r="D573" s="453"/>
      <c r="E573" s="451"/>
      <c r="F573" s="451"/>
      <c r="G573" s="77" t="s">
        <v>17</v>
      </c>
      <c r="H573" s="77" t="s">
        <v>416</v>
      </c>
      <c r="I573" s="78" t="s">
        <v>17</v>
      </c>
      <c r="J573" s="79" t="s">
        <v>416</v>
      </c>
      <c r="K573" s="79" t="s">
        <v>17</v>
      </c>
      <c r="L573" s="79" t="s">
        <v>416</v>
      </c>
    </row>
    <row r="574" spans="1:12" ht="12" customHeight="1" x14ac:dyDescent="0.35">
      <c r="B574" s="451"/>
      <c r="C574" s="451"/>
      <c r="D574" s="454"/>
      <c r="E574" s="451"/>
      <c r="F574" s="451"/>
      <c r="G574" s="106"/>
      <c r="H574" s="77" t="s">
        <v>17</v>
      </c>
      <c r="I574" s="94"/>
      <c r="J574" s="79" t="s">
        <v>17</v>
      </c>
      <c r="K574" s="85"/>
      <c r="L574" s="79" t="s">
        <v>17</v>
      </c>
    </row>
    <row r="575" spans="1:12" ht="12" customHeight="1" x14ac:dyDescent="0.35">
      <c r="B575" s="80" t="s">
        <v>5</v>
      </c>
      <c r="C575" s="81" t="s">
        <v>417</v>
      </c>
      <c r="D575" s="82"/>
      <c r="E575" s="82"/>
      <c r="F575" s="82"/>
      <c r="G575" s="82"/>
      <c r="H575" s="82"/>
      <c r="I575" s="83"/>
      <c r="J575" s="83"/>
      <c r="K575" s="83"/>
      <c r="L575" s="83"/>
    </row>
    <row r="576" spans="1:12" ht="12" customHeight="1" x14ac:dyDescent="0.35">
      <c r="A576" s="134">
        <v>10111000</v>
      </c>
      <c r="B576" s="84"/>
      <c r="C576" s="85" t="s">
        <v>1885</v>
      </c>
      <c r="D576" s="84" t="s">
        <v>418</v>
      </c>
      <c r="E576" s="84" t="str">
        <f>VLOOKUP(C576,HSD!B:K,2,FALSE)</f>
        <v>OJ</v>
      </c>
      <c r="F576" s="86">
        <v>1.2999999999999999E-3</v>
      </c>
      <c r="G576" s="87">
        <f>VLOOKUP(C576,HSD!B:K,10,FALSE)</f>
        <v>18750</v>
      </c>
      <c r="H576" s="87">
        <f>F576*G576</f>
        <v>24.375</v>
      </c>
      <c r="I576" s="87">
        <v>78600</v>
      </c>
      <c r="J576" s="87">
        <f>F576*I576</f>
        <v>102.17999999999999</v>
      </c>
      <c r="K576" s="87">
        <v>78600</v>
      </c>
      <c r="L576" s="87">
        <f>F576*K576</f>
        <v>102.17999999999999</v>
      </c>
    </row>
    <row r="577" spans="1:12" ht="12" customHeight="1" x14ac:dyDescent="0.35">
      <c r="A577" s="134">
        <v>10121110</v>
      </c>
      <c r="B577" s="84"/>
      <c r="C577" s="85" t="s">
        <v>1887</v>
      </c>
      <c r="D577" s="84" t="s">
        <v>419</v>
      </c>
      <c r="E577" s="84" t="str">
        <f>VLOOKUP(C577,HSD!B:K,2,FALSE)</f>
        <v>OJ</v>
      </c>
      <c r="F577" s="86">
        <v>6.7999999999999996E-3</v>
      </c>
      <c r="G577" s="87">
        <f>VLOOKUP(C577,HSD!B:K,10,FALSE)</f>
        <v>16250</v>
      </c>
      <c r="H577" s="87">
        <f>F577*G577</f>
        <v>110.5</v>
      </c>
      <c r="I577" s="87">
        <v>91500</v>
      </c>
      <c r="J577" s="87">
        <f>F577*I577</f>
        <v>622.19999999999993</v>
      </c>
      <c r="K577" s="87">
        <v>91500</v>
      </c>
      <c r="L577" s="87">
        <f>F577*K577</f>
        <v>622.19999999999993</v>
      </c>
    </row>
    <row r="578" spans="1:12" ht="12" customHeight="1" x14ac:dyDescent="0.35">
      <c r="A578" s="134">
        <v>10131000</v>
      </c>
      <c r="B578" s="84"/>
      <c r="C578" s="85" t="s">
        <v>1888</v>
      </c>
      <c r="D578" s="84" t="s">
        <v>420</v>
      </c>
      <c r="E578" s="84" t="str">
        <f>VLOOKUP(C578,HSD!B:K,2,FALSE)</f>
        <v>OJ</v>
      </c>
      <c r="F578" s="86">
        <v>1.35E-2</v>
      </c>
      <c r="G578" s="87">
        <f>VLOOKUP(C578,HSD!B:K,10,FALSE)</f>
        <v>15000</v>
      </c>
      <c r="H578" s="87">
        <f>F578*G578</f>
        <v>202.5</v>
      </c>
      <c r="I578" s="87">
        <v>92500</v>
      </c>
      <c r="J578" s="87">
        <f>F578*I578</f>
        <v>1248.75</v>
      </c>
      <c r="K578" s="87">
        <v>92500</v>
      </c>
      <c r="L578" s="87">
        <f>F578*K578</f>
        <v>1248.75</v>
      </c>
    </row>
    <row r="579" spans="1:12" ht="12" customHeight="1" x14ac:dyDescent="0.35">
      <c r="B579" s="84"/>
      <c r="C579" s="85"/>
      <c r="D579" s="84"/>
      <c r="E579" s="84"/>
      <c r="F579" s="86"/>
      <c r="G579" s="87"/>
      <c r="H579" s="87"/>
      <c r="I579" s="87"/>
      <c r="J579" s="87"/>
      <c r="K579" s="87"/>
      <c r="L579" s="87"/>
    </row>
    <row r="580" spans="1:12" ht="12" customHeight="1" x14ac:dyDescent="0.35">
      <c r="B580" s="84"/>
      <c r="C580" s="88"/>
      <c r="D580" s="79"/>
      <c r="E580" s="79"/>
      <c r="F580" s="89" t="s">
        <v>421</v>
      </c>
      <c r="G580" s="101"/>
      <c r="H580" s="87">
        <f>SUM(H576:H579)</f>
        <v>337.375</v>
      </c>
      <c r="I580" s="101"/>
      <c r="J580" s="87">
        <f>SUM(J576:J579)</f>
        <v>1973.1299999999999</v>
      </c>
      <c r="K580" s="101"/>
      <c r="L580" s="87">
        <f>SUM(L576:L579)</f>
        <v>1973.1299999999999</v>
      </c>
    </row>
    <row r="581" spans="1:12" ht="12" customHeight="1" x14ac:dyDescent="0.35">
      <c r="B581" s="84" t="s">
        <v>6</v>
      </c>
      <c r="C581" s="88" t="s">
        <v>422</v>
      </c>
      <c r="D581" s="79"/>
      <c r="E581" s="79"/>
      <c r="F581" s="90"/>
      <c r="G581" s="84"/>
      <c r="H581" s="87"/>
      <c r="I581" s="84"/>
      <c r="J581" s="87"/>
      <c r="K581" s="84"/>
      <c r="L581" s="87"/>
    </row>
    <row r="582" spans="1:12" ht="12" customHeight="1" x14ac:dyDescent="0.35">
      <c r="B582" s="84"/>
      <c r="C582" s="85"/>
      <c r="D582" s="84"/>
      <c r="E582" s="84"/>
      <c r="F582" s="86"/>
      <c r="G582" s="87"/>
      <c r="H582" s="87">
        <f>F582*G582</f>
        <v>0</v>
      </c>
      <c r="I582" s="87">
        <v>232500</v>
      </c>
      <c r="J582" s="87">
        <f>F582*I582</f>
        <v>0</v>
      </c>
      <c r="K582" s="87">
        <v>270000</v>
      </c>
      <c r="L582" s="87">
        <f>F582*K582</f>
        <v>0</v>
      </c>
    </row>
    <row r="583" spans="1:12" ht="12" customHeight="1" x14ac:dyDescent="0.35">
      <c r="B583" s="84"/>
      <c r="C583" s="88"/>
      <c r="D583" s="79"/>
      <c r="E583" s="84"/>
      <c r="F583" s="102"/>
      <c r="G583" s="87"/>
      <c r="H583" s="87">
        <f>F583*G583</f>
        <v>0</v>
      </c>
      <c r="I583" s="87">
        <v>1060</v>
      </c>
      <c r="J583" s="87">
        <f>F583*I583</f>
        <v>0</v>
      </c>
      <c r="K583" s="87">
        <v>1060</v>
      </c>
      <c r="L583" s="87">
        <f>F583*K583</f>
        <v>0</v>
      </c>
    </row>
    <row r="584" spans="1:12" ht="12" customHeight="1" x14ac:dyDescent="0.35">
      <c r="B584" s="84"/>
      <c r="C584" s="88"/>
      <c r="D584" s="79"/>
      <c r="E584" s="84"/>
      <c r="F584" s="102"/>
      <c r="G584" s="87"/>
      <c r="H584" s="87">
        <f>F584*G584</f>
        <v>0</v>
      </c>
      <c r="I584" s="87">
        <v>215000</v>
      </c>
      <c r="J584" s="87">
        <f>F584*I584</f>
        <v>0</v>
      </c>
      <c r="K584" s="87">
        <v>250000</v>
      </c>
      <c r="L584" s="87">
        <f>F584*K584</f>
        <v>0</v>
      </c>
    </row>
    <row r="585" spans="1:12" ht="12" customHeight="1" x14ac:dyDescent="0.35">
      <c r="B585" s="84"/>
      <c r="C585" s="88"/>
      <c r="D585" s="79"/>
      <c r="E585" s="79"/>
      <c r="F585" s="89"/>
      <c r="G585" s="101"/>
      <c r="H585" s="87">
        <f>SUM(H582:H584)</f>
        <v>0</v>
      </c>
      <c r="I585" s="101"/>
      <c r="J585" s="87">
        <f>SUM(J582:J584)</f>
        <v>0</v>
      </c>
      <c r="K585" s="101"/>
      <c r="L585" s="87">
        <f>SUM(L582:L584)</f>
        <v>0</v>
      </c>
    </row>
    <row r="586" spans="1:12" ht="12" customHeight="1" x14ac:dyDescent="0.35">
      <c r="B586" s="84" t="s">
        <v>7</v>
      </c>
      <c r="C586" s="88" t="s">
        <v>424</v>
      </c>
      <c r="D586" s="79"/>
      <c r="E586" s="79"/>
      <c r="F586" s="90"/>
      <c r="G586" s="84"/>
      <c r="H586" s="87"/>
      <c r="I586" s="84"/>
      <c r="J586" s="87"/>
      <c r="K586" s="84"/>
      <c r="L586" s="87"/>
    </row>
    <row r="587" spans="1:12" ht="12" customHeight="1" x14ac:dyDescent="0.35">
      <c r="A587" s="134">
        <v>31100008</v>
      </c>
      <c r="B587" s="84"/>
      <c r="C587" s="85" t="s">
        <v>1836</v>
      </c>
      <c r="D587" s="84" t="s">
        <v>418</v>
      </c>
      <c r="E587" s="84" t="str">
        <f>VLOOKUP(C587,HSD!B:K,2,FALSE)</f>
        <v>jam</v>
      </c>
      <c r="F587" s="128">
        <v>6.7999999999999996E-3</v>
      </c>
      <c r="G587" s="87">
        <f>VLOOKUP(C587,HSD!B:K,10,FALSE)</f>
        <v>1053489.6200000001</v>
      </c>
      <c r="H587" s="87">
        <f>F587*G587</f>
        <v>7163.7294160000001</v>
      </c>
      <c r="I587" s="87"/>
      <c r="J587" s="87">
        <f>H587*I587</f>
        <v>0</v>
      </c>
      <c r="K587" s="87"/>
      <c r="L587" s="87">
        <f>J587*K587</f>
        <v>0</v>
      </c>
    </row>
    <row r="588" spans="1:12" ht="12" customHeight="1" x14ac:dyDescent="0.35">
      <c r="B588" s="84"/>
      <c r="C588" s="88"/>
      <c r="D588" s="79"/>
      <c r="E588" s="79"/>
      <c r="F588" s="90"/>
      <c r="G588" s="87"/>
      <c r="H588" s="87"/>
      <c r="I588" s="87"/>
      <c r="J588" s="87"/>
      <c r="K588" s="87"/>
      <c r="L588" s="87"/>
    </row>
    <row r="589" spans="1:12" ht="12" customHeight="1" x14ac:dyDescent="0.35">
      <c r="B589" s="84"/>
      <c r="C589" s="88"/>
      <c r="D589" s="79"/>
      <c r="E589" s="79"/>
      <c r="F589" s="90"/>
      <c r="G589" s="87"/>
      <c r="H589" s="87">
        <f>F589*G589</f>
        <v>0</v>
      </c>
      <c r="I589" s="87"/>
      <c r="J589" s="87"/>
      <c r="K589" s="87"/>
      <c r="L589" s="87"/>
    </row>
    <row r="590" spans="1:12" ht="12" customHeight="1" x14ac:dyDescent="0.35">
      <c r="B590" s="84"/>
      <c r="C590" s="88"/>
      <c r="D590" s="79"/>
      <c r="E590" s="79"/>
      <c r="F590" s="89" t="s">
        <v>425</v>
      </c>
      <c r="G590" s="101"/>
      <c r="H590" s="87">
        <f>SUM(H587:H589)</f>
        <v>7163.7294160000001</v>
      </c>
      <c r="I590" s="101"/>
      <c r="J590" s="87">
        <f>SUM(J587)</f>
        <v>0</v>
      </c>
      <c r="K590" s="101"/>
      <c r="L590" s="87">
        <f>SUM(L587)</f>
        <v>0</v>
      </c>
    </row>
    <row r="591" spans="1:12" ht="12" customHeight="1" x14ac:dyDescent="0.35">
      <c r="B591" s="84" t="s">
        <v>8</v>
      </c>
      <c r="C591" s="103" t="s">
        <v>426</v>
      </c>
      <c r="D591" s="104"/>
      <c r="E591" s="104"/>
      <c r="F591" s="104"/>
      <c r="G591" s="105"/>
      <c r="H591" s="87">
        <f>H580+H585+H590</f>
        <v>7501.1044160000001</v>
      </c>
      <c r="I591" s="105"/>
      <c r="J591" s="87">
        <f>J580+J585+J590</f>
        <v>1973.1299999999999</v>
      </c>
      <c r="K591" s="105"/>
      <c r="L591" s="87">
        <f>L580+L585+L590</f>
        <v>1973.1299999999999</v>
      </c>
    </row>
    <row r="592" spans="1:12" ht="12" customHeight="1" x14ac:dyDescent="0.35">
      <c r="B592" s="84" t="s">
        <v>9</v>
      </c>
      <c r="C592" s="455" t="s">
        <v>427</v>
      </c>
      <c r="D592" s="455"/>
      <c r="E592" s="455"/>
      <c r="F592" s="95">
        <f>0</f>
        <v>0</v>
      </c>
      <c r="G592" s="85" t="s">
        <v>428</v>
      </c>
      <c r="H592" s="87">
        <f>H591*F592</f>
        <v>0</v>
      </c>
      <c r="I592" s="85" t="s">
        <v>428</v>
      </c>
      <c r="J592" s="87">
        <f>J591*F592</f>
        <v>0</v>
      </c>
      <c r="K592" s="85" t="s">
        <v>428</v>
      </c>
      <c r="L592" s="87">
        <f>L591*F592</f>
        <v>0</v>
      </c>
    </row>
    <row r="593" spans="1:12" ht="12" customHeight="1" x14ac:dyDescent="0.35">
      <c r="B593" s="84" t="s">
        <v>10</v>
      </c>
      <c r="C593" s="103" t="s">
        <v>429</v>
      </c>
      <c r="D593" s="104"/>
      <c r="E593" s="104"/>
      <c r="F593" s="104"/>
      <c r="G593" s="105"/>
      <c r="H593" s="96">
        <f>H591+H592</f>
        <v>7501.1044160000001</v>
      </c>
      <c r="I593" s="97"/>
      <c r="J593" s="96">
        <f>J591+J592</f>
        <v>1973.1299999999999</v>
      </c>
      <c r="K593" s="97"/>
      <c r="L593" s="96">
        <f>L591+L592</f>
        <v>1973.1299999999999</v>
      </c>
    </row>
    <row r="595" spans="1:12" ht="29" customHeight="1" x14ac:dyDescent="0.35">
      <c r="B595" s="76" t="s">
        <v>542</v>
      </c>
      <c r="C595" s="458" t="s">
        <v>541</v>
      </c>
      <c r="D595" s="459"/>
      <c r="E595" s="459"/>
      <c r="F595" s="459"/>
      <c r="G595" s="456"/>
      <c r="H595" s="457"/>
      <c r="I595" s="455" t="s">
        <v>3</v>
      </c>
      <c r="J595" s="455"/>
      <c r="K595" s="455" t="s">
        <v>4</v>
      </c>
      <c r="L595" s="455"/>
    </row>
    <row r="596" spans="1:12" ht="12" customHeight="1" x14ac:dyDescent="0.35">
      <c r="B596" s="451" t="s">
        <v>409</v>
      </c>
      <c r="C596" s="451" t="s">
        <v>410</v>
      </c>
      <c r="D596" s="452" t="s">
        <v>411</v>
      </c>
      <c r="E596" s="451" t="s">
        <v>412</v>
      </c>
      <c r="F596" s="451" t="s">
        <v>413</v>
      </c>
      <c r="G596" s="77" t="s">
        <v>414</v>
      </c>
      <c r="H596" s="77" t="s">
        <v>415</v>
      </c>
      <c r="I596" s="78" t="s">
        <v>414</v>
      </c>
      <c r="J596" s="79" t="s">
        <v>415</v>
      </c>
      <c r="K596" s="79" t="s">
        <v>414</v>
      </c>
      <c r="L596" s="79" t="s">
        <v>415</v>
      </c>
    </row>
    <row r="597" spans="1:12" ht="12" customHeight="1" x14ac:dyDescent="0.35">
      <c r="B597" s="451"/>
      <c r="C597" s="451"/>
      <c r="D597" s="453"/>
      <c r="E597" s="451"/>
      <c r="F597" s="451"/>
      <c r="G597" s="77" t="s">
        <v>17</v>
      </c>
      <c r="H597" s="77" t="s">
        <v>416</v>
      </c>
      <c r="I597" s="78" t="s">
        <v>17</v>
      </c>
      <c r="J597" s="79" t="s">
        <v>416</v>
      </c>
      <c r="K597" s="79" t="s">
        <v>17</v>
      </c>
      <c r="L597" s="79" t="s">
        <v>416</v>
      </c>
    </row>
    <row r="598" spans="1:12" ht="12" customHeight="1" x14ac:dyDescent="0.35">
      <c r="B598" s="451"/>
      <c r="C598" s="451"/>
      <c r="D598" s="454"/>
      <c r="E598" s="451"/>
      <c r="F598" s="451"/>
      <c r="G598" s="106"/>
      <c r="H598" s="77" t="s">
        <v>17</v>
      </c>
      <c r="I598" s="94"/>
      <c r="J598" s="79" t="s">
        <v>17</v>
      </c>
      <c r="K598" s="85"/>
      <c r="L598" s="79" t="s">
        <v>17</v>
      </c>
    </row>
    <row r="599" spans="1:12" ht="12" customHeight="1" x14ac:dyDescent="0.35">
      <c r="B599" s="80" t="s">
        <v>5</v>
      </c>
      <c r="C599" s="81" t="s">
        <v>417</v>
      </c>
      <c r="D599" s="82"/>
      <c r="E599" s="82"/>
      <c r="F599" s="82"/>
      <c r="G599" s="82"/>
      <c r="H599" s="82"/>
      <c r="I599" s="83"/>
      <c r="J599" s="83"/>
      <c r="K599" s="83"/>
      <c r="L599" s="83"/>
    </row>
    <row r="600" spans="1:12" ht="12" customHeight="1" x14ac:dyDescent="0.35">
      <c r="A600" s="134">
        <v>10111000</v>
      </c>
      <c r="B600" s="84"/>
      <c r="C600" s="85" t="s">
        <v>1885</v>
      </c>
      <c r="D600" s="84" t="s">
        <v>418</v>
      </c>
      <c r="E600" s="84" t="str">
        <f>VLOOKUP(C600,HSD!B:K,2,FALSE)</f>
        <v>OJ</v>
      </c>
      <c r="F600" s="86">
        <v>1.5E-3</v>
      </c>
      <c r="G600" s="87">
        <f>VLOOKUP(C600,HSD!B:K,10,FALSE)</f>
        <v>18750</v>
      </c>
      <c r="H600" s="87">
        <f>F600*G600</f>
        <v>28.125</v>
      </c>
      <c r="I600" s="87">
        <v>78600</v>
      </c>
      <c r="J600" s="87">
        <f>F600*I600</f>
        <v>117.9</v>
      </c>
      <c r="K600" s="87">
        <v>78600</v>
      </c>
      <c r="L600" s="87">
        <f>F600*K600</f>
        <v>117.9</v>
      </c>
    </row>
    <row r="601" spans="1:12" ht="12" customHeight="1" x14ac:dyDescent="0.35">
      <c r="A601" s="134">
        <v>10121110</v>
      </c>
      <c r="B601" s="84"/>
      <c r="C601" s="85" t="s">
        <v>1887</v>
      </c>
      <c r="D601" s="84" t="s">
        <v>419</v>
      </c>
      <c r="E601" s="84" t="str">
        <f>VLOOKUP(C601,HSD!B:K,2,FALSE)</f>
        <v>OJ</v>
      </c>
      <c r="F601" s="86">
        <v>7.4999999999999997E-3</v>
      </c>
      <c r="G601" s="87">
        <f>VLOOKUP(C601,HSD!B:K,10,FALSE)</f>
        <v>16250</v>
      </c>
      <c r="H601" s="87">
        <f>F601*G601</f>
        <v>121.875</v>
      </c>
      <c r="I601" s="87">
        <v>91500</v>
      </c>
      <c r="J601" s="87">
        <f>F601*I601</f>
        <v>686.25</v>
      </c>
      <c r="K601" s="87">
        <v>91500</v>
      </c>
      <c r="L601" s="87">
        <f>F601*K601</f>
        <v>686.25</v>
      </c>
    </row>
    <row r="602" spans="1:12" ht="12" customHeight="1" x14ac:dyDescent="0.35">
      <c r="A602" s="134">
        <v>10131000</v>
      </c>
      <c r="B602" s="84"/>
      <c r="C602" s="85" t="s">
        <v>1888</v>
      </c>
      <c r="D602" s="84" t="s">
        <v>420</v>
      </c>
      <c r="E602" s="84" t="str">
        <f>VLOOKUP(C602,HSD!B:K,2,FALSE)</f>
        <v>OJ</v>
      </c>
      <c r="F602" s="86">
        <v>1.4999999999999999E-2</v>
      </c>
      <c r="G602" s="87">
        <f>VLOOKUP(C602,HSD!B:K,10,FALSE)</f>
        <v>15000</v>
      </c>
      <c r="H602" s="87">
        <f>F602*G602</f>
        <v>225</v>
      </c>
      <c r="I602" s="87">
        <v>92500</v>
      </c>
      <c r="J602" s="87">
        <f>F602*I602</f>
        <v>1387.5</v>
      </c>
      <c r="K602" s="87">
        <v>92500</v>
      </c>
      <c r="L602" s="87">
        <f>F602*K602</f>
        <v>1387.5</v>
      </c>
    </row>
    <row r="603" spans="1:12" ht="12" customHeight="1" x14ac:dyDescent="0.35">
      <c r="B603" s="84"/>
      <c r="C603" s="85"/>
      <c r="D603" s="84"/>
      <c r="E603" s="84"/>
      <c r="F603" s="86"/>
      <c r="G603" s="87"/>
      <c r="H603" s="87"/>
      <c r="I603" s="87"/>
      <c r="J603" s="87"/>
      <c r="K603" s="87"/>
      <c r="L603" s="87"/>
    </row>
    <row r="604" spans="1:12" ht="12" customHeight="1" x14ac:dyDescent="0.35">
      <c r="B604" s="84"/>
      <c r="C604" s="88"/>
      <c r="D604" s="79"/>
      <c r="E604" s="79"/>
      <c r="F604" s="89" t="s">
        <v>421</v>
      </c>
      <c r="G604" s="101"/>
      <c r="H604" s="87">
        <f>SUM(H600:H603)</f>
        <v>375</v>
      </c>
      <c r="I604" s="101"/>
      <c r="J604" s="87">
        <f>SUM(J600:J603)</f>
        <v>2191.65</v>
      </c>
      <c r="K604" s="101"/>
      <c r="L604" s="87">
        <f>SUM(L600:L603)</f>
        <v>2191.65</v>
      </c>
    </row>
    <row r="605" spans="1:12" ht="12" customHeight="1" x14ac:dyDescent="0.35">
      <c r="B605" s="84" t="s">
        <v>6</v>
      </c>
      <c r="C605" s="88" t="s">
        <v>422</v>
      </c>
      <c r="D605" s="79"/>
      <c r="E605" s="79"/>
      <c r="F605" s="90"/>
      <c r="G605" s="84"/>
      <c r="H605" s="87"/>
      <c r="I605" s="84"/>
      <c r="J605" s="87"/>
      <c r="K605" s="84"/>
      <c r="L605" s="87"/>
    </row>
    <row r="606" spans="1:12" ht="12" customHeight="1" x14ac:dyDescent="0.35">
      <c r="B606" s="84"/>
      <c r="C606" s="85"/>
      <c r="D606" s="84"/>
      <c r="E606" s="84"/>
      <c r="F606" s="86"/>
      <c r="G606" s="87"/>
      <c r="H606" s="87">
        <f>F606*G606</f>
        <v>0</v>
      </c>
      <c r="I606" s="87">
        <v>232500</v>
      </c>
      <c r="J606" s="87">
        <f>F606*I606</f>
        <v>0</v>
      </c>
      <c r="K606" s="87">
        <v>270000</v>
      </c>
      <c r="L606" s="87">
        <f>F606*K606</f>
        <v>0</v>
      </c>
    </row>
    <row r="607" spans="1:12" ht="12" customHeight="1" x14ac:dyDescent="0.35">
      <c r="B607" s="84"/>
      <c r="C607" s="88"/>
      <c r="D607" s="79"/>
      <c r="E607" s="84"/>
      <c r="F607" s="102"/>
      <c r="G607" s="87"/>
      <c r="H607" s="87">
        <f>F607*G607</f>
        <v>0</v>
      </c>
      <c r="I607" s="87">
        <v>1060</v>
      </c>
      <c r="J607" s="87">
        <f>F607*I607</f>
        <v>0</v>
      </c>
      <c r="K607" s="87">
        <v>1060</v>
      </c>
      <c r="L607" s="87">
        <f>F607*K607</f>
        <v>0</v>
      </c>
    </row>
    <row r="608" spans="1:12" ht="12" customHeight="1" x14ac:dyDescent="0.35">
      <c r="B608" s="84"/>
      <c r="C608" s="88"/>
      <c r="D608" s="79"/>
      <c r="E608" s="84"/>
      <c r="F608" s="102"/>
      <c r="G608" s="87"/>
      <c r="H608" s="87">
        <f>F608*G608</f>
        <v>0</v>
      </c>
      <c r="I608" s="87">
        <v>215000</v>
      </c>
      <c r="J608" s="87">
        <f>F608*I608</f>
        <v>0</v>
      </c>
      <c r="K608" s="87">
        <v>250000</v>
      </c>
      <c r="L608" s="87">
        <f>F608*K608</f>
        <v>0</v>
      </c>
    </row>
    <row r="609" spans="1:12" ht="12" customHeight="1" x14ac:dyDescent="0.35">
      <c r="B609" s="84"/>
      <c r="C609" s="88"/>
      <c r="D609" s="79"/>
      <c r="E609" s="79"/>
      <c r="F609" s="89"/>
      <c r="G609" s="101"/>
      <c r="H609" s="87">
        <f>SUM(H606:H608)</f>
        <v>0</v>
      </c>
      <c r="I609" s="101"/>
      <c r="J609" s="87">
        <f>SUM(J606:J608)</f>
        <v>0</v>
      </c>
      <c r="K609" s="101"/>
      <c r="L609" s="87">
        <f>SUM(L606:L608)</f>
        <v>0</v>
      </c>
    </row>
    <row r="610" spans="1:12" ht="12" customHeight="1" x14ac:dyDescent="0.35">
      <c r="B610" s="84" t="s">
        <v>7</v>
      </c>
      <c r="C610" s="88" t="s">
        <v>424</v>
      </c>
      <c r="D610" s="79"/>
      <c r="E610" s="79"/>
      <c r="F610" s="90"/>
      <c r="G610" s="84"/>
      <c r="H610" s="87"/>
      <c r="I610" s="84"/>
      <c r="J610" s="87"/>
      <c r="K610" s="84"/>
      <c r="L610" s="87"/>
    </row>
    <row r="611" spans="1:12" ht="12" customHeight="1" x14ac:dyDescent="0.35">
      <c r="A611" s="134">
        <v>31100008</v>
      </c>
      <c r="B611" s="84"/>
      <c r="C611" s="85" t="s">
        <v>1836</v>
      </c>
      <c r="D611" s="84" t="s">
        <v>418</v>
      </c>
      <c r="E611" s="84" t="str">
        <f>VLOOKUP(C611,HSD!B:K,2,FALSE)</f>
        <v>jam</v>
      </c>
      <c r="F611" s="128">
        <v>7.4999999999999997E-3</v>
      </c>
      <c r="G611" s="87">
        <f>VLOOKUP(C611,HSD!B:K,10,FALSE)</f>
        <v>1053489.6200000001</v>
      </c>
      <c r="H611" s="87">
        <f>F611*G611</f>
        <v>7901.1721500000003</v>
      </c>
      <c r="I611" s="87"/>
      <c r="J611" s="87">
        <f>H611*I611</f>
        <v>0</v>
      </c>
      <c r="K611" s="87"/>
      <c r="L611" s="87">
        <f>J611*K611</f>
        <v>0</v>
      </c>
    </row>
    <row r="612" spans="1:12" ht="12" customHeight="1" x14ac:dyDescent="0.35">
      <c r="B612" s="84"/>
      <c r="C612" s="88"/>
      <c r="D612" s="79"/>
      <c r="E612" s="79"/>
      <c r="F612" s="90"/>
      <c r="G612" s="87"/>
      <c r="H612" s="87"/>
      <c r="I612" s="87"/>
      <c r="J612" s="87"/>
      <c r="K612" s="87"/>
      <c r="L612" s="87"/>
    </row>
    <row r="613" spans="1:12" ht="12" customHeight="1" x14ac:dyDescent="0.35">
      <c r="B613" s="84"/>
      <c r="C613" s="88"/>
      <c r="D613" s="79"/>
      <c r="E613" s="79"/>
      <c r="F613" s="90"/>
      <c r="G613" s="87"/>
      <c r="H613" s="87">
        <f>F613*G613</f>
        <v>0</v>
      </c>
      <c r="I613" s="87"/>
      <c r="J613" s="87"/>
      <c r="K613" s="87"/>
      <c r="L613" s="87"/>
    </row>
    <row r="614" spans="1:12" ht="12" customHeight="1" x14ac:dyDescent="0.35">
      <c r="B614" s="84"/>
      <c r="C614" s="88"/>
      <c r="D614" s="79"/>
      <c r="E614" s="79"/>
      <c r="F614" s="89" t="s">
        <v>425</v>
      </c>
      <c r="G614" s="101"/>
      <c r="H614" s="87">
        <f>SUM(H611:H613)</f>
        <v>7901.1721500000003</v>
      </c>
      <c r="I614" s="101"/>
      <c r="J614" s="87">
        <f>SUM(J611)</f>
        <v>0</v>
      </c>
      <c r="K614" s="101"/>
      <c r="L614" s="87">
        <f>SUM(L611)</f>
        <v>0</v>
      </c>
    </row>
    <row r="615" spans="1:12" ht="12" customHeight="1" x14ac:dyDescent="0.35">
      <c r="B615" s="84" t="s">
        <v>8</v>
      </c>
      <c r="C615" s="103" t="s">
        <v>426</v>
      </c>
      <c r="D615" s="104"/>
      <c r="E615" s="104"/>
      <c r="F615" s="104"/>
      <c r="G615" s="105"/>
      <c r="H615" s="87">
        <f>H604+H609+H614</f>
        <v>8276.1721500000003</v>
      </c>
      <c r="I615" s="105"/>
      <c r="J615" s="87">
        <f>J604+J609+J614</f>
        <v>2191.65</v>
      </c>
      <c r="K615" s="105"/>
      <c r="L615" s="87">
        <f>L604+L609+L614</f>
        <v>2191.65</v>
      </c>
    </row>
    <row r="616" spans="1:12" ht="12" customHeight="1" x14ac:dyDescent="0.35">
      <c r="B616" s="84" t="s">
        <v>9</v>
      </c>
      <c r="C616" s="455" t="s">
        <v>427</v>
      </c>
      <c r="D616" s="455"/>
      <c r="E616" s="455"/>
      <c r="F616" s="95">
        <f>0</f>
        <v>0</v>
      </c>
      <c r="G616" s="85" t="s">
        <v>428</v>
      </c>
      <c r="H616" s="87">
        <f>H615*F616</f>
        <v>0</v>
      </c>
      <c r="I616" s="85" t="s">
        <v>428</v>
      </c>
      <c r="J616" s="87">
        <f>J615*F616</f>
        <v>0</v>
      </c>
      <c r="K616" s="85" t="s">
        <v>428</v>
      </c>
      <c r="L616" s="87">
        <f>L615*F616</f>
        <v>0</v>
      </c>
    </row>
    <row r="617" spans="1:12" ht="12" customHeight="1" x14ac:dyDescent="0.35">
      <c r="B617" s="84" t="s">
        <v>10</v>
      </c>
      <c r="C617" s="103" t="s">
        <v>429</v>
      </c>
      <c r="D617" s="104"/>
      <c r="E617" s="104"/>
      <c r="F617" s="104"/>
      <c r="G617" s="105"/>
      <c r="H617" s="96">
        <f>H615+H616</f>
        <v>8276.1721500000003</v>
      </c>
      <c r="I617" s="97"/>
      <c r="J617" s="96">
        <f>J615+J616</f>
        <v>2191.65</v>
      </c>
      <c r="K617" s="97"/>
      <c r="L617" s="96">
        <f>L615+L616</f>
        <v>2191.65</v>
      </c>
    </row>
    <row r="619" spans="1:12" ht="29" customHeight="1" x14ac:dyDescent="0.35">
      <c r="B619" s="76" t="s">
        <v>543</v>
      </c>
      <c r="C619" s="458" t="s">
        <v>544</v>
      </c>
      <c r="D619" s="459"/>
      <c r="E619" s="459"/>
      <c r="F619" s="459"/>
      <c r="G619" s="456"/>
      <c r="H619" s="457"/>
      <c r="I619" s="455" t="s">
        <v>3</v>
      </c>
      <c r="J619" s="455"/>
      <c r="K619" s="455" t="s">
        <v>4</v>
      </c>
      <c r="L619" s="455"/>
    </row>
    <row r="620" spans="1:12" ht="12" customHeight="1" x14ac:dyDescent="0.35">
      <c r="B620" s="451" t="s">
        <v>409</v>
      </c>
      <c r="C620" s="451" t="s">
        <v>410</v>
      </c>
      <c r="D620" s="452" t="s">
        <v>411</v>
      </c>
      <c r="E620" s="451" t="s">
        <v>412</v>
      </c>
      <c r="F620" s="451" t="s">
        <v>413</v>
      </c>
      <c r="G620" s="77" t="s">
        <v>414</v>
      </c>
      <c r="H620" s="77" t="s">
        <v>415</v>
      </c>
      <c r="I620" s="78" t="s">
        <v>414</v>
      </c>
      <c r="J620" s="79" t="s">
        <v>415</v>
      </c>
      <c r="K620" s="79" t="s">
        <v>414</v>
      </c>
      <c r="L620" s="79" t="s">
        <v>415</v>
      </c>
    </row>
    <row r="621" spans="1:12" ht="12" customHeight="1" x14ac:dyDescent="0.35">
      <c r="B621" s="451"/>
      <c r="C621" s="451"/>
      <c r="D621" s="453"/>
      <c r="E621" s="451"/>
      <c r="F621" s="451"/>
      <c r="G621" s="77" t="s">
        <v>17</v>
      </c>
      <c r="H621" s="77" t="s">
        <v>416</v>
      </c>
      <c r="I621" s="78" t="s">
        <v>17</v>
      </c>
      <c r="J621" s="79" t="s">
        <v>416</v>
      </c>
      <c r="K621" s="79" t="s">
        <v>17</v>
      </c>
      <c r="L621" s="79" t="s">
        <v>416</v>
      </c>
    </row>
    <row r="622" spans="1:12" ht="12" customHeight="1" x14ac:dyDescent="0.35">
      <c r="B622" s="451"/>
      <c r="C622" s="451"/>
      <c r="D622" s="454"/>
      <c r="E622" s="451"/>
      <c r="F622" s="451"/>
      <c r="G622" s="106"/>
      <c r="H622" s="77" t="s">
        <v>17</v>
      </c>
      <c r="I622" s="94"/>
      <c r="J622" s="79" t="s">
        <v>17</v>
      </c>
      <c r="K622" s="85"/>
      <c r="L622" s="79" t="s">
        <v>17</v>
      </c>
    </row>
    <row r="623" spans="1:12" ht="12" customHeight="1" x14ac:dyDescent="0.35">
      <c r="B623" s="80" t="s">
        <v>5</v>
      </c>
      <c r="C623" s="81" t="s">
        <v>417</v>
      </c>
      <c r="D623" s="82"/>
      <c r="E623" s="82"/>
      <c r="F623" s="82"/>
      <c r="G623" s="82"/>
      <c r="H623" s="82"/>
      <c r="I623" s="83"/>
      <c r="J623" s="83"/>
      <c r="K623" s="83"/>
      <c r="L623" s="83"/>
    </row>
    <row r="624" spans="1:12" ht="12" customHeight="1" x14ac:dyDescent="0.35">
      <c r="A624" s="134">
        <v>10111000</v>
      </c>
      <c r="B624" s="84"/>
      <c r="C624" s="85" t="s">
        <v>1885</v>
      </c>
      <c r="D624" s="84" t="s">
        <v>418</v>
      </c>
      <c r="E624" s="84" t="str">
        <f>VLOOKUP(C624,HSD!B:K,2,FALSE)</f>
        <v>OJ</v>
      </c>
      <c r="F624" s="86">
        <v>1.6000000000000001E-3</v>
      </c>
      <c r="G624" s="87">
        <f>VLOOKUP(C624,HSD!B:K,10,FALSE)</f>
        <v>18750</v>
      </c>
      <c r="H624" s="87">
        <f>F624*G624</f>
        <v>30</v>
      </c>
      <c r="I624" s="87">
        <v>78600</v>
      </c>
      <c r="J624" s="87">
        <f>F624*I624</f>
        <v>125.76</v>
      </c>
      <c r="K624" s="87">
        <v>78600</v>
      </c>
      <c r="L624" s="87">
        <f>F624*K624</f>
        <v>125.76</v>
      </c>
    </row>
    <row r="625" spans="1:12" ht="12" customHeight="1" x14ac:dyDescent="0.35">
      <c r="A625" s="134">
        <v>10121110</v>
      </c>
      <c r="B625" s="84"/>
      <c r="C625" s="85" t="s">
        <v>1887</v>
      </c>
      <c r="D625" s="84" t="s">
        <v>419</v>
      </c>
      <c r="E625" s="84" t="str">
        <f>VLOOKUP(C625,HSD!B:K,2,FALSE)</f>
        <v>OJ</v>
      </c>
      <c r="F625" s="86">
        <v>8.2000000000000007E-3</v>
      </c>
      <c r="G625" s="87">
        <f>VLOOKUP(C625,HSD!B:K,10,FALSE)</f>
        <v>16250</v>
      </c>
      <c r="H625" s="87">
        <f>F625*G625</f>
        <v>133.25</v>
      </c>
      <c r="I625" s="87">
        <v>91500</v>
      </c>
      <c r="J625" s="87">
        <f>F625*I625</f>
        <v>750.30000000000007</v>
      </c>
      <c r="K625" s="87">
        <v>91500</v>
      </c>
      <c r="L625" s="87">
        <f>F625*K625</f>
        <v>750.30000000000007</v>
      </c>
    </row>
    <row r="626" spans="1:12" ht="12" customHeight="1" x14ac:dyDescent="0.35">
      <c r="A626" s="134">
        <v>10131000</v>
      </c>
      <c r="B626" s="84"/>
      <c r="C626" s="85" t="s">
        <v>1888</v>
      </c>
      <c r="D626" s="84" t="s">
        <v>420</v>
      </c>
      <c r="E626" s="84" t="str">
        <f>VLOOKUP(C626,HSD!B:K,2,FALSE)</f>
        <v>OJ</v>
      </c>
      <c r="F626" s="86">
        <v>1.6400000000000001E-2</v>
      </c>
      <c r="G626" s="87">
        <f>VLOOKUP(C626,HSD!B:K,10,FALSE)</f>
        <v>15000</v>
      </c>
      <c r="H626" s="87">
        <f>F626*G626</f>
        <v>246.00000000000003</v>
      </c>
      <c r="I626" s="87">
        <v>92500</v>
      </c>
      <c r="J626" s="87">
        <f>F626*I626</f>
        <v>1517.0000000000002</v>
      </c>
      <c r="K626" s="87">
        <v>92500</v>
      </c>
      <c r="L626" s="87">
        <f>F626*K626</f>
        <v>1517.0000000000002</v>
      </c>
    </row>
    <row r="627" spans="1:12" ht="12" customHeight="1" x14ac:dyDescent="0.35">
      <c r="B627" s="84"/>
      <c r="C627" s="85"/>
      <c r="D627" s="84"/>
      <c r="E627" s="84"/>
      <c r="F627" s="86"/>
      <c r="G627" s="87"/>
      <c r="H627" s="87"/>
      <c r="I627" s="87"/>
      <c r="J627" s="87"/>
      <c r="K627" s="87"/>
      <c r="L627" s="87"/>
    </row>
    <row r="628" spans="1:12" ht="12" customHeight="1" x14ac:dyDescent="0.35">
      <c r="B628" s="84"/>
      <c r="C628" s="88"/>
      <c r="D628" s="79"/>
      <c r="E628" s="79"/>
      <c r="F628" s="89" t="s">
        <v>421</v>
      </c>
      <c r="G628" s="101"/>
      <c r="H628" s="87">
        <f>SUM(H624:H627)</f>
        <v>409.25</v>
      </c>
      <c r="I628" s="101"/>
      <c r="J628" s="87">
        <f>SUM(J624:J627)</f>
        <v>2393.0600000000004</v>
      </c>
      <c r="K628" s="101"/>
      <c r="L628" s="87">
        <f>SUM(L624:L627)</f>
        <v>2393.0600000000004</v>
      </c>
    </row>
    <row r="629" spans="1:12" ht="12" customHeight="1" x14ac:dyDescent="0.35">
      <c r="B629" s="84" t="s">
        <v>6</v>
      </c>
      <c r="C629" s="88" t="s">
        <v>422</v>
      </c>
      <c r="D629" s="79"/>
      <c r="E629" s="79"/>
      <c r="F629" s="90"/>
      <c r="G629" s="84"/>
      <c r="H629" s="87"/>
      <c r="I629" s="84"/>
      <c r="J629" s="87"/>
      <c r="K629" s="84"/>
      <c r="L629" s="87"/>
    </row>
    <row r="630" spans="1:12" ht="12" customHeight="1" x14ac:dyDescent="0.35">
      <c r="B630" s="84"/>
      <c r="C630" s="85"/>
      <c r="D630" s="84"/>
      <c r="E630" s="84"/>
      <c r="F630" s="86"/>
      <c r="G630" s="87"/>
      <c r="H630" s="87">
        <f>F630*G630</f>
        <v>0</v>
      </c>
      <c r="I630" s="87">
        <v>232500</v>
      </c>
      <c r="J630" s="87">
        <f>F630*I630</f>
        <v>0</v>
      </c>
      <c r="K630" s="87">
        <v>270000</v>
      </c>
      <c r="L630" s="87">
        <f>F630*K630</f>
        <v>0</v>
      </c>
    </row>
    <row r="631" spans="1:12" ht="12" customHeight="1" x14ac:dyDescent="0.35">
      <c r="B631" s="84"/>
      <c r="C631" s="88"/>
      <c r="D631" s="79"/>
      <c r="E631" s="84"/>
      <c r="F631" s="102"/>
      <c r="G631" s="87"/>
      <c r="H631" s="87">
        <f>F631*G631</f>
        <v>0</v>
      </c>
      <c r="I631" s="87">
        <v>1060</v>
      </c>
      <c r="J631" s="87">
        <f>F631*I631</f>
        <v>0</v>
      </c>
      <c r="K631" s="87">
        <v>1060</v>
      </c>
      <c r="L631" s="87">
        <f>F631*K631</f>
        <v>0</v>
      </c>
    </row>
    <row r="632" spans="1:12" ht="12" customHeight="1" x14ac:dyDescent="0.35">
      <c r="B632" s="84"/>
      <c r="C632" s="88"/>
      <c r="D632" s="79"/>
      <c r="E632" s="84"/>
      <c r="F632" s="102"/>
      <c r="G632" s="87"/>
      <c r="H632" s="87">
        <f>F632*G632</f>
        <v>0</v>
      </c>
      <c r="I632" s="87">
        <v>215000</v>
      </c>
      <c r="J632" s="87">
        <f>F632*I632</f>
        <v>0</v>
      </c>
      <c r="K632" s="87">
        <v>250000</v>
      </c>
      <c r="L632" s="87">
        <f>F632*K632</f>
        <v>0</v>
      </c>
    </row>
    <row r="633" spans="1:12" ht="12" customHeight="1" x14ac:dyDescent="0.35">
      <c r="B633" s="84"/>
      <c r="C633" s="88"/>
      <c r="D633" s="79"/>
      <c r="E633" s="79"/>
      <c r="F633" s="89"/>
      <c r="G633" s="101"/>
      <c r="H633" s="87">
        <f>SUM(H630:H632)</f>
        <v>0</v>
      </c>
      <c r="I633" s="101"/>
      <c r="J633" s="87">
        <f>SUM(J630:J632)</f>
        <v>0</v>
      </c>
      <c r="K633" s="101"/>
      <c r="L633" s="87">
        <f>SUM(L630:L632)</f>
        <v>0</v>
      </c>
    </row>
    <row r="634" spans="1:12" ht="12" customHeight="1" x14ac:dyDescent="0.35">
      <c r="B634" s="84" t="s">
        <v>7</v>
      </c>
      <c r="C634" s="88" t="s">
        <v>424</v>
      </c>
      <c r="D634" s="79"/>
      <c r="E634" s="79"/>
      <c r="F634" s="90"/>
      <c r="G634" s="84"/>
      <c r="H634" s="87"/>
      <c r="I634" s="84"/>
      <c r="J634" s="87"/>
      <c r="K634" s="84"/>
      <c r="L634" s="87"/>
    </row>
    <row r="635" spans="1:12" ht="12" customHeight="1" x14ac:dyDescent="0.35">
      <c r="A635" s="134">
        <v>31100008</v>
      </c>
      <c r="B635" s="84"/>
      <c r="C635" s="85" t="s">
        <v>1836</v>
      </c>
      <c r="D635" s="84" t="s">
        <v>418</v>
      </c>
      <c r="E635" s="84" t="str">
        <f>VLOOKUP(C635,HSD!B:K,2,FALSE)</f>
        <v>jam</v>
      </c>
      <c r="F635" s="128">
        <v>1.1900000000000001E-2</v>
      </c>
      <c r="G635" s="87">
        <f>VLOOKUP(C635,HSD!B:K,10,FALSE)</f>
        <v>1053489.6200000001</v>
      </c>
      <c r="H635" s="87">
        <f>F635*G635</f>
        <v>12536.526478000002</v>
      </c>
      <c r="I635" s="87"/>
      <c r="J635" s="87">
        <f>H635*I635</f>
        <v>0</v>
      </c>
      <c r="K635" s="87"/>
      <c r="L635" s="87">
        <f>J635*K635</f>
        <v>0</v>
      </c>
    </row>
    <row r="636" spans="1:12" ht="12" customHeight="1" x14ac:dyDescent="0.35">
      <c r="B636" s="84"/>
      <c r="C636" s="88"/>
      <c r="D636" s="79"/>
      <c r="E636" s="79"/>
      <c r="F636" s="90"/>
      <c r="G636" s="87"/>
      <c r="H636" s="87"/>
      <c r="I636" s="87"/>
      <c r="J636" s="87"/>
      <c r="K636" s="87"/>
      <c r="L636" s="87"/>
    </row>
    <row r="637" spans="1:12" ht="12" customHeight="1" x14ac:dyDescent="0.35">
      <c r="B637" s="84"/>
      <c r="C637" s="88"/>
      <c r="D637" s="79"/>
      <c r="E637" s="79"/>
      <c r="F637" s="90"/>
      <c r="G637" s="87"/>
      <c r="H637" s="87">
        <f>F637*G637</f>
        <v>0</v>
      </c>
      <c r="I637" s="87"/>
      <c r="J637" s="87"/>
      <c r="K637" s="87"/>
      <c r="L637" s="87"/>
    </row>
    <row r="638" spans="1:12" ht="12" customHeight="1" x14ac:dyDescent="0.35">
      <c r="B638" s="84"/>
      <c r="C638" s="88"/>
      <c r="D638" s="79"/>
      <c r="E638" s="79"/>
      <c r="F638" s="89" t="s">
        <v>425</v>
      </c>
      <c r="G638" s="101"/>
      <c r="H638" s="87">
        <f>SUM(H635:H637)</f>
        <v>12536.526478000002</v>
      </c>
      <c r="I638" s="101"/>
      <c r="J638" s="87">
        <f>SUM(J635)</f>
        <v>0</v>
      </c>
      <c r="K638" s="101"/>
      <c r="L638" s="87">
        <f>SUM(L635)</f>
        <v>0</v>
      </c>
    </row>
    <row r="639" spans="1:12" ht="12" customHeight="1" x14ac:dyDescent="0.35">
      <c r="B639" s="84" t="s">
        <v>8</v>
      </c>
      <c r="C639" s="103" t="s">
        <v>426</v>
      </c>
      <c r="D639" s="104"/>
      <c r="E639" s="104"/>
      <c r="F639" s="104"/>
      <c r="G639" s="105"/>
      <c r="H639" s="87">
        <f>H628+H633+H638</f>
        <v>12945.776478000002</v>
      </c>
      <c r="I639" s="105"/>
      <c r="J639" s="87">
        <f>J628+J633+J638</f>
        <v>2393.0600000000004</v>
      </c>
      <c r="K639" s="105"/>
      <c r="L639" s="87">
        <f>L628+L633+L638</f>
        <v>2393.0600000000004</v>
      </c>
    </row>
    <row r="640" spans="1:12" ht="12" customHeight="1" x14ac:dyDescent="0.35">
      <c r="B640" s="84" t="s">
        <v>9</v>
      </c>
      <c r="C640" s="455" t="s">
        <v>427</v>
      </c>
      <c r="D640" s="455"/>
      <c r="E640" s="455"/>
      <c r="F640" s="95">
        <f>0</f>
        <v>0</v>
      </c>
      <c r="G640" s="85" t="s">
        <v>428</v>
      </c>
      <c r="H640" s="87">
        <f>H639*F640</f>
        <v>0</v>
      </c>
      <c r="I640" s="85" t="s">
        <v>428</v>
      </c>
      <c r="J640" s="87">
        <f>J639*F640</f>
        <v>0</v>
      </c>
      <c r="K640" s="85" t="s">
        <v>428</v>
      </c>
      <c r="L640" s="87">
        <f>L639*F640</f>
        <v>0</v>
      </c>
    </row>
    <row r="641" spans="1:12" ht="12" customHeight="1" x14ac:dyDescent="0.35">
      <c r="B641" s="84" t="s">
        <v>10</v>
      </c>
      <c r="C641" s="103" t="s">
        <v>429</v>
      </c>
      <c r="D641" s="104"/>
      <c r="E641" s="104"/>
      <c r="F641" s="104"/>
      <c r="G641" s="105"/>
      <c r="H641" s="96">
        <f>H639+H640</f>
        <v>12945.776478000002</v>
      </c>
      <c r="I641" s="97"/>
      <c r="J641" s="96">
        <f>J639+J640</f>
        <v>2393.0600000000004</v>
      </c>
      <c r="K641" s="97"/>
      <c r="L641" s="96">
        <f>L639+L640</f>
        <v>2393.0600000000004</v>
      </c>
    </row>
    <row r="643" spans="1:12" ht="29" customHeight="1" x14ac:dyDescent="0.35">
      <c r="B643" s="76" t="s">
        <v>546</v>
      </c>
      <c r="C643" s="458" t="s">
        <v>545</v>
      </c>
      <c r="D643" s="459"/>
      <c r="E643" s="459"/>
      <c r="F643" s="459"/>
      <c r="G643" s="456"/>
      <c r="H643" s="457"/>
      <c r="I643" s="455" t="s">
        <v>3</v>
      </c>
      <c r="J643" s="455"/>
      <c r="K643" s="455" t="s">
        <v>4</v>
      </c>
      <c r="L643" s="455"/>
    </row>
    <row r="644" spans="1:12" ht="12" customHeight="1" x14ac:dyDescent="0.35">
      <c r="B644" s="451" t="s">
        <v>409</v>
      </c>
      <c r="C644" s="451" t="s">
        <v>410</v>
      </c>
      <c r="D644" s="452" t="s">
        <v>411</v>
      </c>
      <c r="E644" s="451" t="s">
        <v>412</v>
      </c>
      <c r="F644" s="451" t="s">
        <v>413</v>
      </c>
      <c r="G644" s="77" t="s">
        <v>414</v>
      </c>
      <c r="H644" s="77" t="s">
        <v>415</v>
      </c>
      <c r="I644" s="78" t="s">
        <v>414</v>
      </c>
      <c r="J644" s="79" t="s">
        <v>415</v>
      </c>
      <c r="K644" s="79" t="s">
        <v>414</v>
      </c>
      <c r="L644" s="79" t="s">
        <v>415</v>
      </c>
    </row>
    <row r="645" spans="1:12" ht="12" customHeight="1" x14ac:dyDescent="0.35">
      <c r="B645" s="451"/>
      <c r="C645" s="451"/>
      <c r="D645" s="453"/>
      <c r="E645" s="451"/>
      <c r="F645" s="451"/>
      <c r="G645" s="77" t="s">
        <v>17</v>
      </c>
      <c r="H645" s="77" t="s">
        <v>416</v>
      </c>
      <c r="I645" s="78" t="s">
        <v>17</v>
      </c>
      <c r="J645" s="79" t="s">
        <v>416</v>
      </c>
      <c r="K645" s="79" t="s">
        <v>17</v>
      </c>
      <c r="L645" s="79" t="s">
        <v>416</v>
      </c>
    </row>
    <row r="646" spans="1:12" ht="12" customHeight="1" x14ac:dyDescent="0.35">
      <c r="B646" s="451"/>
      <c r="C646" s="451"/>
      <c r="D646" s="454"/>
      <c r="E646" s="451"/>
      <c r="F646" s="451"/>
      <c r="G646" s="106"/>
      <c r="H646" s="77" t="s">
        <v>17</v>
      </c>
      <c r="I646" s="94"/>
      <c r="J646" s="79" t="s">
        <v>17</v>
      </c>
      <c r="K646" s="85"/>
      <c r="L646" s="79" t="s">
        <v>17</v>
      </c>
    </row>
    <row r="647" spans="1:12" ht="12" customHeight="1" x14ac:dyDescent="0.35">
      <c r="B647" s="80" t="s">
        <v>5</v>
      </c>
      <c r="C647" s="81" t="s">
        <v>417</v>
      </c>
      <c r="D647" s="82"/>
      <c r="E647" s="82"/>
      <c r="F647" s="82"/>
      <c r="G647" s="82"/>
      <c r="H647" s="82"/>
      <c r="I647" s="83"/>
      <c r="J647" s="83"/>
      <c r="K647" s="83"/>
      <c r="L647" s="83"/>
    </row>
    <row r="648" spans="1:12" ht="12" customHeight="1" x14ac:dyDescent="0.35">
      <c r="A648" s="134">
        <v>10111000</v>
      </c>
      <c r="B648" s="84"/>
      <c r="C648" s="85" t="s">
        <v>1885</v>
      </c>
      <c r="D648" s="84" t="s">
        <v>418</v>
      </c>
      <c r="E648" s="84" t="str">
        <f>VLOOKUP(C648,HSD!B:K,2,FALSE)</f>
        <v>OJ</v>
      </c>
      <c r="F648" s="86">
        <v>1.6000000000000001E-3</v>
      </c>
      <c r="G648" s="87">
        <f>VLOOKUP(C648,HSD!B:K,10,FALSE)</f>
        <v>18750</v>
      </c>
      <c r="H648" s="87">
        <f>F648*G648</f>
        <v>30</v>
      </c>
      <c r="I648" s="87">
        <v>78600</v>
      </c>
      <c r="J648" s="87">
        <f>F648*I648</f>
        <v>125.76</v>
      </c>
      <c r="K648" s="87">
        <v>78600</v>
      </c>
      <c r="L648" s="87">
        <f>F648*K648</f>
        <v>125.76</v>
      </c>
    </row>
    <row r="649" spans="1:12" ht="12" customHeight="1" x14ac:dyDescent="0.35">
      <c r="A649" s="134">
        <v>10121110</v>
      </c>
      <c r="B649" s="84"/>
      <c r="C649" s="85" t="s">
        <v>1887</v>
      </c>
      <c r="D649" s="84" t="s">
        <v>419</v>
      </c>
      <c r="E649" s="84" t="str">
        <f>VLOOKUP(C649,HSD!B:K,2,FALSE)</f>
        <v>OJ</v>
      </c>
      <c r="F649" s="86">
        <v>8.0999999999999996E-3</v>
      </c>
      <c r="G649" s="87">
        <f>VLOOKUP(C649,HSD!B:K,10,FALSE)</f>
        <v>16250</v>
      </c>
      <c r="H649" s="87">
        <f>F649*G649</f>
        <v>131.625</v>
      </c>
      <c r="I649" s="87">
        <v>91500</v>
      </c>
      <c r="J649" s="87">
        <f>F649*I649</f>
        <v>741.15</v>
      </c>
      <c r="K649" s="87">
        <v>91500</v>
      </c>
      <c r="L649" s="87">
        <f>F649*K649</f>
        <v>741.15</v>
      </c>
    </row>
    <row r="650" spans="1:12" ht="12" customHeight="1" x14ac:dyDescent="0.35">
      <c r="A650" s="134">
        <v>10131000</v>
      </c>
      <c r="B650" s="84"/>
      <c r="C650" s="85" t="s">
        <v>1888</v>
      </c>
      <c r="D650" s="84" t="s">
        <v>420</v>
      </c>
      <c r="E650" s="84" t="str">
        <f>VLOOKUP(C650,HSD!B:K,2,FALSE)</f>
        <v>OJ</v>
      </c>
      <c r="F650" s="86">
        <v>1.6199999999999999E-2</v>
      </c>
      <c r="G650" s="87">
        <f>VLOOKUP(C650,HSD!B:K,10,FALSE)</f>
        <v>15000</v>
      </c>
      <c r="H650" s="87">
        <f>F650*G650</f>
        <v>243</v>
      </c>
      <c r="I650" s="87">
        <v>92500</v>
      </c>
      <c r="J650" s="87">
        <f>F650*I650</f>
        <v>1498.5</v>
      </c>
      <c r="K650" s="87">
        <v>92500</v>
      </c>
      <c r="L650" s="87">
        <f>F650*K650</f>
        <v>1498.5</v>
      </c>
    </row>
    <row r="651" spans="1:12" ht="12" customHeight="1" x14ac:dyDescent="0.35">
      <c r="B651" s="84"/>
      <c r="C651" s="85"/>
      <c r="D651" s="84"/>
      <c r="E651" s="84"/>
      <c r="F651" s="86"/>
      <c r="G651" s="87"/>
      <c r="H651" s="87"/>
      <c r="I651" s="87"/>
      <c r="J651" s="87"/>
      <c r="K651" s="87"/>
      <c r="L651" s="87"/>
    </row>
    <row r="652" spans="1:12" ht="12" customHeight="1" x14ac:dyDescent="0.35">
      <c r="B652" s="84"/>
      <c r="C652" s="88"/>
      <c r="D652" s="79"/>
      <c r="E652" s="79"/>
      <c r="F652" s="89" t="s">
        <v>421</v>
      </c>
      <c r="G652" s="101"/>
      <c r="H652" s="87">
        <f>SUM(H648:H651)</f>
        <v>404.625</v>
      </c>
      <c r="I652" s="101"/>
      <c r="J652" s="87">
        <f>SUM(J648:J651)</f>
        <v>2365.41</v>
      </c>
      <c r="K652" s="101"/>
      <c r="L652" s="87">
        <f>SUM(L648:L651)</f>
        <v>2365.41</v>
      </c>
    </row>
    <row r="653" spans="1:12" ht="12" customHeight="1" x14ac:dyDescent="0.35">
      <c r="B653" s="84" t="s">
        <v>6</v>
      </c>
      <c r="C653" s="88" t="s">
        <v>422</v>
      </c>
      <c r="D653" s="79"/>
      <c r="E653" s="79"/>
      <c r="F653" s="90"/>
      <c r="G653" s="84"/>
      <c r="H653" s="87"/>
      <c r="I653" s="84"/>
      <c r="J653" s="87"/>
      <c r="K653" s="84"/>
      <c r="L653" s="87"/>
    </row>
    <row r="654" spans="1:12" ht="12" customHeight="1" x14ac:dyDescent="0.35">
      <c r="B654" s="84"/>
      <c r="C654" s="85"/>
      <c r="D654" s="84"/>
      <c r="E654" s="84"/>
      <c r="F654" s="86"/>
      <c r="G654" s="87"/>
      <c r="H654" s="87">
        <f>F654*G654</f>
        <v>0</v>
      </c>
      <c r="I654" s="87">
        <v>232500</v>
      </c>
      <c r="J654" s="87">
        <f>F654*I654</f>
        <v>0</v>
      </c>
      <c r="K654" s="87">
        <v>270000</v>
      </c>
      <c r="L654" s="87">
        <f>F654*K654</f>
        <v>0</v>
      </c>
    </row>
    <row r="655" spans="1:12" ht="12" customHeight="1" x14ac:dyDescent="0.35">
      <c r="B655" s="84"/>
      <c r="C655" s="88"/>
      <c r="D655" s="79"/>
      <c r="E655" s="84"/>
      <c r="F655" s="102"/>
      <c r="G655" s="87"/>
      <c r="H655" s="87">
        <f>F655*G655</f>
        <v>0</v>
      </c>
      <c r="I655" s="87">
        <v>1060</v>
      </c>
      <c r="J655" s="87">
        <f>F655*I655</f>
        <v>0</v>
      </c>
      <c r="K655" s="87">
        <v>1060</v>
      </c>
      <c r="L655" s="87">
        <f>F655*K655</f>
        <v>0</v>
      </c>
    </row>
    <row r="656" spans="1:12" ht="12" customHeight="1" x14ac:dyDescent="0.35">
      <c r="B656" s="84"/>
      <c r="C656" s="88"/>
      <c r="D656" s="79"/>
      <c r="E656" s="84"/>
      <c r="F656" s="102"/>
      <c r="G656" s="87"/>
      <c r="H656" s="87">
        <f>F656*G656</f>
        <v>0</v>
      </c>
      <c r="I656" s="87">
        <v>215000</v>
      </c>
      <c r="J656" s="87">
        <f>F656*I656</f>
        <v>0</v>
      </c>
      <c r="K656" s="87">
        <v>250000</v>
      </c>
      <c r="L656" s="87">
        <f>F656*K656</f>
        <v>0</v>
      </c>
    </row>
    <row r="657" spans="1:12" ht="12" customHeight="1" x14ac:dyDescent="0.35">
      <c r="B657" s="84"/>
      <c r="C657" s="88"/>
      <c r="D657" s="79"/>
      <c r="E657" s="79"/>
      <c r="F657" s="89"/>
      <c r="G657" s="101"/>
      <c r="H657" s="87">
        <f>SUM(H654:H656)</f>
        <v>0</v>
      </c>
      <c r="I657" s="101"/>
      <c r="J657" s="87">
        <f>SUM(J654:J656)</f>
        <v>0</v>
      </c>
      <c r="K657" s="101"/>
      <c r="L657" s="87">
        <f>SUM(L654:L656)</f>
        <v>0</v>
      </c>
    </row>
    <row r="658" spans="1:12" ht="12" customHeight="1" x14ac:dyDescent="0.35">
      <c r="B658" s="84" t="s">
        <v>7</v>
      </c>
      <c r="C658" s="88" t="s">
        <v>424</v>
      </c>
      <c r="D658" s="79"/>
      <c r="E658" s="79"/>
      <c r="F658" s="90"/>
      <c r="G658" s="84"/>
      <c r="H658" s="87"/>
      <c r="I658" s="84"/>
      <c r="J658" s="87"/>
      <c r="K658" s="84"/>
      <c r="L658" s="87"/>
    </row>
    <row r="659" spans="1:12" ht="12" customHeight="1" x14ac:dyDescent="0.35">
      <c r="A659" s="134">
        <v>31100008</v>
      </c>
      <c r="B659" s="84"/>
      <c r="C659" s="85" t="s">
        <v>1837</v>
      </c>
      <c r="D659" s="84" t="s">
        <v>418</v>
      </c>
      <c r="E659" s="84" t="str">
        <f>VLOOKUP(C659,HSD!B:K,2,FALSE)</f>
        <v>jam</v>
      </c>
      <c r="F659" s="128">
        <f>F649</f>
        <v>8.0999999999999996E-3</v>
      </c>
      <c r="G659" s="87">
        <f>VLOOKUP(C659,HSD!B:K,10,FALSE)</f>
        <v>565678.43999999994</v>
      </c>
      <c r="H659" s="87">
        <f>F659*G659</f>
        <v>4581.9953639999994</v>
      </c>
      <c r="I659" s="87"/>
      <c r="J659" s="87">
        <f>H659*I659</f>
        <v>0</v>
      </c>
      <c r="K659" s="87"/>
      <c r="L659" s="87">
        <f>J659*K659</f>
        <v>0</v>
      </c>
    </row>
    <row r="660" spans="1:12" ht="12" customHeight="1" x14ac:dyDescent="0.35">
      <c r="B660" s="84"/>
      <c r="C660" s="88"/>
      <c r="D660" s="79"/>
      <c r="E660" s="79"/>
      <c r="F660" s="90"/>
      <c r="G660" s="87"/>
      <c r="H660" s="87"/>
      <c r="I660" s="87"/>
      <c r="J660" s="87"/>
      <c r="K660" s="87"/>
      <c r="L660" s="87"/>
    </row>
    <row r="661" spans="1:12" ht="12" customHeight="1" x14ac:dyDescent="0.35">
      <c r="B661" s="84"/>
      <c r="C661" s="88"/>
      <c r="D661" s="79"/>
      <c r="E661" s="79"/>
      <c r="F661" s="90"/>
      <c r="G661" s="87"/>
      <c r="H661" s="87">
        <f>F661*G661</f>
        <v>0</v>
      </c>
      <c r="I661" s="87"/>
      <c r="J661" s="87"/>
      <c r="K661" s="87"/>
      <c r="L661" s="87"/>
    </row>
    <row r="662" spans="1:12" ht="12" customHeight="1" x14ac:dyDescent="0.35">
      <c r="B662" s="84"/>
      <c r="C662" s="88"/>
      <c r="D662" s="79"/>
      <c r="E662" s="79"/>
      <c r="F662" s="89" t="s">
        <v>425</v>
      </c>
      <c r="G662" s="101"/>
      <c r="H662" s="87">
        <f>SUM(H659:H661)</f>
        <v>4581.9953639999994</v>
      </c>
      <c r="I662" s="101"/>
      <c r="J662" s="87">
        <f>SUM(J659)</f>
        <v>0</v>
      </c>
      <c r="K662" s="101"/>
      <c r="L662" s="87">
        <f>SUM(L659)</f>
        <v>0</v>
      </c>
    </row>
    <row r="663" spans="1:12" ht="12" customHeight="1" x14ac:dyDescent="0.35">
      <c r="B663" s="84" t="s">
        <v>8</v>
      </c>
      <c r="C663" s="103" t="s">
        <v>426</v>
      </c>
      <c r="D663" s="104"/>
      <c r="E663" s="104"/>
      <c r="F663" s="104"/>
      <c r="G663" s="105"/>
      <c r="H663" s="87">
        <f>H652+H657+H662</f>
        <v>4986.6203639999994</v>
      </c>
      <c r="I663" s="105"/>
      <c r="J663" s="87">
        <f>J652+J657+J662</f>
        <v>2365.41</v>
      </c>
      <c r="K663" s="105"/>
      <c r="L663" s="87">
        <f>L652+L657+L662</f>
        <v>2365.41</v>
      </c>
    </row>
    <row r="664" spans="1:12" ht="12" customHeight="1" x14ac:dyDescent="0.35">
      <c r="B664" s="84" t="s">
        <v>9</v>
      </c>
      <c r="C664" s="455" t="s">
        <v>427</v>
      </c>
      <c r="D664" s="455"/>
      <c r="E664" s="455"/>
      <c r="F664" s="95">
        <f>0</f>
        <v>0</v>
      </c>
      <c r="G664" s="85" t="s">
        <v>428</v>
      </c>
      <c r="H664" s="87">
        <f>H663*F664</f>
        <v>0</v>
      </c>
      <c r="I664" s="85" t="s">
        <v>428</v>
      </c>
      <c r="J664" s="87">
        <f>J663*F664</f>
        <v>0</v>
      </c>
      <c r="K664" s="85" t="s">
        <v>428</v>
      </c>
      <c r="L664" s="87">
        <f>L663*F664</f>
        <v>0</v>
      </c>
    </row>
    <row r="665" spans="1:12" ht="12" customHeight="1" x14ac:dyDescent="0.35">
      <c r="B665" s="84" t="s">
        <v>10</v>
      </c>
      <c r="C665" s="103" t="s">
        <v>429</v>
      </c>
      <c r="D665" s="104"/>
      <c r="E665" s="104"/>
      <c r="F665" s="104"/>
      <c r="G665" s="105"/>
      <c r="H665" s="96">
        <f>H663+H664</f>
        <v>4986.6203639999994</v>
      </c>
      <c r="I665" s="97"/>
      <c r="J665" s="96">
        <f>J663+J664</f>
        <v>2365.41</v>
      </c>
      <c r="K665" s="97"/>
      <c r="L665" s="96">
        <f>L663+L664</f>
        <v>2365.41</v>
      </c>
    </row>
    <row r="667" spans="1:12" ht="29" customHeight="1" x14ac:dyDescent="0.35">
      <c r="B667" s="76" t="s">
        <v>547</v>
      </c>
      <c r="C667" s="458" t="s">
        <v>548</v>
      </c>
      <c r="D667" s="459"/>
      <c r="E667" s="459"/>
      <c r="F667" s="459"/>
      <c r="G667" s="456"/>
      <c r="H667" s="457"/>
      <c r="I667" s="455" t="s">
        <v>3</v>
      </c>
      <c r="J667" s="455"/>
      <c r="K667" s="455" t="s">
        <v>4</v>
      </c>
      <c r="L667" s="455"/>
    </row>
    <row r="668" spans="1:12" ht="12" customHeight="1" x14ac:dyDescent="0.35">
      <c r="B668" s="451" t="s">
        <v>409</v>
      </c>
      <c r="C668" s="451" t="s">
        <v>410</v>
      </c>
      <c r="D668" s="452" t="s">
        <v>411</v>
      </c>
      <c r="E668" s="451" t="s">
        <v>412</v>
      </c>
      <c r="F668" s="451" t="s">
        <v>413</v>
      </c>
      <c r="G668" s="77" t="s">
        <v>414</v>
      </c>
      <c r="H668" s="77" t="s">
        <v>415</v>
      </c>
      <c r="I668" s="78" t="s">
        <v>414</v>
      </c>
      <c r="J668" s="79" t="s">
        <v>415</v>
      </c>
      <c r="K668" s="79" t="s">
        <v>414</v>
      </c>
      <c r="L668" s="79" t="s">
        <v>415</v>
      </c>
    </row>
    <row r="669" spans="1:12" ht="12" customHeight="1" x14ac:dyDescent="0.35">
      <c r="B669" s="451"/>
      <c r="C669" s="451"/>
      <c r="D669" s="453"/>
      <c r="E669" s="451"/>
      <c r="F669" s="451"/>
      <c r="G669" s="77" t="s">
        <v>17</v>
      </c>
      <c r="H669" s="77" t="s">
        <v>416</v>
      </c>
      <c r="I669" s="78" t="s">
        <v>17</v>
      </c>
      <c r="J669" s="79" t="s">
        <v>416</v>
      </c>
      <c r="K669" s="79" t="s">
        <v>17</v>
      </c>
      <c r="L669" s="79" t="s">
        <v>416</v>
      </c>
    </row>
    <row r="670" spans="1:12" ht="12" customHeight="1" x14ac:dyDescent="0.35">
      <c r="B670" s="451"/>
      <c r="C670" s="451"/>
      <c r="D670" s="454"/>
      <c r="E670" s="451"/>
      <c r="F670" s="451"/>
      <c r="G670" s="106"/>
      <c r="H670" s="77" t="s">
        <v>17</v>
      </c>
      <c r="I670" s="94"/>
      <c r="J670" s="79" t="s">
        <v>17</v>
      </c>
      <c r="K670" s="85"/>
      <c r="L670" s="79" t="s">
        <v>17</v>
      </c>
    </row>
    <row r="671" spans="1:12" ht="12" customHeight="1" x14ac:dyDescent="0.35">
      <c r="B671" s="80" t="s">
        <v>5</v>
      </c>
      <c r="C671" s="81" t="s">
        <v>417</v>
      </c>
      <c r="D671" s="82"/>
      <c r="E671" s="82"/>
      <c r="F671" s="82"/>
      <c r="G671" s="82"/>
      <c r="H671" s="82"/>
      <c r="I671" s="83"/>
      <c r="J671" s="83"/>
      <c r="K671" s="83"/>
      <c r="L671" s="83"/>
    </row>
    <row r="672" spans="1:12" ht="12" customHeight="1" x14ac:dyDescent="0.35">
      <c r="A672" s="134">
        <v>10111000</v>
      </c>
      <c r="B672" s="84"/>
      <c r="C672" s="85" t="s">
        <v>1885</v>
      </c>
      <c r="D672" s="84" t="s">
        <v>418</v>
      </c>
      <c r="E672" s="84" t="str">
        <f>VLOOKUP(C672,HSD!B:K,2,FALSE)</f>
        <v>OJ</v>
      </c>
      <c r="F672" s="86">
        <v>1.8E-3</v>
      </c>
      <c r="G672" s="87">
        <f>VLOOKUP(C672,HSD!B:K,10,FALSE)</f>
        <v>18750</v>
      </c>
      <c r="H672" s="87">
        <f>F672*G672</f>
        <v>33.75</v>
      </c>
      <c r="I672" s="87">
        <v>78600</v>
      </c>
      <c r="J672" s="87">
        <f>F672*I672</f>
        <v>141.47999999999999</v>
      </c>
      <c r="K672" s="87">
        <v>78600</v>
      </c>
      <c r="L672" s="87">
        <f>F672*K672</f>
        <v>141.47999999999999</v>
      </c>
    </row>
    <row r="673" spans="1:12" ht="12" customHeight="1" x14ac:dyDescent="0.35">
      <c r="A673" s="134">
        <v>10121110</v>
      </c>
      <c r="B673" s="84"/>
      <c r="C673" s="85" t="s">
        <v>1887</v>
      </c>
      <c r="D673" s="84" t="s">
        <v>419</v>
      </c>
      <c r="E673" s="84" t="str">
        <f>VLOOKUP(C673,HSD!B:K,2,FALSE)</f>
        <v>OJ</v>
      </c>
      <c r="F673" s="86">
        <v>8.9999999999999993E-3</v>
      </c>
      <c r="G673" s="87">
        <f>VLOOKUP(C673,HSD!B:K,10,FALSE)</f>
        <v>16250</v>
      </c>
      <c r="H673" s="87">
        <f>F673*G673</f>
        <v>146.25</v>
      </c>
      <c r="I673" s="87">
        <v>91500</v>
      </c>
      <c r="J673" s="87">
        <f>F673*I673</f>
        <v>823.49999999999989</v>
      </c>
      <c r="K673" s="87">
        <v>91500</v>
      </c>
      <c r="L673" s="87">
        <f>F673*K673</f>
        <v>823.49999999999989</v>
      </c>
    </row>
    <row r="674" spans="1:12" ht="12" customHeight="1" x14ac:dyDescent="0.35">
      <c r="A674" s="134">
        <v>10131000</v>
      </c>
      <c r="B674" s="84"/>
      <c r="C674" s="85" t="s">
        <v>1888</v>
      </c>
      <c r="D674" s="84" t="s">
        <v>420</v>
      </c>
      <c r="E674" s="84" t="str">
        <f>VLOOKUP(C674,HSD!B:K,2,FALSE)</f>
        <v>OJ</v>
      </c>
      <c r="F674" s="86">
        <v>1.7999999999999999E-2</v>
      </c>
      <c r="G674" s="87">
        <f>VLOOKUP(C674,HSD!B:K,10,FALSE)</f>
        <v>15000</v>
      </c>
      <c r="H674" s="87">
        <f>F674*G674</f>
        <v>270</v>
      </c>
      <c r="I674" s="87">
        <v>92500</v>
      </c>
      <c r="J674" s="87">
        <f>F674*I674</f>
        <v>1664.9999999999998</v>
      </c>
      <c r="K674" s="87">
        <v>92500</v>
      </c>
      <c r="L674" s="87">
        <f>F674*K674</f>
        <v>1664.9999999999998</v>
      </c>
    </row>
    <row r="675" spans="1:12" ht="12" customHeight="1" x14ac:dyDescent="0.35">
      <c r="B675" s="84"/>
      <c r="C675" s="85"/>
      <c r="D675" s="84"/>
      <c r="E675" s="84"/>
      <c r="F675" s="86"/>
      <c r="G675" s="87"/>
      <c r="H675" s="87"/>
      <c r="I675" s="87"/>
      <c r="J675" s="87"/>
      <c r="K675" s="87"/>
      <c r="L675" s="87"/>
    </row>
    <row r="676" spans="1:12" ht="12" customHeight="1" x14ac:dyDescent="0.35">
      <c r="B676" s="84"/>
      <c r="C676" s="88"/>
      <c r="D676" s="79"/>
      <c r="E676" s="79"/>
      <c r="F676" s="89" t="s">
        <v>421</v>
      </c>
      <c r="G676" s="101"/>
      <c r="H676" s="87">
        <f>SUM(H672:H675)</f>
        <v>450</v>
      </c>
      <c r="I676" s="101"/>
      <c r="J676" s="87">
        <f>SUM(J672:J675)</f>
        <v>2629.9799999999996</v>
      </c>
      <c r="K676" s="101"/>
      <c r="L676" s="87">
        <f>SUM(L672:L675)</f>
        <v>2629.9799999999996</v>
      </c>
    </row>
    <row r="677" spans="1:12" ht="12" customHeight="1" x14ac:dyDescent="0.35">
      <c r="B677" s="84" t="s">
        <v>6</v>
      </c>
      <c r="C677" s="88" t="s">
        <v>422</v>
      </c>
      <c r="D677" s="79"/>
      <c r="E677" s="79"/>
      <c r="F677" s="90"/>
      <c r="G677" s="84"/>
      <c r="H677" s="87"/>
      <c r="I677" s="84"/>
      <c r="J677" s="87"/>
      <c r="K677" s="84"/>
      <c r="L677" s="87"/>
    </row>
    <row r="678" spans="1:12" ht="12" customHeight="1" x14ac:dyDescent="0.35">
      <c r="B678" s="84"/>
      <c r="C678" s="85"/>
      <c r="D678" s="84"/>
      <c r="E678" s="84"/>
      <c r="F678" s="86"/>
      <c r="G678" s="87"/>
      <c r="H678" s="87">
        <f>F678*G678</f>
        <v>0</v>
      </c>
      <c r="I678" s="87">
        <v>232500</v>
      </c>
      <c r="J678" s="87">
        <f>F678*I678</f>
        <v>0</v>
      </c>
      <c r="K678" s="87">
        <v>270000</v>
      </c>
      <c r="L678" s="87">
        <f>F678*K678</f>
        <v>0</v>
      </c>
    </row>
    <row r="679" spans="1:12" ht="12" customHeight="1" x14ac:dyDescent="0.35">
      <c r="B679" s="84"/>
      <c r="C679" s="88"/>
      <c r="D679" s="79"/>
      <c r="E679" s="84"/>
      <c r="F679" s="102"/>
      <c r="G679" s="87"/>
      <c r="H679" s="87">
        <f>F679*G679</f>
        <v>0</v>
      </c>
      <c r="I679" s="87">
        <v>1060</v>
      </c>
      <c r="J679" s="87">
        <f>F679*I679</f>
        <v>0</v>
      </c>
      <c r="K679" s="87">
        <v>1060</v>
      </c>
      <c r="L679" s="87">
        <f>F679*K679</f>
        <v>0</v>
      </c>
    </row>
    <row r="680" spans="1:12" ht="12" customHeight="1" x14ac:dyDescent="0.35">
      <c r="B680" s="84"/>
      <c r="C680" s="88"/>
      <c r="D680" s="79"/>
      <c r="E680" s="84"/>
      <c r="F680" s="102"/>
      <c r="G680" s="87"/>
      <c r="H680" s="87">
        <f>F680*G680</f>
        <v>0</v>
      </c>
      <c r="I680" s="87">
        <v>215000</v>
      </c>
      <c r="J680" s="87">
        <f>F680*I680</f>
        <v>0</v>
      </c>
      <c r="K680" s="87">
        <v>250000</v>
      </c>
      <c r="L680" s="87">
        <f>F680*K680</f>
        <v>0</v>
      </c>
    </row>
    <row r="681" spans="1:12" ht="12" customHeight="1" x14ac:dyDescent="0.35">
      <c r="B681" s="84"/>
      <c r="C681" s="88"/>
      <c r="D681" s="79"/>
      <c r="E681" s="79"/>
      <c r="F681" s="89"/>
      <c r="G681" s="101"/>
      <c r="H681" s="87">
        <f>SUM(H678:H680)</f>
        <v>0</v>
      </c>
      <c r="I681" s="101"/>
      <c r="J681" s="87">
        <f>SUM(J678:J680)</f>
        <v>0</v>
      </c>
      <c r="K681" s="101"/>
      <c r="L681" s="87">
        <f>SUM(L678:L680)</f>
        <v>0</v>
      </c>
    </row>
    <row r="682" spans="1:12" ht="12" customHeight="1" x14ac:dyDescent="0.35">
      <c r="B682" s="84" t="s">
        <v>7</v>
      </c>
      <c r="C682" s="88" t="s">
        <v>424</v>
      </c>
      <c r="D682" s="79"/>
      <c r="E682" s="79"/>
      <c r="F682" s="90"/>
      <c r="G682" s="84"/>
      <c r="H682" s="87"/>
      <c r="I682" s="84"/>
      <c r="J682" s="87"/>
      <c r="K682" s="84"/>
      <c r="L682" s="87"/>
    </row>
    <row r="683" spans="1:12" ht="12" customHeight="1" x14ac:dyDescent="0.35">
      <c r="A683" s="134">
        <v>31100008</v>
      </c>
      <c r="B683" s="84"/>
      <c r="C683" s="85" t="s">
        <v>1837</v>
      </c>
      <c r="D683" s="84" t="s">
        <v>418</v>
      </c>
      <c r="E683" s="84" t="str">
        <f>VLOOKUP(C683,HSD!B:K,2,FALSE)</f>
        <v>jam</v>
      </c>
      <c r="F683" s="128">
        <f>F673</f>
        <v>8.9999999999999993E-3</v>
      </c>
      <c r="G683" s="87">
        <f>VLOOKUP(C683,HSD!B:K,10,FALSE)</f>
        <v>565678.43999999994</v>
      </c>
      <c r="H683" s="87">
        <f>F683*G683</f>
        <v>5091.105959999999</v>
      </c>
      <c r="I683" s="87"/>
      <c r="J683" s="87">
        <f>H683*I683</f>
        <v>0</v>
      </c>
      <c r="K683" s="87"/>
      <c r="L683" s="87">
        <f>J683*K683</f>
        <v>0</v>
      </c>
    </row>
    <row r="684" spans="1:12" ht="12" customHeight="1" x14ac:dyDescent="0.35">
      <c r="B684" s="84"/>
      <c r="C684" s="88"/>
      <c r="D684" s="79"/>
      <c r="E684" s="79"/>
      <c r="F684" s="90"/>
      <c r="G684" s="87"/>
      <c r="H684" s="87"/>
      <c r="I684" s="87"/>
      <c r="J684" s="87"/>
      <c r="K684" s="87"/>
      <c r="L684" s="87"/>
    </row>
    <row r="685" spans="1:12" ht="12" customHeight="1" x14ac:dyDescent="0.35">
      <c r="B685" s="84"/>
      <c r="C685" s="88"/>
      <c r="D685" s="79"/>
      <c r="E685" s="79"/>
      <c r="F685" s="90"/>
      <c r="G685" s="87"/>
      <c r="H685" s="87">
        <f>F685*G685</f>
        <v>0</v>
      </c>
      <c r="I685" s="87"/>
      <c r="J685" s="87"/>
      <c r="K685" s="87"/>
      <c r="L685" s="87"/>
    </row>
    <row r="686" spans="1:12" ht="12" customHeight="1" x14ac:dyDescent="0.35">
      <c r="B686" s="84"/>
      <c r="C686" s="88"/>
      <c r="D686" s="79"/>
      <c r="E686" s="79"/>
      <c r="F686" s="89" t="s">
        <v>425</v>
      </c>
      <c r="G686" s="101"/>
      <c r="H686" s="87">
        <f>SUM(H683:H685)</f>
        <v>5091.105959999999</v>
      </c>
      <c r="I686" s="101"/>
      <c r="J686" s="87">
        <f>SUM(J683)</f>
        <v>0</v>
      </c>
      <c r="K686" s="101"/>
      <c r="L686" s="87">
        <f>SUM(L683)</f>
        <v>0</v>
      </c>
    </row>
    <row r="687" spans="1:12" ht="12" customHeight="1" x14ac:dyDescent="0.35">
      <c r="B687" s="84" t="s">
        <v>8</v>
      </c>
      <c r="C687" s="103" t="s">
        <v>426</v>
      </c>
      <c r="D687" s="104"/>
      <c r="E687" s="104"/>
      <c r="F687" s="104"/>
      <c r="G687" s="105"/>
      <c r="H687" s="87">
        <f>H676+H681+H686</f>
        <v>5541.105959999999</v>
      </c>
      <c r="I687" s="105"/>
      <c r="J687" s="87">
        <f>J676+J681+J686</f>
        <v>2629.9799999999996</v>
      </c>
      <c r="K687" s="105"/>
      <c r="L687" s="87">
        <f>L676+L681+L686</f>
        <v>2629.9799999999996</v>
      </c>
    </row>
    <row r="688" spans="1:12" ht="12" customHeight="1" x14ac:dyDescent="0.35">
      <c r="B688" s="84" t="s">
        <v>9</v>
      </c>
      <c r="C688" s="455" t="s">
        <v>427</v>
      </c>
      <c r="D688" s="455"/>
      <c r="E688" s="455"/>
      <c r="F688" s="95">
        <f>0</f>
        <v>0</v>
      </c>
      <c r="G688" s="85" t="s">
        <v>428</v>
      </c>
      <c r="H688" s="87">
        <f>H687*F688</f>
        <v>0</v>
      </c>
      <c r="I688" s="85" t="s">
        <v>428</v>
      </c>
      <c r="J688" s="87">
        <f>J687*F688</f>
        <v>0</v>
      </c>
      <c r="K688" s="85" t="s">
        <v>428</v>
      </c>
      <c r="L688" s="87">
        <f>L687*F688</f>
        <v>0</v>
      </c>
    </row>
    <row r="689" spans="1:12" ht="12" customHeight="1" x14ac:dyDescent="0.35">
      <c r="B689" s="84" t="s">
        <v>10</v>
      </c>
      <c r="C689" s="103" t="s">
        <v>429</v>
      </c>
      <c r="D689" s="104"/>
      <c r="E689" s="104"/>
      <c r="F689" s="104"/>
      <c r="G689" s="105"/>
      <c r="H689" s="96">
        <f>H687+H688</f>
        <v>5541.105959999999</v>
      </c>
      <c r="I689" s="97"/>
      <c r="J689" s="96">
        <f>J687+J688</f>
        <v>2629.9799999999996</v>
      </c>
      <c r="K689" s="97"/>
      <c r="L689" s="96">
        <f>L687+L688</f>
        <v>2629.9799999999996</v>
      </c>
    </row>
    <row r="691" spans="1:12" ht="29" customHeight="1" x14ac:dyDescent="0.35">
      <c r="B691" s="76" t="s">
        <v>549</v>
      </c>
      <c r="C691" s="458" t="s">
        <v>550</v>
      </c>
      <c r="D691" s="459"/>
      <c r="E691" s="459"/>
      <c r="F691" s="459"/>
      <c r="G691" s="456"/>
      <c r="H691" s="457"/>
      <c r="I691" s="455" t="s">
        <v>3</v>
      </c>
      <c r="J691" s="455"/>
      <c r="K691" s="455" t="s">
        <v>4</v>
      </c>
      <c r="L691" s="455"/>
    </row>
    <row r="692" spans="1:12" ht="12" customHeight="1" x14ac:dyDescent="0.35">
      <c r="B692" s="451" t="s">
        <v>409</v>
      </c>
      <c r="C692" s="451" t="s">
        <v>410</v>
      </c>
      <c r="D692" s="452" t="s">
        <v>411</v>
      </c>
      <c r="E692" s="451" t="s">
        <v>412</v>
      </c>
      <c r="F692" s="451" t="s">
        <v>413</v>
      </c>
      <c r="G692" s="77" t="s">
        <v>414</v>
      </c>
      <c r="H692" s="77" t="s">
        <v>415</v>
      </c>
      <c r="I692" s="78" t="s">
        <v>414</v>
      </c>
      <c r="J692" s="79" t="s">
        <v>415</v>
      </c>
      <c r="K692" s="79" t="s">
        <v>414</v>
      </c>
      <c r="L692" s="79" t="s">
        <v>415</v>
      </c>
    </row>
    <row r="693" spans="1:12" ht="12" customHeight="1" x14ac:dyDescent="0.35">
      <c r="B693" s="451"/>
      <c r="C693" s="451"/>
      <c r="D693" s="453"/>
      <c r="E693" s="451"/>
      <c r="F693" s="451"/>
      <c r="G693" s="77" t="s">
        <v>17</v>
      </c>
      <c r="H693" s="77" t="s">
        <v>416</v>
      </c>
      <c r="I693" s="78" t="s">
        <v>17</v>
      </c>
      <c r="J693" s="79" t="s">
        <v>416</v>
      </c>
      <c r="K693" s="79" t="s">
        <v>17</v>
      </c>
      <c r="L693" s="79" t="s">
        <v>416</v>
      </c>
    </row>
    <row r="694" spans="1:12" ht="12" customHeight="1" x14ac:dyDescent="0.35">
      <c r="B694" s="451"/>
      <c r="C694" s="451"/>
      <c r="D694" s="454"/>
      <c r="E694" s="451"/>
      <c r="F694" s="451"/>
      <c r="G694" s="106"/>
      <c r="H694" s="77" t="s">
        <v>17</v>
      </c>
      <c r="I694" s="94"/>
      <c r="J694" s="79" t="s">
        <v>17</v>
      </c>
      <c r="K694" s="85"/>
      <c r="L694" s="79" t="s">
        <v>17</v>
      </c>
    </row>
    <row r="695" spans="1:12" ht="12" customHeight="1" x14ac:dyDescent="0.35">
      <c r="B695" s="80" t="s">
        <v>5</v>
      </c>
      <c r="C695" s="81" t="s">
        <v>417</v>
      </c>
      <c r="D695" s="82"/>
      <c r="E695" s="82"/>
      <c r="F695" s="82"/>
      <c r="G695" s="82"/>
      <c r="H695" s="82"/>
      <c r="I695" s="83"/>
      <c r="J695" s="83"/>
      <c r="K695" s="83"/>
      <c r="L695" s="83"/>
    </row>
    <row r="696" spans="1:12" ht="12" customHeight="1" x14ac:dyDescent="0.35">
      <c r="A696" s="134">
        <v>10111000</v>
      </c>
      <c r="B696" s="84"/>
      <c r="C696" s="85" t="s">
        <v>1885</v>
      </c>
      <c r="D696" s="84" t="s">
        <v>418</v>
      </c>
      <c r="E696" s="84" t="str">
        <f>VLOOKUP(C696,HSD!B:K,2,FALSE)</f>
        <v>OJ</v>
      </c>
      <c r="F696" s="86">
        <v>1.9E-3</v>
      </c>
      <c r="G696" s="87">
        <f>VLOOKUP(C696,HSD!B:K,10,FALSE)</f>
        <v>18750</v>
      </c>
      <c r="H696" s="87">
        <f>F696*G696</f>
        <v>35.625</v>
      </c>
      <c r="I696" s="87">
        <v>78600</v>
      </c>
      <c r="J696" s="87">
        <f>F696*I696</f>
        <v>149.34</v>
      </c>
      <c r="K696" s="87">
        <v>78600</v>
      </c>
      <c r="L696" s="87">
        <f>F696*K696</f>
        <v>149.34</v>
      </c>
    </row>
    <row r="697" spans="1:12" ht="12" customHeight="1" x14ac:dyDescent="0.35">
      <c r="A697" s="134">
        <v>10121110</v>
      </c>
      <c r="B697" s="84"/>
      <c r="C697" s="85" t="s">
        <v>1887</v>
      </c>
      <c r="D697" s="84" t="s">
        <v>419</v>
      </c>
      <c r="E697" s="84" t="str">
        <f>VLOOKUP(C697,HSD!B:K,2,FALSE)</f>
        <v>OJ</v>
      </c>
      <c r="F697" s="86">
        <v>9.9000000000000008E-3</v>
      </c>
      <c r="G697" s="87">
        <f>VLOOKUP(C697,HSD!B:K,10,FALSE)</f>
        <v>16250</v>
      </c>
      <c r="H697" s="87">
        <f>F697*G697</f>
        <v>160.875</v>
      </c>
      <c r="I697" s="87">
        <v>91500</v>
      </c>
      <c r="J697" s="87">
        <f>F697*I697</f>
        <v>905.85</v>
      </c>
      <c r="K697" s="87">
        <v>91500</v>
      </c>
      <c r="L697" s="87">
        <f>F697*K697</f>
        <v>905.85</v>
      </c>
    </row>
    <row r="698" spans="1:12" ht="12" customHeight="1" x14ac:dyDescent="0.35">
      <c r="A698" s="134">
        <v>10131000</v>
      </c>
      <c r="B698" s="84"/>
      <c r="C698" s="85" t="s">
        <v>1888</v>
      </c>
      <c r="D698" s="84" t="s">
        <v>420</v>
      </c>
      <c r="E698" s="84" t="str">
        <f>VLOOKUP(C698,HSD!B:K,2,FALSE)</f>
        <v>OJ</v>
      </c>
      <c r="F698" s="86">
        <v>1.9E-2</v>
      </c>
      <c r="G698" s="87">
        <f>VLOOKUP(C698,HSD!B:K,10,FALSE)</f>
        <v>15000</v>
      </c>
      <c r="H698" s="87">
        <f>F698*G698</f>
        <v>285</v>
      </c>
      <c r="I698" s="87">
        <v>92500</v>
      </c>
      <c r="J698" s="87">
        <f>F698*I698</f>
        <v>1757.5</v>
      </c>
      <c r="K698" s="87">
        <v>92500</v>
      </c>
      <c r="L698" s="87">
        <f>F698*K698</f>
        <v>1757.5</v>
      </c>
    </row>
    <row r="699" spans="1:12" ht="12" customHeight="1" x14ac:dyDescent="0.35">
      <c r="B699" s="84"/>
      <c r="C699" s="85"/>
      <c r="D699" s="84"/>
      <c r="E699" s="84"/>
      <c r="F699" s="86"/>
      <c r="G699" s="87"/>
      <c r="H699" s="87"/>
      <c r="I699" s="87"/>
      <c r="J699" s="87"/>
      <c r="K699" s="87"/>
      <c r="L699" s="87"/>
    </row>
    <row r="700" spans="1:12" ht="12" customHeight="1" x14ac:dyDescent="0.35">
      <c r="B700" s="84"/>
      <c r="C700" s="88"/>
      <c r="D700" s="79"/>
      <c r="E700" s="79"/>
      <c r="F700" s="89" t="s">
        <v>421</v>
      </c>
      <c r="G700" s="101"/>
      <c r="H700" s="87">
        <f>SUM(H696:H699)</f>
        <v>481.5</v>
      </c>
      <c r="I700" s="101"/>
      <c r="J700" s="87">
        <f>SUM(J696:J699)</f>
        <v>2812.69</v>
      </c>
      <c r="K700" s="101"/>
      <c r="L700" s="87">
        <f>SUM(L696:L699)</f>
        <v>2812.69</v>
      </c>
    </row>
    <row r="701" spans="1:12" ht="12" customHeight="1" x14ac:dyDescent="0.35">
      <c r="B701" s="84" t="s">
        <v>6</v>
      </c>
      <c r="C701" s="88" t="s">
        <v>422</v>
      </c>
      <c r="D701" s="79"/>
      <c r="E701" s="79"/>
      <c r="F701" s="90"/>
      <c r="G701" s="84"/>
      <c r="H701" s="87"/>
      <c r="I701" s="84"/>
      <c r="J701" s="87"/>
      <c r="K701" s="84"/>
      <c r="L701" s="87"/>
    </row>
    <row r="702" spans="1:12" ht="12" customHeight="1" x14ac:dyDescent="0.35">
      <c r="B702" s="84"/>
      <c r="C702" s="85"/>
      <c r="D702" s="84"/>
      <c r="E702" s="84"/>
      <c r="F702" s="86"/>
      <c r="G702" s="87"/>
      <c r="H702" s="87">
        <f>F702*G702</f>
        <v>0</v>
      </c>
      <c r="I702" s="87">
        <v>232500</v>
      </c>
      <c r="J702" s="87">
        <f>F702*I702</f>
        <v>0</v>
      </c>
      <c r="K702" s="87">
        <v>270000</v>
      </c>
      <c r="L702" s="87">
        <f>F702*K702</f>
        <v>0</v>
      </c>
    </row>
    <row r="703" spans="1:12" ht="12" customHeight="1" x14ac:dyDescent="0.35">
      <c r="B703" s="84"/>
      <c r="C703" s="88"/>
      <c r="D703" s="79"/>
      <c r="E703" s="84"/>
      <c r="F703" s="102"/>
      <c r="G703" s="87"/>
      <c r="H703" s="87">
        <f>F703*G703</f>
        <v>0</v>
      </c>
      <c r="I703" s="87">
        <v>1060</v>
      </c>
      <c r="J703" s="87">
        <f>F703*I703</f>
        <v>0</v>
      </c>
      <c r="K703" s="87">
        <v>1060</v>
      </c>
      <c r="L703" s="87">
        <f>F703*K703</f>
        <v>0</v>
      </c>
    </row>
    <row r="704" spans="1:12" ht="12" customHeight="1" x14ac:dyDescent="0.35">
      <c r="B704" s="84"/>
      <c r="C704" s="88"/>
      <c r="D704" s="79"/>
      <c r="E704" s="84"/>
      <c r="F704" s="102"/>
      <c r="G704" s="87"/>
      <c r="H704" s="87">
        <f>F704*G704</f>
        <v>0</v>
      </c>
      <c r="I704" s="87">
        <v>215000</v>
      </c>
      <c r="J704" s="87">
        <f>F704*I704</f>
        <v>0</v>
      </c>
      <c r="K704" s="87">
        <v>250000</v>
      </c>
      <c r="L704" s="87">
        <f>F704*K704</f>
        <v>0</v>
      </c>
    </row>
    <row r="705" spans="1:12" ht="12" customHeight="1" x14ac:dyDescent="0.35">
      <c r="B705" s="84"/>
      <c r="C705" s="88"/>
      <c r="D705" s="79"/>
      <c r="E705" s="79"/>
      <c r="F705" s="89"/>
      <c r="G705" s="101"/>
      <c r="H705" s="87">
        <f>SUM(H702:H704)</f>
        <v>0</v>
      </c>
      <c r="I705" s="101"/>
      <c r="J705" s="87">
        <f>SUM(J702:J704)</f>
        <v>0</v>
      </c>
      <c r="K705" s="101"/>
      <c r="L705" s="87">
        <f>SUM(L702:L704)</f>
        <v>0</v>
      </c>
    </row>
    <row r="706" spans="1:12" ht="12" customHeight="1" x14ac:dyDescent="0.35">
      <c r="B706" s="84" t="s">
        <v>7</v>
      </c>
      <c r="C706" s="88" t="s">
        <v>424</v>
      </c>
      <c r="D706" s="79"/>
      <c r="E706" s="79"/>
      <c r="F706" s="90"/>
      <c r="G706" s="84"/>
      <c r="H706" s="87"/>
      <c r="I706" s="84"/>
      <c r="J706" s="87"/>
      <c r="K706" s="84"/>
      <c r="L706" s="87"/>
    </row>
    <row r="707" spans="1:12" ht="12" customHeight="1" x14ac:dyDescent="0.35">
      <c r="A707" s="134">
        <v>31100008</v>
      </c>
      <c r="B707" s="84"/>
      <c r="C707" s="85" t="s">
        <v>1837</v>
      </c>
      <c r="D707" s="84" t="s">
        <v>418</v>
      </c>
      <c r="E707" s="84" t="str">
        <f>VLOOKUP(C707,HSD!B:K,2,FALSE)</f>
        <v>jam</v>
      </c>
      <c r="F707" s="128">
        <f>F697</f>
        <v>9.9000000000000008E-3</v>
      </c>
      <c r="G707" s="87">
        <f>VLOOKUP(C707,HSD!B:K,10,FALSE)</f>
        <v>565678.43999999994</v>
      </c>
      <c r="H707" s="87">
        <f>F707*G707</f>
        <v>5600.2165560000003</v>
      </c>
      <c r="I707" s="87"/>
      <c r="J707" s="87">
        <f>H707*I707</f>
        <v>0</v>
      </c>
      <c r="K707" s="87"/>
      <c r="L707" s="87">
        <f>J707*K707</f>
        <v>0</v>
      </c>
    </row>
    <row r="708" spans="1:12" ht="12" customHeight="1" x14ac:dyDescent="0.35">
      <c r="B708" s="84"/>
      <c r="C708" s="88"/>
      <c r="D708" s="79"/>
      <c r="E708" s="79"/>
      <c r="F708" s="90"/>
      <c r="G708" s="87"/>
      <c r="H708" s="87"/>
      <c r="I708" s="87"/>
      <c r="J708" s="87"/>
      <c r="K708" s="87"/>
      <c r="L708" s="87"/>
    </row>
    <row r="709" spans="1:12" ht="12" customHeight="1" x14ac:dyDescent="0.35">
      <c r="B709" s="84"/>
      <c r="C709" s="88"/>
      <c r="D709" s="79"/>
      <c r="E709" s="79"/>
      <c r="F709" s="90"/>
      <c r="G709" s="87"/>
      <c r="H709" s="87">
        <f>F709*G709</f>
        <v>0</v>
      </c>
      <c r="I709" s="87"/>
      <c r="J709" s="87"/>
      <c r="K709" s="87"/>
      <c r="L709" s="87"/>
    </row>
    <row r="710" spans="1:12" ht="12" customHeight="1" x14ac:dyDescent="0.35">
      <c r="B710" s="84"/>
      <c r="C710" s="88"/>
      <c r="D710" s="79"/>
      <c r="E710" s="79"/>
      <c r="F710" s="89" t="s">
        <v>425</v>
      </c>
      <c r="G710" s="101"/>
      <c r="H710" s="87">
        <f>SUM(H707:H709)</f>
        <v>5600.2165560000003</v>
      </c>
      <c r="I710" s="101"/>
      <c r="J710" s="87">
        <f>SUM(J707)</f>
        <v>0</v>
      </c>
      <c r="K710" s="101"/>
      <c r="L710" s="87">
        <f>SUM(L707)</f>
        <v>0</v>
      </c>
    </row>
    <row r="711" spans="1:12" ht="12" customHeight="1" x14ac:dyDescent="0.35">
      <c r="B711" s="84" t="s">
        <v>8</v>
      </c>
      <c r="C711" s="103" t="s">
        <v>426</v>
      </c>
      <c r="D711" s="104"/>
      <c r="E711" s="104"/>
      <c r="F711" s="104"/>
      <c r="G711" s="105"/>
      <c r="H711" s="87">
        <f>H700+H705+H710</f>
        <v>6081.7165560000003</v>
      </c>
      <c r="I711" s="105"/>
      <c r="J711" s="87">
        <f>J700+J705+J710</f>
        <v>2812.69</v>
      </c>
      <c r="K711" s="105"/>
      <c r="L711" s="87">
        <f>L700+L705+L710</f>
        <v>2812.69</v>
      </c>
    </row>
    <row r="712" spans="1:12" ht="12" customHeight="1" x14ac:dyDescent="0.35">
      <c r="B712" s="84" t="s">
        <v>9</v>
      </c>
      <c r="C712" s="455" t="s">
        <v>427</v>
      </c>
      <c r="D712" s="455"/>
      <c r="E712" s="455"/>
      <c r="F712" s="95">
        <f>0</f>
        <v>0</v>
      </c>
      <c r="G712" s="85" t="s">
        <v>428</v>
      </c>
      <c r="H712" s="87">
        <f>H711*F712</f>
        <v>0</v>
      </c>
      <c r="I712" s="85" t="s">
        <v>428</v>
      </c>
      <c r="J712" s="87">
        <f>J711*F712</f>
        <v>0</v>
      </c>
      <c r="K712" s="85" t="s">
        <v>428</v>
      </c>
      <c r="L712" s="87">
        <f>L711*F712</f>
        <v>0</v>
      </c>
    </row>
    <row r="713" spans="1:12" ht="12" customHeight="1" x14ac:dyDescent="0.35">
      <c r="B713" s="84" t="s">
        <v>10</v>
      </c>
      <c r="C713" s="103" t="s">
        <v>429</v>
      </c>
      <c r="D713" s="104"/>
      <c r="E713" s="104"/>
      <c r="F713" s="104"/>
      <c r="G713" s="105"/>
      <c r="H713" s="96">
        <f>H711+H712</f>
        <v>6081.7165560000003</v>
      </c>
      <c r="I713" s="97"/>
      <c r="J713" s="96">
        <f>J711+J712</f>
        <v>2812.69</v>
      </c>
      <c r="K713" s="97"/>
      <c r="L713" s="96">
        <f>L711+L712</f>
        <v>2812.69</v>
      </c>
    </row>
    <row r="715" spans="1:12" ht="29" customHeight="1" x14ac:dyDescent="0.35">
      <c r="B715" s="76" t="s">
        <v>551</v>
      </c>
      <c r="C715" s="458" t="s">
        <v>556</v>
      </c>
      <c r="D715" s="459"/>
      <c r="E715" s="459"/>
      <c r="F715" s="459"/>
      <c r="G715" s="456"/>
      <c r="H715" s="457"/>
      <c r="I715" s="455" t="s">
        <v>3</v>
      </c>
      <c r="J715" s="455"/>
      <c r="K715" s="455" t="s">
        <v>4</v>
      </c>
      <c r="L715" s="455"/>
    </row>
    <row r="716" spans="1:12" ht="12" customHeight="1" x14ac:dyDescent="0.35">
      <c r="B716" s="451" t="s">
        <v>409</v>
      </c>
      <c r="C716" s="451" t="s">
        <v>410</v>
      </c>
      <c r="D716" s="452" t="s">
        <v>411</v>
      </c>
      <c r="E716" s="451" t="s">
        <v>412</v>
      </c>
      <c r="F716" s="451" t="s">
        <v>413</v>
      </c>
      <c r="G716" s="77" t="s">
        <v>414</v>
      </c>
      <c r="H716" s="77" t="s">
        <v>415</v>
      </c>
      <c r="I716" s="78" t="s">
        <v>414</v>
      </c>
      <c r="J716" s="79" t="s">
        <v>415</v>
      </c>
      <c r="K716" s="79" t="s">
        <v>414</v>
      </c>
      <c r="L716" s="79" t="s">
        <v>415</v>
      </c>
    </row>
    <row r="717" spans="1:12" ht="12" customHeight="1" x14ac:dyDescent="0.35">
      <c r="B717" s="451"/>
      <c r="C717" s="451"/>
      <c r="D717" s="453"/>
      <c r="E717" s="451"/>
      <c r="F717" s="451"/>
      <c r="G717" s="77" t="s">
        <v>17</v>
      </c>
      <c r="H717" s="77" t="s">
        <v>416</v>
      </c>
      <c r="I717" s="78" t="s">
        <v>17</v>
      </c>
      <c r="J717" s="79" t="s">
        <v>416</v>
      </c>
      <c r="K717" s="79" t="s">
        <v>17</v>
      </c>
      <c r="L717" s="79" t="s">
        <v>416</v>
      </c>
    </row>
    <row r="718" spans="1:12" ht="12" customHeight="1" x14ac:dyDescent="0.35">
      <c r="B718" s="451"/>
      <c r="C718" s="451"/>
      <c r="D718" s="454"/>
      <c r="E718" s="451"/>
      <c r="F718" s="451"/>
      <c r="G718" s="106"/>
      <c r="H718" s="77" t="s">
        <v>17</v>
      </c>
      <c r="I718" s="94"/>
      <c r="J718" s="79" t="s">
        <v>17</v>
      </c>
      <c r="K718" s="85"/>
      <c r="L718" s="79" t="s">
        <v>17</v>
      </c>
    </row>
    <row r="719" spans="1:12" ht="12" customHeight="1" x14ac:dyDescent="0.35">
      <c r="B719" s="80" t="s">
        <v>5</v>
      </c>
      <c r="C719" s="81" t="s">
        <v>417</v>
      </c>
      <c r="D719" s="82"/>
      <c r="E719" s="82"/>
      <c r="F719" s="82"/>
      <c r="G719" s="82"/>
      <c r="H719" s="82"/>
      <c r="I719" s="83"/>
      <c r="J719" s="83"/>
      <c r="K719" s="83"/>
      <c r="L719" s="83"/>
    </row>
    <row r="720" spans="1:12" ht="12" customHeight="1" x14ac:dyDescent="0.35">
      <c r="A720" s="134">
        <v>10111000</v>
      </c>
      <c r="B720" s="84"/>
      <c r="C720" s="85" t="s">
        <v>1885</v>
      </c>
      <c r="D720" s="84" t="s">
        <v>418</v>
      </c>
      <c r="E720" s="84" t="str">
        <f>VLOOKUP(C720,HSD!B:K,2,FALSE)</f>
        <v>OJ</v>
      </c>
      <c r="F720" s="86">
        <v>2.2000000000000001E-3</v>
      </c>
      <c r="G720" s="87">
        <f>VLOOKUP(C720,HSD!B:K,10,FALSE)</f>
        <v>18750</v>
      </c>
      <c r="H720" s="87">
        <f>F720*G720</f>
        <v>41.25</v>
      </c>
      <c r="I720" s="87">
        <v>78600</v>
      </c>
      <c r="J720" s="87">
        <f>F720*I720</f>
        <v>172.92000000000002</v>
      </c>
      <c r="K720" s="87">
        <v>78600</v>
      </c>
      <c r="L720" s="87">
        <f>F720*K720</f>
        <v>172.92000000000002</v>
      </c>
    </row>
    <row r="721" spans="1:12" ht="12" customHeight="1" x14ac:dyDescent="0.35">
      <c r="A721" s="134">
        <v>10121110</v>
      </c>
      <c r="B721" s="84"/>
      <c r="C721" s="85" t="s">
        <v>1887</v>
      </c>
      <c r="D721" s="84" t="s">
        <v>419</v>
      </c>
      <c r="E721" s="84" t="str">
        <f>VLOOKUP(C721,HSD!B:K,2,FALSE)</f>
        <v>OJ</v>
      </c>
      <c r="F721" s="86">
        <v>1.11E-2</v>
      </c>
      <c r="G721" s="87">
        <f>VLOOKUP(C721,HSD!B:K,10,FALSE)</f>
        <v>16250</v>
      </c>
      <c r="H721" s="87">
        <f>F721*G721</f>
        <v>180.375</v>
      </c>
      <c r="I721" s="87">
        <v>91500</v>
      </c>
      <c r="J721" s="87">
        <f>F721*I721</f>
        <v>1015.6500000000001</v>
      </c>
      <c r="K721" s="87">
        <v>91500</v>
      </c>
      <c r="L721" s="87">
        <f>F721*K721</f>
        <v>1015.6500000000001</v>
      </c>
    </row>
    <row r="722" spans="1:12" ht="12" customHeight="1" x14ac:dyDescent="0.35">
      <c r="A722" s="134">
        <v>10131000</v>
      </c>
      <c r="B722" s="84"/>
      <c r="C722" s="85" t="s">
        <v>1888</v>
      </c>
      <c r="D722" s="84" t="s">
        <v>420</v>
      </c>
      <c r="E722" s="84" t="str">
        <f>VLOOKUP(C722,HSD!B:K,2,FALSE)</f>
        <v>OJ</v>
      </c>
      <c r="F722" s="86">
        <v>2.2200000000000001E-2</v>
      </c>
      <c r="G722" s="87">
        <f>VLOOKUP(C722,HSD!B:K,10,FALSE)</f>
        <v>15000</v>
      </c>
      <c r="H722" s="87">
        <f>F722*G722</f>
        <v>333</v>
      </c>
      <c r="I722" s="87">
        <v>92500</v>
      </c>
      <c r="J722" s="87">
        <f>F722*I722</f>
        <v>2053.5</v>
      </c>
      <c r="K722" s="87">
        <v>92500</v>
      </c>
      <c r="L722" s="87">
        <f>F722*K722</f>
        <v>2053.5</v>
      </c>
    </row>
    <row r="723" spans="1:12" ht="12" customHeight="1" x14ac:dyDescent="0.35">
      <c r="B723" s="84"/>
      <c r="C723" s="85"/>
      <c r="D723" s="84"/>
      <c r="E723" s="84"/>
      <c r="F723" s="86"/>
      <c r="G723" s="87"/>
      <c r="H723" s="87"/>
      <c r="I723" s="87"/>
      <c r="J723" s="87"/>
      <c r="K723" s="87"/>
      <c r="L723" s="87"/>
    </row>
    <row r="724" spans="1:12" ht="12" customHeight="1" x14ac:dyDescent="0.35">
      <c r="B724" s="84"/>
      <c r="C724" s="88"/>
      <c r="D724" s="79"/>
      <c r="E724" s="79"/>
      <c r="F724" s="89" t="s">
        <v>421</v>
      </c>
      <c r="G724" s="101"/>
      <c r="H724" s="87">
        <f>SUM(H720:H723)</f>
        <v>554.625</v>
      </c>
      <c r="I724" s="101"/>
      <c r="J724" s="87">
        <f>SUM(J720:J723)</f>
        <v>3242.07</v>
      </c>
      <c r="K724" s="101"/>
      <c r="L724" s="87">
        <f>SUM(L720:L723)</f>
        <v>3242.07</v>
      </c>
    </row>
    <row r="725" spans="1:12" ht="12" customHeight="1" x14ac:dyDescent="0.35">
      <c r="B725" s="84" t="s">
        <v>6</v>
      </c>
      <c r="C725" s="88" t="s">
        <v>422</v>
      </c>
      <c r="D725" s="79"/>
      <c r="E725" s="79"/>
      <c r="F725" s="90"/>
      <c r="G725" s="84"/>
      <c r="H725" s="87"/>
      <c r="I725" s="84"/>
      <c r="J725" s="87"/>
      <c r="K725" s="84"/>
      <c r="L725" s="87"/>
    </row>
    <row r="726" spans="1:12" ht="12" customHeight="1" x14ac:dyDescent="0.35">
      <c r="B726" s="84"/>
      <c r="C726" s="85"/>
      <c r="D726" s="84"/>
      <c r="E726" s="84"/>
      <c r="F726" s="86"/>
      <c r="G726" s="87"/>
      <c r="H726" s="87">
        <f>F726*G726</f>
        <v>0</v>
      </c>
      <c r="I726" s="87">
        <v>232500</v>
      </c>
      <c r="J726" s="87">
        <f>F726*I726</f>
        <v>0</v>
      </c>
      <c r="K726" s="87">
        <v>270000</v>
      </c>
      <c r="L726" s="87">
        <f>F726*K726</f>
        <v>0</v>
      </c>
    </row>
    <row r="727" spans="1:12" ht="12" customHeight="1" x14ac:dyDescent="0.35">
      <c r="B727" s="84"/>
      <c r="C727" s="88"/>
      <c r="D727" s="79"/>
      <c r="E727" s="84"/>
      <c r="F727" s="102"/>
      <c r="G727" s="87"/>
      <c r="H727" s="87">
        <f>F727*G727</f>
        <v>0</v>
      </c>
      <c r="I727" s="87">
        <v>1060</v>
      </c>
      <c r="J727" s="87">
        <f>F727*I727</f>
        <v>0</v>
      </c>
      <c r="K727" s="87">
        <v>1060</v>
      </c>
      <c r="L727" s="87">
        <f>F727*K727</f>
        <v>0</v>
      </c>
    </row>
    <row r="728" spans="1:12" ht="12" customHeight="1" x14ac:dyDescent="0.35">
      <c r="B728" s="84"/>
      <c r="C728" s="88"/>
      <c r="D728" s="79"/>
      <c r="E728" s="84"/>
      <c r="F728" s="102"/>
      <c r="G728" s="87"/>
      <c r="H728" s="87">
        <f>F728*G728</f>
        <v>0</v>
      </c>
      <c r="I728" s="87">
        <v>215000</v>
      </c>
      <c r="J728" s="87">
        <f>F728*I728</f>
        <v>0</v>
      </c>
      <c r="K728" s="87">
        <v>250000</v>
      </c>
      <c r="L728" s="87">
        <f>F728*K728</f>
        <v>0</v>
      </c>
    </row>
    <row r="729" spans="1:12" ht="12" customHeight="1" x14ac:dyDescent="0.35">
      <c r="B729" s="84"/>
      <c r="C729" s="88"/>
      <c r="D729" s="79"/>
      <c r="E729" s="79"/>
      <c r="F729" s="89"/>
      <c r="G729" s="101"/>
      <c r="H729" s="87">
        <f>SUM(H726:H728)</f>
        <v>0</v>
      </c>
      <c r="I729" s="101"/>
      <c r="J729" s="87">
        <f>SUM(J726:J728)</f>
        <v>0</v>
      </c>
      <c r="K729" s="101"/>
      <c r="L729" s="87">
        <f>SUM(L726:L728)</f>
        <v>0</v>
      </c>
    </row>
    <row r="730" spans="1:12" ht="12" customHeight="1" x14ac:dyDescent="0.35">
      <c r="B730" s="84" t="s">
        <v>7</v>
      </c>
      <c r="C730" s="88" t="s">
        <v>424</v>
      </c>
      <c r="D730" s="79"/>
      <c r="E730" s="79"/>
      <c r="F730" s="90"/>
      <c r="G730" s="84"/>
      <c r="H730" s="87"/>
      <c r="I730" s="84"/>
      <c r="J730" s="87"/>
      <c r="K730" s="84"/>
      <c r="L730" s="87"/>
    </row>
    <row r="731" spans="1:12" ht="12" customHeight="1" x14ac:dyDescent="0.35">
      <c r="A731" s="134">
        <v>31100008</v>
      </c>
      <c r="B731" s="84"/>
      <c r="C731" s="85" t="s">
        <v>1836</v>
      </c>
      <c r="D731" s="84" t="s">
        <v>418</v>
      </c>
      <c r="E731" s="84" t="str">
        <f>VLOOKUP(C731,HSD!B:K,2,FALSE)</f>
        <v>jam</v>
      </c>
      <c r="F731" s="128">
        <f>F721</f>
        <v>1.11E-2</v>
      </c>
      <c r="G731" s="87">
        <f>VLOOKUP(C731,HSD!B:K,10,FALSE)</f>
        <v>1053489.6200000001</v>
      </c>
      <c r="H731" s="87">
        <f>F731*G731</f>
        <v>11693.734782000001</v>
      </c>
      <c r="I731" s="87"/>
      <c r="J731" s="87">
        <f>H731*I731</f>
        <v>0</v>
      </c>
      <c r="K731" s="87"/>
      <c r="L731" s="87">
        <f>J731*K731</f>
        <v>0</v>
      </c>
    </row>
    <row r="732" spans="1:12" ht="12" customHeight="1" x14ac:dyDescent="0.35">
      <c r="B732" s="84"/>
      <c r="C732" s="88"/>
      <c r="D732" s="79"/>
      <c r="E732" s="79"/>
      <c r="F732" s="90"/>
      <c r="G732" s="87"/>
      <c r="H732" s="87"/>
      <c r="I732" s="87"/>
      <c r="J732" s="87"/>
      <c r="K732" s="87"/>
      <c r="L732" s="87"/>
    </row>
    <row r="733" spans="1:12" ht="12" customHeight="1" x14ac:dyDescent="0.35">
      <c r="B733" s="84"/>
      <c r="C733" s="88"/>
      <c r="D733" s="79"/>
      <c r="E733" s="79"/>
      <c r="F733" s="90"/>
      <c r="G733" s="87"/>
      <c r="H733" s="87">
        <f>F733*G733</f>
        <v>0</v>
      </c>
      <c r="I733" s="87"/>
      <c r="J733" s="87"/>
      <c r="K733" s="87"/>
      <c r="L733" s="87"/>
    </row>
    <row r="734" spans="1:12" ht="12" customHeight="1" x14ac:dyDescent="0.35">
      <c r="B734" s="84"/>
      <c r="C734" s="88"/>
      <c r="D734" s="79"/>
      <c r="E734" s="79"/>
      <c r="F734" s="89" t="s">
        <v>425</v>
      </c>
      <c r="G734" s="101"/>
      <c r="H734" s="87">
        <f>SUM(H731:H733)</f>
        <v>11693.734782000001</v>
      </c>
      <c r="I734" s="101"/>
      <c r="J734" s="87">
        <f>SUM(J731)</f>
        <v>0</v>
      </c>
      <c r="K734" s="101"/>
      <c r="L734" s="87">
        <f>SUM(L731)</f>
        <v>0</v>
      </c>
    </row>
    <row r="735" spans="1:12" ht="12" customHeight="1" x14ac:dyDescent="0.35">
      <c r="B735" s="84" t="s">
        <v>8</v>
      </c>
      <c r="C735" s="103" t="s">
        <v>426</v>
      </c>
      <c r="D735" s="104"/>
      <c r="E735" s="104"/>
      <c r="F735" s="104"/>
      <c r="G735" s="105"/>
      <c r="H735" s="87">
        <f>H724+H729+H734</f>
        <v>12248.359782000001</v>
      </c>
      <c r="I735" s="105"/>
      <c r="J735" s="87">
        <f>J724+J729+J734</f>
        <v>3242.07</v>
      </c>
      <c r="K735" s="105"/>
      <c r="L735" s="87">
        <f>L724+L729+L734</f>
        <v>3242.07</v>
      </c>
    </row>
    <row r="736" spans="1:12" ht="12" customHeight="1" x14ac:dyDescent="0.35">
      <c r="B736" s="84" t="s">
        <v>9</v>
      </c>
      <c r="C736" s="455" t="s">
        <v>427</v>
      </c>
      <c r="D736" s="455"/>
      <c r="E736" s="455"/>
      <c r="F736" s="95">
        <f>0</f>
        <v>0</v>
      </c>
      <c r="G736" s="85" t="s">
        <v>428</v>
      </c>
      <c r="H736" s="87">
        <f>H735*F736</f>
        <v>0</v>
      </c>
      <c r="I736" s="85" t="s">
        <v>428</v>
      </c>
      <c r="J736" s="87">
        <f>J735*F736</f>
        <v>0</v>
      </c>
      <c r="K736" s="85" t="s">
        <v>428</v>
      </c>
      <c r="L736" s="87">
        <f>L735*F736</f>
        <v>0</v>
      </c>
    </row>
    <row r="737" spans="1:12" ht="12" customHeight="1" x14ac:dyDescent="0.35">
      <c r="B737" s="84" t="s">
        <v>10</v>
      </c>
      <c r="C737" s="103" t="s">
        <v>429</v>
      </c>
      <c r="D737" s="104"/>
      <c r="E737" s="104"/>
      <c r="F737" s="104"/>
      <c r="G737" s="105"/>
      <c r="H737" s="96">
        <f>H735+H736</f>
        <v>12248.359782000001</v>
      </c>
      <c r="I737" s="97"/>
      <c r="J737" s="96">
        <f>J735+J736</f>
        <v>3242.07</v>
      </c>
      <c r="K737" s="97"/>
      <c r="L737" s="96">
        <f>L735+L736</f>
        <v>3242.07</v>
      </c>
    </row>
    <row r="739" spans="1:12" ht="29" customHeight="1" x14ac:dyDescent="0.35">
      <c r="B739" s="76" t="s">
        <v>553</v>
      </c>
      <c r="C739" s="458" t="s">
        <v>554</v>
      </c>
      <c r="D739" s="459"/>
      <c r="E739" s="459"/>
      <c r="F739" s="459"/>
      <c r="G739" s="456"/>
      <c r="H739" s="457"/>
      <c r="I739" s="455" t="s">
        <v>3</v>
      </c>
      <c r="J739" s="455"/>
      <c r="K739" s="455" t="s">
        <v>4</v>
      </c>
      <c r="L739" s="455"/>
    </row>
    <row r="740" spans="1:12" ht="12" customHeight="1" x14ac:dyDescent="0.35">
      <c r="B740" s="451" t="s">
        <v>409</v>
      </c>
      <c r="C740" s="451" t="s">
        <v>410</v>
      </c>
      <c r="D740" s="452" t="s">
        <v>411</v>
      </c>
      <c r="E740" s="451" t="s">
        <v>412</v>
      </c>
      <c r="F740" s="451" t="s">
        <v>413</v>
      </c>
      <c r="G740" s="77" t="s">
        <v>414</v>
      </c>
      <c r="H740" s="77" t="s">
        <v>415</v>
      </c>
      <c r="I740" s="78" t="s">
        <v>414</v>
      </c>
      <c r="J740" s="79" t="s">
        <v>415</v>
      </c>
      <c r="K740" s="79" t="s">
        <v>414</v>
      </c>
      <c r="L740" s="79" t="s">
        <v>415</v>
      </c>
    </row>
    <row r="741" spans="1:12" ht="12" customHeight="1" x14ac:dyDescent="0.35">
      <c r="B741" s="451"/>
      <c r="C741" s="451"/>
      <c r="D741" s="453"/>
      <c r="E741" s="451"/>
      <c r="F741" s="451"/>
      <c r="G741" s="77" t="s">
        <v>17</v>
      </c>
      <c r="H741" s="77" t="s">
        <v>416</v>
      </c>
      <c r="I741" s="78" t="s">
        <v>17</v>
      </c>
      <c r="J741" s="79" t="s">
        <v>416</v>
      </c>
      <c r="K741" s="79" t="s">
        <v>17</v>
      </c>
      <c r="L741" s="79" t="s">
        <v>416</v>
      </c>
    </row>
    <row r="742" spans="1:12" ht="12" customHeight="1" x14ac:dyDescent="0.35">
      <c r="B742" s="451"/>
      <c r="C742" s="451"/>
      <c r="D742" s="454"/>
      <c r="E742" s="451"/>
      <c r="F742" s="451"/>
      <c r="G742" s="106"/>
      <c r="H742" s="77" t="s">
        <v>17</v>
      </c>
      <c r="I742" s="94"/>
      <c r="J742" s="79" t="s">
        <v>17</v>
      </c>
      <c r="K742" s="85"/>
      <c r="L742" s="79" t="s">
        <v>17</v>
      </c>
    </row>
    <row r="743" spans="1:12" ht="12" customHeight="1" x14ac:dyDescent="0.35">
      <c r="B743" s="80" t="s">
        <v>5</v>
      </c>
      <c r="C743" s="81" t="s">
        <v>417</v>
      </c>
      <c r="D743" s="82"/>
      <c r="E743" s="82"/>
      <c r="F743" s="82"/>
      <c r="G743" s="82"/>
      <c r="H743" s="82"/>
      <c r="I743" s="83"/>
      <c r="J743" s="83"/>
      <c r="K743" s="83"/>
      <c r="L743" s="83"/>
    </row>
    <row r="744" spans="1:12" ht="12" customHeight="1" x14ac:dyDescent="0.35">
      <c r="A744" s="134">
        <v>10111000</v>
      </c>
      <c r="B744" s="84"/>
      <c r="C744" s="85" t="s">
        <v>1885</v>
      </c>
      <c r="D744" s="84" t="s">
        <v>418</v>
      </c>
      <c r="E744" s="84" t="str">
        <f>VLOOKUP(C744,HSD!B:K,2,FALSE)</f>
        <v>OJ</v>
      </c>
      <c r="F744" s="86">
        <f>0.0024</f>
        <v>2.3999999999999998E-3</v>
      </c>
      <c r="G744" s="87">
        <f>VLOOKUP(C744,HSD!B:K,10,FALSE)</f>
        <v>18750</v>
      </c>
      <c r="H744" s="87">
        <f>F744*G744</f>
        <v>44.999999999999993</v>
      </c>
      <c r="I744" s="87">
        <v>78600</v>
      </c>
      <c r="J744" s="87">
        <f>F744*I744</f>
        <v>188.64</v>
      </c>
      <c r="K744" s="87">
        <v>78600</v>
      </c>
      <c r="L744" s="87">
        <f>F744*K744</f>
        <v>188.64</v>
      </c>
    </row>
    <row r="745" spans="1:12" ht="12" customHeight="1" x14ac:dyDescent="0.35">
      <c r="A745" s="134">
        <v>10121110</v>
      </c>
      <c r="B745" s="84"/>
      <c r="C745" s="85" t="s">
        <v>1887</v>
      </c>
      <c r="D745" s="84" t="s">
        <v>419</v>
      </c>
      <c r="E745" s="84" t="str">
        <f>VLOOKUP(C745,HSD!B:K,2,FALSE)</f>
        <v>OJ</v>
      </c>
      <c r="F745" s="86">
        <v>1.23E-2</v>
      </c>
      <c r="G745" s="87">
        <f>VLOOKUP(C745,HSD!B:K,10,FALSE)</f>
        <v>16250</v>
      </c>
      <c r="H745" s="87">
        <f>F745*G745</f>
        <v>199.875</v>
      </c>
      <c r="I745" s="87">
        <v>91500</v>
      </c>
      <c r="J745" s="87">
        <f>F745*I745</f>
        <v>1125.45</v>
      </c>
      <c r="K745" s="87">
        <v>91500</v>
      </c>
      <c r="L745" s="87">
        <f>F745*K745</f>
        <v>1125.45</v>
      </c>
    </row>
    <row r="746" spans="1:12" ht="12" customHeight="1" x14ac:dyDescent="0.35">
      <c r="A746" s="134">
        <v>10131000</v>
      </c>
      <c r="B746" s="84"/>
      <c r="C746" s="85" t="s">
        <v>1888</v>
      </c>
      <c r="D746" s="84" t="s">
        <v>420</v>
      </c>
      <c r="E746" s="84" t="str">
        <f>VLOOKUP(C746,HSD!B:K,2,FALSE)</f>
        <v>OJ</v>
      </c>
      <c r="F746" s="86">
        <v>2.46E-2</v>
      </c>
      <c r="G746" s="87">
        <f>VLOOKUP(C746,HSD!B:K,10,FALSE)</f>
        <v>15000</v>
      </c>
      <c r="H746" s="87">
        <f>F746*G746</f>
        <v>369</v>
      </c>
      <c r="I746" s="87">
        <v>92500</v>
      </c>
      <c r="J746" s="87">
        <f>F746*I746</f>
        <v>2275.5</v>
      </c>
      <c r="K746" s="87">
        <v>92500</v>
      </c>
      <c r="L746" s="87">
        <f>F746*K746</f>
        <v>2275.5</v>
      </c>
    </row>
    <row r="747" spans="1:12" ht="12" customHeight="1" x14ac:dyDescent="0.35">
      <c r="B747" s="84"/>
      <c r="C747" s="85"/>
      <c r="D747" s="84"/>
      <c r="E747" s="84"/>
      <c r="F747" s="86"/>
      <c r="G747" s="87"/>
      <c r="H747" s="87"/>
      <c r="I747" s="87"/>
      <c r="J747" s="87"/>
      <c r="K747" s="87"/>
      <c r="L747" s="87"/>
    </row>
    <row r="748" spans="1:12" ht="12" customHeight="1" x14ac:dyDescent="0.35">
      <c r="B748" s="84"/>
      <c r="C748" s="88"/>
      <c r="D748" s="79"/>
      <c r="E748" s="79"/>
      <c r="F748" s="89" t="s">
        <v>421</v>
      </c>
      <c r="G748" s="101"/>
      <c r="H748" s="87">
        <f>SUM(H744:H747)</f>
        <v>613.875</v>
      </c>
      <c r="I748" s="101"/>
      <c r="J748" s="87">
        <f>SUM(J744:J747)</f>
        <v>3589.59</v>
      </c>
      <c r="K748" s="101"/>
      <c r="L748" s="87">
        <f>SUM(L744:L747)</f>
        <v>3589.59</v>
      </c>
    </row>
    <row r="749" spans="1:12" ht="12" customHeight="1" x14ac:dyDescent="0.35">
      <c r="B749" s="84" t="s">
        <v>6</v>
      </c>
      <c r="C749" s="88" t="s">
        <v>422</v>
      </c>
      <c r="D749" s="79"/>
      <c r="E749" s="79"/>
      <c r="F749" s="90"/>
      <c r="G749" s="84"/>
      <c r="H749" s="87"/>
      <c r="I749" s="84"/>
      <c r="J749" s="87"/>
      <c r="K749" s="84"/>
      <c r="L749" s="87"/>
    </row>
    <row r="750" spans="1:12" ht="12" customHeight="1" x14ac:dyDescent="0.35">
      <c r="B750" s="84"/>
      <c r="C750" s="85"/>
      <c r="D750" s="84"/>
      <c r="E750" s="84"/>
      <c r="F750" s="86"/>
      <c r="G750" s="87"/>
      <c r="H750" s="87">
        <f>F750*G750</f>
        <v>0</v>
      </c>
      <c r="I750" s="87">
        <v>232500</v>
      </c>
      <c r="J750" s="87">
        <f>F750*I750</f>
        <v>0</v>
      </c>
      <c r="K750" s="87">
        <v>270000</v>
      </c>
      <c r="L750" s="87">
        <f>F750*K750</f>
        <v>0</v>
      </c>
    </row>
    <row r="751" spans="1:12" ht="12" customHeight="1" x14ac:dyDescent="0.35">
      <c r="B751" s="84"/>
      <c r="C751" s="88"/>
      <c r="D751" s="79"/>
      <c r="E751" s="84"/>
      <c r="F751" s="102"/>
      <c r="G751" s="87"/>
      <c r="H751" s="87">
        <f>F751*G751</f>
        <v>0</v>
      </c>
      <c r="I751" s="87">
        <v>1060</v>
      </c>
      <c r="J751" s="87">
        <f>F751*I751</f>
        <v>0</v>
      </c>
      <c r="K751" s="87">
        <v>1060</v>
      </c>
      <c r="L751" s="87">
        <f>F751*K751</f>
        <v>0</v>
      </c>
    </row>
    <row r="752" spans="1:12" ht="12" customHeight="1" x14ac:dyDescent="0.35">
      <c r="B752" s="84"/>
      <c r="C752" s="88"/>
      <c r="D752" s="79"/>
      <c r="E752" s="84"/>
      <c r="F752" s="102"/>
      <c r="G752" s="87"/>
      <c r="H752" s="87">
        <f>F752*G752</f>
        <v>0</v>
      </c>
      <c r="I752" s="87">
        <v>215000</v>
      </c>
      <c r="J752" s="87">
        <f>F752*I752</f>
        <v>0</v>
      </c>
      <c r="K752" s="87">
        <v>250000</v>
      </c>
      <c r="L752" s="87">
        <f>F752*K752</f>
        <v>0</v>
      </c>
    </row>
    <row r="753" spans="1:12" ht="12" customHeight="1" x14ac:dyDescent="0.35">
      <c r="B753" s="84"/>
      <c r="C753" s="88"/>
      <c r="D753" s="79"/>
      <c r="E753" s="79"/>
      <c r="F753" s="89"/>
      <c r="G753" s="101"/>
      <c r="H753" s="87">
        <f>SUM(H750:H752)</f>
        <v>0</v>
      </c>
      <c r="I753" s="101"/>
      <c r="J753" s="87">
        <f>SUM(J750:J752)</f>
        <v>0</v>
      </c>
      <c r="K753" s="101"/>
      <c r="L753" s="87">
        <f>SUM(L750:L752)</f>
        <v>0</v>
      </c>
    </row>
    <row r="754" spans="1:12" ht="12" customHeight="1" x14ac:dyDescent="0.35">
      <c r="B754" s="84" t="s">
        <v>7</v>
      </c>
      <c r="C754" s="88" t="s">
        <v>424</v>
      </c>
      <c r="D754" s="79"/>
      <c r="E754" s="79"/>
      <c r="F754" s="90"/>
      <c r="G754" s="84"/>
      <c r="H754" s="87"/>
      <c r="I754" s="84"/>
      <c r="J754" s="87"/>
      <c r="K754" s="84"/>
      <c r="L754" s="87"/>
    </row>
    <row r="755" spans="1:12" ht="12" customHeight="1" x14ac:dyDescent="0.35">
      <c r="A755" s="134">
        <v>31100008</v>
      </c>
      <c r="B755" s="84"/>
      <c r="C755" s="85" t="s">
        <v>1836</v>
      </c>
      <c r="D755" s="84" t="s">
        <v>418</v>
      </c>
      <c r="E755" s="84" t="str">
        <f>VLOOKUP(C755,HSD!B:K,2,FALSE)</f>
        <v>jam</v>
      </c>
      <c r="F755" s="128">
        <f>F745</f>
        <v>1.23E-2</v>
      </c>
      <c r="G755" s="87">
        <f>VLOOKUP(C755,HSD!B:K,10,FALSE)</f>
        <v>1053489.6200000001</v>
      </c>
      <c r="H755" s="87">
        <f>F755*G755</f>
        <v>12957.922326000002</v>
      </c>
      <c r="I755" s="87"/>
      <c r="J755" s="87">
        <f>H755*I755</f>
        <v>0</v>
      </c>
      <c r="K755" s="87"/>
      <c r="L755" s="87">
        <f>J755*K755</f>
        <v>0</v>
      </c>
    </row>
    <row r="756" spans="1:12" ht="12" customHeight="1" x14ac:dyDescent="0.35">
      <c r="B756" s="84"/>
      <c r="C756" s="88"/>
      <c r="D756" s="79"/>
      <c r="E756" s="79"/>
      <c r="F756" s="90"/>
      <c r="G756" s="87"/>
      <c r="H756" s="87"/>
      <c r="I756" s="87"/>
      <c r="J756" s="87"/>
      <c r="K756" s="87"/>
      <c r="L756" s="87"/>
    </row>
    <row r="757" spans="1:12" ht="12" customHeight="1" x14ac:dyDescent="0.35">
      <c r="B757" s="84"/>
      <c r="C757" s="88"/>
      <c r="D757" s="79"/>
      <c r="E757" s="79"/>
      <c r="F757" s="90"/>
      <c r="G757" s="87"/>
      <c r="H757" s="87">
        <f>F757*G757</f>
        <v>0</v>
      </c>
      <c r="I757" s="87"/>
      <c r="J757" s="87"/>
      <c r="K757" s="87"/>
      <c r="L757" s="87"/>
    </row>
    <row r="758" spans="1:12" ht="12" customHeight="1" x14ac:dyDescent="0.35">
      <c r="B758" s="84"/>
      <c r="C758" s="88"/>
      <c r="D758" s="79"/>
      <c r="E758" s="79"/>
      <c r="F758" s="89" t="s">
        <v>425</v>
      </c>
      <c r="G758" s="101"/>
      <c r="H758" s="87">
        <f>SUM(H755:H757)</f>
        <v>12957.922326000002</v>
      </c>
      <c r="I758" s="101"/>
      <c r="J758" s="87">
        <f>SUM(J755)</f>
        <v>0</v>
      </c>
      <c r="K758" s="101"/>
      <c r="L758" s="87">
        <f>SUM(L755)</f>
        <v>0</v>
      </c>
    </row>
    <row r="759" spans="1:12" ht="12" customHeight="1" x14ac:dyDescent="0.35">
      <c r="B759" s="84" t="s">
        <v>8</v>
      </c>
      <c r="C759" s="103" t="s">
        <v>426</v>
      </c>
      <c r="D759" s="104"/>
      <c r="E759" s="104"/>
      <c r="F759" s="104"/>
      <c r="G759" s="105"/>
      <c r="H759" s="87">
        <f>H748+H753+H758</f>
        <v>13571.797326000002</v>
      </c>
      <c r="I759" s="105"/>
      <c r="J759" s="87">
        <f>J748+J753+J758</f>
        <v>3589.59</v>
      </c>
      <c r="K759" s="105"/>
      <c r="L759" s="87">
        <f>L748+L753+L758</f>
        <v>3589.59</v>
      </c>
    </row>
    <row r="760" spans="1:12" ht="12" customHeight="1" x14ac:dyDescent="0.35">
      <c r="B760" s="84" t="s">
        <v>9</v>
      </c>
      <c r="C760" s="455" t="s">
        <v>427</v>
      </c>
      <c r="D760" s="455"/>
      <c r="E760" s="455"/>
      <c r="F760" s="95">
        <f>0</f>
        <v>0</v>
      </c>
      <c r="G760" s="85" t="s">
        <v>428</v>
      </c>
      <c r="H760" s="87">
        <f>H759*F760</f>
        <v>0</v>
      </c>
      <c r="I760" s="85" t="s">
        <v>428</v>
      </c>
      <c r="J760" s="87">
        <f>J759*F760</f>
        <v>0</v>
      </c>
      <c r="K760" s="85" t="s">
        <v>428</v>
      </c>
      <c r="L760" s="87">
        <f>L759*F760</f>
        <v>0</v>
      </c>
    </row>
    <row r="761" spans="1:12" ht="12" customHeight="1" x14ac:dyDescent="0.35">
      <c r="B761" s="84" t="s">
        <v>10</v>
      </c>
      <c r="C761" s="103" t="s">
        <v>429</v>
      </c>
      <c r="D761" s="104"/>
      <c r="E761" s="104"/>
      <c r="F761" s="104"/>
      <c r="G761" s="105"/>
      <c r="H761" s="96">
        <f>H759+H760</f>
        <v>13571.797326000002</v>
      </c>
      <c r="I761" s="97"/>
      <c r="J761" s="96">
        <f>J759+J760</f>
        <v>3589.59</v>
      </c>
      <c r="K761" s="97"/>
      <c r="L761" s="96">
        <f>L759+L760</f>
        <v>3589.59</v>
      </c>
    </row>
    <row r="763" spans="1:12" ht="29" customHeight="1" x14ac:dyDescent="0.35">
      <c r="B763" s="76" t="s">
        <v>552</v>
      </c>
      <c r="C763" s="458" t="s">
        <v>555</v>
      </c>
      <c r="D763" s="459"/>
      <c r="E763" s="459"/>
      <c r="F763" s="459"/>
      <c r="G763" s="456"/>
      <c r="H763" s="457"/>
      <c r="I763" s="455" t="s">
        <v>3</v>
      </c>
      <c r="J763" s="455"/>
      <c r="K763" s="455" t="s">
        <v>4</v>
      </c>
      <c r="L763" s="455"/>
    </row>
    <row r="764" spans="1:12" ht="12" customHeight="1" x14ac:dyDescent="0.35">
      <c r="B764" s="451" t="s">
        <v>409</v>
      </c>
      <c r="C764" s="451" t="s">
        <v>410</v>
      </c>
      <c r="D764" s="452" t="s">
        <v>411</v>
      </c>
      <c r="E764" s="451" t="s">
        <v>412</v>
      </c>
      <c r="F764" s="451" t="s">
        <v>413</v>
      </c>
      <c r="G764" s="77" t="s">
        <v>414</v>
      </c>
      <c r="H764" s="77" t="s">
        <v>415</v>
      </c>
      <c r="I764" s="78" t="s">
        <v>414</v>
      </c>
      <c r="J764" s="79" t="s">
        <v>415</v>
      </c>
      <c r="K764" s="79" t="s">
        <v>414</v>
      </c>
      <c r="L764" s="79" t="s">
        <v>415</v>
      </c>
    </row>
    <row r="765" spans="1:12" ht="12" customHeight="1" x14ac:dyDescent="0.35">
      <c r="B765" s="451"/>
      <c r="C765" s="451"/>
      <c r="D765" s="453"/>
      <c r="E765" s="451"/>
      <c r="F765" s="451"/>
      <c r="G765" s="77" t="s">
        <v>17</v>
      </c>
      <c r="H765" s="77" t="s">
        <v>416</v>
      </c>
      <c r="I765" s="78" t="s">
        <v>17</v>
      </c>
      <c r="J765" s="79" t="s">
        <v>416</v>
      </c>
      <c r="K765" s="79" t="s">
        <v>17</v>
      </c>
      <c r="L765" s="79" t="s">
        <v>416</v>
      </c>
    </row>
    <row r="766" spans="1:12" ht="12" customHeight="1" x14ac:dyDescent="0.35">
      <c r="B766" s="451"/>
      <c r="C766" s="451"/>
      <c r="D766" s="454"/>
      <c r="E766" s="451"/>
      <c r="F766" s="451"/>
      <c r="G766" s="106"/>
      <c r="H766" s="77" t="s">
        <v>17</v>
      </c>
      <c r="I766" s="94"/>
      <c r="J766" s="79" t="s">
        <v>17</v>
      </c>
      <c r="K766" s="85"/>
      <c r="L766" s="79" t="s">
        <v>17</v>
      </c>
    </row>
    <row r="767" spans="1:12" ht="12" customHeight="1" x14ac:dyDescent="0.35">
      <c r="B767" s="80" t="s">
        <v>5</v>
      </c>
      <c r="C767" s="81" t="s">
        <v>417</v>
      </c>
      <c r="D767" s="82"/>
      <c r="E767" s="82"/>
      <c r="F767" s="82"/>
      <c r="G767" s="82"/>
      <c r="H767" s="82"/>
      <c r="I767" s="83"/>
      <c r="J767" s="83"/>
      <c r="K767" s="83"/>
      <c r="L767" s="83"/>
    </row>
    <row r="768" spans="1:12" ht="12" customHeight="1" x14ac:dyDescent="0.35">
      <c r="A768" s="134">
        <v>10111000</v>
      </c>
      <c r="B768" s="84"/>
      <c r="C768" s="85" t="s">
        <v>1885</v>
      </c>
      <c r="D768" s="84" t="s">
        <v>418</v>
      </c>
      <c r="E768" s="84" t="str">
        <f>VLOOKUP(C768,HSD!B:K,2,FALSE)</f>
        <v>OJ</v>
      </c>
      <c r="F768" s="86">
        <v>2.7000000000000001E-3</v>
      </c>
      <c r="G768" s="87">
        <f>VLOOKUP(C768,HSD!B:K,10,FALSE)</f>
        <v>18750</v>
      </c>
      <c r="H768" s="87">
        <f>F768*G768</f>
        <v>50.625</v>
      </c>
      <c r="I768" s="87">
        <v>78600</v>
      </c>
      <c r="J768" s="87">
        <f>F768*I768</f>
        <v>212.22</v>
      </c>
      <c r="K768" s="87">
        <v>78600</v>
      </c>
      <c r="L768" s="87">
        <f>F768*K768</f>
        <v>212.22</v>
      </c>
    </row>
    <row r="769" spans="1:12" ht="12" customHeight="1" x14ac:dyDescent="0.35">
      <c r="A769" s="134">
        <v>10121110</v>
      </c>
      <c r="B769" s="84"/>
      <c r="C769" s="85" t="s">
        <v>1887</v>
      </c>
      <c r="D769" s="84" t="s">
        <v>419</v>
      </c>
      <c r="E769" s="84" t="str">
        <f>VLOOKUP(C769,HSD!B:K,2,FALSE)</f>
        <v>OJ</v>
      </c>
      <c r="F769" s="86">
        <v>1.3599999999999999E-2</v>
      </c>
      <c r="G769" s="87">
        <f>VLOOKUP(C769,HSD!B:K,10,FALSE)</f>
        <v>16250</v>
      </c>
      <c r="H769" s="87">
        <f>F769*G769</f>
        <v>221</v>
      </c>
      <c r="I769" s="87">
        <v>91500</v>
      </c>
      <c r="J769" s="87">
        <f>F769*I769</f>
        <v>1244.3999999999999</v>
      </c>
      <c r="K769" s="87">
        <v>91500</v>
      </c>
      <c r="L769" s="87">
        <f>F769*K769</f>
        <v>1244.3999999999999</v>
      </c>
    </row>
    <row r="770" spans="1:12" ht="12" customHeight="1" x14ac:dyDescent="0.35">
      <c r="A770" s="134">
        <v>10131000</v>
      </c>
      <c r="B770" s="84"/>
      <c r="C770" s="85" t="s">
        <v>1888</v>
      </c>
      <c r="D770" s="84" t="s">
        <v>420</v>
      </c>
      <c r="E770" s="84" t="str">
        <f>VLOOKUP(C770,HSD!B:K,2,FALSE)</f>
        <v>OJ</v>
      </c>
      <c r="F770" s="86">
        <v>2.7199999999999998E-2</v>
      </c>
      <c r="G770" s="87">
        <f>VLOOKUP(C770,HSD!B:K,10,FALSE)</f>
        <v>15000</v>
      </c>
      <c r="H770" s="87">
        <f>F770*G770</f>
        <v>408</v>
      </c>
      <c r="I770" s="87">
        <v>92500</v>
      </c>
      <c r="J770" s="87">
        <f>F770*I770</f>
        <v>2516</v>
      </c>
      <c r="K770" s="87">
        <v>92500</v>
      </c>
      <c r="L770" s="87">
        <f>F770*K770</f>
        <v>2516</v>
      </c>
    </row>
    <row r="771" spans="1:12" ht="12" customHeight="1" x14ac:dyDescent="0.35">
      <c r="B771" s="84"/>
      <c r="C771" s="85"/>
      <c r="D771" s="84"/>
      <c r="E771" s="84"/>
      <c r="F771" s="86"/>
      <c r="G771" s="87"/>
      <c r="H771" s="87"/>
      <c r="I771" s="87"/>
      <c r="J771" s="87"/>
      <c r="K771" s="87"/>
      <c r="L771" s="87"/>
    </row>
    <row r="772" spans="1:12" ht="12" customHeight="1" x14ac:dyDescent="0.35">
      <c r="B772" s="84"/>
      <c r="C772" s="88"/>
      <c r="D772" s="79"/>
      <c r="E772" s="79"/>
      <c r="F772" s="89" t="s">
        <v>421</v>
      </c>
      <c r="G772" s="101"/>
      <c r="H772" s="87">
        <f>SUM(H768:H771)</f>
        <v>679.625</v>
      </c>
      <c r="I772" s="101"/>
      <c r="J772" s="87">
        <f>SUM(J768:J771)</f>
        <v>3972.62</v>
      </c>
      <c r="K772" s="101"/>
      <c r="L772" s="87">
        <f>SUM(L768:L771)</f>
        <v>3972.62</v>
      </c>
    </row>
    <row r="773" spans="1:12" ht="12" customHeight="1" x14ac:dyDescent="0.35">
      <c r="B773" s="84" t="s">
        <v>6</v>
      </c>
      <c r="C773" s="88" t="s">
        <v>422</v>
      </c>
      <c r="D773" s="79"/>
      <c r="E773" s="79"/>
      <c r="F773" s="90"/>
      <c r="G773" s="84"/>
      <c r="H773" s="87"/>
      <c r="I773" s="84"/>
      <c r="J773" s="87"/>
      <c r="K773" s="84"/>
      <c r="L773" s="87"/>
    </row>
    <row r="774" spans="1:12" ht="12" customHeight="1" x14ac:dyDescent="0.35">
      <c r="B774" s="84"/>
      <c r="C774" s="85"/>
      <c r="D774" s="84"/>
      <c r="E774" s="84"/>
      <c r="F774" s="86"/>
      <c r="G774" s="87"/>
      <c r="H774" s="87">
        <f>F774*G774</f>
        <v>0</v>
      </c>
      <c r="I774" s="87">
        <v>232500</v>
      </c>
      <c r="J774" s="87">
        <f>F774*I774</f>
        <v>0</v>
      </c>
      <c r="K774" s="87">
        <v>270000</v>
      </c>
      <c r="L774" s="87">
        <f>F774*K774</f>
        <v>0</v>
      </c>
    </row>
    <row r="775" spans="1:12" ht="12" customHeight="1" x14ac:dyDescent="0.35">
      <c r="B775" s="84"/>
      <c r="C775" s="88"/>
      <c r="D775" s="79"/>
      <c r="E775" s="84"/>
      <c r="F775" s="102"/>
      <c r="G775" s="87"/>
      <c r="H775" s="87">
        <f>F775*G775</f>
        <v>0</v>
      </c>
      <c r="I775" s="87">
        <v>1060</v>
      </c>
      <c r="J775" s="87">
        <f>F775*I775</f>
        <v>0</v>
      </c>
      <c r="K775" s="87">
        <v>1060</v>
      </c>
      <c r="L775" s="87">
        <f>F775*K775</f>
        <v>0</v>
      </c>
    </row>
    <row r="776" spans="1:12" ht="12" customHeight="1" x14ac:dyDescent="0.35">
      <c r="B776" s="84"/>
      <c r="C776" s="88"/>
      <c r="D776" s="79"/>
      <c r="E776" s="84"/>
      <c r="F776" s="102"/>
      <c r="G776" s="87"/>
      <c r="H776" s="87">
        <f>F776*G776</f>
        <v>0</v>
      </c>
      <c r="I776" s="87">
        <v>215000</v>
      </c>
      <c r="J776" s="87">
        <f>F776*I776</f>
        <v>0</v>
      </c>
      <c r="K776" s="87">
        <v>250000</v>
      </c>
      <c r="L776" s="87">
        <f>F776*K776</f>
        <v>0</v>
      </c>
    </row>
    <row r="777" spans="1:12" ht="12" customHeight="1" x14ac:dyDescent="0.35">
      <c r="B777" s="84"/>
      <c r="C777" s="88"/>
      <c r="D777" s="79"/>
      <c r="E777" s="79"/>
      <c r="F777" s="89"/>
      <c r="G777" s="101"/>
      <c r="H777" s="87">
        <f>SUM(H774:H776)</f>
        <v>0</v>
      </c>
      <c r="I777" s="101"/>
      <c r="J777" s="87">
        <f>SUM(J774:J776)</f>
        <v>0</v>
      </c>
      <c r="K777" s="101"/>
      <c r="L777" s="87">
        <f>SUM(L774:L776)</f>
        <v>0</v>
      </c>
    </row>
    <row r="778" spans="1:12" ht="12" customHeight="1" x14ac:dyDescent="0.35">
      <c r="B778" s="84" t="s">
        <v>7</v>
      </c>
      <c r="C778" s="88" t="s">
        <v>424</v>
      </c>
      <c r="D778" s="79"/>
      <c r="E778" s="79"/>
      <c r="F778" s="90"/>
      <c r="G778" s="84"/>
      <c r="H778" s="87"/>
      <c r="I778" s="84"/>
      <c r="J778" s="87"/>
      <c r="K778" s="84"/>
      <c r="L778" s="87"/>
    </row>
    <row r="779" spans="1:12" ht="12" customHeight="1" x14ac:dyDescent="0.35">
      <c r="A779" s="134">
        <v>31100008</v>
      </c>
      <c r="B779" s="84"/>
      <c r="C779" s="85" t="s">
        <v>1836</v>
      </c>
      <c r="D779" s="84" t="s">
        <v>418</v>
      </c>
      <c r="E779" s="84" t="str">
        <f>VLOOKUP(C779,HSD!B:K,2,FALSE)</f>
        <v>jam</v>
      </c>
      <c r="F779" s="128">
        <f>F769</f>
        <v>1.3599999999999999E-2</v>
      </c>
      <c r="G779" s="87">
        <f>VLOOKUP(C779,HSD!B:K,10,FALSE)</f>
        <v>1053489.6200000001</v>
      </c>
      <c r="H779" s="87">
        <f>F779*G779</f>
        <v>14327.458832</v>
      </c>
      <c r="I779" s="87"/>
      <c r="J779" s="87">
        <f>H779*I779</f>
        <v>0</v>
      </c>
      <c r="K779" s="87"/>
      <c r="L779" s="87">
        <f>J779*K779</f>
        <v>0</v>
      </c>
    </row>
    <row r="780" spans="1:12" ht="12" customHeight="1" x14ac:dyDescent="0.35">
      <c r="B780" s="84"/>
      <c r="C780" s="88"/>
      <c r="D780" s="79"/>
      <c r="E780" s="79"/>
      <c r="F780" s="90"/>
      <c r="G780" s="87"/>
      <c r="H780" s="87"/>
      <c r="I780" s="87"/>
      <c r="J780" s="87"/>
      <c r="K780" s="87"/>
      <c r="L780" s="87"/>
    </row>
    <row r="781" spans="1:12" ht="12" customHeight="1" x14ac:dyDescent="0.35">
      <c r="B781" s="84"/>
      <c r="C781" s="88"/>
      <c r="D781" s="79"/>
      <c r="E781" s="79"/>
      <c r="F781" s="90"/>
      <c r="G781" s="87"/>
      <c r="H781" s="87">
        <f>F781*G781</f>
        <v>0</v>
      </c>
      <c r="I781" s="87"/>
      <c r="J781" s="87"/>
      <c r="K781" s="87"/>
      <c r="L781" s="87"/>
    </row>
    <row r="782" spans="1:12" ht="12" customHeight="1" x14ac:dyDescent="0.35">
      <c r="B782" s="84"/>
      <c r="C782" s="88"/>
      <c r="D782" s="79"/>
      <c r="E782" s="79"/>
      <c r="F782" s="89" t="s">
        <v>425</v>
      </c>
      <c r="G782" s="101"/>
      <c r="H782" s="87">
        <f>SUM(H779:H781)</f>
        <v>14327.458832</v>
      </c>
      <c r="I782" s="101"/>
      <c r="J782" s="87">
        <f>SUM(J779)</f>
        <v>0</v>
      </c>
      <c r="K782" s="101"/>
      <c r="L782" s="87">
        <f>SUM(L779)</f>
        <v>0</v>
      </c>
    </row>
    <row r="783" spans="1:12" ht="12" customHeight="1" x14ac:dyDescent="0.35">
      <c r="B783" s="84" t="s">
        <v>8</v>
      </c>
      <c r="C783" s="103" t="s">
        <v>426</v>
      </c>
      <c r="D783" s="104"/>
      <c r="E783" s="104"/>
      <c r="F783" s="104"/>
      <c r="G783" s="105"/>
      <c r="H783" s="87">
        <f>H772+H777+H782</f>
        <v>15007.083832</v>
      </c>
      <c r="I783" s="105"/>
      <c r="J783" s="87">
        <f>J772+J777+J782</f>
        <v>3972.62</v>
      </c>
      <c r="K783" s="105"/>
      <c r="L783" s="87">
        <f>L772+L777+L782</f>
        <v>3972.62</v>
      </c>
    </row>
    <row r="784" spans="1:12" ht="12" customHeight="1" x14ac:dyDescent="0.35">
      <c r="B784" s="84" t="s">
        <v>9</v>
      </c>
      <c r="C784" s="455" t="s">
        <v>427</v>
      </c>
      <c r="D784" s="455"/>
      <c r="E784" s="455"/>
      <c r="F784" s="95">
        <f>0</f>
        <v>0</v>
      </c>
      <c r="G784" s="85" t="s">
        <v>428</v>
      </c>
      <c r="H784" s="87">
        <f>H783*F784</f>
        <v>0</v>
      </c>
      <c r="I784" s="85" t="s">
        <v>428</v>
      </c>
      <c r="J784" s="87">
        <f>J783*F784</f>
        <v>0</v>
      </c>
      <c r="K784" s="85" t="s">
        <v>428</v>
      </c>
      <c r="L784" s="87">
        <f>L783*F784</f>
        <v>0</v>
      </c>
    </row>
    <row r="785" spans="1:12" ht="12" customHeight="1" x14ac:dyDescent="0.35">
      <c r="B785" s="84" t="s">
        <v>10</v>
      </c>
      <c r="C785" s="103" t="s">
        <v>429</v>
      </c>
      <c r="D785" s="104"/>
      <c r="E785" s="104"/>
      <c r="F785" s="104"/>
      <c r="G785" s="105"/>
      <c r="H785" s="96">
        <f>H783+H784</f>
        <v>15007.083832</v>
      </c>
      <c r="I785" s="97"/>
      <c r="J785" s="96">
        <f>J783+J784</f>
        <v>3972.62</v>
      </c>
      <c r="K785" s="97"/>
      <c r="L785" s="96">
        <f>L783+L784</f>
        <v>3972.62</v>
      </c>
    </row>
    <row r="787" spans="1:12" ht="29" customHeight="1" x14ac:dyDescent="0.35">
      <c r="B787" s="76" t="s">
        <v>557</v>
      </c>
      <c r="C787" s="458" t="s">
        <v>560</v>
      </c>
      <c r="D787" s="459"/>
      <c r="E787" s="459"/>
      <c r="F787" s="459"/>
      <c r="G787" s="456"/>
      <c r="H787" s="457"/>
      <c r="I787" s="455" t="s">
        <v>3</v>
      </c>
      <c r="J787" s="455"/>
      <c r="K787" s="455" t="s">
        <v>4</v>
      </c>
      <c r="L787" s="455"/>
    </row>
    <row r="788" spans="1:12" ht="12" customHeight="1" x14ac:dyDescent="0.35">
      <c r="B788" s="451" t="s">
        <v>409</v>
      </c>
      <c r="C788" s="451" t="s">
        <v>410</v>
      </c>
      <c r="D788" s="452" t="s">
        <v>411</v>
      </c>
      <c r="E788" s="451" t="s">
        <v>412</v>
      </c>
      <c r="F788" s="451" t="s">
        <v>413</v>
      </c>
      <c r="G788" s="77" t="s">
        <v>414</v>
      </c>
      <c r="H788" s="77" t="s">
        <v>415</v>
      </c>
      <c r="I788" s="78" t="s">
        <v>414</v>
      </c>
      <c r="J788" s="79" t="s">
        <v>415</v>
      </c>
      <c r="K788" s="79" t="s">
        <v>414</v>
      </c>
      <c r="L788" s="79" t="s">
        <v>415</v>
      </c>
    </row>
    <row r="789" spans="1:12" ht="12" customHeight="1" x14ac:dyDescent="0.35">
      <c r="B789" s="451"/>
      <c r="C789" s="451"/>
      <c r="D789" s="453"/>
      <c r="E789" s="451"/>
      <c r="F789" s="451"/>
      <c r="G789" s="77" t="s">
        <v>17</v>
      </c>
      <c r="H789" s="77" t="s">
        <v>416</v>
      </c>
      <c r="I789" s="78" t="s">
        <v>17</v>
      </c>
      <c r="J789" s="79" t="s">
        <v>416</v>
      </c>
      <c r="K789" s="79" t="s">
        <v>17</v>
      </c>
      <c r="L789" s="79" t="s">
        <v>416</v>
      </c>
    </row>
    <row r="790" spans="1:12" ht="12" customHeight="1" x14ac:dyDescent="0.35">
      <c r="B790" s="451"/>
      <c r="C790" s="451"/>
      <c r="D790" s="454"/>
      <c r="E790" s="451"/>
      <c r="F790" s="451"/>
      <c r="G790" s="106"/>
      <c r="H790" s="77" t="s">
        <v>17</v>
      </c>
      <c r="I790" s="94"/>
      <c r="J790" s="79" t="s">
        <v>17</v>
      </c>
      <c r="K790" s="85"/>
      <c r="L790" s="79" t="s">
        <v>17</v>
      </c>
    </row>
    <row r="791" spans="1:12" ht="12" customHeight="1" x14ac:dyDescent="0.35">
      <c r="B791" s="80" t="s">
        <v>5</v>
      </c>
      <c r="C791" s="81" t="s">
        <v>417</v>
      </c>
      <c r="D791" s="82"/>
      <c r="E791" s="82"/>
      <c r="F791" s="82"/>
      <c r="G791" s="82"/>
      <c r="H791" s="82"/>
      <c r="I791" s="83"/>
      <c r="J791" s="83"/>
      <c r="K791" s="83"/>
      <c r="L791" s="83"/>
    </row>
    <row r="792" spans="1:12" ht="12" customHeight="1" x14ac:dyDescent="0.35">
      <c r="A792" s="134">
        <v>10111000</v>
      </c>
      <c r="B792" s="84"/>
      <c r="C792" s="85" t="s">
        <v>1885</v>
      </c>
      <c r="D792" s="84" t="s">
        <v>418</v>
      </c>
      <c r="E792" s="84" t="str">
        <f>VLOOKUP(C792,HSD!B:K,2,FALSE)</f>
        <v>OJ</v>
      </c>
      <c r="F792" s="86">
        <v>2.2000000000000001E-3</v>
      </c>
      <c r="G792" s="87">
        <f>VLOOKUP(C792,HSD!B:K,10,FALSE)</f>
        <v>18750</v>
      </c>
      <c r="H792" s="87">
        <f>F792*G792</f>
        <v>41.25</v>
      </c>
      <c r="I792" s="87">
        <v>78600</v>
      </c>
      <c r="J792" s="87">
        <f>F792*I792</f>
        <v>172.92000000000002</v>
      </c>
      <c r="K792" s="87">
        <v>78600</v>
      </c>
      <c r="L792" s="87">
        <f>F792*K792</f>
        <v>172.92000000000002</v>
      </c>
    </row>
    <row r="793" spans="1:12" ht="12" customHeight="1" x14ac:dyDescent="0.35">
      <c r="A793" s="134">
        <v>10121110</v>
      </c>
      <c r="B793" s="84"/>
      <c r="C793" s="85" t="s">
        <v>1887</v>
      </c>
      <c r="D793" s="84" t="s">
        <v>419</v>
      </c>
      <c r="E793" s="84" t="str">
        <f>VLOOKUP(C793,HSD!B:K,2,FALSE)</f>
        <v>OJ</v>
      </c>
      <c r="F793" s="86">
        <v>1.11E-2</v>
      </c>
      <c r="G793" s="87">
        <f>VLOOKUP(C793,HSD!B:K,10,FALSE)</f>
        <v>16250</v>
      </c>
      <c r="H793" s="87">
        <f>F793*G793</f>
        <v>180.375</v>
      </c>
      <c r="I793" s="87">
        <v>91500</v>
      </c>
      <c r="J793" s="87">
        <f>F793*I793</f>
        <v>1015.6500000000001</v>
      </c>
      <c r="K793" s="87">
        <v>91500</v>
      </c>
      <c r="L793" s="87">
        <f>F793*K793</f>
        <v>1015.6500000000001</v>
      </c>
    </row>
    <row r="794" spans="1:12" ht="12" customHeight="1" x14ac:dyDescent="0.35">
      <c r="A794" s="134">
        <v>10131000</v>
      </c>
      <c r="B794" s="84"/>
      <c r="C794" s="85" t="s">
        <v>1888</v>
      </c>
      <c r="D794" s="84" t="s">
        <v>420</v>
      </c>
      <c r="E794" s="84" t="str">
        <f>VLOOKUP(C794,HSD!B:K,2,FALSE)</f>
        <v>OJ</v>
      </c>
      <c r="F794" s="86">
        <v>2.2200000000000001E-2</v>
      </c>
      <c r="G794" s="87">
        <f>VLOOKUP(C794,HSD!B:K,10,FALSE)</f>
        <v>15000</v>
      </c>
      <c r="H794" s="87">
        <f>F794*G794</f>
        <v>333</v>
      </c>
      <c r="I794" s="87">
        <v>92500</v>
      </c>
      <c r="J794" s="87">
        <f>F794*I794</f>
        <v>2053.5</v>
      </c>
      <c r="K794" s="87">
        <v>92500</v>
      </c>
      <c r="L794" s="87">
        <f>F794*K794</f>
        <v>2053.5</v>
      </c>
    </row>
    <row r="795" spans="1:12" ht="12" customHeight="1" x14ac:dyDescent="0.35">
      <c r="B795" s="84"/>
      <c r="C795" s="85"/>
      <c r="D795" s="84"/>
      <c r="E795" s="84"/>
      <c r="F795" s="86"/>
      <c r="G795" s="87"/>
      <c r="H795" s="87"/>
      <c r="I795" s="87"/>
      <c r="J795" s="87"/>
      <c r="K795" s="87"/>
      <c r="L795" s="87"/>
    </row>
    <row r="796" spans="1:12" ht="12" customHeight="1" x14ac:dyDescent="0.35">
      <c r="B796" s="84"/>
      <c r="C796" s="88"/>
      <c r="D796" s="79"/>
      <c r="E796" s="79"/>
      <c r="F796" s="89" t="s">
        <v>421</v>
      </c>
      <c r="G796" s="101"/>
      <c r="H796" s="87">
        <f>SUM(H792:H795)</f>
        <v>554.625</v>
      </c>
      <c r="I796" s="101"/>
      <c r="J796" s="87">
        <f>SUM(J792:J795)</f>
        <v>3242.07</v>
      </c>
      <c r="K796" s="101"/>
      <c r="L796" s="87">
        <f>SUM(L792:L795)</f>
        <v>3242.07</v>
      </c>
    </row>
    <row r="797" spans="1:12" ht="12" customHeight="1" x14ac:dyDescent="0.35">
      <c r="B797" s="84" t="s">
        <v>6</v>
      </c>
      <c r="C797" s="88" t="s">
        <v>422</v>
      </c>
      <c r="D797" s="79"/>
      <c r="E797" s="79"/>
      <c r="F797" s="90"/>
      <c r="G797" s="84"/>
      <c r="H797" s="87"/>
      <c r="I797" s="84"/>
      <c r="J797" s="87"/>
      <c r="K797" s="84"/>
      <c r="L797" s="87"/>
    </row>
    <row r="798" spans="1:12" ht="12" customHeight="1" x14ac:dyDescent="0.35">
      <c r="B798" s="84"/>
      <c r="C798" s="85"/>
      <c r="D798" s="84"/>
      <c r="E798" s="84"/>
      <c r="F798" s="86"/>
      <c r="G798" s="87"/>
      <c r="H798" s="87">
        <f>F798*G798</f>
        <v>0</v>
      </c>
      <c r="I798" s="87">
        <v>232500</v>
      </c>
      <c r="J798" s="87">
        <f>F798*I798</f>
        <v>0</v>
      </c>
      <c r="K798" s="87">
        <v>270000</v>
      </c>
      <c r="L798" s="87">
        <f>F798*K798</f>
        <v>0</v>
      </c>
    </row>
    <row r="799" spans="1:12" ht="12" customHeight="1" x14ac:dyDescent="0.35">
      <c r="B799" s="84"/>
      <c r="C799" s="88"/>
      <c r="D799" s="79"/>
      <c r="E799" s="84"/>
      <c r="F799" s="102"/>
      <c r="G799" s="87"/>
      <c r="H799" s="87">
        <f>F799*G799</f>
        <v>0</v>
      </c>
      <c r="I799" s="87">
        <v>1060</v>
      </c>
      <c r="J799" s="87">
        <f>F799*I799</f>
        <v>0</v>
      </c>
      <c r="K799" s="87">
        <v>1060</v>
      </c>
      <c r="L799" s="87">
        <f>F799*K799</f>
        <v>0</v>
      </c>
    </row>
    <row r="800" spans="1:12" ht="12" customHeight="1" x14ac:dyDescent="0.35">
      <c r="B800" s="84"/>
      <c r="C800" s="88"/>
      <c r="D800" s="79"/>
      <c r="E800" s="84"/>
      <c r="F800" s="102"/>
      <c r="G800" s="87"/>
      <c r="H800" s="87">
        <f>F800*G800</f>
        <v>0</v>
      </c>
      <c r="I800" s="87">
        <v>215000</v>
      </c>
      <c r="J800" s="87">
        <f>F800*I800</f>
        <v>0</v>
      </c>
      <c r="K800" s="87">
        <v>250000</v>
      </c>
      <c r="L800" s="87">
        <f>F800*K800</f>
        <v>0</v>
      </c>
    </row>
    <row r="801" spans="1:12" ht="12" customHeight="1" x14ac:dyDescent="0.35">
      <c r="B801" s="84"/>
      <c r="C801" s="88"/>
      <c r="D801" s="79"/>
      <c r="E801" s="79"/>
      <c r="F801" s="89"/>
      <c r="G801" s="101"/>
      <c r="H801" s="87">
        <f>SUM(H798:H800)</f>
        <v>0</v>
      </c>
      <c r="I801" s="101"/>
      <c r="J801" s="87">
        <f>SUM(J798:J800)</f>
        <v>0</v>
      </c>
      <c r="K801" s="101"/>
      <c r="L801" s="87">
        <f>SUM(L798:L800)</f>
        <v>0</v>
      </c>
    </row>
    <row r="802" spans="1:12" ht="12" customHeight="1" x14ac:dyDescent="0.35">
      <c r="B802" s="84" t="s">
        <v>7</v>
      </c>
      <c r="C802" s="88" t="s">
        <v>424</v>
      </c>
      <c r="D802" s="79"/>
      <c r="E802" s="79"/>
      <c r="F802" s="90"/>
      <c r="G802" s="84"/>
      <c r="H802" s="87"/>
      <c r="I802" s="84"/>
      <c r="J802" s="87"/>
      <c r="K802" s="84"/>
      <c r="L802" s="87"/>
    </row>
    <row r="803" spans="1:12" ht="12" customHeight="1" x14ac:dyDescent="0.35">
      <c r="A803" s="134">
        <v>31100008</v>
      </c>
      <c r="B803" s="84"/>
      <c r="C803" s="85" t="s">
        <v>1836</v>
      </c>
      <c r="D803" s="84" t="s">
        <v>418</v>
      </c>
      <c r="E803" s="84" t="str">
        <f>VLOOKUP(C803,HSD!B:K,2,FALSE)</f>
        <v>jam</v>
      </c>
      <c r="F803" s="128">
        <f>F793</f>
        <v>1.11E-2</v>
      </c>
      <c r="G803" s="87">
        <f>VLOOKUP(C803,HSD!B:K,10,FALSE)</f>
        <v>1053489.6200000001</v>
      </c>
      <c r="H803" s="87">
        <f>F803*G803</f>
        <v>11693.734782000001</v>
      </c>
      <c r="I803" s="87"/>
      <c r="J803" s="87">
        <f>H803*I803</f>
        <v>0</v>
      </c>
      <c r="K803" s="87"/>
      <c r="L803" s="87">
        <f>J803*K803</f>
        <v>0</v>
      </c>
    </row>
    <row r="804" spans="1:12" ht="12" customHeight="1" x14ac:dyDescent="0.35">
      <c r="B804" s="84"/>
      <c r="C804" s="88"/>
      <c r="D804" s="79"/>
      <c r="E804" s="79"/>
      <c r="F804" s="90"/>
      <c r="G804" s="87"/>
      <c r="H804" s="87"/>
      <c r="I804" s="87"/>
      <c r="J804" s="87"/>
      <c r="K804" s="87"/>
      <c r="L804" s="87"/>
    </row>
    <row r="805" spans="1:12" ht="12" customHeight="1" x14ac:dyDescent="0.35">
      <c r="B805" s="84"/>
      <c r="C805" s="88"/>
      <c r="D805" s="79"/>
      <c r="E805" s="79"/>
      <c r="F805" s="90"/>
      <c r="G805" s="87"/>
      <c r="H805" s="87">
        <f>F805*G805</f>
        <v>0</v>
      </c>
      <c r="I805" s="87"/>
      <c r="J805" s="87"/>
      <c r="K805" s="87"/>
      <c r="L805" s="87"/>
    </row>
    <row r="806" spans="1:12" ht="12" customHeight="1" x14ac:dyDescent="0.35">
      <c r="B806" s="84"/>
      <c r="C806" s="88"/>
      <c r="D806" s="79"/>
      <c r="E806" s="79"/>
      <c r="F806" s="89" t="s">
        <v>425</v>
      </c>
      <c r="G806" s="101"/>
      <c r="H806" s="87">
        <f>SUM(H803:H805)</f>
        <v>11693.734782000001</v>
      </c>
      <c r="I806" s="101"/>
      <c r="J806" s="87">
        <f>SUM(J803)</f>
        <v>0</v>
      </c>
      <c r="K806" s="101"/>
      <c r="L806" s="87">
        <f>SUM(L803)</f>
        <v>0</v>
      </c>
    </row>
    <row r="807" spans="1:12" ht="12" customHeight="1" x14ac:dyDescent="0.35">
      <c r="B807" s="84" t="s">
        <v>8</v>
      </c>
      <c r="C807" s="103" t="s">
        <v>426</v>
      </c>
      <c r="D807" s="104"/>
      <c r="E807" s="104"/>
      <c r="F807" s="104"/>
      <c r="G807" s="105"/>
      <c r="H807" s="87">
        <f>H796+H801+H806</f>
        <v>12248.359782000001</v>
      </c>
      <c r="I807" s="105"/>
      <c r="J807" s="87">
        <f>J796+J801+J806</f>
        <v>3242.07</v>
      </c>
      <c r="K807" s="105"/>
      <c r="L807" s="87">
        <f>L796+L801+L806</f>
        <v>3242.07</v>
      </c>
    </row>
    <row r="808" spans="1:12" ht="12" customHeight="1" x14ac:dyDescent="0.35">
      <c r="B808" s="84" t="s">
        <v>9</v>
      </c>
      <c r="C808" s="455" t="s">
        <v>427</v>
      </c>
      <c r="D808" s="455"/>
      <c r="E808" s="455"/>
      <c r="F808" s="95">
        <f>0</f>
        <v>0</v>
      </c>
      <c r="G808" s="85" t="s">
        <v>428</v>
      </c>
      <c r="H808" s="87">
        <f>H807*F808</f>
        <v>0</v>
      </c>
      <c r="I808" s="85" t="s">
        <v>428</v>
      </c>
      <c r="J808" s="87">
        <f>J807*F808</f>
        <v>0</v>
      </c>
      <c r="K808" s="85" t="s">
        <v>428</v>
      </c>
      <c r="L808" s="87">
        <f>L807*F808</f>
        <v>0</v>
      </c>
    </row>
    <row r="809" spans="1:12" ht="12" customHeight="1" x14ac:dyDescent="0.35">
      <c r="B809" s="84" t="s">
        <v>10</v>
      </c>
      <c r="C809" s="103" t="s">
        <v>429</v>
      </c>
      <c r="D809" s="104"/>
      <c r="E809" s="104"/>
      <c r="F809" s="104"/>
      <c r="G809" s="105"/>
      <c r="H809" s="96">
        <f>H807+H808</f>
        <v>12248.359782000001</v>
      </c>
      <c r="I809" s="97"/>
      <c r="J809" s="96">
        <f>J807+J808</f>
        <v>3242.07</v>
      </c>
      <c r="K809" s="97"/>
      <c r="L809" s="96">
        <f>L807+L808</f>
        <v>3242.07</v>
      </c>
    </row>
    <row r="811" spans="1:12" ht="29" customHeight="1" x14ac:dyDescent="0.35">
      <c r="B811" s="76" t="s">
        <v>558</v>
      </c>
      <c r="C811" s="458" t="s">
        <v>561</v>
      </c>
      <c r="D811" s="459"/>
      <c r="E811" s="459"/>
      <c r="F811" s="459"/>
      <c r="G811" s="456"/>
      <c r="H811" s="457"/>
      <c r="I811" s="455" t="s">
        <v>3</v>
      </c>
      <c r="J811" s="455"/>
      <c r="K811" s="455" t="s">
        <v>4</v>
      </c>
      <c r="L811" s="455"/>
    </row>
    <row r="812" spans="1:12" ht="12" customHeight="1" x14ac:dyDescent="0.35">
      <c r="B812" s="451" t="s">
        <v>409</v>
      </c>
      <c r="C812" s="451" t="s">
        <v>410</v>
      </c>
      <c r="D812" s="452" t="s">
        <v>411</v>
      </c>
      <c r="E812" s="451" t="s">
        <v>412</v>
      </c>
      <c r="F812" s="451" t="s">
        <v>413</v>
      </c>
      <c r="G812" s="77" t="s">
        <v>414</v>
      </c>
      <c r="H812" s="77" t="s">
        <v>415</v>
      </c>
      <c r="I812" s="78" t="s">
        <v>414</v>
      </c>
      <c r="J812" s="79" t="s">
        <v>415</v>
      </c>
      <c r="K812" s="79" t="s">
        <v>414</v>
      </c>
      <c r="L812" s="79" t="s">
        <v>415</v>
      </c>
    </row>
    <row r="813" spans="1:12" ht="12" customHeight="1" x14ac:dyDescent="0.35">
      <c r="B813" s="451"/>
      <c r="C813" s="451"/>
      <c r="D813" s="453"/>
      <c r="E813" s="451"/>
      <c r="F813" s="451"/>
      <c r="G813" s="77" t="s">
        <v>17</v>
      </c>
      <c r="H813" s="77" t="s">
        <v>416</v>
      </c>
      <c r="I813" s="78" t="s">
        <v>17</v>
      </c>
      <c r="J813" s="79" t="s">
        <v>416</v>
      </c>
      <c r="K813" s="79" t="s">
        <v>17</v>
      </c>
      <c r="L813" s="79" t="s">
        <v>416</v>
      </c>
    </row>
    <row r="814" spans="1:12" ht="12" customHeight="1" x14ac:dyDescent="0.35">
      <c r="B814" s="451"/>
      <c r="C814" s="451"/>
      <c r="D814" s="454"/>
      <c r="E814" s="451"/>
      <c r="F814" s="451"/>
      <c r="G814" s="106"/>
      <c r="H814" s="77" t="s">
        <v>17</v>
      </c>
      <c r="I814" s="94"/>
      <c r="J814" s="79" t="s">
        <v>17</v>
      </c>
      <c r="K814" s="85"/>
      <c r="L814" s="79" t="s">
        <v>17</v>
      </c>
    </row>
    <row r="815" spans="1:12" ht="12" customHeight="1" x14ac:dyDescent="0.35">
      <c r="B815" s="80" t="s">
        <v>5</v>
      </c>
      <c r="C815" s="81" t="s">
        <v>417</v>
      </c>
      <c r="D815" s="82"/>
      <c r="E815" s="82"/>
      <c r="F815" s="82"/>
      <c r="G815" s="82"/>
      <c r="H815" s="82"/>
      <c r="I815" s="83"/>
      <c r="J815" s="83"/>
      <c r="K815" s="83"/>
      <c r="L815" s="83"/>
    </row>
    <row r="816" spans="1:12" ht="12" customHeight="1" x14ac:dyDescent="0.35">
      <c r="A816" s="134">
        <v>10111000</v>
      </c>
      <c r="B816" s="84"/>
      <c r="C816" s="85" t="s">
        <v>1885</v>
      </c>
      <c r="D816" s="84" t="s">
        <v>418</v>
      </c>
      <c r="E816" s="84" t="str">
        <f>VLOOKUP(C816,HSD!B:K,2,FALSE)</f>
        <v>OJ</v>
      </c>
      <c r="F816" s="86">
        <f>0.0024</f>
        <v>2.3999999999999998E-3</v>
      </c>
      <c r="G816" s="87">
        <f>VLOOKUP(C816,HSD!B:K,10,FALSE)</f>
        <v>18750</v>
      </c>
      <c r="H816" s="87">
        <f>F816*G816</f>
        <v>44.999999999999993</v>
      </c>
      <c r="I816" s="87">
        <v>78600</v>
      </c>
      <c r="J816" s="87">
        <f>F816*I816</f>
        <v>188.64</v>
      </c>
      <c r="K816" s="87">
        <v>78600</v>
      </c>
      <c r="L816" s="87">
        <f>F816*K816</f>
        <v>188.64</v>
      </c>
    </row>
    <row r="817" spans="1:12" ht="12" customHeight="1" x14ac:dyDescent="0.35">
      <c r="A817" s="134">
        <v>10121110</v>
      </c>
      <c r="B817" s="84"/>
      <c r="C817" s="85" t="s">
        <v>1887</v>
      </c>
      <c r="D817" s="84" t="s">
        <v>419</v>
      </c>
      <c r="E817" s="84" t="str">
        <f>VLOOKUP(C817,HSD!B:K,2,FALSE)</f>
        <v>OJ</v>
      </c>
      <c r="F817" s="86">
        <v>1.24E-2</v>
      </c>
      <c r="G817" s="87">
        <f>VLOOKUP(C817,HSD!B:K,10,FALSE)</f>
        <v>16250</v>
      </c>
      <c r="H817" s="87">
        <f>F817*G817</f>
        <v>201.5</v>
      </c>
      <c r="I817" s="87">
        <v>91500</v>
      </c>
      <c r="J817" s="87">
        <f>F817*I817</f>
        <v>1134.5999999999999</v>
      </c>
      <c r="K817" s="87">
        <v>91500</v>
      </c>
      <c r="L817" s="87">
        <f>F817*K817</f>
        <v>1134.5999999999999</v>
      </c>
    </row>
    <row r="818" spans="1:12" ht="12" customHeight="1" x14ac:dyDescent="0.35">
      <c r="A818" s="134">
        <v>10131000</v>
      </c>
      <c r="B818" s="84"/>
      <c r="C818" s="85" t="s">
        <v>1888</v>
      </c>
      <c r="D818" s="84" t="s">
        <v>420</v>
      </c>
      <c r="E818" s="84" t="str">
        <f>VLOOKUP(C818,HSD!B:K,2,FALSE)</f>
        <v>OJ</v>
      </c>
      <c r="F818" s="86">
        <v>2.4799999999999999E-2</v>
      </c>
      <c r="G818" s="87">
        <f>VLOOKUP(C818,HSD!B:K,10,FALSE)</f>
        <v>15000</v>
      </c>
      <c r="H818" s="87">
        <f>F818*G818</f>
        <v>372</v>
      </c>
      <c r="I818" s="87">
        <v>92500</v>
      </c>
      <c r="J818" s="87">
        <f>F818*I818</f>
        <v>2294</v>
      </c>
      <c r="K818" s="87">
        <v>92500</v>
      </c>
      <c r="L818" s="87">
        <f>F818*K818</f>
        <v>2294</v>
      </c>
    </row>
    <row r="819" spans="1:12" ht="12" customHeight="1" x14ac:dyDescent="0.35">
      <c r="B819" s="84"/>
      <c r="C819" s="85"/>
      <c r="D819" s="84"/>
      <c r="E819" s="84"/>
      <c r="F819" s="86"/>
      <c r="G819" s="87"/>
      <c r="H819" s="87"/>
      <c r="I819" s="87"/>
      <c r="J819" s="87"/>
      <c r="K819" s="87"/>
      <c r="L819" s="87"/>
    </row>
    <row r="820" spans="1:12" ht="12" customHeight="1" x14ac:dyDescent="0.35">
      <c r="B820" s="84"/>
      <c r="C820" s="88"/>
      <c r="D820" s="79"/>
      <c r="E820" s="79"/>
      <c r="F820" s="89" t="s">
        <v>421</v>
      </c>
      <c r="G820" s="101"/>
      <c r="H820" s="87">
        <f>SUM(H816:H819)</f>
        <v>618.5</v>
      </c>
      <c r="I820" s="101"/>
      <c r="J820" s="87">
        <f>SUM(J816:J819)</f>
        <v>3617.24</v>
      </c>
      <c r="K820" s="101"/>
      <c r="L820" s="87">
        <f>SUM(L816:L819)</f>
        <v>3617.24</v>
      </c>
    </row>
    <row r="821" spans="1:12" ht="12" customHeight="1" x14ac:dyDescent="0.35">
      <c r="B821" s="84" t="s">
        <v>6</v>
      </c>
      <c r="C821" s="88" t="s">
        <v>422</v>
      </c>
      <c r="D821" s="79"/>
      <c r="E821" s="79"/>
      <c r="F821" s="90"/>
      <c r="G821" s="84"/>
      <c r="H821" s="87"/>
      <c r="I821" s="84"/>
      <c r="J821" s="87"/>
      <c r="K821" s="84"/>
      <c r="L821" s="87"/>
    </row>
    <row r="822" spans="1:12" ht="12" customHeight="1" x14ac:dyDescent="0.35">
      <c r="B822" s="84"/>
      <c r="C822" s="85"/>
      <c r="D822" s="84"/>
      <c r="E822" s="84"/>
      <c r="F822" s="86"/>
      <c r="G822" s="87"/>
      <c r="H822" s="87">
        <f>F822*G822</f>
        <v>0</v>
      </c>
      <c r="I822" s="87">
        <v>232500</v>
      </c>
      <c r="J822" s="87">
        <f>F822*I822</f>
        <v>0</v>
      </c>
      <c r="K822" s="87">
        <v>270000</v>
      </c>
      <c r="L822" s="87">
        <f>F822*K822</f>
        <v>0</v>
      </c>
    </row>
    <row r="823" spans="1:12" ht="12" customHeight="1" x14ac:dyDescent="0.35">
      <c r="B823" s="84"/>
      <c r="C823" s="88"/>
      <c r="D823" s="79"/>
      <c r="E823" s="84"/>
      <c r="F823" s="102"/>
      <c r="G823" s="87"/>
      <c r="H823" s="87">
        <f>F823*G823</f>
        <v>0</v>
      </c>
      <c r="I823" s="87">
        <v>1060</v>
      </c>
      <c r="J823" s="87">
        <f>F823*I823</f>
        <v>0</v>
      </c>
      <c r="K823" s="87">
        <v>1060</v>
      </c>
      <c r="L823" s="87">
        <f>F823*K823</f>
        <v>0</v>
      </c>
    </row>
    <row r="824" spans="1:12" ht="12" customHeight="1" x14ac:dyDescent="0.35">
      <c r="B824" s="84"/>
      <c r="C824" s="88"/>
      <c r="D824" s="79"/>
      <c r="E824" s="84"/>
      <c r="F824" s="102"/>
      <c r="G824" s="87"/>
      <c r="H824" s="87">
        <f>F824*G824</f>
        <v>0</v>
      </c>
      <c r="I824" s="87">
        <v>215000</v>
      </c>
      <c r="J824" s="87">
        <f>F824*I824</f>
        <v>0</v>
      </c>
      <c r="K824" s="87">
        <v>250000</v>
      </c>
      <c r="L824" s="87">
        <f>F824*K824</f>
        <v>0</v>
      </c>
    </row>
    <row r="825" spans="1:12" ht="12" customHeight="1" x14ac:dyDescent="0.35">
      <c r="B825" s="84"/>
      <c r="C825" s="88"/>
      <c r="D825" s="79"/>
      <c r="E825" s="79"/>
      <c r="F825" s="89"/>
      <c r="G825" s="101"/>
      <c r="H825" s="87">
        <f>SUM(H822:H824)</f>
        <v>0</v>
      </c>
      <c r="I825" s="101"/>
      <c r="J825" s="87">
        <f>SUM(J822:J824)</f>
        <v>0</v>
      </c>
      <c r="K825" s="101"/>
      <c r="L825" s="87">
        <f>SUM(L822:L824)</f>
        <v>0</v>
      </c>
    </row>
    <row r="826" spans="1:12" ht="12" customHeight="1" x14ac:dyDescent="0.35">
      <c r="B826" s="84" t="s">
        <v>7</v>
      </c>
      <c r="C826" s="88" t="s">
        <v>424</v>
      </c>
      <c r="D826" s="79"/>
      <c r="E826" s="79"/>
      <c r="F826" s="90"/>
      <c r="G826" s="84"/>
      <c r="H826" s="87"/>
      <c r="I826" s="84"/>
      <c r="J826" s="87"/>
      <c r="K826" s="84"/>
      <c r="L826" s="87"/>
    </row>
    <row r="827" spans="1:12" ht="12" customHeight="1" x14ac:dyDescent="0.35">
      <c r="A827" s="134">
        <v>31100008</v>
      </c>
      <c r="B827" s="84"/>
      <c r="C827" s="85" t="s">
        <v>1836</v>
      </c>
      <c r="D827" s="84" t="s">
        <v>418</v>
      </c>
      <c r="E827" s="84" t="str">
        <f>VLOOKUP(C827,HSD!B:K,2,FALSE)</f>
        <v>jam</v>
      </c>
      <c r="F827" s="128">
        <f>F817</f>
        <v>1.24E-2</v>
      </c>
      <c r="G827" s="87">
        <f>VLOOKUP(C827,HSD!B:K,10,FALSE)</f>
        <v>1053489.6200000001</v>
      </c>
      <c r="H827" s="87">
        <f>F827*G827</f>
        <v>13063.271288000002</v>
      </c>
      <c r="I827" s="87"/>
      <c r="J827" s="87">
        <f>H827*I827</f>
        <v>0</v>
      </c>
      <c r="K827" s="87"/>
      <c r="L827" s="87">
        <f>J827*K827</f>
        <v>0</v>
      </c>
    </row>
    <row r="828" spans="1:12" ht="12" customHeight="1" x14ac:dyDescent="0.35">
      <c r="B828" s="84"/>
      <c r="C828" s="88"/>
      <c r="D828" s="79"/>
      <c r="E828" s="79"/>
      <c r="F828" s="90"/>
      <c r="G828" s="87"/>
      <c r="H828" s="87"/>
      <c r="I828" s="87"/>
      <c r="J828" s="87"/>
      <c r="K828" s="87"/>
      <c r="L828" s="87"/>
    </row>
    <row r="829" spans="1:12" ht="12" customHeight="1" x14ac:dyDescent="0.35">
      <c r="B829" s="84"/>
      <c r="C829" s="88"/>
      <c r="D829" s="79"/>
      <c r="E829" s="79"/>
      <c r="F829" s="90"/>
      <c r="G829" s="87"/>
      <c r="H829" s="87">
        <f>F829*G829</f>
        <v>0</v>
      </c>
      <c r="I829" s="87"/>
      <c r="J829" s="87"/>
      <c r="K829" s="87"/>
      <c r="L829" s="87"/>
    </row>
    <row r="830" spans="1:12" ht="12" customHeight="1" x14ac:dyDescent="0.35">
      <c r="B830" s="84"/>
      <c r="C830" s="88"/>
      <c r="D830" s="79"/>
      <c r="E830" s="79"/>
      <c r="F830" s="89" t="s">
        <v>425</v>
      </c>
      <c r="G830" s="101"/>
      <c r="H830" s="87">
        <f>SUM(H827:H829)</f>
        <v>13063.271288000002</v>
      </c>
      <c r="I830" s="101"/>
      <c r="J830" s="87">
        <f>SUM(J827)</f>
        <v>0</v>
      </c>
      <c r="K830" s="101"/>
      <c r="L830" s="87">
        <f>SUM(L827)</f>
        <v>0</v>
      </c>
    </row>
    <row r="831" spans="1:12" ht="12" customHeight="1" x14ac:dyDescent="0.35">
      <c r="B831" s="84" t="s">
        <v>8</v>
      </c>
      <c r="C831" s="103" t="s">
        <v>426</v>
      </c>
      <c r="D831" s="104"/>
      <c r="E831" s="104"/>
      <c r="F831" s="104"/>
      <c r="G831" s="105"/>
      <c r="H831" s="87">
        <f>H820+H825+H830</f>
        <v>13681.771288000002</v>
      </c>
      <c r="I831" s="105"/>
      <c r="J831" s="87">
        <f>J820+J825+J830</f>
        <v>3617.24</v>
      </c>
      <c r="K831" s="105"/>
      <c r="L831" s="87">
        <f>L820+L825+L830</f>
        <v>3617.24</v>
      </c>
    </row>
    <row r="832" spans="1:12" ht="12" customHeight="1" x14ac:dyDescent="0.35">
      <c r="B832" s="84" t="s">
        <v>9</v>
      </c>
      <c r="C832" s="455" t="s">
        <v>427</v>
      </c>
      <c r="D832" s="455"/>
      <c r="E832" s="455"/>
      <c r="F832" s="95">
        <f>0</f>
        <v>0</v>
      </c>
      <c r="G832" s="85" t="s">
        <v>428</v>
      </c>
      <c r="H832" s="87">
        <f>H831*F832</f>
        <v>0</v>
      </c>
      <c r="I832" s="85" t="s">
        <v>428</v>
      </c>
      <c r="J832" s="87">
        <f>J831*F832</f>
        <v>0</v>
      </c>
      <c r="K832" s="85" t="s">
        <v>428</v>
      </c>
      <c r="L832" s="87">
        <f>L831*F832</f>
        <v>0</v>
      </c>
    </row>
    <row r="833" spans="1:12" ht="12" customHeight="1" x14ac:dyDescent="0.35">
      <c r="B833" s="84" t="s">
        <v>10</v>
      </c>
      <c r="C833" s="103" t="s">
        <v>429</v>
      </c>
      <c r="D833" s="104"/>
      <c r="E833" s="104"/>
      <c r="F833" s="104"/>
      <c r="G833" s="105"/>
      <c r="H833" s="96">
        <f>H831+H832</f>
        <v>13681.771288000002</v>
      </c>
      <c r="I833" s="97"/>
      <c r="J833" s="96">
        <f>J831+J832</f>
        <v>3617.24</v>
      </c>
      <c r="K833" s="97"/>
      <c r="L833" s="96">
        <f>L831+L832</f>
        <v>3617.24</v>
      </c>
    </row>
    <row r="835" spans="1:12" ht="29" customHeight="1" x14ac:dyDescent="0.35">
      <c r="B835" s="76" t="s">
        <v>559</v>
      </c>
      <c r="C835" s="458" t="s">
        <v>562</v>
      </c>
      <c r="D835" s="459"/>
      <c r="E835" s="459"/>
      <c r="F835" s="459"/>
      <c r="G835" s="456"/>
      <c r="H835" s="457"/>
      <c r="I835" s="455" t="s">
        <v>3</v>
      </c>
      <c r="J835" s="455"/>
      <c r="K835" s="455" t="s">
        <v>4</v>
      </c>
      <c r="L835" s="455"/>
    </row>
    <row r="836" spans="1:12" ht="12" customHeight="1" x14ac:dyDescent="0.35">
      <c r="B836" s="451" t="s">
        <v>409</v>
      </c>
      <c r="C836" s="451" t="s">
        <v>410</v>
      </c>
      <c r="D836" s="452" t="s">
        <v>411</v>
      </c>
      <c r="E836" s="451" t="s">
        <v>412</v>
      </c>
      <c r="F836" s="451" t="s">
        <v>413</v>
      </c>
      <c r="G836" s="77" t="s">
        <v>414</v>
      </c>
      <c r="H836" s="77" t="s">
        <v>415</v>
      </c>
      <c r="I836" s="78" t="s">
        <v>414</v>
      </c>
      <c r="J836" s="79" t="s">
        <v>415</v>
      </c>
      <c r="K836" s="79" t="s">
        <v>414</v>
      </c>
      <c r="L836" s="79" t="s">
        <v>415</v>
      </c>
    </row>
    <row r="837" spans="1:12" ht="12" customHeight="1" x14ac:dyDescent="0.35">
      <c r="B837" s="451"/>
      <c r="C837" s="451"/>
      <c r="D837" s="453"/>
      <c r="E837" s="451"/>
      <c r="F837" s="451"/>
      <c r="G837" s="77" t="s">
        <v>17</v>
      </c>
      <c r="H837" s="77" t="s">
        <v>416</v>
      </c>
      <c r="I837" s="78" t="s">
        <v>17</v>
      </c>
      <c r="J837" s="79" t="s">
        <v>416</v>
      </c>
      <c r="K837" s="79" t="s">
        <v>17</v>
      </c>
      <c r="L837" s="79" t="s">
        <v>416</v>
      </c>
    </row>
    <row r="838" spans="1:12" ht="12" customHeight="1" x14ac:dyDescent="0.35">
      <c r="B838" s="451"/>
      <c r="C838" s="451"/>
      <c r="D838" s="454"/>
      <c r="E838" s="451"/>
      <c r="F838" s="451"/>
      <c r="G838" s="106"/>
      <c r="H838" s="77" t="s">
        <v>17</v>
      </c>
      <c r="I838" s="94"/>
      <c r="J838" s="79" t="s">
        <v>17</v>
      </c>
      <c r="K838" s="85"/>
      <c r="L838" s="79" t="s">
        <v>17</v>
      </c>
    </row>
    <row r="839" spans="1:12" ht="12" customHeight="1" x14ac:dyDescent="0.35">
      <c r="B839" s="80" t="s">
        <v>5</v>
      </c>
      <c r="C839" s="81" t="s">
        <v>417</v>
      </c>
      <c r="D839" s="82"/>
      <c r="E839" s="82"/>
      <c r="F839" s="82"/>
      <c r="G839" s="82"/>
      <c r="H839" s="82"/>
      <c r="I839" s="83"/>
      <c r="J839" s="83"/>
      <c r="K839" s="83"/>
      <c r="L839" s="83"/>
    </row>
    <row r="840" spans="1:12" ht="12" customHeight="1" x14ac:dyDescent="0.35">
      <c r="A840" s="134">
        <v>10111000</v>
      </c>
      <c r="B840" s="84"/>
      <c r="C840" s="85" t="s">
        <v>1885</v>
      </c>
      <c r="D840" s="84" t="s">
        <v>418</v>
      </c>
      <c r="E840" s="84" t="str">
        <f>VLOOKUP(C840,HSD!B:K,2,FALSE)</f>
        <v>OJ</v>
      </c>
      <c r="F840" s="86">
        <v>2.7000000000000001E-3</v>
      </c>
      <c r="G840" s="87">
        <f>VLOOKUP(C840,HSD!B:K,10,FALSE)</f>
        <v>18750</v>
      </c>
      <c r="H840" s="87">
        <f>F840*G840</f>
        <v>50.625</v>
      </c>
      <c r="I840" s="87">
        <v>78600</v>
      </c>
      <c r="J840" s="87">
        <f>F840*I840</f>
        <v>212.22</v>
      </c>
      <c r="K840" s="87">
        <v>78600</v>
      </c>
      <c r="L840" s="87">
        <f>F840*K840</f>
        <v>212.22</v>
      </c>
    </row>
    <row r="841" spans="1:12" ht="12" customHeight="1" x14ac:dyDescent="0.35">
      <c r="A841" s="134">
        <v>10121110</v>
      </c>
      <c r="B841" s="84"/>
      <c r="C841" s="85" t="s">
        <v>1887</v>
      </c>
      <c r="D841" s="84" t="s">
        <v>419</v>
      </c>
      <c r="E841" s="84" t="str">
        <f>VLOOKUP(C841,HSD!B:K,2,FALSE)</f>
        <v>OJ</v>
      </c>
      <c r="F841" s="86">
        <v>1.3599999999999999E-2</v>
      </c>
      <c r="G841" s="87">
        <f>VLOOKUP(C841,HSD!B:K,10,FALSE)</f>
        <v>16250</v>
      </c>
      <c r="H841" s="87">
        <f>F841*G841</f>
        <v>221</v>
      </c>
      <c r="I841" s="87">
        <v>91500</v>
      </c>
      <c r="J841" s="87">
        <f>F841*I841</f>
        <v>1244.3999999999999</v>
      </c>
      <c r="K841" s="87">
        <v>91500</v>
      </c>
      <c r="L841" s="87">
        <f>F841*K841</f>
        <v>1244.3999999999999</v>
      </c>
    </row>
    <row r="842" spans="1:12" ht="12" customHeight="1" x14ac:dyDescent="0.35">
      <c r="A842" s="134">
        <v>10131000</v>
      </c>
      <c r="B842" s="84"/>
      <c r="C842" s="85" t="s">
        <v>1888</v>
      </c>
      <c r="D842" s="84" t="s">
        <v>420</v>
      </c>
      <c r="E842" s="84" t="str">
        <f>VLOOKUP(C842,HSD!B:K,2,FALSE)</f>
        <v>OJ</v>
      </c>
      <c r="F842" s="86">
        <v>2.7199999999999998E-2</v>
      </c>
      <c r="G842" s="87">
        <f>VLOOKUP(C842,HSD!B:K,10,FALSE)</f>
        <v>15000</v>
      </c>
      <c r="H842" s="87">
        <f>F842*G842</f>
        <v>408</v>
      </c>
      <c r="I842" s="87">
        <v>92500</v>
      </c>
      <c r="J842" s="87">
        <f>F842*I842</f>
        <v>2516</v>
      </c>
      <c r="K842" s="87">
        <v>92500</v>
      </c>
      <c r="L842" s="87">
        <f>F842*K842</f>
        <v>2516</v>
      </c>
    </row>
    <row r="843" spans="1:12" ht="12" customHeight="1" x14ac:dyDescent="0.35">
      <c r="B843" s="84"/>
      <c r="C843" s="85"/>
      <c r="D843" s="84"/>
      <c r="E843" s="84"/>
      <c r="F843" s="86"/>
      <c r="G843" s="87"/>
      <c r="H843" s="87"/>
      <c r="I843" s="87"/>
      <c r="J843" s="87"/>
      <c r="K843" s="87"/>
      <c r="L843" s="87"/>
    </row>
    <row r="844" spans="1:12" ht="12" customHeight="1" x14ac:dyDescent="0.35">
      <c r="B844" s="84"/>
      <c r="C844" s="88"/>
      <c r="D844" s="79"/>
      <c r="E844" s="79"/>
      <c r="F844" s="89" t="s">
        <v>421</v>
      </c>
      <c r="G844" s="101"/>
      <c r="H844" s="87">
        <f>SUM(H840:H843)</f>
        <v>679.625</v>
      </c>
      <c r="I844" s="101"/>
      <c r="J844" s="87">
        <f>SUM(J840:J843)</f>
        <v>3972.62</v>
      </c>
      <c r="K844" s="101"/>
      <c r="L844" s="87">
        <f>SUM(L840:L843)</f>
        <v>3972.62</v>
      </c>
    </row>
    <row r="845" spans="1:12" ht="12" customHeight="1" x14ac:dyDescent="0.35">
      <c r="B845" s="84" t="s">
        <v>6</v>
      </c>
      <c r="C845" s="88" t="s">
        <v>422</v>
      </c>
      <c r="D845" s="79"/>
      <c r="E845" s="79"/>
      <c r="F845" s="90"/>
      <c r="G845" s="84"/>
      <c r="H845" s="87"/>
      <c r="I845" s="84"/>
      <c r="J845" s="87"/>
      <c r="K845" s="84"/>
      <c r="L845" s="87"/>
    </row>
    <row r="846" spans="1:12" ht="12" customHeight="1" x14ac:dyDescent="0.35">
      <c r="B846" s="84"/>
      <c r="C846" s="85"/>
      <c r="D846" s="84"/>
      <c r="E846" s="84"/>
      <c r="F846" s="86"/>
      <c r="G846" s="87"/>
      <c r="H846" s="87">
        <f>F846*G846</f>
        <v>0</v>
      </c>
      <c r="I846" s="87">
        <v>232500</v>
      </c>
      <c r="J846" s="87">
        <f>F846*I846</f>
        <v>0</v>
      </c>
      <c r="K846" s="87">
        <v>270000</v>
      </c>
      <c r="L846" s="87">
        <f>F846*K846</f>
        <v>0</v>
      </c>
    </row>
    <row r="847" spans="1:12" ht="12" customHeight="1" x14ac:dyDescent="0.35">
      <c r="B847" s="84"/>
      <c r="C847" s="88"/>
      <c r="D847" s="79"/>
      <c r="E847" s="84"/>
      <c r="F847" s="102"/>
      <c r="G847" s="87"/>
      <c r="H847" s="87">
        <f>F847*G847</f>
        <v>0</v>
      </c>
      <c r="I847" s="87">
        <v>1060</v>
      </c>
      <c r="J847" s="87">
        <f>F847*I847</f>
        <v>0</v>
      </c>
      <c r="K847" s="87">
        <v>1060</v>
      </c>
      <c r="L847" s="87">
        <f>F847*K847</f>
        <v>0</v>
      </c>
    </row>
    <row r="848" spans="1:12" ht="12" customHeight="1" x14ac:dyDescent="0.35">
      <c r="B848" s="84"/>
      <c r="C848" s="88"/>
      <c r="D848" s="79"/>
      <c r="E848" s="84"/>
      <c r="F848" s="102"/>
      <c r="G848" s="87"/>
      <c r="H848" s="87">
        <f>F848*G848</f>
        <v>0</v>
      </c>
      <c r="I848" s="87">
        <v>215000</v>
      </c>
      <c r="J848" s="87">
        <f>F848*I848</f>
        <v>0</v>
      </c>
      <c r="K848" s="87">
        <v>250000</v>
      </c>
      <c r="L848" s="87">
        <f>F848*K848</f>
        <v>0</v>
      </c>
    </row>
    <row r="849" spans="1:12" ht="12" customHeight="1" x14ac:dyDescent="0.35">
      <c r="B849" s="84"/>
      <c r="C849" s="88"/>
      <c r="D849" s="79"/>
      <c r="E849" s="79"/>
      <c r="F849" s="89"/>
      <c r="G849" s="101"/>
      <c r="H849" s="87">
        <f>SUM(H846:H848)</f>
        <v>0</v>
      </c>
      <c r="I849" s="101"/>
      <c r="J849" s="87">
        <f>SUM(J846:J848)</f>
        <v>0</v>
      </c>
      <c r="K849" s="101"/>
      <c r="L849" s="87">
        <f>SUM(L846:L848)</f>
        <v>0</v>
      </c>
    </row>
    <row r="850" spans="1:12" ht="12" customHeight="1" x14ac:dyDescent="0.35">
      <c r="B850" s="84" t="s">
        <v>7</v>
      </c>
      <c r="C850" s="88" t="s">
        <v>424</v>
      </c>
      <c r="D850" s="79"/>
      <c r="E850" s="79"/>
      <c r="F850" s="90"/>
      <c r="G850" s="84"/>
      <c r="H850" s="87"/>
      <c r="I850" s="84"/>
      <c r="J850" s="87"/>
      <c r="K850" s="84"/>
      <c r="L850" s="87"/>
    </row>
    <row r="851" spans="1:12" ht="12" customHeight="1" x14ac:dyDescent="0.35">
      <c r="A851" s="134">
        <v>31100008</v>
      </c>
      <c r="B851" s="84"/>
      <c r="C851" s="85" t="s">
        <v>1836</v>
      </c>
      <c r="D851" s="84" t="s">
        <v>418</v>
      </c>
      <c r="E851" s="84" t="str">
        <f>VLOOKUP(C851,HSD!B:K,2,FALSE)</f>
        <v>jam</v>
      </c>
      <c r="F851" s="128">
        <f>F841</f>
        <v>1.3599999999999999E-2</v>
      </c>
      <c r="G851" s="87">
        <f>VLOOKUP(C851,HSD!B:K,10,FALSE)</f>
        <v>1053489.6200000001</v>
      </c>
      <c r="H851" s="87">
        <f>F851*G851</f>
        <v>14327.458832</v>
      </c>
      <c r="I851" s="87"/>
      <c r="J851" s="87">
        <f>H851*I851</f>
        <v>0</v>
      </c>
      <c r="K851" s="87"/>
      <c r="L851" s="87">
        <f>J851*K851</f>
        <v>0</v>
      </c>
    </row>
    <row r="852" spans="1:12" ht="12" customHeight="1" x14ac:dyDescent="0.35">
      <c r="B852" s="84"/>
      <c r="C852" s="88"/>
      <c r="D852" s="79"/>
      <c r="E852" s="79"/>
      <c r="F852" s="90"/>
      <c r="G852" s="87"/>
      <c r="H852" s="87"/>
      <c r="I852" s="87"/>
      <c r="J852" s="87"/>
      <c r="K852" s="87"/>
      <c r="L852" s="87"/>
    </row>
    <row r="853" spans="1:12" ht="12" customHeight="1" x14ac:dyDescent="0.35">
      <c r="B853" s="84"/>
      <c r="C853" s="88"/>
      <c r="D853" s="79"/>
      <c r="E853" s="79"/>
      <c r="F853" s="90"/>
      <c r="G853" s="87"/>
      <c r="H853" s="87">
        <f>F853*G853</f>
        <v>0</v>
      </c>
      <c r="I853" s="87"/>
      <c r="J853" s="87"/>
      <c r="K853" s="87"/>
      <c r="L853" s="87"/>
    </row>
    <row r="854" spans="1:12" ht="12" customHeight="1" x14ac:dyDescent="0.35">
      <c r="B854" s="84"/>
      <c r="C854" s="88"/>
      <c r="D854" s="79"/>
      <c r="E854" s="79"/>
      <c r="F854" s="89" t="s">
        <v>425</v>
      </c>
      <c r="G854" s="101"/>
      <c r="H854" s="87">
        <f>SUM(H851:H853)</f>
        <v>14327.458832</v>
      </c>
      <c r="I854" s="101"/>
      <c r="J854" s="87">
        <f>SUM(J851)</f>
        <v>0</v>
      </c>
      <c r="K854" s="101"/>
      <c r="L854" s="87">
        <f>SUM(L851)</f>
        <v>0</v>
      </c>
    </row>
    <row r="855" spans="1:12" ht="12" customHeight="1" x14ac:dyDescent="0.35">
      <c r="B855" s="84" t="s">
        <v>8</v>
      </c>
      <c r="C855" s="103" t="s">
        <v>426</v>
      </c>
      <c r="D855" s="104"/>
      <c r="E855" s="104"/>
      <c r="F855" s="104"/>
      <c r="G855" s="105"/>
      <c r="H855" s="87">
        <f>H844+H849+H854</f>
        <v>15007.083832</v>
      </c>
      <c r="I855" s="105"/>
      <c r="J855" s="87">
        <f>J844+J849+J854</f>
        <v>3972.62</v>
      </c>
      <c r="K855" s="105"/>
      <c r="L855" s="87">
        <f>L844+L849+L854</f>
        <v>3972.62</v>
      </c>
    </row>
    <row r="856" spans="1:12" ht="12" customHeight="1" x14ac:dyDescent="0.35">
      <c r="B856" s="84" t="s">
        <v>9</v>
      </c>
      <c r="C856" s="455" t="s">
        <v>427</v>
      </c>
      <c r="D856" s="455"/>
      <c r="E856" s="455"/>
      <c r="F856" s="95">
        <f>0</f>
        <v>0</v>
      </c>
      <c r="G856" s="85" t="s">
        <v>428</v>
      </c>
      <c r="H856" s="87">
        <f>H855*F856</f>
        <v>0</v>
      </c>
      <c r="I856" s="85" t="s">
        <v>428</v>
      </c>
      <c r="J856" s="87">
        <f>J855*F856</f>
        <v>0</v>
      </c>
      <c r="K856" s="85" t="s">
        <v>428</v>
      </c>
      <c r="L856" s="87">
        <f>L855*F856</f>
        <v>0</v>
      </c>
    </row>
    <row r="857" spans="1:12" ht="12" customHeight="1" x14ac:dyDescent="0.35">
      <c r="B857" s="84" t="s">
        <v>10</v>
      </c>
      <c r="C857" s="103" t="s">
        <v>429</v>
      </c>
      <c r="D857" s="104"/>
      <c r="E857" s="104"/>
      <c r="F857" s="104"/>
      <c r="G857" s="105"/>
      <c r="H857" s="96">
        <f>H855+H856</f>
        <v>15007.083832</v>
      </c>
      <c r="I857" s="97"/>
      <c r="J857" s="96">
        <f>J855+J856</f>
        <v>3972.62</v>
      </c>
      <c r="K857" s="97"/>
      <c r="L857" s="96">
        <f>L855+L856</f>
        <v>3972.62</v>
      </c>
    </row>
    <row r="859" spans="1:12" ht="29" customHeight="1" x14ac:dyDescent="0.35">
      <c r="B859" s="76" t="s">
        <v>563</v>
      </c>
      <c r="C859" s="458" t="s">
        <v>567</v>
      </c>
      <c r="D859" s="459"/>
      <c r="E859" s="459"/>
      <c r="F859" s="459"/>
      <c r="G859" s="456"/>
      <c r="H859" s="457"/>
      <c r="I859" s="455" t="s">
        <v>3</v>
      </c>
      <c r="J859" s="455"/>
      <c r="K859" s="455" t="s">
        <v>4</v>
      </c>
      <c r="L859" s="455"/>
    </row>
    <row r="860" spans="1:12" ht="12" customHeight="1" x14ac:dyDescent="0.35">
      <c r="B860" s="451" t="s">
        <v>409</v>
      </c>
      <c r="C860" s="451" t="s">
        <v>410</v>
      </c>
      <c r="D860" s="452" t="s">
        <v>411</v>
      </c>
      <c r="E860" s="451" t="s">
        <v>412</v>
      </c>
      <c r="F860" s="451" t="s">
        <v>413</v>
      </c>
      <c r="G860" s="77" t="s">
        <v>414</v>
      </c>
      <c r="H860" s="77" t="s">
        <v>415</v>
      </c>
      <c r="I860" s="78" t="s">
        <v>414</v>
      </c>
      <c r="J860" s="79" t="s">
        <v>415</v>
      </c>
      <c r="K860" s="79" t="s">
        <v>414</v>
      </c>
      <c r="L860" s="79" t="s">
        <v>415</v>
      </c>
    </row>
    <row r="861" spans="1:12" ht="12" customHeight="1" x14ac:dyDescent="0.35">
      <c r="B861" s="451"/>
      <c r="C861" s="451"/>
      <c r="D861" s="453"/>
      <c r="E861" s="451"/>
      <c r="F861" s="451"/>
      <c r="G861" s="77" t="s">
        <v>17</v>
      </c>
      <c r="H861" s="77" t="s">
        <v>416</v>
      </c>
      <c r="I861" s="78" t="s">
        <v>17</v>
      </c>
      <c r="J861" s="79" t="s">
        <v>416</v>
      </c>
      <c r="K861" s="79" t="s">
        <v>17</v>
      </c>
      <c r="L861" s="79" t="s">
        <v>416</v>
      </c>
    </row>
    <row r="862" spans="1:12" ht="12" customHeight="1" x14ac:dyDescent="0.35">
      <c r="B862" s="451"/>
      <c r="C862" s="451"/>
      <c r="D862" s="454"/>
      <c r="E862" s="451"/>
      <c r="F862" s="451"/>
      <c r="G862" s="106"/>
      <c r="H862" s="77" t="s">
        <v>17</v>
      </c>
      <c r="I862" s="94"/>
      <c r="J862" s="79" t="s">
        <v>17</v>
      </c>
      <c r="K862" s="85"/>
      <c r="L862" s="79" t="s">
        <v>17</v>
      </c>
    </row>
    <row r="863" spans="1:12" ht="12" customHeight="1" x14ac:dyDescent="0.35">
      <c r="B863" s="80" t="s">
        <v>5</v>
      </c>
      <c r="C863" s="81" t="s">
        <v>417</v>
      </c>
      <c r="D863" s="82"/>
      <c r="E863" s="82"/>
      <c r="F863" s="82"/>
      <c r="G863" s="82"/>
      <c r="H863" s="82"/>
      <c r="I863" s="83"/>
      <c r="J863" s="83"/>
      <c r="K863" s="83"/>
      <c r="L863" s="83"/>
    </row>
    <row r="864" spans="1:12" ht="12" customHeight="1" x14ac:dyDescent="0.35">
      <c r="B864" s="84"/>
      <c r="C864" s="85"/>
      <c r="D864" s="84"/>
      <c r="E864" s="84"/>
      <c r="F864" s="86"/>
      <c r="G864" s="87"/>
      <c r="H864" s="87">
        <f>F864*G864</f>
        <v>0</v>
      </c>
      <c r="I864" s="87">
        <v>78600</v>
      </c>
      <c r="J864" s="87">
        <f>F864*I864</f>
        <v>0</v>
      </c>
      <c r="K864" s="87">
        <v>78600</v>
      </c>
      <c r="L864" s="87">
        <f>F864*K864</f>
        <v>0</v>
      </c>
    </row>
    <row r="865" spans="1:12" ht="12" customHeight="1" x14ac:dyDescent="0.35">
      <c r="B865" s="84"/>
      <c r="C865" s="85"/>
      <c r="D865" s="84"/>
      <c r="E865" s="84"/>
      <c r="F865" s="86"/>
      <c r="G865" s="87"/>
      <c r="H865" s="87">
        <f>F865*G865</f>
        <v>0</v>
      </c>
      <c r="I865" s="87">
        <v>91500</v>
      </c>
      <c r="J865" s="87">
        <f>F865*I865</f>
        <v>0</v>
      </c>
      <c r="K865" s="87">
        <v>91500</v>
      </c>
      <c r="L865" s="87">
        <f>F865*K865</f>
        <v>0</v>
      </c>
    </row>
    <row r="866" spans="1:12" ht="12" customHeight="1" x14ac:dyDescent="0.35">
      <c r="B866" s="84"/>
      <c r="C866" s="85"/>
      <c r="D866" s="84"/>
      <c r="E866" s="84"/>
      <c r="F866" s="86"/>
      <c r="G866" s="87"/>
      <c r="H866" s="87">
        <f>F866*G866</f>
        <v>0</v>
      </c>
      <c r="I866" s="87">
        <v>92500</v>
      </c>
      <c r="J866" s="87">
        <f>F866*I866</f>
        <v>0</v>
      </c>
      <c r="K866" s="87">
        <v>92500</v>
      </c>
      <c r="L866" s="87">
        <f>F866*K866</f>
        <v>0</v>
      </c>
    </row>
    <row r="867" spans="1:12" ht="12" customHeight="1" x14ac:dyDescent="0.35">
      <c r="B867" s="84"/>
      <c r="C867" s="85"/>
      <c r="D867" s="84"/>
      <c r="E867" s="84"/>
      <c r="F867" s="86"/>
      <c r="G867" s="87"/>
      <c r="H867" s="87"/>
      <c r="I867" s="87"/>
      <c r="J867" s="87"/>
      <c r="K867" s="87"/>
      <c r="L867" s="87"/>
    </row>
    <row r="868" spans="1:12" ht="12" customHeight="1" x14ac:dyDescent="0.35">
      <c r="B868" s="84"/>
      <c r="C868" s="88"/>
      <c r="D868" s="79"/>
      <c r="E868" s="79"/>
      <c r="F868" s="89" t="s">
        <v>421</v>
      </c>
      <c r="G868" s="101"/>
      <c r="H868" s="87">
        <f>SUM(H864:H867)</f>
        <v>0</v>
      </c>
      <c r="I868" s="101"/>
      <c r="J868" s="87">
        <f>SUM(J864:J867)</f>
        <v>0</v>
      </c>
      <c r="K868" s="101"/>
      <c r="L868" s="87">
        <f>SUM(L864:L867)</f>
        <v>0</v>
      </c>
    </row>
    <row r="869" spans="1:12" ht="12" customHeight="1" x14ac:dyDescent="0.35">
      <c r="B869" s="84" t="s">
        <v>6</v>
      </c>
      <c r="C869" s="88" t="s">
        <v>422</v>
      </c>
      <c r="D869" s="79"/>
      <c r="E869" s="79"/>
      <c r="F869" s="90"/>
      <c r="G869" s="84"/>
      <c r="H869" s="87"/>
      <c r="I869" s="84"/>
      <c r="J869" s="87"/>
      <c r="K869" s="84"/>
      <c r="L869" s="87"/>
    </row>
    <row r="870" spans="1:12" ht="12" customHeight="1" x14ac:dyDescent="0.35">
      <c r="B870" s="84"/>
      <c r="C870" s="85"/>
      <c r="D870" s="84"/>
      <c r="E870" s="84"/>
      <c r="F870" s="86"/>
      <c r="G870" s="87"/>
      <c r="H870" s="87">
        <f>F870*G870</f>
        <v>0</v>
      </c>
      <c r="I870" s="87">
        <v>232500</v>
      </c>
      <c r="J870" s="87">
        <f>F870*I870</f>
        <v>0</v>
      </c>
      <c r="K870" s="87">
        <v>270000</v>
      </c>
      <c r="L870" s="87">
        <f>F870*K870</f>
        <v>0</v>
      </c>
    </row>
    <row r="871" spans="1:12" ht="12" customHeight="1" x14ac:dyDescent="0.35">
      <c r="B871" s="84"/>
      <c r="C871" s="88"/>
      <c r="D871" s="79"/>
      <c r="E871" s="84"/>
      <c r="F871" s="102"/>
      <c r="G871" s="87"/>
      <c r="H871" s="87">
        <f>F871*G871</f>
        <v>0</v>
      </c>
      <c r="I871" s="87">
        <v>1060</v>
      </c>
      <c r="J871" s="87">
        <f>F871*I871</f>
        <v>0</v>
      </c>
      <c r="K871" s="87">
        <v>1060</v>
      </c>
      <c r="L871" s="87">
        <f>F871*K871</f>
        <v>0</v>
      </c>
    </row>
    <row r="872" spans="1:12" ht="12" customHeight="1" x14ac:dyDescent="0.35">
      <c r="B872" s="84"/>
      <c r="C872" s="88"/>
      <c r="D872" s="79"/>
      <c r="E872" s="84"/>
      <c r="F872" s="102"/>
      <c r="G872" s="87"/>
      <c r="H872" s="87">
        <f>F872*G872</f>
        <v>0</v>
      </c>
      <c r="I872" s="87">
        <v>215000</v>
      </c>
      <c r="J872" s="87">
        <f>F872*I872</f>
        <v>0</v>
      </c>
      <c r="K872" s="87">
        <v>250000</v>
      </c>
      <c r="L872" s="87">
        <f>F872*K872</f>
        <v>0</v>
      </c>
    </row>
    <row r="873" spans="1:12" ht="12" customHeight="1" x14ac:dyDescent="0.35">
      <c r="B873" s="84"/>
      <c r="C873" s="88"/>
      <c r="D873" s="79"/>
      <c r="E873" s="79"/>
      <c r="F873" s="89"/>
      <c r="G873" s="101"/>
      <c r="H873" s="87">
        <f>SUM(H870:H872)</f>
        <v>0</v>
      </c>
      <c r="I873" s="101"/>
      <c r="J873" s="87">
        <f>SUM(J870:J872)</f>
        <v>0</v>
      </c>
      <c r="K873" s="101"/>
      <c r="L873" s="87">
        <f>SUM(L870:L872)</f>
        <v>0</v>
      </c>
    </row>
    <row r="874" spans="1:12" ht="12" customHeight="1" x14ac:dyDescent="0.35">
      <c r="B874" s="84" t="s">
        <v>7</v>
      </c>
      <c r="C874" s="88" t="s">
        <v>424</v>
      </c>
      <c r="D874" s="79"/>
      <c r="E874" s="79"/>
      <c r="F874" s="90"/>
      <c r="G874" s="84"/>
      <c r="H874" s="87"/>
      <c r="I874" s="84"/>
      <c r="J874" s="87"/>
      <c r="K874" s="84"/>
      <c r="L874" s="87"/>
    </row>
    <row r="875" spans="1:12" ht="12" customHeight="1" x14ac:dyDescent="0.35">
      <c r="A875" s="134">
        <v>31100008</v>
      </c>
      <c r="B875" s="84"/>
      <c r="C875" s="85" t="s">
        <v>1836</v>
      </c>
      <c r="D875" s="84" t="s">
        <v>418</v>
      </c>
      <c r="E875" s="84" t="str">
        <f>VLOOKUP(C875,HSD!B:K,2,FALSE)</f>
        <v>jam</v>
      </c>
      <c r="F875" s="128">
        <v>7.1000000000000004E-3</v>
      </c>
      <c r="G875" s="87">
        <f>VLOOKUP(C875,HSD!B:K,10,FALSE)</f>
        <v>1053489.6200000001</v>
      </c>
      <c r="H875" s="87">
        <f>F875*G875</f>
        <v>7479.7763020000011</v>
      </c>
      <c r="I875" s="87"/>
      <c r="J875" s="87">
        <f>H875*I875</f>
        <v>0</v>
      </c>
      <c r="K875" s="87"/>
      <c r="L875" s="87">
        <f>J875*K875</f>
        <v>0</v>
      </c>
    </row>
    <row r="876" spans="1:12" ht="12" customHeight="1" x14ac:dyDescent="0.35">
      <c r="A876" s="134" t="s">
        <v>572</v>
      </c>
      <c r="B876" s="84"/>
      <c r="C876" s="85" t="s">
        <v>573</v>
      </c>
      <c r="D876" s="84" t="s">
        <v>418</v>
      </c>
      <c r="E876" s="84" t="str">
        <f>VLOOKUP(C876,HSD!B:K,2,FALSE)</f>
        <v>jam</v>
      </c>
      <c r="F876" s="128">
        <f>0.0339</f>
        <v>3.39E-2</v>
      </c>
      <c r="G876" s="87">
        <f>VLOOKUP(C876,HSD!B:K,10,FALSE)</f>
        <v>932909.79</v>
      </c>
      <c r="H876" s="87">
        <f>F876*G876</f>
        <v>31625.641881</v>
      </c>
      <c r="I876" s="87"/>
      <c r="J876" s="87"/>
      <c r="K876" s="87"/>
      <c r="L876" s="87"/>
    </row>
    <row r="877" spans="1:12" ht="12" customHeight="1" x14ac:dyDescent="0.35">
      <c r="B877" s="84"/>
      <c r="C877" s="88"/>
      <c r="D877" s="79"/>
      <c r="E877" s="79"/>
      <c r="F877" s="90"/>
      <c r="G877" s="87"/>
      <c r="H877" s="87">
        <f>F877*G877</f>
        <v>0</v>
      </c>
      <c r="I877" s="87"/>
      <c r="J877" s="87"/>
      <c r="K877" s="87"/>
      <c r="L877" s="87"/>
    </row>
    <row r="878" spans="1:12" ht="12" customHeight="1" x14ac:dyDescent="0.35">
      <c r="B878" s="84"/>
      <c r="C878" s="88"/>
      <c r="D878" s="79"/>
      <c r="E878" s="79"/>
      <c r="F878" s="89" t="s">
        <v>425</v>
      </c>
      <c r="G878" s="101"/>
      <c r="H878" s="87">
        <f>SUM(H875:H877)</f>
        <v>39105.418183000002</v>
      </c>
      <c r="I878" s="101"/>
      <c r="J878" s="87">
        <f>SUM(J875)</f>
        <v>0</v>
      </c>
      <c r="K878" s="101"/>
      <c r="L878" s="87">
        <f>SUM(L875)</f>
        <v>0</v>
      </c>
    </row>
    <row r="879" spans="1:12" ht="12" customHeight="1" x14ac:dyDescent="0.35">
      <c r="B879" s="84" t="s">
        <v>8</v>
      </c>
      <c r="C879" s="103" t="s">
        <v>426</v>
      </c>
      <c r="D879" s="104"/>
      <c r="E879" s="104"/>
      <c r="F879" s="104"/>
      <c r="G879" s="105"/>
      <c r="H879" s="87">
        <f>H868+H873+H878</f>
        <v>39105.418183000002</v>
      </c>
      <c r="I879" s="105"/>
      <c r="J879" s="87">
        <f>J868+J873+J878</f>
        <v>0</v>
      </c>
      <c r="K879" s="105"/>
      <c r="L879" s="87">
        <f>L868+L873+L878</f>
        <v>0</v>
      </c>
    </row>
    <row r="880" spans="1:12" ht="12" customHeight="1" x14ac:dyDescent="0.35">
      <c r="B880" s="84" t="s">
        <v>9</v>
      </c>
      <c r="C880" s="455" t="s">
        <v>427</v>
      </c>
      <c r="D880" s="455"/>
      <c r="E880" s="455"/>
      <c r="F880" s="95">
        <f>0</f>
        <v>0</v>
      </c>
      <c r="G880" s="85" t="s">
        <v>428</v>
      </c>
      <c r="H880" s="87">
        <f>H879*F880</f>
        <v>0</v>
      </c>
      <c r="I880" s="85" t="s">
        <v>428</v>
      </c>
      <c r="J880" s="87">
        <f>J879*F880</f>
        <v>0</v>
      </c>
      <c r="K880" s="85" t="s">
        <v>428</v>
      </c>
      <c r="L880" s="87">
        <f>L879*F880</f>
        <v>0</v>
      </c>
    </row>
    <row r="881" spans="2:12" ht="12" customHeight="1" x14ac:dyDescent="0.35">
      <c r="B881" s="84" t="s">
        <v>10</v>
      </c>
      <c r="C881" s="103" t="s">
        <v>429</v>
      </c>
      <c r="D881" s="104"/>
      <c r="E881" s="104"/>
      <c r="F881" s="104"/>
      <c r="G881" s="105"/>
      <c r="H881" s="96">
        <f>H879+H880</f>
        <v>39105.418183000002</v>
      </c>
      <c r="I881" s="97"/>
      <c r="J881" s="96">
        <f>J879+J880</f>
        <v>0</v>
      </c>
      <c r="K881" s="97"/>
      <c r="L881" s="96">
        <f>L879+L880</f>
        <v>0</v>
      </c>
    </row>
    <row r="883" spans="2:12" ht="29" customHeight="1" x14ac:dyDescent="0.35">
      <c r="B883" s="76" t="s">
        <v>564</v>
      </c>
      <c r="C883" s="458" t="s">
        <v>568</v>
      </c>
      <c r="D883" s="459"/>
      <c r="E883" s="459"/>
      <c r="F883" s="459"/>
      <c r="G883" s="456"/>
      <c r="H883" s="457"/>
      <c r="I883" s="455" t="s">
        <v>3</v>
      </c>
      <c r="J883" s="455"/>
      <c r="K883" s="455" t="s">
        <v>4</v>
      </c>
      <c r="L883" s="455"/>
    </row>
    <row r="884" spans="2:12" ht="12" customHeight="1" x14ac:dyDescent="0.35">
      <c r="B884" s="451" t="s">
        <v>409</v>
      </c>
      <c r="C884" s="451" t="s">
        <v>410</v>
      </c>
      <c r="D884" s="452" t="s">
        <v>411</v>
      </c>
      <c r="E884" s="451" t="s">
        <v>412</v>
      </c>
      <c r="F884" s="451" t="s">
        <v>413</v>
      </c>
      <c r="G884" s="77" t="s">
        <v>414</v>
      </c>
      <c r="H884" s="77" t="s">
        <v>415</v>
      </c>
      <c r="I884" s="78" t="s">
        <v>414</v>
      </c>
      <c r="J884" s="79" t="s">
        <v>415</v>
      </c>
      <c r="K884" s="79" t="s">
        <v>414</v>
      </c>
      <c r="L884" s="79" t="s">
        <v>415</v>
      </c>
    </row>
    <row r="885" spans="2:12" ht="12" customHeight="1" x14ac:dyDescent="0.35">
      <c r="B885" s="451"/>
      <c r="C885" s="451"/>
      <c r="D885" s="453"/>
      <c r="E885" s="451"/>
      <c r="F885" s="451"/>
      <c r="G885" s="77" t="s">
        <v>17</v>
      </c>
      <c r="H885" s="77" t="s">
        <v>416</v>
      </c>
      <c r="I885" s="78" t="s">
        <v>17</v>
      </c>
      <c r="J885" s="79" t="s">
        <v>416</v>
      </c>
      <c r="K885" s="79" t="s">
        <v>17</v>
      </c>
      <c r="L885" s="79" t="s">
        <v>416</v>
      </c>
    </row>
    <row r="886" spans="2:12" ht="12" customHeight="1" x14ac:dyDescent="0.35">
      <c r="B886" s="451"/>
      <c r="C886" s="451"/>
      <c r="D886" s="454"/>
      <c r="E886" s="451"/>
      <c r="F886" s="451"/>
      <c r="G886" s="106"/>
      <c r="H886" s="77" t="s">
        <v>17</v>
      </c>
      <c r="I886" s="94"/>
      <c r="J886" s="79" t="s">
        <v>17</v>
      </c>
      <c r="K886" s="85"/>
      <c r="L886" s="79" t="s">
        <v>17</v>
      </c>
    </row>
    <row r="887" spans="2:12" ht="12" customHeight="1" x14ac:dyDescent="0.35">
      <c r="B887" s="80" t="s">
        <v>5</v>
      </c>
      <c r="C887" s="81" t="s">
        <v>417</v>
      </c>
      <c r="D887" s="82"/>
      <c r="E887" s="82"/>
      <c r="F887" s="82"/>
      <c r="G887" s="82"/>
      <c r="H887" s="82"/>
      <c r="I887" s="83"/>
      <c r="J887" s="83"/>
      <c r="K887" s="83"/>
      <c r="L887" s="83"/>
    </row>
    <row r="888" spans="2:12" ht="12" customHeight="1" x14ac:dyDescent="0.35">
      <c r="B888" s="84"/>
      <c r="C888" s="85"/>
      <c r="D888" s="84"/>
      <c r="E888" s="84"/>
      <c r="F888" s="86"/>
      <c r="G888" s="87"/>
      <c r="H888" s="87">
        <f>F888*G888</f>
        <v>0</v>
      </c>
      <c r="I888" s="87">
        <v>78600</v>
      </c>
      <c r="J888" s="87">
        <f>F888*I888</f>
        <v>0</v>
      </c>
      <c r="K888" s="87">
        <v>78600</v>
      </c>
      <c r="L888" s="87">
        <f>F888*K888</f>
        <v>0</v>
      </c>
    </row>
    <row r="889" spans="2:12" ht="12" customHeight="1" x14ac:dyDescent="0.35">
      <c r="B889" s="84"/>
      <c r="C889" s="85"/>
      <c r="D889" s="84"/>
      <c r="E889" s="84"/>
      <c r="F889" s="86"/>
      <c r="G889" s="87"/>
      <c r="H889" s="87">
        <f>F889*G889</f>
        <v>0</v>
      </c>
      <c r="I889" s="87">
        <v>91500</v>
      </c>
      <c r="J889" s="87">
        <f>F889*I889</f>
        <v>0</v>
      </c>
      <c r="K889" s="87">
        <v>91500</v>
      </c>
      <c r="L889" s="87">
        <f>F889*K889</f>
        <v>0</v>
      </c>
    </row>
    <row r="890" spans="2:12" ht="12" customHeight="1" x14ac:dyDescent="0.35">
      <c r="B890" s="84"/>
      <c r="C890" s="85"/>
      <c r="D890" s="84"/>
      <c r="E890" s="84"/>
      <c r="F890" s="86"/>
      <c r="G890" s="87"/>
      <c r="H890" s="87">
        <f>F890*G890</f>
        <v>0</v>
      </c>
      <c r="I890" s="87">
        <v>92500</v>
      </c>
      <c r="J890" s="87">
        <f>F890*I890</f>
        <v>0</v>
      </c>
      <c r="K890" s="87">
        <v>92500</v>
      </c>
      <c r="L890" s="87">
        <f>F890*K890</f>
        <v>0</v>
      </c>
    </row>
    <row r="891" spans="2:12" ht="12" customHeight="1" x14ac:dyDescent="0.35">
      <c r="B891" s="84"/>
      <c r="C891" s="85"/>
      <c r="D891" s="84"/>
      <c r="E891" s="84"/>
      <c r="F891" s="86"/>
      <c r="G891" s="87"/>
      <c r="H891" s="87"/>
      <c r="I891" s="87"/>
      <c r="J891" s="87"/>
      <c r="K891" s="87"/>
      <c r="L891" s="87"/>
    </row>
    <row r="892" spans="2:12" ht="12" customHeight="1" x14ac:dyDescent="0.35">
      <c r="B892" s="84"/>
      <c r="C892" s="88"/>
      <c r="D892" s="79"/>
      <c r="E892" s="79"/>
      <c r="F892" s="89" t="s">
        <v>421</v>
      </c>
      <c r="G892" s="101"/>
      <c r="H892" s="87">
        <f>SUM(H888:H891)</f>
        <v>0</v>
      </c>
      <c r="I892" s="101"/>
      <c r="J892" s="87">
        <f>SUM(J888:J891)</f>
        <v>0</v>
      </c>
      <c r="K892" s="101"/>
      <c r="L892" s="87">
        <f>SUM(L888:L891)</f>
        <v>0</v>
      </c>
    </row>
    <row r="893" spans="2:12" ht="12" customHeight="1" x14ac:dyDescent="0.35">
      <c r="B893" s="84" t="s">
        <v>6</v>
      </c>
      <c r="C893" s="88" t="s">
        <v>422</v>
      </c>
      <c r="D893" s="79"/>
      <c r="E893" s="79"/>
      <c r="F893" s="90"/>
      <c r="G893" s="84"/>
      <c r="H893" s="87"/>
      <c r="I893" s="84"/>
      <c r="J893" s="87"/>
      <c r="K893" s="84"/>
      <c r="L893" s="87"/>
    </row>
    <row r="894" spans="2:12" ht="12" customHeight="1" x14ac:dyDescent="0.35">
      <c r="B894" s="84"/>
      <c r="C894" s="85"/>
      <c r="D894" s="84"/>
      <c r="E894" s="84"/>
      <c r="F894" s="86"/>
      <c r="G894" s="87"/>
      <c r="H894" s="87">
        <f>F894*G894</f>
        <v>0</v>
      </c>
      <c r="I894" s="87">
        <v>232500</v>
      </c>
      <c r="J894" s="87">
        <f>F894*I894</f>
        <v>0</v>
      </c>
      <c r="K894" s="87">
        <v>270000</v>
      </c>
      <c r="L894" s="87">
        <f>F894*K894</f>
        <v>0</v>
      </c>
    </row>
    <row r="895" spans="2:12" ht="12" customHeight="1" x14ac:dyDescent="0.35">
      <c r="B895" s="84"/>
      <c r="C895" s="88"/>
      <c r="D895" s="79"/>
      <c r="E895" s="84"/>
      <c r="F895" s="102"/>
      <c r="G895" s="87"/>
      <c r="H895" s="87">
        <f>F895*G895</f>
        <v>0</v>
      </c>
      <c r="I895" s="87">
        <v>1060</v>
      </c>
      <c r="J895" s="87">
        <f>F895*I895</f>
        <v>0</v>
      </c>
      <c r="K895" s="87">
        <v>1060</v>
      </c>
      <c r="L895" s="87">
        <f>F895*K895</f>
        <v>0</v>
      </c>
    </row>
    <row r="896" spans="2:12" ht="12" customHeight="1" x14ac:dyDescent="0.35">
      <c r="B896" s="84"/>
      <c r="C896" s="88"/>
      <c r="D896" s="79"/>
      <c r="E896" s="84"/>
      <c r="F896" s="102"/>
      <c r="G896" s="87"/>
      <c r="H896" s="87">
        <f>F896*G896</f>
        <v>0</v>
      </c>
      <c r="I896" s="87">
        <v>215000</v>
      </c>
      <c r="J896" s="87">
        <f>F896*I896</f>
        <v>0</v>
      </c>
      <c r="K896" s="87">
        <v>250000</v>
      </c>
      <c r="L896" s="87">
        <f>F896*K896</f>
        <v>0</v>
      </c>
    </row>
    <row r="897" spans="1:12" ht="12" customHeight="1" x14ac:dyDescent="0.35">
      <c r="B897" s="84"/>
      <c r="C897" s="88"/>
      <c r="D897" s="79"/>
      <c r="E897" s="79"/>
      <c r="F897" s="89"/>
      <c r="G897" s="101"/>
      <c r="H897" s="87">
        <f>SUM(H894:H896)</f>
        <v>0</v>
      </c>
      <c r="I897" s="101"/>
      <c r="J897" s="87">
        <f>SUM(J894:J896)</f>
        <v>0</v>
      </c>
      <c r="K897" s="101"/>
      <c r="L897" s="87">
        <f>SUM(L894:L896)</f>
        <v>0</v>
      </c>
    </row>
    <row r="898" spans="1:12" ht="12" customHeight="1" x14ac:dyDescent="0.35">
      <c r="B898" s="84" t="s">
        <v>7</v>
      </c>
      <c r="C898" s="88" t="s">
        <v>424</v>
      </c>
      <c r="D898" s="79"/>
      <c r="E898" s="79"/>
      <c r="F898" s="90"/>
      <c r="G898" s="84"/>
      <c r="H898" s="87"/>
      <c r="I898" s="84"/>
      <c r="J898" s="87"/>
      <c r="K898" s="84"/>
      <c r="L898" s="87"/>
    </row>
    <row r="899" spans="1:12" ht="12" customHeight="1" x14ac:dyDescent="0.35">
      <c r="A899" s="134">
        <v>31100008</v>
      </c>
      <c r="B899" s="84"/>
      <c r="C899" s="85" t="s">
        <v>1836</v>
      </c>
      <c r="D899" s="84" t="s">
        <v>418</v>
      </c>
      <c r="E899" s="84" t="str">
        <f>VLOOKUP(C899,HSD!B:K,2,FALSE)</f>
        <v>jam</v>
      </c>
      <c r="F899" s="128">
        <v>1.0800000000000001E-2</v>
      </c>
      <c r="G899" s="87">
        <f>VLOOKUP(C899,HSD!B:K,10,FALSE)</f>
        <v>1053489.6200000001</v>
      </c>
      <c r="H899" s="87">
        <f>F899*G899</f>
        <v>11377.687896000001</v>
      </c>
      <c r="I899" s="87"/>
      <c r="J899" s="87">
        <f>H899*I899</f>
        <v>0</v>
      </c>
      <c r="K899" s="87"/>
      <c r="L899" s="87">
        <f>J899*K899</f>
        <v>0</v>
      </c>
    </row>
    <row r="900" spans="1:12" ht="12" customHeight="1" x14ac:dyDescent="0.35">
      <c r="A900" s="134" t="s">
        <v>572</v>
      </c>
      <c r="B900" s="84"/>
      <c r="C900" s="85" t="s">
        <v>573</v>
      </c>
      <c r="D900" s="84" t="s">
        <v>418</v>
      </c>
      <c r="E900" s="84" t="str">
        <f>VLOOKUP(C900,HSD!B:K,2,FALSE)</f>
        <v>jam</v>
      </c>
      <c r="F900" s="128">
        <f>0.0339</f>
        <v>3.39E-2</v>
      </c>
      <c r="G900" s="87">
        <f>VLOOKUP(C900,HSD!B:K,10,FALSE)</f>
        <v>932909.79</v>
      </c>
      <c r="H900" s="87">
        <f>F900*G900</f>
        <v>31625.641881</v>
      </c>
      <c r="I900" s="87"/>
      <c r="J900" s="87"/>
      <c r="K900" s="87"/>
      <c r="L900" s="87"/>
    </row>
    <row r="901" spans="1:12" ht="12" customHeight="1" x14ac:dyDescent="0.35">
      <c r="B901" s="84"/>
      <c r="C901" s="88"/>
      <c r="D901" s="79"/>
      <c r="E901" s="79"/>
      <c r="F901" s="90"/>
      <c r="G901" s="87"/>
      <c r="H901" s="87">
        <f>F901*G901</f>
        <v>0</v>
      </c>
      <c r="I901" s="87"/>
      <c r="J901" s="87"/>
      <c r="K901" s="87"/>
      <c r="L901" s="87"/>
    </row>
    <row r="902" spans="1:12" ht="12" customHeight="1" x14ac:dyDescent="0.35">
      <c r="B902" s="84"/>
      <c r="C902" s="88"/>
      <c r="D902" s="79"/>
      <c r="E902" s="79"/>
      <c r="F902" s="89" t="s">
        <v>425</v>
      </c>
      <c r="G902" s="101"/>
      <c r="H902" s="87">
        <f>SUM(H899:H901)</f>
        <v>43003.329776999999</v>
      </c>
      <c r="I902" s="101"/>
      <c r="J902" s="87">
        <f>SUM(J899)</f>
        <v>0</v>
      </c>
      <c r="K902" s="101"/>
      <c r="L902" s="87">
        <f>SUM(L899)</f>
        <v>0</v>
      </c>
    </row>
    <row r="903" spans="1:12" ht="12" customHeight="1" x14ac:dyDescent="0.35">
      <c r="B903" s="84" t="s">
        <v>8</v>
      </c>
      <c r="C903" s="103" t="s">
        <v>426</v>
      </c>
      <c r="D903" s="104"/>
      <c r="E903" s="104"/>
      <c r="F903" s="104"/>
      <c r="G903" s="105"/>
      <c r="H903" s="87">
        <f>H892+H897+H902</f>
        <v>43003.329776999999</v>
      </c>
      <c r="I903" s="105"/>
      <c r="J903" s="87">
        <f>J892+J897+J902</f>
        <v>0</v>
      </c>
      <c r="K903" s="105"/>
      <c r="L903" s="87">
        <f>L892+L897+L902</f>
        <v>0</v>
      </c>
    </row>
    <row r="904" spans="1:12" ht="12" customHeight="1" x14ac:dyDescent="0.35">
      <c r="B904" s="84" t="s">
        <v>9</v>
      </c>
      <c r="C904" s="455" t="s">
        <v>427</v>
      </c>
      <c r="D904" s="455"/>
      <c r="E904" s="455"/>
      <c r="F904" s="95">
        <f>0</f>
        <v>0</v>
      </c>
      <c r="G904" s="85" t="s">
        <v>428</v>
      </c>
      <c r="H904" s="87">
        <f>H903*F904</f>
        <v>0</v>
      </c>
      <c r="I904" s="85" t="s">
        <v>428</v>
      </c>
      <c r="J904" s="87">
        <f>J903*F904</f>
        <v>0</v>
      </c>
      <c r="K904" s="85" t="s">
        <v>428</v>
      </c>
      <c r="L904" s="87">
        <f>L903*F904</f>
        <v>0</v>
      </c>
    </row>
    <row r="905" spans="1:12" ht="12" customHeight="1" x14ac:dyDescent="0.35">
      <c r="B905" s="84" t="s">
        <v>10</v>
      </c>
      <c r="C905" s="103" t="s">
        <v>429</v>
      </c>
      <c r="D905" s="104"/>
      <c r="E905" s="104"/>
      <c r="F905" s="104"/>
      <c r="G905" s="105"/>
      <c r="H905" s="96">
        <f>H903+H904</f>
        <v>43003.329776999999</v>
      </c>
      <c r="I905" s="97"/>
      <c r="J905" s="96">
        <f>J903+J904</f>
        <v>0</v>
      </c>
      <c r="K905" s="97"/>
      <c r="L905" s="96">
        <f>L903+L904</f>
        <v>0</v>
      </c>
    </row>
    <row r="907" spans="1:12" ht="29" customHeight="1" x14ac:dyDescent="0.35">
      <c r="B907" s="76" t="s">
        <v>565</v>
      </c>
      <c r="C907" s="458" t="s">
        <v>569</v>
      </c>
      <c r="D907" s="459"/>
      <c r="E907" s="459"/>
      <c r="F907" s="459"/>
      <c r="G907" s="456"/>
      <c r="H907" s="457"/>
      <c r="I907" s="455" t="s">
        <v>3</v>
      </c>
      <c r="J907" s="455"/>
      <c r="K907" s="455" t="s">
        <v>4</v>
      </c>
      <c r="L907" s="455"/>
    </row>
    <row r="908" spans="1:12" ht="12" customHeight="1" x14ac:dyDescent="0.35">
      <c r="B908" s="451" t="s">
        <v>409</v>
      </c>
      <c r="C908" s="451" t="s">
        <v>410</v>
      </c>
      <c r="D908" s="452" t="s">
        <v>411</v>
      </c>
      <c r="E908" s="451" t="s">
        <v>412</v>
      </c>
      <c r="F908" s="451" t="s">
        <v>413</v>
      </c>
      <c r="G908" s="77" t="s">
        <v>414</v>
      </c>
      <c r="H908" s="77" t="s">
        <v>415</v>
      </c>
      <c r="I908" s="78" t="s">
        <v>414</v>
      </c>
      <c r="J908" s="79" t="s">
        <v>415</v>
      </c>
      <c r="K908" s="79" t="s">
        <v>414</v>
      </c>
      <c r="L908" s="79" t="s">
        <v>415</v>
      </c>
    </row>
    <row r="909" spans="1:12" ht="12" customHeight="1" x14ac:dyDescent="0.35">
      <c r="B909" s="451"/>
      <c r="C909" s="451"/>
      <c r="D909" s="453"/>
      <c r="E909" s="451"/>
      <c r="F909" s="451"/>
      <c r="G909" s="77" t="s">
        <v>17</v>
      </c>
      <c r="H909" s="77" t="s">
        <v>416</v>
      </c>
      <c r="I909" s="78" t="s">
        <v>17</v>
      </c>
      <c r="J909" s="79" t="s">
        <v>416</v>
      </c>
      <c r="K909" s="79" t="s">
        <v>17</v>
      </c>
      <c r="L909" s="79" t="s">
        <v>416</v>
      </c>
    </row>
    <row r="910" spans="1:12" ht="12" customHeight="1" x14ac:dyDescent="0.35">
      <c r="B910" s="451"/>
      <c r="C910" s="451"/>
      <c r="D910" s="454"/>
      <c r="E910" s="451"/>
      <c r="F910" s="451"/>
      <c r="G910" s="106"/>
      <c r="H910" s="77" t="s">
        <v>17</v>
      </c>
      <c r="I910" s="94"/>
      <c r="J910" s="79" t="s">
        <v>17</v>
      </c>
      <c r="K910" s="85"/>
      <c r="L910" s="79" t="s">
        <v>17</v>
      </c>
    </row>
    <row r="911" spans="1:12" ht="12" customHeight="1" x14ac:dyDescent="0.35">
      <c r="B911" s="80" t="s">
        <v>5</v>
      </c>
      <c r="C911" s="81" t="s">
        <v>417</v>
      </c>
      <c r="D911" s="82"/>
      <c r="E911" s="82"/>
      <c r="F911" s="82"/>
      <c r="G911" s="82"/>
      <c r="H911" s="82"/>
      <c r="I911" s="83"/>
      <c r="J911" s="83"/>
      <c r="K911" s="83"/>
      <c r="L911" s="83"/>
    </row>
    <row r="912" spans="1:12" ht="12" customHeight="1" x14ac:dyDescent="0.35">
      <c r="B912" s="84"/>
      <c r="C912" s="85"/>
      <c r="D912" s="84"/>
      <c r="E912" s="84"/>
      <c r="F912" s="86"/>
      <c r="G912" s="87"/>
      <c r="H912" s="87">
        <f>F912*G912</f>
        <v>0</v>
      </c>
      <c r="I912" s="87">
        <v>78600</v>
      </c>
      <c r="J912" s="87">
        <f>F912*I912</f>
        <v>0</v>
      </c>
      <c r="K912" s="87">
        <v>78600</v>
      </c>
      <c r="L912" s="87">
        <f>F912*K912</f>
        <v>0</v>
      </c>
    </row>
    <row r="913" spans="1:12" ht="12" customHeight="1" x14ac:dyDescent="0.35">
      <c r="B913" s="84"/>
      <c r="C913" s="85"/>
      <c r="D913" s="84"/>
      <c r="E913" s="84"/>
      <c r="F913" s="86"/>
      <c r="G913" s="87"/>
      <c r="H913" s="87">
        <f>F913*G913</f>
        <v>0</v>
      </c>
      <c r="I913" s="87">
        <v>91500</v>
      </c>
      <c r="J913" s="87">
        <f>F913*I913</f>
        <v>0</v>
      </c>
      <c r="K913" s="87">
        <v>91500</v>
      </c>
      <c r="L913" s="87">
        <f>F913*K913</f>
        <v>0</v>
      </c>
    </row>
    <row r="914" spans="1:12" ht="12" customHeight="1" x14ac:dyDescent="0.35">
      <c r="B914" s="84"/>
      <c r="C914" s="85"/>
      <c r="D914" s="84"/>
      <c r="E914" s="84"/>
      <c r="F914" s="86"/>
      <c r="G914" s="87"/>
      <c r="H914" s="87">
        <f>F914*G914</f>
        <v>0</v>
      </c>
      <c r="I914" s="87">
        <v>92500</v>
      </c>
      <c r="J914" s="87">
        <f>F914*I914</f>
        <v>0</v>
      </c>
      <c r="K914" s="87">
        <v>92500</v>
      </c>
      <c r="L914" s="87">
        <f>F914*K914</f>
        <v>0</v>
      </c>
    </row>
    <row r="915" spans="1:12" ht="12" customHeight="1" x14ac:dyDescent="0.35">
      <c r="B915" s="84"/>
      <c r="C915" s="85"/>
      <c r="D915" s="84"/>
      <c r="E915" s="84"/>
      <c r="F915" s="86"/>
      <c r="G915" s="87"/>
      <c r="H915" s="87"/>
      <c r="I915" s="87"/>
      <c r="J915" s="87"/>
      <c r="K915" s="87"/>
      <c r="L915" s="87"/>
    </row>
    <row r="916" spans="1:12" ht="12" customHeight="1" x14ac:dyDescent="0.35">
      <c r="B916" s="84"/>
      <c r="C916" s="88"/>
      <c r="D916" s="79"/>
      <c r="E916" s="79"/>
      <c r="F916" s="89" t="s">
        <v>421</v>
      </c>
      <c r="G916" s="101"/>
      <c r="H916" s="87">
        <f>SUM(H912:H915)</f>
        <v>0</v>
      </c>
      <c r="I916" s="101"/>
      <c r="J916" s="87">
        <f>SUM(J912:J915)</f>
        <v>0</v>
      </c>
      <c r="K916" s="101"/>
      <c r="L916" s="87">
        <f>SUM(L912:L915)</f>
        <v>0</v>
      </c>
    </row>
    <row r="917" spans="1:12" ht="12" customHeight="1" x14ac:dyDescent="0.35">
      <c r="B917" s="84" t="s">
        <v>6</v>
      </c>
      <c r="C917" s="88" t="s">
        <v>422</v>
      </c>
      <c r="D917" s="79"/>
      <c r="E917" s="79"/>
      <c r="F917" s="90"/>
      <c r="G917" s="84"/>
      <c r="H917" s="87"/>
      <c r="I917" s="84"/>
      <c r="J917" s="87"/>
      <c r="K917" s="84"/>
      <c r="L917" s="87"/>
    </row>
    <row r="918" spans="1:12" ht="12" customHeight="1" x14ac:dyDescent="0.35">
      <c r="B918" s="84"/>
      <c r="C918" s="85"/>
      <c r="D918" s="84"/>
      <c r="E918" s="84"/>
      <c r="F918" s="86"/>
      <c r="G918" s="87"/>
      <c r="H918" s="87">
        <f>F918*G918</f>
        <v>0</v>
      </c>
      <c r="I918" s="87">
        <v>232500</v>
      </c>
      <c r="J918" s="87">
        <f>F918*I918</f>
        <v>0</v>
      </c>
      <c r="K918" s="87">
        <v>270000</v>
      </c>
      <c r="L918" s="87">
        <f>F918*K918</f>
        <v>0</v>
      </c>
    </row>
    <row r="919" spans="1:12" ht="12" customHeight="1" x14ac:dyDescent="0.35">
      <c r="B919" s="84"/>
      <c r="C919" s="88"/>
      <c r="D919" s="79"/>
      <c r="E919" s="84"/>
      <c r="F919" s="102"/>
      <c r="G919" s="87"/>
      <c r="H919" s="87">
        <f>F919*G919</f>
        <v>0</v>
      </c>
      <c r="I919" s="87">
        <v>1060</v>
      </c>
      <c r="J919" s="87">
        <f>F919*I919</f>
        <v>0</v>
      </c>
      <c r="K919" s="87">
        <v>1060</v>
      </c>
      <c r="L919" s="87">
        <f>F919*K919</f>
        <v>0</v>
      </c>
    </row>
    <row r="920" spans="1:12" ht="12" customHeight="1" x14ac:dyDescent="0.35">
      <c r="B920" s="84"/>
      <c r="C920" s="88"/>
      <c r="D920" s="79"/>
      <c r="E920" s="84"/>
      <c r="F920" s="102"/>
      <c r="G920" s="87"/>
      <c r="H920" s="87">
        <f>F920*G920</f>
        <v>0</v>
      </c>
      <c r="I920" s="87">
        <v>215000</v>
      </c>
      <c r="J920" s="87">
        <f>F920*I920</f>
        <v>0</v>
      </c>
      <c r="K920" s="87">
        <v>250000</v>
      </c>
      <c r="L920" s="87">
        <f>F920*K920</f>
        <v>0</v>
      </c>
    </row>
    <row r="921" spans="1:12" ht="12" customHeight="1" x14ac:dyDescent="0.35">
      <c r="B921" s="84"/>
      <c r="C921" s="88"/>
      <c r="D921" s="79"/>
      <c r="E921" s="79"/>
      <c r="F921" s="89"/>
      <c r="G921" s="101"/>
      <c r="H921" s="87">
        <f>SUM(H918:H920)</f>
        <v>0</v>
      </c>
      <c r="I921" s="101"/>
      <c r="J921" s="87">
        <f>SUM(J918:J920)</f>
        <v>0</v>
      </c>
      <c r="K921" s="101"/>
      <c r="L921" s="87">
        <f>SUM(L918:L920)</f>
        <v>0</v>
      </c>
    </row>
    <row r="922" spans="1:12" ht="12" customHeight="1" x14ac:dyDescent="0.35">
      <c r="B922" s="84" t="s">
        <v>7</v>
      </c>
      <c r="C922" s="88" t="s">
        <v>424</v>
      </c>
      <c r="D922" s="79"/>
      <c r="E922" s="79"/>
      <c r="F922" s="90"/>
      <c r="G922" s="84"/>
      <c r="H922" s="87"/>
      <c r="I922" s="84"/>
      <c r="J922" s="87"/>
      <c r="K922" s="84"/>
      <c r="L922" s="87"/>
    </row>
    <row r="923" spans="1:12" ht="12" customHeight="1" x14ac:dyDescent="0.35">
      <c r="A923" s="134">
        <v>31100008</v>
      </c>
      <c r="B923" s="84"/>
      <c r="C923" s="85" t="s">
        <v>1836</v>
      </c>
      <c r="D923" s="84" t="s">
        <v>418</v>
      </c>
      <c r="E923" s="84" t="str">
        <f>VLOOKUP(C923,HSD!B:K,2,FALSE)</f>
        <v>jam</v>
      </c>
      <c r="F923" s="128">
        <v>7.1000000000000004E-3</v>
      </c>
      <c r="G923" s="87">
        <f>VLOOKUP(C923,HSD!B:K,10,FALSE)</f>
        <v>1053489.6200000001</v>
      </c>
      <c r="H923" s="87">
        <f>F923*G923</f>
        <v>7479.7763020000011</v>
      </c>
      <c r="I923" s="87"/>
      <c r="J923" s="87">
        <f>H923*I923</f>
        <v>0</v>
      </c>
      <c r="K923" s="87"/>
      <c r="L923" s="87">
        <f>J923*K923</f>
        <v>0</v>
      </c>
    </row>
    <row r="924" spans="1:12" ht="12" customHeight="1" x14ac:dyDescent="0.35">
      <c r="A924" s="134" t="s">
        <v>572</v>
      </c>
      <c r="B924" s="84"/>
      <c r="C924" s="85" t="s">
        <v>573</v>
      </c>
      <c r="D924" s="84" t="s">
        <v>418</v>
      </c>
      <c r="E924" s="84" t="str">
        <f>VLOOKUP(C924,HSD!B:K,2,FALSE)</f>
        <v>jam</v>
      </c>
      <c r="F924" s="128">
        <f>0.0339</f>
        <v>3.39E-2</v>
      </c>
      <c r="G924" s="87">
        <f>VLOOKUP(C924,HSD!B:K,10,FALSE)</f>
        <v>932909.79</v>
      </c>
      <c r="H924" s="87">
        <f>F924*G924</f>
        <v>31625.641881</v>
      </c>
      <c r="I924" s="87"/>
      <c r="J924" s="87"/>
      <c r="K924" s="87"/>
      <c r="L924" s="87"/>
    </row>
    <row r="925" spans="1:12" ht="12" customHeight="1" x14ac:dyDescent="0.35">
      <c r="B925" s="84"/>
      <c r="C925" s="88"/>
      <c r="D925" s="79"/>
      <c r="E925" s="79"/>
      <c r="F925" s="90"/>
      <c r="G925" s="87"/>
      <c r="H925" s="87">
        <f>F925*G925</f>
        <v>0</v>
      </c>
      <c r="I925" s="87"/>
      <c r="J925" s="87"/>
      <c r="K925" s="87"/>
      <c r="L925" s="87"/>
    </row>
    <row r="926" spans="1:12" ht="12" customHeight="1" x14ac:dyDescent="0.35">
      <c r="B926" s="84"/>
      <c r="C926" s="88"/>
      <c r="D926" s="79"/>
      <c r="E926" s="79"/>
      <c r="F926" s="89" t="s">
        <v>425</v>
      </c>
      <c r="G926" s="101"/>
      <c r="H926" s="87">
        <f>SUM(H923:H925)</f>
        <v>39105.418183000002</v>
      </c>
      <c r="I926" s="101"/>
      <c r="J926" s="87">
        <f>SUM(J923)</f>
        <v>0</v>
      </c>
      <c r="K926" s="101"/>
      <c r="L926" s="87">
        <f>SUM(L923)</f>
        <v>0</v>
      </c>
    </row>
    <row r="927" spans="1:12" ht="12" customHeight="1" x14ac:dyDescent="0.35">
      <c r="B927" s="84" t="s">
        <v>8</v>
      </c>
      <c r="C927" s="103" t="s">
        <v>426</v>
      </c>
      <c r="D927" s="104"/>
      <c r="E927" s="104"/>
      <c r="F927" s="104"/>
      <c r="G927" s="105"/>
      <c r="H927" s="87">
        <f>H916+H921+H926</f>
        <v>39105.418183000002</v>
      </c>
      <c r="I927" s="105"/>
      <c r="J927" s="87">
        <f>J916+J921+J926</f>
        <v>0</v>
      </c>
      <c r="K927" s="105"/>
      <c r="L927" s="87">
        <f>L916+L921+L926</f>
        <v>0</v>
      </c>
    </row>
    <row r="928" spans="1:12" ht="12" customHeight="1" x14ac:dyDescent="0.35">
      <c r="B928" s="84" t="s">
        <v>9</v>
      </c>
      <c r="C928" s="455" t="s">
        <v>427</v>
      </c>
      <c r="D928" s="455"/>
      <c r="E928" s="455"/>
      <c r="F928" s="95">
        <f>0</f>
        <v>0</v>
      </c>
      <c r="G928" s="85" t="s">
        <v>428</v>
      </c>
      <c r="H928" s="87">
        <f>H927*F928</f>
        <v>0</v>
      </c>
      <c r="I928" s="85" t="s">
        <v>428</v>
      </c>
      <c r="J928" s="87">
        <f>J927*F928</f>
        <v>0</v>
      </c>
      <c r="K928" s="85" t="s">
        <v>428</v>
      </c>
      <c r="L928" s="87">
        <f>L927*F928</f>
        <v>0</v>
      </c>
    </row>
    <row r="929" spans="2:12" ht="12" customHeight="1" x14ac:dyDescent="0.35">
      <c r="B929" s="84" t="s">
        <v>10</v>
      </c>
      <c r="C929" s="103" t="s">
        <v>429</v>
      </c>
      <c r="D929" s="104"/>
      <c r="E929" s="104"/>
      <c r="F929" s="104"/>
      <c r="G929" s="105"/>
      <c r="H929" s="96">
        <f>H927+H928</f>
        <v>39105.418183000002</v>
      </c>
      <c r="I929" s="97"/>
      <c r="J929" s="96">
        <f>J927+J928</f>
        <v>0</v>
      </c>
      <c r="K929" s="97"/>
      <c r="L929" s="96">
        <f>L927+L928</f>
        <v>0</v>
      </c>
    </row>
    <row r="931" spans="2:12" ht="29" customHeight="1" x14ac:dyDescent="0.35">
      <c r="B931" s="76" t="s">
        <v>566</v>
      </c>
      <c r="C931" s="458" t="s">
        <v>568</v>
      </c>
      <c r="D931" s="459"/>
      <c r="E931" s="459"/>
      <c r="F931" s="459"/>
      <c r="G931" s="456"/>
      <c r="H931" s="457"/>
      <c r="I931" s="455" t="s">
        <v>3</v>
      </c>
      <c r="J931" s="455"/>
      <c r="K931" s="455" t="s">
        <v>4</v>
      </c>
      <c r="L931" s="455"/>
    </row>
    <row r="932" spans="2:12" ht="12" customHeight="1" x14ac:dyDescent="0.35">
      <c r="B932" s="451" t="s">
        <v>409</v>
      </c>
      <c r="C932" s="451" t="s">
        <v>410</v>
      </c>
      <c r="D932" s="452" t="s">
        <v>411</v>
      </c>
      <c r="E932" s="451" t="s">
        <v>412</v>
      </c>
      <c r="F932" s="451" t="s">
        <v>413</v>
      </c>
      <c r="G932" s="77" t="s">
        <v>414</v>
      </c>
      <c r="H932" s="77" t="s">
        <v>415</v>
      </c>
      <c r="I932" s="78" t="s">
        <v>414</v>
      </c>
      <c r="J932" s="79" t="s">
        <v>415</v>
      </c>
      <c r="K932" s="79" t="s">
        <v>414</v>
      </c>
      <c r="L932" s="79" t="s">
        <v>415</v>
      </c>
    </row>
    <row r="933" spans="2:12" ht="12" customHeight="1" x14ac:dyDescent="0.35">
      <c r="B933" s="451"/>
      <c r="C933" s="451"/>
      <c r="D933" s="453"/>
      <c r="E933" s="451"/>
      <c r="F933" s="451"/>
      <c r="G933" s="77" t="s">
        <v>17</v>
      </c>
      <c r="H933" s="77" t="s">
        <v>416</v>
      </c>
      <c r="I933" s="78" t="s">
        <v>17</v>
      </c>
      <c r="J933" s="79" t="s">
        <v>416</v>
      </c>
      <c r="K933" s="79" t="s">
        <v>17</v>
      </c>
      <c r="L933" s="79" t="s">
        <v>416</v>
      </c>
    </row>
    <row r="934" spans="2:12" ht="12" customHeight="1" x14ac:dyDescent="0.35">
      <c r="B934" s="451"/>
      <c r="C934" s="451"/>
      <c r="D934" s="454"/>
      <c r="E934" s="451"/>
      <c r="F934" s="451"/>
      <c r="G934" s="106"/>
      <c r="H934" s="77" t="s">
        <v>17</v>
      </c>
      <c r="I934" s="94"/>
      <c r="J934" s="79" t="s">
        <v>17</v>
      </c>
      <c r="K934" s="85"/>
      <c r="L934" s="79" t="s">
        <v>17</v>
      </c>
    </row>
    <row r="935" spans="2:12" ht="12" customHeight="1" x14ac:dyDescent="0.35">
      <c r="B935" s="80" t="s">
        <v>5</v>
      </c>
      <c r="C935" s="81" t="s">
        <v>417</v>
      </c>
      <c r="D935" s="82"/>
      <c r="E935" s="82"/>
      <c r="F935" s="82"/>
      <c r="G935" s="82"/>
      <c r="H935" s="82"/>
      <c r="I935" s="83"/>
      <c r="J935" s="83"/>
      <c r="K935" s="83"/>
      <c r="L935" s="83"/>
    </row>
    <row r="936" spans="2:12" ht="12" customHeight="1" x14ac:dyDescent="0.35">
      <c r="B936" s="84"/>
      <c r="C936" s="85"/>
      <c r="D936" s="84"/>
      <c r="E936" s="84"/>
      <c r="F936" s="86"/>
      <c r="G936" s="87"/>
      <c r="H936" s="87">
        <f>F936*G936</f>
        <v>0</v>
      </c>
      <c r="I936" s="87">
        <v>78600</v>
      </c>
      <c r="J936" s="87">
        <f>F936*I936</f>
        <v>0</v>
      </c>
      <c r="K936" s="87">
        <v>78600</v>
      </c>
      <c r="L936" s="87">
        <f>F936*K936</f>
        <v>0</v>
      </c>
    </row>
    <row r="937" spans="2:12" ht="12" customHeight="1" x14ac:dyDescent="0.35">
      <c r="B937" s="84"/>
      <c r="C937" s="85"/>
      <c r="D937" s="84"/>
      <c r="E937" s="84"/>
      <c r="F937" s="86"/>
      <c r="G937" s="87"/>
      <c r="H937" s="87">
        <f>F937*G937</f>
        <v>0</v>
      </c>
      <c r="I937" s="87">
        <v>91500</v>
      </c>
      <c r="J937" s="87">
        <f>F937*I937</f>
        <v>0</v>
      </c>
      <c r="K937" s="87">
        <v>91500</v>
      </c>
      <c r="L937" s="87">
        <f>F937*K937</f>
        <v>0</v>
      </c>
    </row>
    <row r="938" spans="2:12" ht="12" customHeight="1" x14ac:dyDescent="0.35">
      <c r="B938" s="84"/>
      <c r="C938" s="85"/>
      <c r="D938" s="84"/>
      <c r="E938" s="84"/>
      <c r="F938" s="86"/>
      <c r="G938" s="87"/>
      <c r="H938" s="87">
        <f>F938*G938</f>
        <v>0</v>
      </c>
      <c r="I938" s="87">
        <v>92500</v>
      </c>
      <c r="J938" s="87">
        <f>F938*I938</f>
        <v>0</v>
      </c>
      <c r="K938" s="87">
        <v>92500</v>
      </c>
      <c r="L938" s="87">
        <f>F938*K938</f>
        <v>0</v>
      </c>
    </row>
    <row r="939" spans="2:12" ht="12" customHeight="1" x14ac:dyDescent="0.35">
      <c r="B939" s="84"/>
      <c r="C939" s="85"/>
      <c r="D939" s="84"/>
      <c r="E939" s="84"/>
      <c r="F939" s="86"/>
      <c r="G939" s="87"/>
      <c r="H939" s="87"/>
      <c r="I939" s="87"/>
      <c r="J939" s="87"/>
      <c r="K939" s="87"/>
      <c r="L939" s="87"/>
    </row>
    <row r="940" spans="2:12" ht="12" customHeight="1" x14ac:dyDescent="0.35">
      <c r="B940" s="84"/>
      <c r="C940" s="88"/>
      <c r="D940" s="79"/>
      <c r="E940" s="79"/>
      <c r="F940" s="89" t="s">
        <v>421</v>
      </c>
      <c r="G940" s="101"/>
      <c r="H940" s="87">
        <f>SUM(H936:H939)</f>
        <v>0</v>
      </c>
      <c r="I940" s="101"/>
      <c r="J940" s="87">
        <f>SUM(J936:J939)</f>
        <v>0</v>
      </c>
      <c r="K940" s="101"/>
      <c r="L940" s="87">
        <f>SUM(L936:L939)</f>
        <v>0</v>
      </c>
    </row>
    <row r="941" spans="2:12" ht="12" customHeight="1" x14ac:dyDescent="0.35">
      <c r="B941" s="84" t="s">
        <v>6</v>
      </c>
      <c r="C941" s="88" t="s">
        <v>422</v>
      </c>
      <c r="D941" s="79"/>
      <c r="E941" s="79"/>
      <c r="F941" s="90"/>
      <c r="G941" s="84"/>
      <c r="H941" s="87"/>
      <c r="I941" s="84"/>
      <c r="J941" s="87"/>
      <c r="K941" s="84"/>
      <c r="L941" s="87"/>
    </row>
    <row r="942" spans="2:12" ht="12" customHeight="1" x14ac:dyDescent="0.35">
      <c r="B942" s="84"/>
      <c r="C942" s="85"/>
      <c r="D942" s="84"/>
      <c r="E942" s="84"/>
      <c r="F942" s="86"/>
      <c r="G942" s="87"/>
      <c r="H942" s="87">
        <f>F942*G942</f>
        <v>0</v>
      </c>
      <c r="I942" s="87">
        <v>232500</v>
      </c>
      <c r="J942" s="87">
        <f>F942*I942</f>
        <v>0</v>
      </c>
      <c r="K942" s="87">
        <v>270000</v>
      </c>
      <c r="L942" s="87">
        <f>F942*K942</f>
        <v>0</v>
      </c>
    </row>
    <row r="943" spans="2:12" ht="12" customHeight="1" x14ac:dyDescent="0.35">
      <c r="B943" s="84"/>
      <c r="C943" s="88"/>
      <c r="D943" s="79"/>
      <c r="E943" s="84"/>
      <c r="F943" s="102"/>
      <c r="G943" s="87"/>
      <c r="H943" s="87">
        <f>F943*G943</f>
        <v>0</v>
      </c>
      <c r="I943" s="87">
        <v>1060</v>
      </c>
      <c r="J943" s="87">
        <f>F943*I943</f>
        <v>0</v>
      </c>
      <c r="K943" s="87">
        <v>1060</v>
      </c>
      <c r="L943" s="87">
        <f>F943*K943</f>
        <v>0</v>
      </c>
    </row>
    <row r="944" spans="2:12" ht="12" customHeight="1" x14ac:dyDescent="0.35">
      <c r="B944" s="84"/>
      <c r="C944" s="88"/>
      <c r="D944" s="79"/>
      <c r="E944" s="84"/>
      <c r="F944" s="102"/>
      <c r="G944" s="87"/>
      <c r="H944" s="87">
        <f>F944*G944</f>
        <v>0</v>
      </c>
      <c r="I944" s="87">
        <v>215000</v>
      </c>
      <c r="J944" s="87">
        <f>F944*I944</f>
        <v>0</v>
      </c>
      <c r="K944" s="87">
        <v>250000</v>
      </c>
      <c r="L944" s="87">
        <f>F944*K944</f>
        <v>0</v>
      </c>
    </row>
    <row r="945" spans="1:12" ht="12" customHeight="1" x14ac:dyDescent="0.35">
      <c r="B945" s="84"/>
      <c r="C945" s="88"/>
      <c r="D945" s="79"/>
      <c r="E945" s="79"/>
      <c r="F945" s="89"/>
      <c r="G945" s="101"/>
      <c r="H945" s="87">
        <f>SUM(H942:H944)</f>
        <v>0</v>
      </c>
      <c r="I945" s="101"/>
      <c r="J945" s="87">
        <f>SUM(J942:J944)</f>
        <v>0</v>
      </c>
      <c r="K945" s="101"/>
      <c r="L945" s="87">
        <f>SUM(L942:L944)</f>
        <v>0</v>
      </c>
    </row>
    <row r="946" spans="1:12" ht="12" customHeight="1" x14ac:dyDescent="0.35">
      <c r="B946" s="84" t="s">
        <v>7</v>
      </c>
      <c r="C946" s="88" t="s">
        <v>424</v>
      </c>
      <c r="D946" s="79"/>
      <c r="E946" s="79"/>
      <c r="F946" s="90"/>
      <c r="G946" s="84"/>
      <c r="H946" s="87"/>
      <c r="I946" s="84"/>
      <c r="J946" s="87"/>
      <c r="K946" s="84"/>
      <c r="L946" s="87"/>
    </row>
    <row r="947" spans="1:12" ht="12" customHeight="1" x14ac:dyDescent="0.35">
      <c r="A947" s="134">
        <v>31100008</v>
      </c>
      <c r="B947" s="84"/>
      <c r="C947" s="85" t="s">
        <v>1836</v>
      </c>
      <c r="D947" s="84" t="s">
        <v>418</v>
      </c>
      <c r="E947" s="84" t="str">
        <f>VLOOKUP(C947,HSD!B:K,2,FALSE)</f>
        <v>jam</v>
      </c>
      <c r="F947" s="128">
        <f>0.01239</f>
        <v>1.239E-2</v>
      </c>
      <c r="G947" s="87">
        <f>VLOOKUP(C947,HSD!B:K,10,FALSE)</f>
        <v>1053489.6200000001</v>
      </c>
      <c r="H947" s="87">
        <f>F947*G947</f>
        <v>13052.736391800001</v>
      </c>
      <c r="I947" s="87"/>
      <c r="J947" s="87">
        <f>H947*I947</f>
        <v>0</v>
      </c>
      <c r="K947" s="87"/>
      <c r="L947" s="87">
        <f>J947*K947</f>
        <v>0</v>
      </c>
    </row>
    <row r="948" spans="1:12" ht="12" customHeight="1" x14ac:dyDescent="0.35">
      <c r="A948" s="134" t="s">
        <v>572</v>
      </c>
      <c r="B948" s="84"/>
      <c r="C948" s="85" t="s">
        <v>573</v>
      </c>
      <c r="D948" s="84" t="s">
        <v>418</v>
      </c>
      <c r="E948" s="84" t="str">
        <f>VLOOKUP(C948,HSD!B:K,2,FALSE)</f>
        <v>jam</v>
      </c>
      <c r="F948" s="128">
        <f>0.0339</f>
        <v>3.39E-2</v>
      </c>
      <c r="G948" s="87">
        <f>VLOOKUP(C948,HSD!B:K,10,FALSE)</f>
        <v>932909.79</v>
      </c>
      <c r="H948" s="87">
        <f>F948*G948</f>
        <v>31625.641881</v>
      </c>
      <c r="I948" s="87"/>
      <c r="J948" s="87"/>
      <c r="K948" s="87"/>
      <c r="L948" s="87"/>
    </row>
    <row r="949" spans="1:12" ht="12" customHeight="1" x14ac:dyDescent="0.35">
      <c r="B949" s="84"/>
      <c r="C949" s="88"/>
      <c r="D949" s="79"/>
      <c r="E949" s="79"/>
      <c r="F949" s="90"/>
      <c r="G949" s="87"/>
      <c r="H949" s="87">
        <f>F949*G949</f>
        <v>0</v>
      </c>
      <c r="I949" s="87"/>
      <c r="J949" s="87"/>
      <c r="K949" s="87"/>
      <c r="L949" s="87"/>
    </row>
    <row r="950" spans="1:12" ht="12" customHeight="1" x14ac:dyDescent="0.35">
      <c r="B950" s="84"/>
      <c r="C950" s="88"/>
      <c r="D950" s="79"/>
      <c r="E950" s="79"/>
      <c r="F950" s="89" t="s">
        <v>425</v>
      </c>
      <c r="G950" s="101"/>
      <c r="H950" s="87">
        <f>SUM(H947:H949)</f>
        <v>44678.378272800001</v>
      </c>
      <c r="I950" s="101"/>
      <c r="J950" s="87">
        <f>SUM(J947)</f>
        <v>0</v>
      </c>
      <c r="K950" s="101"/>
      <c r="L950" s="87">
        <f>SUM(L947)</f>
        <v>0</v>
      </c>
    </row>
    <row r="951" spans="1:12" ht="12" customHeight="1" x14ac:dyDescent="0.35">
      <c r="B951" s="84" t="s">
        <v>8</v>
      </c>
      <c r="C951" s="103" t="s">
        <v>426</v>
      </c>
      <c r="D951" s="104"/>
      <c r="E951" s="104"/>
      <c r="F951" s="104"/>
      <c r="G951" s="105"/>
      <c r="H951" s="87">
        <f>H940+H945+H950</f>
        <v>44678.378272800001</v>
      </c>
      <c r="I951" s="105"/>
      <c r="J951" s="87">
        <f>J940+J945+J950</f>
        <v>0</v>
      </c>
      <c r="K951" s="105"/>
      <c r="L951" s="87">
        <f>L940+L945+L950</f>
        <v>0</v>
      </c>
    </row>
    <row r="952" spans="1:12" ht="12" customHeight="1" x14ac:dyDescent="0.35">
      <c r="B952" s="84" t="s">
        <v>9</v>
      </c>
      <c r="C952" s="455" t="s">
        <v>427</v>
      </c>
      <c r="D952" s="455"/>
      <c r="E952" s="455"/>
      <c r="F952" s="95">
        <f>0</f>
        <v>0</v>
      </c>
      <c r="G952" s="85" t="s">
        <v>428</v>
      </c>
      <c r="H952" s="87">
        <f>H951*F952</f>
        <v>0</v>
      </c>
      <c r="I952" s="85" t="s">
        <v>428</v>
      </c>
      <c r="J952" s="87">
        <f>J951*F952</f>
        <v>0</v>
      </c>
      <c r="K952" s="85" t="s">
        <v>428</v>
      </c>
      <c r="L952" s="87">
        <f>L951*F952</f>
        <v>0</v>
      </c>
    </row>
    <row r="953" spans="1:12" ht="12" customHeight="1" x14ac:dyDescent="0.35">
      <c r="B953" s="84" t="s">
        <v>10</v>
      </c>
      <c r="C953" s="103" t="s">
        <v>429</v>
      </c>
      <c r="D953" s="104"/>
      <c r="E953" s="104"/>
      <c r="F953" s="104"/>
      <c r="G953" s="105"/>
      <c r="H953" s="96">
        <f>H951+H952</f>
        <v>44678.378272800001</v>
      </c>
      <c r="I953" s="97"/>
      <c r="J953" s="96">
        <f>J951+J952</f>
        <v>0</v>
      </c>
      <c r="K953" s="97"/>
      <c r="L953" s="96">
        <f>L951+L952</f>
        <v>0</v>
      </c>
    </row>
    <row r="955" spans="1:12" ht="29" customHeight="1" x14ac:dyDescent="0.35">
      <c r="B955" s="76" t="s">
        <v>570</v>
      </c>
      <c r="C955" s="458" t="s">
        <v>571</v>
      </c>
      <c r="D955" s="459"/>
      <c r="E955" s="459"/>
      <c r="F955" s="459"/>
      <c r="G955" s="456"/>
      <c r="H955" s="457"/>
      <c r="I955" s="455" t="s">
        <v>3</v>
      </c>
      <c r="J955" s="455"/>
      <c r="K955" s="455" t="s">
        <v>4</v>
      </c>
      <c r="L955" s="455"/>
    </row>
    <row r="956" spans="1:12" ht="12" customHeight="1" x14ac:dyDescent="0.35">
      <c r="B956" s="451" t="s">
        <v>409</v>
      </c>
      <c r="C956" s="451" t="s">
        <v>410</v>
      </c>
      <c r="D956" s="452" t="s">
        <v>411</v>
      </c>
      <c r="E956" s="451" t="s">
        <v>412</v>
      </c>
      <c r="F956" s="451" t="s">
        <v>413</v>
      </c>
      <c r="G956" s="77" t="s">
        <v>414</v>
      </c>
      <c r="H956" s="77" t="s">
        <v>415</v>
      </c>
      <c r="I956" s="78" t="s">
        <v>414</v>
      </c>
      <c r="J956" s="79" t="s">
        <v>415</v>
      </c>
      <c r="K956" s="79" t="s">
        <v>414</v>
      </c>
      <c r="L956" s="79" t="s">
        <v>415</v>
      </c>
    </row>
    <row r="957" spans="1:12" ht="12" customHeight="1" x14ac:dyDescent="0.35">
      <c r="B957" s="451"/>
      <c r="C957" s="451"/>
      <c r="D957" s="453"/>
      <c r="E957" s="451"/>
      <c r="F957" s="451"/>
      <c r="G957" s="77" t="s">
        <v>17</v>
      </c>
      <c r="H957" s="77" t="s">
        <v>416</v>
      </c>
      <c r="I957" s="78" t="s">
        <v>17</v>
      </c>
      <c r="J957" s="79" t="s">
        <v>416</v>
      </c>
      <c r="K957" s="79" t="s">
        <v>17</v>
      </c>
      <c r="L957" s="79" t="s">
        <v>416</v>
      </c>
    </row>
    <row r="958" spans="1:12" ht="12" customHeight="1" x14ac:dyDescent="0.35">
      <c r="B958" s="451"/>
      <c r="C958" s="451"/>
      <c r="D958" s="454"/>
      <c r="E958" s="451"/>
      <c r="F958" s="451"/>
      <c r="G958" s="106"/>
      <c r="H958" s="77" t="s">
        <v>17</v>
      </c>
      <c r="I958" s="94"/>
      <c r="J958" s="79" t="s">
        <v>17</v>
      </c>
      <c r="K958" s="85"/>
      <c r="L958" s="79" t="s">
        <v>17</v>
      </c>
    </row>
    <row r="959" spans="1:12" ht="12" customHeight="1" x14ac:dyDescent="0.35">
      <c r="B959" s="80" t="s">
        <v>5</v>
      </c>
      <c r="C959" s="81" t="s">
        <v>417</v>
      </c>
      <c r="D959" s="82"/>
      <c r="E959" s="82"/>
      <c r="F959" s="82"/>
      <c r="G959" s="82"/>
      <c r="H959" s="82"/>
      <c r="I959" s="83"/>
      <c r="J959" s="83"/>
      <c r="K959" s="83"/>
      <c r="L959" s="83"/>
    </row>
    <row r="960" spans="1:12" ht="12" customHeight="1" x14ac:dyDescent="0.35">
      <c r="B960" s="84"/>
      <c r="C960" s="85"/>
      <c r="D960" s="84"/>
      <c r="E960" s="84"/>
      <c r="F960" s="86"/>
      <c r="G960" s="87"/>
      <c r="H960" s="87">
        <f>F960*G960</f>
        <v>0</v>
      </c>
      <c r="I960" s="87">
        <v>78600</v>
      </c>
      <c r="J960" s="87">
        <f>F960*I960</f>
        <v>0</v>
      </c>
      <c r="K960" s="87">
        <v>78600</v>
      </c>
      <c r="L960" s="87">
        <f>F960*K960</f>
        <v>0</v>
      </c>
    </row>
    <row r="961" spans="1:12" ht="12" customHeight="1" x14ac:dyDescent="0.35">
      <c r="B961" s="84"/>
      <c r="C961" s="85"/>
      <c r="D961" s="84"/>
      <c r="E961" s="84"/>
      <c r="F961" s="86"/>
      <c r="G961" s="87"/>
      <c r="H961" s="87">
        <f>F961*G961</f>
        <v>0</v>
      </c>
      <c r="I961" s="87">
        <v>91500</v>
      </c>
      <c r="J961" s="87">
        <f>F961*I961</f>
        <v>0</v>
      </c>
      <c r="K961" s="87">
        <v>91500</v>
      </c>
      <c r="L961" s="87">
        <f>F961*K961</f>
        <v>0</v>
      </c>
    </row>
    <row r="962" spans="1:12" ht="12" customHeight="1" x14ac:dyDescent="0.35">
      <c r="B962" s="84"/>
      <c r="C962" s="85"/>
      <c r="D962" s="84"/>
      <c r="E962" s="84"/>
      <c r="F962" s="86"/>
      <c r="G962" s="87"/>
      <c r="H962" s="87">
        <f>F962*G962</f>
        <v>0</v>
      </c>
      <c r="I962" s="87">
        <v>92500</v>
      </c>
      <c r="J962" s="87">
        <f>F962*I962</f>
        <v>0</v>
      </c>
      <c r="K962" s="87">
        <v>92500</v>
      </c>
      <c r="L962" s="87">
        <f>F962*K962</f>
        <v>0</v>
      </c>
    </row>
    <row r="963" spans="1:12" ht="12" customHeight="1" x14ac:dyDescent="0.35">
      <c r="B963" s="84"/>
      <c r="C963" s="85"/>
      <c r="D963" s="84"/>
      <c r="E963" s="84"/>
      <c r="F963" s="86"/>
      <c r="G963" s="87"/>
      <c r="H963" s="87"/>
      <c r="I963" s="87"/>
      <c r="J963" s="87"/>
      <c r="K963" s="87"/>
      <c r="L963" s="87"/>
    </row>
    <row r="964" spans="1:12" ht="12" customHeight="1" x14ac:dyDescent="0.35">
      <c r="B964" s="84"/>
      <c r="C964" s="88"/>
      <c r="D964" s="79"/>
      <c r="E964" s="79"/>
      <c r="F964" s="89" t="s">
        <v>421</v>
      </c>
      <c r="G964" s="101"/>
      <c r="H964" s="87">
        <f>SUM(H960:H963)</f>
        <v>0</v>
      </c>
      <c r="I964" s="101"/>
      <c r="J964" s="87">
        <f>SUM(J960:J963)</f>
        <v>0</v>
      </c>
      <c r="K964" s="101"/>
      <c r="L964" s="87">
        <f>SUM(L960:L963)</f>
        <v>0</v>
      </c>
    </row>
    <row r="965" spans="1:12" ht="12" customHeight="1" x14ac:dyDescent="0.35">
      <c r="B965" s="84" t="s">
        <v>6</v>
      </c>
      <c r="C965" s="88" t="s">
        <v>422</v>
      </c>
      <c r="D965" s="79"/>
      <c r="E965" s="79"/>
      <c r="F965" s="90"/>
      <c r="G965" s="84"/>
      <c r="H965" s="87"/>
      <c r="I965" s="84"/>
      <c r="J965" s="87"/>
      <c r="K965" s="84"/>
      <c r="L965" s="87"/>
    </row>
    <row r="966" spans="1:12" ht="12" customHeight="1" x14ac:dyDescent="0.35">
      <c r="B966" s="84"/>
      <c r="C966" s="85"/>
      <c r="D966" s="84"/>
      <c r="E966" s="84"/>
      <c r="F966" s="86"/>
      <c r="G966" s="87"/>
      <c r="H966" s="87">
        <f>F966*G966</f>
        <v>0</v>
      </c>
      <c r="I966" s="87">
        <v>232500</v>
      </c>
      <c r="J966" s="87">
        <f>F966*I966</f>
        <v>0</v>
      </c>
      <c r="K966" s="87">
        <v>270000</v>
      </c>
      <c r="L966" s="87">
        <f>F966*K966</f>
        <v>0</v>
      </c>
    </row>
    <row r="967" spans="1:12" ht="12" customHeight="1" x14ac:dyDescent="0.35">
      <c r="B967" s="84"/>
      <c r="C967" s="88"/>
      <c r="D967" s="79"/>
      <c r="E967" s="84"/>
      <c r="F967" s="102"/>
      <c r="G967" s="87"/>
      <c r="H967" s="87">
        <f>F967*G967</f>
        <v>0</v>
      </c>
      <c r="I967" s="87">
        <v>1060</v>
      </c>
      <c r="J967" s="87">
        <f>F967*I967</f>
        <v>0</v>
      </c>
      <c r="K967" s="87">
        <v>1060</v>
      </c>
      <c r="L967" s="87">
        <f>F967*K967</f>
        <v>0</v>
      </c>
    </row>
    <row r="968" spans="1:12" ht="12" customHeight="1" x14ac:dyDescent="0.35">
      <c r="B968" s="84"/>
      <c r="C968" s="88"/>
      <c r="D968" s="79"/>
      <c r="E968" s="84"/>
      <c r="F968" s="102"/>
      <c r="G968" s="87"/>
      <c r="H968" s="87">
        <f>F968*G968</f>
        <v>0</v>
      </c>
      <c r="I968" s="87">
        <v>215000</v>
      </c>
      <c r="J968" s="87">
        <f>F968*I968</f>
        <v>0</v>
      </c>
      <c r="K968" s="87">
        <v>250000</v>
      </c>
      <c r="L968" s="87">
        <f>F968*K968</f>
        <v>0</v>
      </c>
    </row>
    <row r="969" spans="1:12" ht="12" customHeight="1" x14ac:dyDescent="0.35">
      <c r="B969" s="84"/>
      <c r="C969" s="88"/>
      <c r="D969" s="79"/>
      <c r="E969" s="79"/>
      <c r="F969" s="89"/>
      <c r="G969" s="101"/>
      <c r="H969" s="87">
        <f>SUM(H966:H968)</f>
        <v>0</v>
      </c>
      <c r="I969" s="101"/>
      <c r="J969" s="87">
        <f>SUM(J966:J968)</f>
        <v>0</v>
      </c>
      <c r="K969" s="101"/>
      <c r="L969" s="87">
        <f>SUM(L966:L968)</f>
        <v>0</v>
      </c>
    </row>
    <row r="970" spans="1:12" ht="12" customHeight="1" x14ac:dyDescent="0.35">
      <c r="B970" s="84" t="s">
        <v>7</v>
      </c>
      <c r="C970" s="88" t="s">
        <v>424</v>
      </c>
      <c r="D970" s="79"/>
      <c r="E970" s="79"/>
      <c r="F970" s="90"/>
      <c r="G970" s="84"/>
      <c r="H970" s="87"/>
      <c r="I970" s="84"/>
      <c r="J970" s="87"/>
      <c r="K970" s="84"/>
      <c r="L970" s="87"/>
    </row>
    <row r="971" spans="1:12" ht="12" customHeight="1" x14ac:dyDescent="0.35">
      <c r="A971" s="134">
        <v>31100008</v>
      </c>
      <c r="B971" s="84"/>
      <c r="C971" s="85" t="s">
        <v>1836</v>
      </c>
      <c r="D971" s="84" t="s">
        <v>418</v>
      </c>
      <c r="E971" s="84" t="str">
        <f>VLOOKUP(C971,HSD!B:K,2,FALSE)</f>
        <v>jam</v>
      </c>
      <c r="F971" s="128">
        <f>0.02049</f>
        <v>2.0490000000000001E-2</v>
      </c>
      <c r="G971" s="87">
        <f>VLOOKUP(C971,HSD!B:K,10,FALSE)</f>
        <v>1053489.6200000001</v>
      </c>
      <c r="H971" s="87">
        <f>F971*G971</f>
        <v>21586.002313800003</v>
      </c>
      <c r="I971" s="87"/>
      <c r="J971" s="87">
        <f>H971*I971</f>
        <v>0</v>
      </c>
      <c r="K971" s="87"/>
      <c r="L971" s="87">
        <f>J971*K971</f>
        <v>0</v>
      </c>
    </row>
    <row r="972" spans="1:12" ht="12" customHeight="1" x14ac:dyDescent="0.35">
      <c r="A972" s="134" t="s">
        <v>572</v>
      </c>
      <c r="B972" s="84"/>
      <c r="C972" s="85" t="s">
        <v>573</v>
      </c>
      <c r="D972" s="84" t="s">
        <v>418</v>
      </c>
      <c r="E972" s="84" t="str">
        <f>VLOOKUP(C972,HSD!B:K,2,FALSE)</f>
        <v>jam</v>
      </c>
      <c r="F972" s="128">
        <f>0.03869</f>
        <v>3.8690000000000002E-2</v>
      </c>
      <c r="G972" s="87">
        <f>VLOOKUP(C972,HSD!B:K,10,FALSE)</f>
        <v>932909.79</v>
      </c>
      <c r="H972" s="87">
        <f>F972*G972</f>
        <v>36094.279775100003</v>
      </c>
      <c r="I972" s="87"/>
      <c r="J972" s="87"/>
      <c r="K972" s="87"/>
      <c r="L972" s="87"/>
    </row>
    <row r="973" spans="1:12" ht="12" customHeight="1" x14ac:dyDescent="0.35">
      <c r="B973" s="84"/>
      <c r="C973" s="85"/>
      <c r="D973" s="84"/>
      <c r="E973" s="84"/>
      <c r="F973" s="128"/>
      <c r="G973" s="87"/>
      <c r="H973" s="87">
        <f>F973*G973</f>
        <v>0</v>
      </c>
      <c r="I973" s="87"/>
      <c r="J973" s="87"/>
      <c r="K973" s="87"/>
      <c r="L973" s="87"/>
    </row>
    <row r="974" spans="1:12" ht="12" customHeight="1" x14ac:dyDescent="0.35">
      <c r="B974" s="84"/>
      <c r="C974" s="88"/>
      <c r="D974" s="79"/>
      <c r="E974" s="79"/>
      <c r="F974" s="89" t="s">
        <v>425</v>
      </c>
      <c r="G974" s="101"/>
      <c r="H974" s="87">
        <f>SUM(H971:H973)</f>
        <v>57680.282088900007</v>
      </c>
      <c r="I974" s="101"/>
      <c r="J974" s="87">
        <f>SUM(J971)</f>
        <v>0</v>
      </c>
      <c r="K974" s="101"/>
      <c r="L974" s="87">
        <f>SUM(L971)</f>
        <v>0</v>
      </c>
    </row>
    <row r="975" spans="1:12" ht="12" customHeight="1" x14ac:dyDescent="0.35">
      <c r="B975" s="84" t="s">
        <v>8</v>
      </c>
      <c r="C975" s="103" t="s">
        <v>426</v>
      </c>
      <c r="D975" s="104"/>
      <c r="E975" s="104"/>
      <c r="F975" s="104"/>
      <c r="G975" s="105"/>
      <c r="H975" s="87">
        <f>H964+H969+H974</f>
        <v>57680.282088900007</v>
      </c>
      <c r="I975" s="105"/>
      <c r="J975" s="87">
        <f>J964+J969+J974</f>
        <v>0</v>
      </c>
      <c r="K975" s="105"/>
      <c r="L975" s="87">
        <f>L964+L969+L974</f>
        <v>0</v>
      </c>
    </row>
    <row r="976" spans="1:12" ht="12" customHeight="1" x14ac:dyDescent="0.35">
      <c r="B976" s="84" t="s">
        <v>9</v>
      </c>
      <c r="C976" s="455" t="s">
        <v>427</v>
      </c>
      <c r="D976" s="455"/>
      <c r="E976" s="455"/>
      <c r="F976" s="95">
        <f>0</f>
        <v>0</v>
      </c>
      <c r="G976" s="85" t="s">
        <v>428</v>
      </c>
      <c r="H976" s="87">
        <f>H975*F976</f>
        <v>0</v>
      </c>
      <c r="I976" s="85" t="s">
        <v>428</v>
      </c>
      <c r="J976" s="87">
        <f>J975*F976</f>
        <v>0</v>
      </c>
      <c r="K976" s="85" t="s">
        <v>428</v>
      </c>
      <c r="L976" s="87">
        <f>L975*F976</f>
        <v>0</v>
      </c>
    </row>
    <row r="977" spans="2:12" ht="12" customHeight="1" x14ac:dyDescent="0.35">
      <c r="B977" s="84" t="s">
        <v>10</v>
      </c>
      <c r="C977" s="103" t="s">
        <v>429</v>
      </c>
      <c r="D977" s="104"/>
      <c r="E977" s="104"/>
      <c r="F977" s="104"/>
      <c r="G977" s="105"/>
      <c r="H977" s="96">
        <f>H975+H976</f>
        <v>57680.282088900007</v>
      </c>
      <c r="I977" s="97"/>
      <c r="J977" s="96">
        <f>J975+J976</f>
        <v>0</v>
      </c>
      <c r="K977" s="97"/>
      <c r="L977" s="96">
        <f>L975+L976</f>
        <v>0</v>
      </c>
    </row>
    <row r="979" spans="2:12" ht="29" customHeight="1" x14ac:dyDescent="0.35">
      <c r="B979" s="76" t="s">
        <v>575</v>
      </c>
      <c r="C979" s="458" t="s">
        <v>574</v>
      </c>
      <c r="D979" s="459"/>
      <c r="E979" s="459"/>
      <c r="F979" s="459"/>
      <c r="G979" s="456"/>
      <c r="H979" s="457"/>
      <c r="I979" s="455" t="s">
        <v>3</v>
      </c>
      <c r="J979" s="455"/>
      <c r="K979" s="455" t="s">
        <v>4</v>
      </c>
      <c r="L979" s="455"/>
    </row>
    <row r="980" spans="2:12" ht="12" customHeight="1" x14ac:dyDescent="0.35">
      <c r="B980" s="451" t="s">
        <v>409</v>
      </c>
      <c r="C980" s="451" t="s">
        <v>410</v>
      </c>
      <c r="D980" s="452" t="s">
        <v>411</v>
      </c>
      <c r="E980" s="451" t="s">
        <v>412</v>
      </c>
      <c r="F980" s="451" t="s">
        <v>413</v>
      </c>
      <c r="G980" s="77" t="s">
        <v>414</v>
      </c>
      <c r="H980" s="77" t="s">
        <v>415</v>
      </c>
      <c r="I980" s="78" t="s">
        <v>414</v>
      </c>
      <c r="J980" s="79" t="s">
        <v>415</v>
      </c>
      <c r="K980" s="79" t="s">
        <v>414</v>
      </c>
      <c r="L980" s="79" t="s">
        <v>415</v>
      </c>
    </row>
    <row r="981" spans="2:12" ht="12" customHeight="1" x14ac:dyDescent="0.35">
      <c r="B981" s="451"/>
      <c r="C981" s="451"/>
      <c r="D981" s="453"/>
      <c r="E981" s="451"/>
      <c r="F981" s="451"/>
      <c r="G981" s="77" t="s">
        <v>17</v>
      </c>
      <c r="H981" s="77" t="s">
        <v>416</v>
      </c>
      <c r="I981" s="78" t="s">
        <v>17</v>
      </c>
      <c r="J981" s="79" t="s">
        <v>416</v>
      </c>
      <c r="K981" s="79" t="s">
        <v>17</v>
      </c>
      <c r="L981" s="79" t="s">
        <v>416</v>
      </c>
    </row>
    <row r="982" spans="2:12" ht="12" customHeight="1" x14ac:dyDescent="0.35">
      <c r="B982" s="451"/>
      <c r="C982" s="451"/>
      <c r="D982" s="454"/>
      <c r="E982" s="451"/>
      <c r="F982" s="451"/>
      <c r="G982" s="106"/>
      <c r="H982" s="77" t="s">
        <v>17</v>
      </c>
      <c r="I982" s="94"/>
      <c r="J982" s="79" t="s">
        <v>17</v>
      </c>
      <c r="K982" s="85"/>
      <c r="L982" s="79" t="s">
        <v>17</v>
      </c>
    </row>
    <row r="983" spans="2:12" ht="12" customHeight="1" x14ac:dyDescent="0.35">
      <c r="B983" s="80" t="s">
        <v>5</v>
      </c>
      <c r="C983" s="81" t="s">
        <v>417</v>
      </c>
      <c r="D983" s="82"/>
      <c r="E983" s="82"/>
      <c r="F983" s="82"/>
      <c r="G983" s="82"/>
      <c r="H983" s="82"/>
      <c r="I983" s="83"/>
      <c r="J983" s="83"/>
      <c r="K983" s="83"/>
      <c r="L983" s="83"/>
    </row>
    <row r="984" spans="2:12" ht="12" customHeight="1" x14ac:dyDescent="0.35">
      <c r="B984" s="84"/>
      <c r="C984" s="85"/>
      <c r="D984" s="84"/>
      <c r="E984" s="84"/>
      <c r="F984" s="86"/>
      <c r="G984" s="87"/>
      <c r="H984" s="87">
        <f>F984*G984</f>
        <v>0</v>
      </c>
      <c r="I984" s="87">
        <v>78600</v>
      </c>
      <c r="J984" s="87">
        <f>F984*I984</f>
        <v>0</v>
      </c>
      <c r="K984" s="87">
        <v>78600</v>
      </c>
      <c r="L984" s="87">
        <f>F984*K984</f>
        <v>0</v>
      </c>
    </row>
    <row r="985" spans="2:12" ht="12" customHeight="1" x14ac:dyDescent="0.35">
      <c r="B985" s="84"/>
      <c r="C985" s="85"/>
      <c r="D985" s="84"/>
      <c r="E985" s="84"/>
      <c r="F985" s="86"/>
      <c r="G985" s="87"/>
      <c r="H985" s="87">
        <f>F985*G985</f>
        <v>0</v>
      </c>
      <c r="I985" s="87">
        <v>91500</v>
      </c>
      <c r="J985" s="87">
        <f>F985*I985</f>
        <v>0</v>
      </c>
      <c r="K985" s="87">
        <v>91500</v>
      </c>
      <c r="L985" s="87">
        <f>F985*K985</f>
        <v>0</v>
      </c>
    </row>
    <row r="986" spans="2:12" ht="12" customHeight="1" x14ac:dyDescent="0.35">
      <c r="B986" s="84"/>
      <c r="C986" s="85"/>
      <c r="D986" s="84"/>
      <c r="E986" s="84"/>
      <c r="F986" s="86"/>
      <c r="G986" s="87"/>
      <c r="H986" s="87">
        <f>F986*G986</f>
        <v>0</v>
      </c>
      <c r="I986" s="87">
        <v>92500</v>
      </c>
      <c r="J986" s="87">
        <f>F986*I986</f>
        <v>0</v>
      </c>
      <c r="K986" s="87">
        <v>92500</v>
      </c>
      <c r="L986" s="87">
        <f>F986*K986</f>
        <v>0</v>
      </c>
    </row>
    <row r="987" spans="2:12" ht="12" customHeight="1" x14ac:dyDescent="0.35">
      <c r="B987" s="84"/>
      <c r="C987" s="85"/>
      <c r="D987" s="84"/>
      <c r="E987" s="84"/>
      <c r="F987" s="86"/>
      <c r="G987" s="87"/>
      <c r="H987" s="87"/>
      <c r="I987" s="87"/>
      <c r="J987" s="87"/>
      <c r="K987" s="87"/>
      <c r="L987" s="87"/>
    </row>
    <row r="988" spans="2:12" ht="12" customHeight="1" x14ac:dyDescent="0.35">
      <c r="B988" s="84"/>
      <c r="C988" s="88"/>
      <c r="D988" s="79"/>
      <c r="E988" s="79"/>
      <c r="F988" s="89" t="s">
        <v>421</v>
      </c>
      <c r="G988" s="101"/>
      <c r="H988" s="87">
        <f>SUM(H984:H987)</f>
        <v>0</v>
      </c>
      <c r="I988" s="101"/>
      <c r="J988" s="87">
        <f>SUM(J984:J987)</f>
        <v>0</v>
      </c>
      <c r="K988" s="101"/>
      <c r="L988" s="87">
        <f>SUM(L984:L987)</f>
        <v>0</v>
      </c>
    </row>
    <row r="989" spans="2:12" ht="12" customHeight="1" x14ac:dyDescent="0.35">
      <c r="B989" s="84" t="s">
        <v>6</v>
      </c>
      <c r="C989" s="88" t="s">
        <v>422</v>
      </c>
      <c r="D989" s="79"/>
      <c r="E989" s="79"/>
      <c r="F989" s="90"/>
      <c r="G989" s="84"/>
      <c r="H989" s="87"/>
      <c r="I989" s="84"/>
      <c r="J989" s="87"/>
      <c r="K989" s="84"/>
      <c r="L989" s="87"/>
    </row>
    <row r="990" spans="2:12" ht="12" customHeight="1" x14ac:dyDescent="0.35">
      <c r="B990" s="84"/>
      <c r="C990" s="85"/>
      <c r="D990" s="84"/>
      <c r="E990" s="84"/>
      <c r="F990" s="86"/>
      <c r="G990" s="87"/>
      <c r="H990" s="87">
        <f>F990*G990</f>
        <v>0</v>
      </c>
      <c r="I990" s="87">
        <v>232500</v>
      </c>
      <c r="J990" s="87">
        <f>F990*I990</f>
        <v>0</v>
      </c>
      <c r="K990" s="87">
        <v>270000</v>
      </c>
      <c r="L990" s="87">
        <f>F990*K990</f>
        <v>0</v>
      </c>
    </row>
    <row r="991" spans="2:12" ht="12" customHeight="1" x14ac:dyDescent="0.35">
      <c r="B991" s="84"/>
      <c r="C991" s="88"/>
      <c r="D991" s="79"/>
      <c r="E991" s="84"/>
      <c r="F991" s="102"/>
      <c r="G991" s="87"/>
      <c r="H991" s="87">
        <f>F991*G991</f>
        <v>0</v>
      </c>
      <c r="I991" s="87">
        <v>1060</v>
      </c>
      <c r="J991" s="87">
        <f>F991*I991</f>
        <v>0</v>
      </c>
      <c r="K991" s="87">
        <v>1060</v>
      </c>
      <c r="L991" s="87">
        <f>F991*K991</f>
        <v>0</v>
      </c>
    </row>
    <row r="992" spans="2:12" ht="12" customHeight="1" x14ac:dyDescent="0.35">
      <c r="B992" s="84"/>
      <c r="C992" s="88"/>
      <c r="D992" s="79"/>
      <c r="E992" s="84"/>
      <c r="F992" s="102"/>
      <c r="G992" s="87"/>
      <c r="H992" s="87">
        <f>F992*G992</f>
        <v>0</v>
      </c>
      <c r="I992" s="87">
        <v>215000</v>
      </c>
      <c r="J992" s="87">
        <f>F992*I992</f>
        <v>0</v>
      </c>
      <c r="K992" s="87">
        <v>250000</v>
      </c>
      <c r="L992" s="87">
        <f>F992*K992</f>
        <v>0</v>
      </c>
    </row>
    <row r="993" spans="1:12" ht="12" customHeight="1" x14ac:dyDescent="0.35">
      <c r="B993" s="84"/>
      <c r="C993" s="88"/>
      <c r="D993" s="79"/>
      <c r="E993" s="79"/>
      <c r="F993" s="89"/>
      <c r="G993" s="101"/>
      <c r="H993" s="87">
        <f>SUM(H990:H992)</f>
        <v>0</v>
      </c>
      <c r="I993" s="101"/>
      <c r="J993" s="87">
        <f>SUM(J990:J992)</f>
        <v>0</v>
      </c>
      <c r="K993" s="101"/>
      <c r="L993" s="87">
        <f>SUM(L990:L992)</f>
        <v>0</v>
      </c>
    </row>
    <row r="994" spans="1:12" ht="12" customHeight="1" x14ac:dyDescent="0.35">
      <c r="B994" s="84" t="s">
        <v>7</v>
      </c>
      <c r="C994" s="88" t="s">
        <v>424</v>
      </c>
      <c r="D994" s="79"/>
      <c r="E994" s="79"/>
      <c r="F994" s="90"/>
      <c r="G994" s="84"/>
      <c r="H994" s="87"/>
      <c r="I994" s="84"/>
      <c r="J994" s="87"/>
      <c r="K994" s="84"/>
      <c r="L994" s="87"/>
    </row>
    <row r="995" spans="1:12" ht="12" customHeight="1" x14ac:dyDescent="0.35">
      <c r="A995" s="134">
        <v>31100008</v>
      </c>
      <c r="B995" s="84"/>
      <c r="C995" s="85" t="s">
        <v>1836</v>
      </c>
      <c r="D995" s="84" t="s">
        <v>418</v>
      </c>
      <c r="E995" s="84" t="str">
        <f>VLOOKUP(C995,HSD!B:K,2,FALSE)</f>
        <v>jam</v>
      </c>
      <c r="F995" s="128">
        <f>0.02049</f>
        <v>2.0490000000000001E-2</v>
      </c>
      <c r="G995" s="87">
        <f>VLOOKUP(C995,HSD!B:K,10,FALSE)</f>
        <v>1053489.6200000001</v>
      </c>
      <c r="H995" s="87">
        <f>F995*G995</f>
        <v>21586.002313800003</v>
      </c>
      <c r="I995" s="87"/>
      <c r="J995" s="87">
        <f>H995*I995</f>
        <v>0</v>
      </c>
      <c r="K995" s="87"/>
      <c r="L995" s="87">
        <f>J995*K995</f>
        <v>0</v>
      </c>
    </row>
    <row r="996" spans="1:12" ht="12" customHeight="1" x14ac:dyDescent="0.35">
      <c r="A996" s="134" t="s">
        <v>572</v>
      </c>
      <c r="B996" s="84"/>
      <c r="C996" s="85" t="s">
        <v>573</v>
      </c>
      <c r="D996" s="84" t="s">
        <v>418</v>
      </c>
      <c r="E996" s="84" t="str">
        <f>VLOOKUP(C996,HSD!B:K,2,FALSE)</f>
        <v>jam</v>
      </c>
      <c r="F996" s="128">
        <f>0.03869</f>
        <v>3.8690000000000002E-2</v>
      </c>
      <c r="G996" s="87">
        <f>VLOOKUP(C996,HSD!B:K,10,FALSE)</f>
        <v>932909.79</v>
      </c>
      <c r="H996" s="87">
        <f>F996*G996</f>
        <v>36094.279775100003</v>
      </c>
      <c r="I996" s="87"/>
      <c r="J996" s="87"/>
      <c r="K996" s="87"/>
      <c r="L996" s="87"/>
    </row>
    <row r="997" spans="1:12" ht="12" customHeight="1" x14ac:dyDescent="0.35">
      <c r="A997" s="134">
        <v>31100023</v>
      </c>
      <c r="B997" s="84"/>
      <c r="C997" s="85" t="s">
        <v>504</v>
      </c>
      <c r="D997" s="84" t="s">
        <v>418</v>
      </c>
      <c r="E997" s="84" t="str">
        <f>VLOOKUP(C997,HSD!B:K,2,FALSE)</f>
        <v>jam</v>
      </c>
      <c r="F997" s="128">
        <v>9.6390000000000003E-2</v>
      </c>
      <c r="G997" s="87">
        <f>VLOOKUP(C997,HSD!B:K,10,FALSE)</f>
        <v>81883</v>
      </c>
      <c r="H997" s="87">
        <f>F997*G997</f>
        <v>7892.70237</v>
      </c>
      <c r="I997" s="87"/>
      <c r="J997" s="87"/>
      <c r="K997" s="87"/>
      <c r="L997" s="87"/>
    </row>
    <row r="998" spans="1:12" ht="12" customHeight="1" x14ac:dyDescent="0.35">
      <c r="B998" s="84"/>
      <c r="C998" s="88"/>
      <c r="D998" s="79"/>
      <c r="E998" s="79"/>
      <c r="F998" s="89" t="s">
        <v>425</v>
      </c>
      <c r="G998" s="101"/>
      <c r="H998" s="87">
        <f>SUM(H995:H997)</f>
        <v>65572.984458900013</v>
      </c>
      <c r="I998" s="101"/>
      <c r="J998" s="87">
        <f>SUM(J995)</f>
        <v>0</v>
      </c>
      <c r="K998" s="101"/>
      <c r="L998" s="87">
        <f>SUM(L995)</f>
        <v>0</v>
      </c>
    </row>
    <row r="999" spans="1:12" ht="12" customHeight="1" x14ac:dyDescent="0.35">
      <c r="B999" s="84" t="s">
        <v>8</v>
      </c>
      <c r="C999" s="103" t="s">
        <v>426</v>
      </c>
      <c r="D999" s="104"/>
      <c r="E999" s="104"/>
      <c r="F999" s="104"/>
      <c r="G999" s="105"/>
      <c r="H999" s="87">
        <f>H988+H993+H998</f>
        <v>65572.984458900013</v>
      </c>
      <c r="I999" s="105"/>
      <c r="J999" s="87">
        <f>J988+J993+J998</f>
        <v>0</v>
      </c>
      <c r="K999" s="105"/>
      <c r="L999" s="87">
        <f>L988+L993+L998</f>
        <v>0</v>
      </c>
    </row>
    <row r="1000" spans="1:12" ht="12" customHeight="1" x14ac:dyDescent="0.35">
      <c r="B1000" s="84" t="s">
        <v>9</v>
      </c>
      <c r="C1000" s="455" t="s">
        <v>427</v>
      </c>
      <c r="D1000" s="455"/>
      <c r="E1000" s="455"/>
      <c r="F1000" s="95">
        <f>0</f>
        <v>0</v>
      </c>
      <c r="G1000" s="85" t="s">
        <v>428</v>
      </c>
      <c r="H1000" s="87">
        <f>H999*F1000</f>
        <v>0</v>
      </c>
      <c r="I1000" s="85" t="s">
        <v>428</v>
      </c>
      <c r="J1000" s="87">
        <f>J999*F1000</f>
        <v>0</v>
      </c>
      <c r="K1000" s="85" t="s">
        <v>428</v>
      </c>
      <c r="L1000" s="87">
        <f>L999*F1000</f>
        <v>0</v>
      </c>
    </row>
    <row r="1001" spans="1:12" ht="12" customHeight="1" x14ac:dyDescent="0.35">
      <c r="B1001" s="84" t="s">
        <v>10</v>
      </c>
      <c r="C1001" s="103" t="s">
        <v>429</v>
      </c>
      <c r="D1001" s="104"/>
      <c r="E1001" s="104"/>
      <c r="F1001" s="104"/>
      <c r="G1001" s="105"/>
      <c r="H1001" s="96">
        <f>H999+H1000</f>
        <v>65572.984458900013</v>
      </c>
      <c r="I1001" s="97"/>
      <c r="J1001" s="96">
        <f>J999+J1000</f>
        <v>0</v>
      </c>
      <c r="K1001" s="97"/>
      <c r="L1001" s="96">
        <f>L999+L1000</f>
        <v>0</v>
      </c>
    </row>
    <row r="1003" spans="1:12" ht="29" customHeight="1" x14ac:dyDescent="0.35">
      <c r="B1003" s="76" t="s">
        <v>576</v>
      </c>
      <c r="C1003" s="458" t="s">
        <v>577</v>
      </c>
      <c r="D1003" s="459"/>
      <c r="E1003" s="459"/>
      <c r="F1003" s="459"/>
      <c r="G1003" s="456"/>
      <c r="H1003" s="457"/>
      <c r="I1003" s="455" t="s">
        <v>3</v>
      </c>
      <c r="J1003" s="455"/>
      <c r="K1003" s="455" t="s">
        <v>4</v>
      </c>
      <c r="L1003" s="455"/>
    </row>
    <row r="1004" spans="1:12" ht="12" customHeight="1" x14ac:dyDescent="0.35">
      <c r="B1004" s="451" t="s">
        <v>409</v>
      </c>
      <c r="C1004" s="451" t="s">
        <v>410</v>
      </c>
      <c r="D1004" s="452" t="s">
        <v>411</v>
      </c>
      <c r="E1004" s="451" t="s">
        <v>412</v>
      </c>
      <c r="F1004" s="451" t="s">
        <v>413</v>
      </c>
      <c r="G1004" s="77" t="s">
        <v>414</v>
      </c>
      <c r="H1004" s="77" t="s">
        <v>415</v>
      </c>
      <c r="I1004" s="78" t="s">
        <v>414</v>
      </c>
      <c r="J1004" s="79" t="s">
        <v>415</v>
      </c>
      <c r="K1004" s="79" t="s">
        <v>414</v>
      </c>
      <c r="L1004" s="79" t="s">
        <v>415</v>
      </c>
    </row>
    <row r="1005" spans="1:12" ht="12" customHeight="1" x14ac:dyDescent="0.35">
      <c r="B1005" s="451"/>
      <c r="C1005" s="451"/>
      <c r="D1005" s="453"/>
      <c r="E1005" s="451"/>
      <c r="F1005" s="451"/>
      <c r="G1005" s="77" t="s">
        <v>17</v>
      </c>
      <c r="H1005" s="77" t="s">
        <v>416</v>
      </c>
      <c r="I1005" s="78" t="s">
        <v>17</v>
      </c>
      <c r="J1005" s="79" t="s">
        <v>416</v>
      </c>
      <c r="K1005" s="79" t="s">
        <v>17</v>
      </c>
      <c r="L1005" s="79" t="s">
        <v>416</v>
      </c>
    </row>
    <row r="1006" spans="1:12" ht="12" customHeight="1" x14ac:dyDescent="0.35">
      <c r="B1006" s="451"/>
      <c r="C1006" s="451"/>
      <c r="D1006" s="454"/>
      <c r="E1006" s="451"/>
      <c r="F1006" s="451"/>
      <c r="G1006" s="106"/>
      <c r="H1006" s="77" t="s">
        <v>17</v>
      </c>
      <c r="I1006" s="94"/>
      <c r="J1006" s="79" t="s">
        <v>17</v>
      </c>
      <c r="K1006" s="85"/>
      <c r="L1006" s="79" t="s">
        <v>17</v>
      </c>
    </row>
    <row r="1007" spans="1:12" ht="12" customHeight="1" x14ac:dyDescent="0.35">
      <c r="B1007" s="80" t="s">
        <v>5</v>
      </c>
      <c r="C1007" s="81" t="s">
        <v>417</v>
      </c>
      <c r="D1007" s="82"/>
      <c r="E1007" s="82"/>
      <c r="F1007" s="82"/>
      <c r="G1007" s="82"/>
      <c r="H1007" s="82"/>
      <c r="I1007" s="83"/>
      <c r="J1007" s="83"/>
      <c r="K1007" s="83"/>
      <c r="L1007" s="83"/>
    </row>
    <row r="1008" spans="1:12" ht="12" customHeight="1" x14ac:dyDescent="0.35">
      <c r="B1008" s="84"/>
      <c r="C1008" s="85"/>
      <c r="D1008" s="84"/>
      <c r="E1008" s="84"/>
      <c r="F1008" s="86"/>
      <c r="G1008" s="87"/>
      <c r="H1008" s="87">
        <f>F1008*G1008</f>
        <v>0</v>
      </c>
      <c r="I1008" s="87">
        <v>78600</v>
      </c>
      <c r="J1008" s="87">
        <f>F1008*I1008</f>
        <v>0</v>
      </c>
      <c r="K1008" s="87">
        <v>78600</v>
      </c>
      <c r="L1008" s="87">
        <f>F1008*K1008</f>
        <v>0</v>
      </c>
    </row>
    <row r="1009" spans="1:12" ht="12" customHeight="1" x14ac:dyDescent="0.35">
      <c r="B1009" s="84"/>
      <c r="C1009" s="85"/>
      <c r="D1009" s="84"/>
      <c r="E1009" s="84"/>
      <c r="F1009" s="86"/>
      <c r="G1009" s="87"/>
      <c r="H1009" s="87">
        <f>F1009*G1009</f>
        <v>0</v>
      </c>
      <c r="I1009" s="87">
        <v>91500</v>
      </c>
      <c r="J1009" s="87">
        <f>F1009*I1009</f>
        <v>0</v>
      </c>
      <c r="K1009" s="87">
        <v>91500</v>
      </c>
      <c r="L1009" s="87">
        <f>F1009*K1009</f>
        <v>0</v>
      </c>
    </row>
    <row r="1010" spans="1:12" ht="12" customHeight="1" x14ac:dyDescent="0.35">
      <c r="B1010" s="84"/>
      <c r="C1010" s="85"/>
      <c r="D1010" s="84"/>
      <c r="E1010" s="84"/>
      <c r="F1010" s="86"/>
      <c r="G1010" s="87"/>
      <c r="H1010" s="87">
        <f>F1010*G1010</f>
        <v>0</v>
      </c>
      <c r="I1010" s="87">
        <v>92500</v>
      </c>
      <c r="J1010" s="87">
        <f>F1010*I1010</f>
        <v>0</v>
      </c>
      <c r="K1010" s="87">
        <v>92500</v>
      </c>
      <c r="L1010" s="87">
        <f>F1010*K1010</f>
        <v>0</v>
      </c>
    </row>
    <row r="1011" spans="1:12" ht="12" customHeight="1" x14ac:dyDescent="0.35">
      <c r="B1011" s="84"/>
      <c r="C1011" s="85"/>
      <c r="D1011" s="84"/>
      <c r="E1011" s="84"/>
      <c r="F1011" s="86"/>
      <c r="G1011" s="87"/>
      <c r="H1011" s="87"/>
      <c r="I1011" s="87"/>
      <c r="J1011" s="87"/>
      <c r="K1011" s="87"/>
      <c r="L1011" s="87"/>
    </row>
    <row r="1012" spans="1:12" ht="12" customHeight="1" x14ac:dyDescent="0.35">
      <c r="B1012" s="84"/>
      <c r="C1012" s="88"/>
      <c r="D1012" s="79"/>
      <c r="E1012" s="79"/>
      <c r="F1012" s="89" t="s">
        <v>421</v>
      </c>
      <c r="G1012" s="101"/>
      <c r="H1012" s="87">
        <f>SUM(H1008:H1011)</f>
        <v>0</v>
      </c>
      <c r="I1012" s="101"/>
      <c r="J1012" s="87">
        <f>SUM(J1008:J1011)</f>
        <v>0</v>
      </c>
      <c r="K1012" s="101"/>
      <c r="L1012" s="87">
        <f>SUM(L1008:L1011)</f>
        <v>0</v>
      </c>
    </row>
    <row r="1013" spans="1:12" ht="12" customHeight="1" x14ac:dyDescent="0.35">
      <c r="B1013" s="84" t="s">
        <v>6</v>
      </c>
      <c r="C1013" s="88" t="s">
        <v>422</v>
      </c>
      <c r="D1013" s="79"/>
      <c r="E1013" s="79"/>
      <c r="F1013" s="90"/>
      <c r="G1013" s="84"/>
      <c r="H1013" s="87"/>
      <c r="I1013" s="84"/>
      <c r="J1013" s="87"/>
      <c r="K1013" s="84"/>
      <c r="L1013" s="87"/>
    </row>
    <row r="1014" spans="1:12" ht="12" customHeight="1" x14ac:dyDescent="0.35">
      <c r="B1014" s="84"/>
      <c r="C1014" s="85"/>
      <c r="D1014" s="84"/>
      <c r="E1014" s="84"/>
      <c r="F1014" s="86"/>
      <c r="G1014" s="87"/>
      <c r="H1014" s="87">
        <f>F1014*G1014</f>
        <v>0</v>
      </c>
      <c r="I1014" s="87">
        <v>232500</v>
      </c>
      <c r="J1014" s="87">
        <f>F1014*I1014</f>
        <v>0</v>
      </c>
      <c r="K1014" s="87">
        <v>270000</v>
      </c>
      <c r="L1014" s="87">
        <f>F1014*K1014</f>
        <v>0</v>
      </c>
    </row>
    <row r="1015" spans="1:12" ht="12" customHeight="1" x14ac:dyDescent="0.35">
      <c r="B1015" s="84"/>
      <c r="C1015" s="88"/>
      <c r="D1015" s="79"/>
      <c r="E1015" s="84"/>
      <c r="F1015" s="102"/>
      <c r="G1015" s="87"/>
      <c r="H1015" s="87">
        <f>F1015*G1015</f>
        <v>0</v>
      </c>
      <c r="I1015" s="87">
        <v>1060</v>
      </c>
      <c r="J1015" s="87">
        <f>F1015*I1015</f>
        <v>0</v>
      </c>
      <c r="K1015" s="87">
        <v>1060</v>
      </c>
      <c r="L1015" s="87">
        <f>F1015*K1015</f>
        <v>0</v>
      </c>
    </row>
    <row r="1016" spans="1:12" ht="12" customHeight="1" x14ac:dyDescent="0.35">
      <c r="B1016" s="84"/>
      <c r="C1016" s="88"/>
      <c r="D1016" s="79"/>
      <c r="E1016" s="84"/>
      <c r="F1016" s="102"/>
      <c r="G1016" s="87"/>
      <c r="H1016" s="87">
        <f>F1016*G1016</f>
        <v>0</v>
      </c>
      <c r="I1016" s="87">
        <v>215000</v>
      </c>
      <c r="J1016" s="87">
        <f>F1016*I1016</f>
        <v>0</v>
      </c>
      <c r="K1016" s="87">
        <v>250000</v>
      </c>
      <c r="L1016" s="87">
        <f>F1016*K1016</f>
        <v>0</v>
      </c>
    </row>
    <row r="1017" spans="1:12" ht="12" customHeight="1" x14ac:dyDescent="0.35">
      <c r="B1017" s="84"/>
      <c r="C1017" s="88"/>
      <c r="D1017" s="79"/>
      <c r="E1017" s="79"/>
      <c r="F1017" s="89"/>
      <c r="G1017" s="101"/>
      <c r="H1017" s="87">
        <f>SUM(H1014:H1016)</f>
        <v>0</v>
      </c>
      <c r="I1017" s="101"/>
      <c r="J1017" s="87">
        <f>SUM(J1014:J1016)</f>
        <v>0</v>
      </c>
      <c r="K1017" s="101"/>
      <c r="L1017" s="87">
        <f>SUM(L1014:L1016)</f>
        <v>0</v>
      </c>
    </row>
    <row r="1018" spans="1:12" ht="12" customHeight="1" x14ac:dyDescent="0.35">
      <c r="B1018" s="84" t="s">
        <v>7</v>
      </c>
      <c r="C1018" s="88" t="s">
        <v>424</v>
      </c>
      <c r="D1018" s="79"/>
      <c r="E1018" s="79"/>
      <c r="F1018" s="90"/>
      <c r="G1018" s="84"/>
      <c r="H1018" s="87"/>
      <c r="I1018" s="84"/>
      <c r="J1018" s="87"/>
      <c r="K1018" s="84"/>
      <c r="L1018" s="87"/>
    </row>
    <row r="1019" spans="1:12" ht="12" customHeight="1" x14ac:dyDescent="0.35">
      <c r="A1019" s="134" t="s">
        <v>572</v>
      </c>
      <c r="B1019" s="84"/>
      <c r="C1019" s="85" t="s">
        <v>573</v>
      </c>
      <c r="D1019" s="84" t="s">
        <v>418</v>
      </c>
      <c r="E1019" s="84" t="str">
        <f>VLOOKUP(C1019,HSD!B:K,2,FALSE)</f>
        <v>jam</v>
      </c>
      <c r="F1019" s="128">
        <f>0.03869</f>
        <v>3.8690000000000002E-2</v>
      </c>
      <c r="G1019" s="87">
        <f>VLOOKUP(C1019,HSD!B:K,10,FALSE)</f>
        <v>932909.79</v>
      </c>
      <c r="H1019" s="87">
        <f>F1019*G1019</f>
        <v>36094.279775100003</v>
      </c>
      <c r="I1019" s="87"/>
      <c r="J1019" s="87">
        <f>H1019*I1019</f>
        <v>0</v>
      </c>
      <c r="K1019" s="87"/>
      <c r="L1019" s="87">
        <f>J1019*K1019</f>
        <v>0</v>
      </c>
    </row>
    <row r="1020" spans="1:12" ht="12" customHeight="1" x14ac:dyDescent="0.35">
      <c r="B1020" s="84"/>
      <c r="C1020" s="85"/>
      <c r="D1020" s="84"/>
      <c r="E1020" s="84"/>
      <c r="F1020" s="128"/>
      <c r="G1020" s="87"/>
      <c r="H1020" s="87">
        <f>F1020*G1020</f>
        <v>0</v>
      </c>
      <c r="I1020" s="87"/>
      <c r="J1020" s="87"/>
      <c r="K1020" s="87"/>
      <c r="L1020" s="87"/>
    </row>
    <row r="1021" spans="1:12" ht="12" customHeight="1" x14ac:dyDescent="0.35">
      <c r="B1021" s="84"/>
      <c r="C1021" s="85"/>
      <c r="D1021" s="84"/>
      <c r="E1021" s="84"/>
      <c r="F1021" s="128"/>
      <c r="G1021" s="87"/>
      <c r="H1021" s="87">
        <f>F1021*G1021</f>
        <v>0</v>
      </c>
      <c r="I1021" s="87"/>
      <c r="J1021" s="87"/>
      <c r="K1021" s="87"/>
      <c r="L1021" s="87"/>
    </row>
    <row r="1022" spans="1:12" ht="12" customHeight="1" x14ac:dyDescent="0.35">
      <c r="B1022" s="84"/>
      <c r="C1022" s="88"/>
      <c r="D1022" s="79"/>
      <c r="E1022" s="79"/>
      <c r="F1022" s="89" t="s">
        <v>425</v>
      </c>
      <c r="G1022" s="101"/>
      <c r="H1022" s="87">
        <f>SUM(H1019:H1021)</f>
        <v>36094.279775100003</v>
      </c>
      <c r="I1022" s="101"/>
      <c r="J1022" s="87">
        <f>SUM(J1019)</f>
        <v>0</v>
      </c>
      <c r="K1022" s="101"/>
      <c r="L1022" s="87">
        <f>SUM(L1019)</f>
        <v>0</v>
      </c>
    </row>
    <row r="1023" spans="1:12" ht="12" customHeight="1" x14ac:dyDescent="0.35">
      <c r="B1023" s="84" t="s">
        <v>8</v>
      </c>
      <c r="C1023" s="103" t="s">
        <v>426</v>
      </c>
      <c r="D1023" s="104"/>
      <c r="E1023" s="104"/>
      <c r="F1023" s="104"/>
      <c r="G1023" s="105"/>
      <c r="H1023" s="87">
        <f>H1012+H1017+H1022</f>
        <v>36094.279775100003</v>
      </c>
      <c r="I1023" s="105"/>
      <c r="J1023" s="87">
        <f>J1012+J1017+J1022</f>
        <v>0</v>
      </c>
      <c r="K1023" s="105"/>
      <c r="L1023" s="87">
        <f>L1012+L1017+L1022</f>
        <v>0</v>
      </c>
    </row>
    <row r="1024" spans="1:12" ht="12" customHeight="1" x14ac:dyDescent="0.35">
      <c r="B1024" s="84" t="s">
        <v>9</v>
      </c>
      <c r="C1024" s="455" t="s">
        <v>427</v>
      </c>
      <c r="D1024" s="455"/>
      <c r="E1024" s="455"/>
      <c r="F1024" s="95">
        <f>0</f>
        <v>0</v>
      </c>
      <c r="G1024" s="85" t="s">
        <v>428</v>
      </c>
      <c r="H1024" s="87">
        <f>H1023*F1024</f>
        <v>0</v>
      </c>
      <c r="I1024" s="85" t="s">
        <v>428</v>
      </c>
      <c r="J1024" s="87">
        <f>J1023*F1024</f>
        <v>0</v>
      </c>
      <c r="K1024" s="85" t="s">
        <v>428</v>
      </c>
      <c r="L1024" s="87">
        <f>L1023*F1024</f>
        <v>0</v>
      </c>
    </row>
    <row r="1025" spans="2:12" ht="12" customHeight="1" x14ac:dyDescent="0.35">
      <c r="B1025" s="84" t="s">
        <v>10</v>
      </c>
      <c r="C1025" s="103" t="s">
        <v>429</v>
      </c>
      <c r="D1025" s="104"/>
      <c r="E1025" s="104"/>
      <c r="F1025" s="104"/>
      <c r="G1025" s="105"/>
      <c r="H1025" s="96">
        <f>H1023+H1024</f>
        <v>36094.279775100003</v>
      </c>
      <c r="I1025" s="97"/>
      <c r="J1025" s="96">
        <f>J1023+J1024</f>
        <v>0</v>
      </c>
      <c r="K1025" s="97"/>
      <c r="L1025" s="96">
        <f>L1023+L1024</f>
        <v>0</v>
      </c>
    </row>
    <row r="1027" spans="2:12" ht="29" customHeight="1" x14ac:dyDescent="0.35">
      <c r="B1027" s="76" t="s">
        <v>578</v>
      </c>
      <c r="C1027" s="458" t="s">
        <v>579</v>
      </c>
      <c r="D1027" s="459"/>
      <c r="E1027" s="459"/>
      <c r="F1027" s="459"/>
      <c r="G1027" s="456"/>
      <c r="H1027" s="457"/>
      <c r="I1027" s="455" t="s">
        <v>3</v>
      </c>
      <c r="J1027" s="455"/>
      <c r="K1027" s="455" t="s">
        <v>4</v>
      </c>
      <c r="L1027" s="455"/>
    </row>
    <row r="1028" spans="2:12" ht="12" customHeight="1" x14ac:dyDescent="0.35">
      <c r="B1028" s="451" t="s">
        <v>409</v>
      </c>
      <c r="C1028" s="451" t="s">
        <v>410</v>
      </c>
      <c r="D1028" s="452" t="s">
        <v>411</v>
      </c>
      <c r="E1028" s="451" t="s">
        <v>412</v>
      </c>
      <c r="F1028" s="451" t="s">
        <v>413</v>
      </c>
      <c r="G1028" s="77" t="s">
        <v>414</v>
      </c>
      <c r="H1028" s="77" t="s">
        <v>415</v>
      </c>
      <c r="I1028" s="78" t="s">
        <v>414</v>
      </c>
      <c r="J1028" s="79" t="s">
        <v>415</v>
      </c>
      <c r="K1028" s="79" t="s">
        <v>414</v>
      </c>
      <c r="L1028" s="79" t="s">
        <v>415</v>
      </c>
    </row>
    <row r="1029" spans="2:12" ht="12" customHeight="1" x14ac:dyDescent="0.35">
      <c r="B1029" s="451"/>
      <c r="C1029" s="451"/>
      <c r="D1029" s="453"/>
      <c r="E1029" s="451"/>
      <c r="F1029" s="451"/>
      <c r="G1029" s="77" t="s">
        <v>17</v>
      </c>
      <c r="H1029" s="77" t="s">
        <v>416</v>
      </c>
      <c r="I1029" s="78" t="s">
        <v>17</v>
      </c>
      <c r="J1029" s="79" t="s">
        <v>416</v>
      </c>
      <c r="K1029" s="79" t="s">
        <v>17</v>
      </c>
      <c r="L1029" s="79" t="s">
        <v>416</v>
      </c>
    </row>
    <row r="1030" spans="2:12" ht="12" customHeight="1" x14ac:dyDescent="0.35">
      <c r="B1030" s="451"/>
      <c r="C1030" s="451"/>
      <c r="D1030" s="454"/>
      <c r="E1030" s="451"/>
      <c r="F1030" s="451"/>
      <c r="G1030" s="106"/>
      <c r="H1030" s="77" t="s">
        <v>17</v>
      </c>
      <c r="I1030" s="94"/>
      <c r="J1030" s="79" t="s">
        <v>17</v>
      </c>
      <c r="K1030" s="85"/>
      <c r="L1030" s="79" t="s">
        <v>17</v>
      </c>
    </row>
    <row r="1031" spans="2:12" ht="12" customHeight="1" x14ac:dyDescent="0.35">
      <c r="B1031" s="80" t="s">
        <v>5</v>
      </c>
      <c r="C1031" s="81" t="s">
        <v>417</v>
      </c>
      <c r="D1031" s="82"/>
      <c r="E1031" s="82"/>
      <c r="F1031" s="82"/>
      <c r="G1031" s="82"/>
      <c r="H1031" s="82"/>
      <c r="I1031" s="83"/>
      <c r="J1031" s="83"/>
      <c r="K1031" s="83"/>
      <c r="L1031" s="83"/>
    </row>
    <row r="1032" spans="2:12" ht="12" customHeight="1" x14ac:dyDescent="0.35">
      <c r="B1032" s="84"/>
      <c r="C1032" s="85"/>
      <c r="D1032" s="84"/>
      <c r="E1032" s="84"/>
      <c r="F1032" s="86"/>
      <c r="G1032" s="87"/>
      <c r="H1032" s="87">
        <f>F1032*G1032</f>
        <v>0</v>
      </c>
      <c r="I1032" s="87">
        <v>78600</v>
      </c>
      <c r="J1032" s="87">
        <f>F1032*I1032</f>
        <v>0</v>
      </c>
      <c r="K1032" s="87">
        <v>78600</v>
      </c>
      <c r="L1032" s="87">
        <f>F1032*K1032</f>
        <v>0</v>
      </c>
    </row>
    <row r="1033" spans="2:12" ht="12" customHeight="1" x14ac:dyDescent="0.35">
      <c r="B1033" s="84"/>
      <c r="C1033" s="85"/>
      <c r="D1033" s="84"/>
      <c r="E1033" s="84"/>
      <c r="F1033" s="86"/>
      <c r="G1033" s="87"/>
      <c r="H1033" s="87">
        <f>F1033*G1033</f>
        <v>0</v>
      </c>
      <c r="I1033" s="87">
        <v>91500</v>
      </c>
      <c r="J1033" s="87">
        <f>F1033*I1033</f>
        <v>0</v>
      </c>
      <c r="K1033" s="87">
        <v>91500</v>
      </c>
      <c r="L1033" s="87">
        <f>F1033*K1033</f>
        <v>0</v>
      </c>
    </row>
    <row r="1034" spans="2:12" ht="12" customHeight="1" x14ac:dyDescent="0.35">
      <c r="B1034" s="84"/>
      <c r="C1034" s="85"/>
      <c r="D1034" s="84"/>
      <c r="E1034" s="84"/>
      <c r="F1034" s="86"/>
      <c r="G1034" s="87"/>
      <c r="H1034" s="87">
        <f>F1034*G1034</f>
        <v>0</v>
      </c>
      <c r="I1034" s="87">
        <v>92500</v>
      </c>
      <c r="J1034" s="87">
        <f>F1034*I1034</f>
        <v>0</v>
      </c>
      <c r="K1034" s="87">
        <v>92500</v>
      </c>
      <c r="L1034" s="87">
        <f>F1034*K1034</f>
        <v>0</v>
      </c>
    </row>
    <row r="1035" spans="2:12" ht="12" customHeight="1" x14ac:dyDescent="0.35">
      <c r="B1035" s="84"/>
      <c r="C1035" s="85"/>
      <c r="D1035" s="84"/>
      <c r="E1035" s="84"/>
      <c r="F1035" s="86"/>
      <c r="G1035" s="87"/>
      <c r="H1035" s="87"/>
      <c r="I1035" s="87"/>
      <c r="J1035" s="87"/>
      <c r="K1035" s="87"/>
      <c r="L1035" s="87"/>
    </row>
    <row r="1036" spans="2:12" ht="12" customHeight="1" x14ac:dyDescent="0.35">
      <c r="B1036" s="84"/>
      <c r="C1036" s="88"/>
      <c r="D1036" s="79"/>
      <c r="E1036" s="79"/>
      <c r="F1036" s="89" t="s">
        <v>421</v>
      </c>
      <c r="G1036" s="101"/>
      <c r="H1036" s="87">
        <f>SUM(H1032:H1035)</f>
        <v>0</v>
      </c>
      <c r="I1036" s="101"/>
      <c r="J1036" s="87">
        <f>SUM(J1032:J1035)</f>
        <v>0</v>
      </c>
      <c r="K1036" s="101"/>
      <c r="L1036" s="87">
        <f>SUM(L1032:L1035)</f>
        <v>0</v>
      </c>
    </row>
    <row r="1037" spans="2:12" ht="12" customHeight="1" x14ac:dyDescent="0.35">
      <c r="B1037" s="84" t="s">
        <v>6</v>
      </c>
      <c r="C1037" s="88" t="s">
        <v>422</v>
      </c>
      <c r="D1037" s="79"/>
      <c r="E1037" s="79"/>
      <c r="F1037" s="90"/>
      <c r="G1037" s="84"/>
      <c r="H1037" s="87"/>
      <c r="I1037" s="84"/>
      <c r="J1037" s="87"/>
      <c r="K1037" s="84"/>
      <c r="L1037" s="87"/>
    </row>
    <row r="1038" spans="2:12" ht="12" customHeight="1" x14ac:dyDescent="0.35">
      <c r="B1038" s="84"/>
      <c r="C1038" s="85"/>
      <c r="D1038" s="84"/>
      <c r="E1038" s="84"/>
      <c r="F1038" s="86"/>
      <c r="G1038" s="87"/>
      <c r="H1038" s="87">
        <f>F1038*G1038</f>
        <v>0</v>
      </c>
      <c r="I1038" s="87">
        <v>232500</v>
      </c>
      <c r="J1038" s="87">
        <f>F1038*I1038</f>
        <v>0</v>
      </c>
      <c r="K1038" s="87">
        <v>270000</v>
      </c>
      <c r="L1038" s="87">
        <f>F1038*K1038</f>
        <v>0</v>
      </c>
    </row>
    <row r="1039" spans="2:12" ht="12" customHeight="1" x14ac:dyDescent="0.35">
      <c r="B1039" s="84"/>
      <c r="C1039" s="88"/>
      <c r="D1039" s="79"/>
      <c r="E1039" s="84"/>
      <c r="F1039" s="102"/>
      <c r="G1039" s="87"/>
      <c r="H1039" s="87">
        <f>F1039*G1039</f>
        <v>0</v>
      </c>
      <c r="I1039" s="87">
        <v>1060</v>
      </c>
      <c r="J1039" s="87">
        <f>F1039*I1039</f>
        <v>0</v>
      </c>
      <c r="K1039" s="87">
        <v>1060</v>
      </c>
      <c r="L1039" s="87">
        <f>F1039*K1039</f>
        <v>0</v>
      </c>
    </row>
    <row r="1040" spans="2:12" ht="12" customHeight="1" x14ac:dyDescent="0.35">
      <c r="B1040" s="84"/>
      <c r="C1040" s="88"/>
      <c r="D1040" s="79"/>
      <c r="E1040" s="84"/>
      <c r="F1040" s="102"/>
      <c r="G1040" s="87"/>
      <c r="H1040" s="87">
        <f>F1040*G1040</f>
        <v>0</v>
      </c>
      <c r="I1040" s="87">
        <v>215000</v>
      </c>
      <c r="J1040" s="87">
        <f>F1040*I1040</f>
        <v>0</v>
      </c>
      <c r="K1040" s="87">
        <v>250000</v>
      </c>
      <c r="L1040" s="87">
        <f>F1040*K1040</f>
        <v>0</v>
      </c>
    </row>
    <row r="1041" spans="1:12" ht="12" customHeight="1" x14ac:dyDescent="0.35">
      <c r="B1041" s="84"/>
      <c r="C1041" s="88"/>
      <c r="D1041" s="79"/>
      <c r="E1041" s="79"/>
      <c r="F1041" s="89"/>
      <c r="G1041" s="101"/>
      <c r="H1041" s="87">
        <f>SUM(H1038:H1040)</f>
        <v>0</v>
      </c>
      <c r="I1041" s="101"/>
      <c r="J1041" s="87">
        <f>SUM(J1038:J1040)</f>
        <v>0</v>
      </c>
      <c r="K1041" s="101"/>
      <c r="L1041" s="87">
        <f>SUM(L1038:L1040)</f>
        <v>0</v>
      </c>
    </row>
    <row r="1042" spans="1:12" ht="12" customHeight="1" x14ac:dyDescent="0.35">
      <c r="B1042" s="84" t="s">
        <v>7</v>
      </c>
      <c r="C1042" s="88" t="s">
        <v>424</v>
      </c>
      <c r="D1042" s="79"/>
      <c r="E1042" s="79"/>
      <c r="F1042" s="90"/>
      <c r="G1042" s="84"/>
      <c r="H1042" s="87"/>
      <c r="I1042" s="84"/>
      <c r="J1042" s="87"/>
      <c r="K1042" s="84"/>
      <c r="L1042" s="87"/>
    </row>
    <row r="1043" spans="1:12" ht="12" customHeight="1" x14ac:dyDescent="0.35">
      <c r="A1043" s="134" t="s">
        <v>572</v>
      </c>
      <c r="B1043" s="84"/>
      <c r="C1043" s="85" t="s">
        <v>573</v>
      </c>
      <c r="D1043" s="84" t="s">
        <v>418</v>
      </c>
      <c r="E1043" s="84" t="str">
        <f>VLOOKUP(C1043,HSD!B:K,2,FALSE)</f>
        <v>jam</v>
      </c>
      <c r="F1043" s="128">
        <f>0.0543</f>
        <v>5.4300000000000001E-2</v>
      </c>
      <c r="G1043" s="87">
        <f>VLOOKUP(C1043,HSD!B:K,10,FALSE)</f>
        <v>932909.79</v>
      </c>
      <c r="H1043" s="87">
        <f>F1043*G1043</f>
        <v>50657.001597000002</v>
      </c>
      <c r="I1043" s="87"/>
      <c r="J1043" s="87">
        <f>H1043*I1043</f>
        <v>0</v>
      </c>
      <c r="K1043" s="87"/>
      <c r="L1043" s="87">
        <f>J1043*K1043</f>
        <v>0</v>
      </c>
    </row>
    <row r="1044" spans="1:12" ht="12" customHeight="1" x14ac:dyDescent="0.35">
      <c r="B1044" s="84"/>
      <c r="C1044" s="85"/>
      <c r="D1044" s="84"/>
      <c r="E1044" s="84"/>
      <c r="F1044" s="128"/>
      <c r="G1044" s="87"/>
      <c r="H1044" s="87">
        <f>F1044*G1044</f>
        <v>0</v>
      </c>
      <c r="I1044" s="87"/>
      <c r="J1044" s="87"/>
      <c r="K1044" s="87"/>
      <c r="L1044" s="87"/>
    </row>
    <row r="1045" spans="1:12" ht="12" customHeight="1" x14ac:dyDescent="0.35">
      <c r="B1045" s="84"/>
      <c r="C1045" s="85"/>
      <c r="D1045" s="84"/>
      <c r="E1045" s="84"/>
      <c r="F1045" s="128"/>
      <c r="G1045" s="87"/>
      <c r="H1045" s="87">
        <f>F1045*G1045</f>
        <v>0</v>
      </c>
      <c r="I1045" s="87"/>
      <c r="J1045" s="87"/>
      <c r="K1045" s="87"/>
      <c r="L1045" s="87"/>
    </row>
    <row r="1046" spans="1:12" ht="12" customHeight="1" x14ac:dyDescent="0.35">
      <c r="B1046" s="84"/>
      <c r="C1046" s="88"/>
      <c r="D1046" s="79"/>
      <c r="E1046" s="79"/>
      <c r="F1046" s="89" t="s">
        <v>425</v>
      </c>
      <c r="G1046" s="101"/>
      <c r="H1046" s="87">
        <f>SUM(H1043:H1045)</f>
        <v>50657.001597000002</v>
      </c>
      <c r="I1046" s="101"/>
      <c r="J1046" s="87">
        <f>SUM(J1043)</f>
        <v>0</v>
      </c>
      <c r="K1046" s="101"/>
      <c r="L1046" s="87">
        <f>SUM(L1043)</f>
        <v>0</v>
      </c>
    </row>
    <row r="1047" spans="1:12" ht="12" customHeight="1" x14ac:dyDescent="0.35">
      <c r="B1047" s="84" t="s">
        <v>8</v>
      </c>
      <c r="C1047" s="103" t="s">
        <v>426</v>
      </c>
      <c r="D1047" s="104"/>
      <c r="E1047" s="104"/>
      <c r="F1047" s="104"/>
      <c r="G1047" s="105"/>
      <c r="H1047" s="87">
        <f>H1036+H1041+H1046</f>
        <v>50657.001597000002</v>
      </c>
      <c r="I1047" s="105"/>
      <c r="J1047" s="87">
        <f>J1036+J1041+J1046</f>
        <v>0</v>
      </c>
      <c r="K1047" s="105"/>
      <c r="L1047" s="87">
        <f>L1036+L1041+L1046</f>
        <v>0</v>
      </c>
    </row>
    <row r="1048" spans="1:12" ht="12" customHeight="1" x14ac:dyDescent="0.35">
      <c r="B1048" s="84" t="s">
        <v>9</v>
      </c>
      <c r="C1048" s="455" t="s">
        <v>427</v>
      </c>
      <c r="D1048" s="455"/>
      <c r="E1048" s="455"/>
      <c r="F1048" s="95">
        <f>0</f>
        <v>0</v>
      </c>
      <c r="G1048" s="85" t="s">
        <v>428</v>
      </c>
      <c r="H1048" s="87">
        <f>H1047*F1048</f>
        <v>0</v>
      </c>
      <c r="I1048" s="85" t="s">
        <v>428</v>
      </c>
      <c r="J1048" s="87">
        <f>J1047*F1048</f>
        <v>0</v>
      </c>
      <c r="K1048" s="85" t="s">
        <v>428</v>
      </c>
      <c r="L1048" s="87">
        <f>L1047*F1048</f>
        <v>0</v>
      </c>
    </row>
    <row r="1049" spans="1:12" ht="12" customHeight="1" x14ac:dyDescent="0.35">
      <c r="B1049" s="84" t="s">
        <v>10</v>
      </c>
      <c r="C1049" s="103" t="s">
        <v>429</v>
      </c>
      <c r="D1049" s="104"/>
      <c r="E1049" s="104"/>
      <c r="F1049" s="104"/>
      <c r="G1049" s="105"/>
      <c r="H1049" s="96">
        <f>H1047+H1048</f>
        <v>50657.001597000002</v>
      </c>
      <c r="I1049" s="97"/>
      <c r="J1049" s="96">
        <f>J1047+J1048</f>
        <v>0</v>
      </c>
      <c r="K1049" s="97"/>
      <c r="L1049" s="96">
        <f>L1047+L1048</f>
        <v>0</v>
      </c>
    </row>
    <row r="1051" spans="1:12" ht="29" customHeight="1" x14ac:dyDescent="0.35">
      <c r="B1051" s="76" t="s">
        <v>580</v>
      </c>
      <c r="C1051" s="458" t="s">
        <v>581</v>
      </c>
      <c r="D1051" s="459"/>
      <c r="E1051" s="459"/>
      <c r="F1051" s="459"/>
      <c r="G1051" s="456"/>
      <c r="H1051" s="457"/>
      <c r="I1051" s="455" t="s">
        <v>3</v>
      </c>
      <c r="J1051" s="455"/>
      <c r="K1051" s="455" t="s">
        <v>4</v>
      </c>
      <c r="L1051" s="455"/>
    </row>
    <row r="1052" spans="1:12" ht="12" customHeight="1" x14ac:dyDescent="0.35">
      <c r="B1052" s="451" t="s">
        <v>409</v>
      </c>
      <c r="C1052" s="451" t="s">
        <v>410</v>
      </c>
      <c r="D1052" s="452" t="s">
        <v>411</v>
      </c>
      <c r="E1052" s="451" t="s">
        <v>412</v>
      </c>
      <c r="F1052" s="451" t="s">
        <v>413</v>
      </c>
      <c r="G1052" s="77" t="s">
        <v>414</v>
      </c>
      <c r="H1052" s="77" t="s">
        <v>415</v>
      </c>
      <c r="I1052" s="78" t="s">
        <v>414</v>
      </c>
      <c r="J1052" s="79" t="s">
        <v>415</v>
      </c>
      <c r="K1052" s="79" t="s">
        <v>414</v>
      </c>
      <c r="L1052" s="79" t="s">
        <v>415</v>
      </c>
    </row>
    <row r="1053" spans="1:12" ht="12" customHeight="1" x14ac:dyDescent="0.35">
      <c r="B1053" s="451"/>
      <c r="C1053" s="451"/>
      <c r="D1053" s="453"/>
      <c r="E1053" s="451"/>
      <c r="F1053" s="451"/>
      <c r="G1053" s="77" t="s">
        <v>17</v>
      </c>
      <c r="H1053" s="77" t="s">
        <v>416</v>
      </c>
      <c r="I1053" s="78" t="s">
        <v>17</v>
      </c>
      <c r="J1053" s="79" t="s">
        <v>416</v>
      </c>
      <c r="K1053" s="79" t="s">
        <v>17</v>
      </c>
      <c r="L1053" s="79" t="s">
        <v>416</v>
      </c>
    </row>
    <row r="1054" spans="1:12" ht="12" customHeight="1" x14ac:dyDescent="0.35">
      <c r="B1054" s="451"/>
      <c r="C1054" s="451"/>
      <c r="D1054" s="454"/>
      <c r="E1054" s="451"/>
      <c r="F1054" s="451"/>
      <c r="G1054" s="106"/>
      <c r="H1054" s="77" t="s">
        <v>17</v>
      </c>
      <c r="I1054" s="94"/>
      <c r="J1054" s="79" t="s">
        <v>17</v>
      </c>
      <c r="K1054" s="85"/>
      <c r="L1054" s="79" t="s">
        <v>17</v>
      </c>
    </row>
    <row r="1055" spans="1:12" ht="12" customHeight="1" x14ac:dyDescent="0.35">
      <c r="B1055" s="80" t="s">
        <v>5</v>
      </c>
      <c r="C1055" s="81" t="s">
        <v>417</v>
      </c>
      <c r="D1055" s="82"/>
      <c r="E1055" s="82"/>
      <c r="F1055" s="82"/>
      <c r="G1055" s="82"/>
      <c r="H1055" s="82"/>
      <c r="I1055" s="83"/>
      <c r="J1055" s="83"/>
      <c r="K1055" s="83"/>
      <c r="L1055" s="83"/>
    </row>
    <row r="1056" spans="1:12" ht="12" customHeight="1" x14ac:dyDescent="0.35">
      <c r="B1056" s="84"/>
      <c r="C1056" s="85"/>
      <c r="D1056" s="84"/>
      <c r="E1056" s="84"/>
      <c r="F1056" s="86"/>
      <c r="G1056" s="87"/>
      <c r="H1056" s="87">
        <f>F1056*G1056</f>
        <v>0</v>
      </c>
      <c r="I1056" s="87">
        <v>78600</v>
      </c>
      <c r="J1056" s="87">
        <f>F1056*I1056</f>
        <v>0</v>
      </c>
      <c r="K1056" s="87">
        <v>78600</v>
      </c>
      <c r="L1056" s="87">
        <f>F1056*K1056</f>
        <v>0</v>
      </c>
    </row>
    <row r="1057" spans="1:12" ht="12" customHeight="1" x14ac:dyDescent="0.35">
      <c r="B1057" s="84"/>
      <c r="C1057" s="85"/>
      <c r="D1057" s="84"/>
      <c r="E1057" s="84"/>
      <c r="F1057" s="86"/>
      <c r="G1057" s="87"/>
      <c r="H1057" s="87">
        <f>F1057*G1057</f>
        <v>0</v>
      </c>
      <c r="I1057" s="87">
        <v>91500</v>
      </c>
      <c r="J1057" s="87">
        <f>F1057*I1057</f>
        <v>0</v>
      </c>
      <c r="K1057" s="87">
        <v>91500</v>
      </c>
      <c r="L1057" s="87">
        <f>F1057*K1057</f>
        <v>0</v>
      </c>
    </row>
    <row r="1058" spans="1:12" ht="12" customHeight="1" x14ac:dyDescent="0.35">
      <c r="B1058" s="84"/>
      <c r="C1058" s="85"/>
      <c r="D1058" s="84"/>
      <c r="E1058" s="84"/>
      <c r="F1058" s="86"/>
      <c r="G1058" s="87"/>
      <c r="H1058" s="87">
        <f>F1058*G1058</f>
        <v>0</v>
      </c>
      <c r="I1058" s="87">
        <v>92500</v>
      </c>
      <c r="J1058" s="87">
        <f>F1058*I1058</f>
        <v>0</v>
      </c>
      <c r="K1058" s="87">
        <v>92500</v>
      </c>
      <c r="L1058" s="87">
        <f>F1058*K1058</f>
        <v>0</v>
      </c>
    </row>
    <row r="1059" spans="1:12" ht="12" customHeight="1" x14ac:dyDescent="0.35">
      <c r="B1059" s="84"/>
      <c r="C1059" s="85"/>
      <c r="D1059" s="84"/>
      <c r="E1059" s="84"/>
      <c r="F1059" s="86"/>
      <c r="G1059" s="87"/>
      <c r="H1059" s="87"/>
      <c r="I1059" s="87"/>
      <c r="J1059" s="87"/>
      <c r="K1059" s="87"/>
      <c r="L1059" s="87"/>
    </row>
    <row r="1060" spans="1:12" ht="12" customHeight="1" x14ac:dyDescent="0.35">
      <c r="B1060" s="84"/>
      <c r="C1060" s="88"/>
      <c r="D1060" s="79"/>
      <c r="E1060" s="79"/>
      <c r="F1060" s="89" t="s">
        <v>421</v>
      </c>
      <c r="G1060" s="101"/>
      <c r="H1060" s="87">
        <f>SUM(H1056:H1059)</f>
        <v>0</v>
      </c>
      <c r="I1060" s="101"/>
      <c r="J1060" s="87">
        <f>SUM(J1056:J1059)</f>
        <v>0</v>
      </c>
      <c r="K1060" s="101"/>
      <c r="L1060" s="87">
        <f>SUM(L1056:L1059)</f>
        <v>0</v>
      </c>
    </row>
    <row r="1061" spans="1:12" ht="12" customHeight="1" x14ac:dyDescent="0.35">
      <c r="B1061" s="84" t="s">
        <v>6</v>
      </c>
      <c r="C1061" s="88" t="s">
        <v>422</v>
      </c>
      <c r="D1061" s="79"/>
      <c r="E1061" s="79"/>
      <c r="F1061" s="90"/>
      <c r="G1061" s="84"/>
      <c r="H1061" s="87"/>
      <c r="I1061" s="84"/>
      <c r="J1061" s="87"/>
      <c r="K1061" s="84"/>
      <c r="L1061" s="87"/>
    </row>
    <row r="1062" spans="1:12" ht="12" customHeight="1" x14ac:dyDescent="0.35">
      <c r="B1062" s="84"/>
      <c r="C1062" s="85"/>
      <c r="D1062" s="84"/>
      <c r="E1062" s="84"/>
      <c r="F1062" s="86"/>
      <c r="G1062" s="87"/>
      <c r="H1062" s="87">
        <f>F1062*G1062</f>
        <v>0</v>
      </c>
      <c r="I1062" s="87">
        <v>232500</v>
      </c>
      <c r="J1062" s="87">
        <f>F1062*I1062</f>
        <v>0</v>
      </c>
      <c r="K1062" s="87">
        <v>270000</v>
      </c>
      <c r="L1062" s="87">
        <f>F1062*K1062</f>
        <v>0</v>
      </c>
    </row>
    <row r="1063" spans="1:12" ht="12" customHeight="1" x14ac:dyDescent="0.35">
      <c r="B1063" s="84"/>
      <c r="C1063" s="88"/>
      <c r="D1063" s="79"/>
      <c r="E1063" s="84"/>
      <c r="F1063" s="102"/>
      <c r="G1063" s="87"/>
      <c r="H1063" s="87">
        <f>F1063*G1063</f>
        <v>0</v>
      </c>
      <c r="I1063" s="87">
        <v>1060</v>
      </c>
      <c r="J1063" s="87">
        <f>F1063*I1063</f>
        <v>0</v>
      </c>
      <c r="K1063" s="87">
        <v>1060</v>
      </c>
      <c r="L1063" s="87">
        <f>F1063*K1063</f>
        <v>0</v>
      </c>
    </row>
    <row r="1064" spans="1:12" ht="12" customHeight="1" x14ac:dyDescent="0.35">
      <c r="B1064" s="84"/>
      <c r="C1064" s="88"/>
      <c r="D1064" s="79"/>
      <c r="E1064" s="84"/>
      <c r="F1064" s="102"/>
      <c r="G1064" s="87"/>
      <c r="H1064" s="87">
        <f>F1064*G1064</f>
        <v>0</v>
      </c>
      <c r="I1064" s="87">
        <v>215000</v>
      </c>
      <c r="J1064" s="87">
        <f>F1064*I1064</f>
        <v>0</v>
      </c>
      <c r="K1064" s="87">
        <v>250000</v>
      </c>
      <c r="L1064" s="87">
        <f>F1064*K1064</f>
        <v>0</v>
      </c>
    </row>
    <row r="1065" spans="1:12" ht="12" customHeight="1" x14ac:dyDescent="0.35">
      <c r="B1065" s="84"/>
      <c r="C1065" s="88"/>
      <c r="D1065" s="79"/>
      <c r="E1065" s="79"/>
      <c r="F1065" s="89"/>
      <c r="G1065" s="101"/>
      <c r="H1065" s="87">
        <f>SUM(H1062:H1064)</f>
        <v>0</v>
      </c>
      <c r="I1065" s="101"/>
      <c r="J1065" s="87">
        <f>SUM(J1062:J1064)</f>
        <v>0</v>
      </c>
      <c r="K1065" s="101"/>
      <c r="L1065" s="87">
        <f>SUM(L1062:L1064)</f>
        <v>0</v>
      </c>
    </row>
    <row r="1066" spans="1:12" ht="12" customHeight="1" x14ac:dyDescent="0.35">
      <c r="B1066" s="84" t="s">
        <v>7</v>
      </c>
      <c r="C1066" s="88" t="s">
        <v>424</v>
      </c>
      <c r="D1066" s="79"/>
      <c r="E1066" s="79"/>
      <c r="F1066" s="90"/>
      <c r="G1066" s="84"/>
      <c r="H1066" s="87"/>
      <c r="I1066" s="84"/>
      <c r="J1066" s="87"/>
      <c r="K1066" s="84"/>
      <c r="L1066" s="87"/>
    </row>
    <row r="1067" spans="1:12" ht="12" customHeight="1" x14ac:dyDescent="0.35">
      <c r="A1067" s="134" t="s">
        <v>572</v>
      </c>
      <c r="B1067" s="84"/>
      <c r="C1067" s="85" t="s">
        <v>573</v>
      </c>
      <c r="D1067" s="84" t="s">
        <v>418</v>
      </c>
      <c r="E1067" s="84" t="str">
        <f>VLOOKUP(C1067,HSD!B:K,2,FALSE)</f>
        <v>jam</v>
      </c>
      <c r="F1067" s="128">
        <f>0.0439</f>
        <v>4.3900000000000002E-2</v>
      </c>
      <c r="G1067" s="87">
        <f>VLOOKUP(C1067,HSD!B:K,10,FALSE)</f>
        <v>932909.79</v>
      </c>
      <c r="H1067" s="87">
        <f>F1067*G1067</f>
        <v>40954.739781000004</v>
      </c>
      <c r="I1067" s="87"/>
      <c r="J1067" s="87">
        <f>H1067*I1067</f>
        <v>0</v>
      </c>
      <c r="K1067" s="87"/>
      <c r="L1067" s="87">
        <f>J1067*K1067</f>
        <v>0</v>
      </c>
    </row>
    <row r="1068" spans="1:12" ht="12" customHeight="1" x14ac:dyDescent="0.35">
      <c r="B1068" s="84"/>
      <c r="C1068" s="85"/>
      <c r="D1068" s="84"/>
      <c r="E1068" s="84"/>
      <c r="F1068" s="128"/>
      <c r="G1068" s="87"/>
      <c r="H1068" s="87">
        <f>F1068*G1068</f>
        <v>0</v>
      </c>
      <c r="I1068" s="87"/>
      <c r="J1068" s="87"/>
      <c r="K1068" s="87"/>
      <c r="L1068" s="87"/>
    </row>
    <row r="1069" spans="1:12" ht="12" customHeight="1" x14ac:dyDescent="0.35">
      <c r="B1069" s="84"/>
      <c r="C1069" s="85"/>
      <c r="D1069" s="84"/>
      <c r="E1069" s="84"/>
      <c r="F1069" s="128"/>
      <c r="G1069" s="87"/>
      <c r="H1069" s="87">
        <f>F1069*G1069</f>
        <v>0</v>
      </c>
      <c r="I1069" s="87"/>
      <c r="J1069" s="87"/>
      <c r="K1069" s="87"/>
      <c r="L1069" s="87"/>
    </row>
    <row r="1070" spans="1:12" ht="12" customHeight="1" x14ac:dyDescent="0.35">
      <c r="B1070" s="84"/>
      <c r="C1070" s="88"/>
      <c r="D1070" s="79"/>
      <c r="E1070" s="79"/>
      <c r="F1070" s="89" t="s">
        <v>425</v>
      </c>
      <c r="G1070" s="101"/>
      <c r="H1070" s="87">
        <f>SUM(H1067:H1069)</f>
        <v>40954.739781000004</v>
      </c>
      <c r="I1070" s="101"/>
      <c r="J1070" s="87">
        <f>SUM(J1067)</f>
        <v>0</v>
      </c>
      <c r="K1070" s="101"/>
      <c r="L1070" s="87">
        <f>SUM(L1067)</f>
        <v>0</v>
      </c>
    </row>
    <row r="1071" spans="1:12" ht="12" customHeight="1" x14ac:dyDescent="0.35">
      <c r="B1071" s="84" t="s">
        <v>8</v>
      </c>
      <c r="C1071" s="103" t="s">
        <v>426</v>
      </c>
      <c r="D1071" s="104"/>
      <c r="E1071" s="104"/>
      <c r="F1071" s="104"/>
      <c r="G1071" s="105"/>
      <c r="H1071" s="87">
        <f>H1060+H1065+H1070</f>
        <v>40954.739781000004</v>
      </c>
      <c r="I1071" s="105"/>
      <c r="J1071" s="87">
        <f>J1060+J1065+J1070</f>
        <v>0</v>
      </c>
      <c r="K1071" s="105"/>
      <c r="L1071" s="87">
        <f>L1060+L1065+L1070</f>
        <v>0</v>
      </c>
    </row>
    <row r="1072" spans="1:12" ht="12" customHeight="1" x14ac:dyDescent="0.35">
      <c r="B1072" s="84" t="s">
        <v>9</v>
      </c>
      <c r="C1072" s="455" t="s">
        <v>427</v>
      </c>
      <c r="D1072" s="455"/>
      <c r="E1072" s="455"/>
      <c r="F1072" s="95">
        <f>0</f>
        <v>0</v>
      </c>
      <c r="G1072" s="85" t="s">
        <v>428</v>
      </c>
      <c r="H1072" s="87">
        <f>H1071*F1072</f>
        <v>0</v>
      </c>
      <c r="I1072" s="85" t="s">
        <v>428</v>
      </c>
      <c r="J1072" s="87">
        <f>J1071*F1072</f>
        <v>0</v>
      </c>
      <c r="K1072" s="85" t="s">
        <v>428</v>
      </c>
      <c r="L1072" s="87">
        <f>L1071*F1072</f>
        <v>0</v>
      </c>
    </row>
    <row r="1073" spans="1:12" ht="12" customHeight="1" x14ac:dyDescent="0.35">
      <c r="B1073" s="84" t="s">
        <v>10</v>
      </c>
      <c r="C1073" s="103" t="s">
        <v>429</v>
      </c>
      <c r="D1073" s="104"/>
      <c r="E1073" s="104"/>
      <c r="F1073" s="104"/>
      <c r="G1073" s="105"/>
      <c r="H1073" s="96">
        <f>H1071+H1072</f>
        <v>40954.739781000004</v>
      </c>
      <c r="I1073" s="97"/>
      <c r="J1073" s="96">
        <f>J1071+J1072</f>
        <v>0</v>
      </c>
      <c r="K1073" s="97"/>
      <c r="L1073" s="96">
        <f>L1071+L1072</f>
        <v>0</v>
      </c>
    </row>
    <row r="1075" spans="1:12" ht="29" customHeight="1" x14ac:dyDescent="0.35">
      <c r="B1075" s="76" t="s">
        <v>582</v>
      </c>
      <c r="C1075" s="458" t="s">
        <v>583</v>
      </c>
      <c r="D1075" s="459"/>
      <c r="E1075" s="459"/>
      <c r="F1075" s="459"/>
      <c r="G1075" s="456"/>
      <c r="H1075" s="457"/>
      <c r="I1075" s="455" t="s">
        <v>3</v>
      </c>
      <c r="J1075" s="455"/>
      <c r="K1075" s="455" t="s">
        <v>4</v>
      </c>
      <c r="L1075" s="455"/>
    </row>
    <row r="1076" spans="1:12" ht="12" customHeight="1" x14ac:dyDescent="0.35">
      <c r="B1076" s="451" t="s">
        <v>409</v>
      </c>
      <c r="C1076" s="451" t="s">
        <v>410</v>
      </c>
      <c r="D1076" s="452" t="s">
        <v>411</v>
      </c>
      <c r="E1076" s="451" t="s">
        <v>412</v>
      </c>
      <c r="F1076" s="451" t="s">
        <v>413</v>
      </c>
      <c r="G1076" s="77" t="s">
        <v>414</v>
      </c>
      <c r="H1076" s="77" t="s">
        <v>415</v>
      </c>
      <c r="I1076" s="78" t="s">
        <v>414</v>
      </c>
      <c r="J1076" s="79" t="s">
        <v>415</v>
      </c>
      <c r="K1076" s="79" t="s">
        <v>414</v>
      </c>
      <c r="L1076" s="79" t="s">
        <v>415</v>
      </c>
    </row>
    <row r="1077" spans="1:12" ht="12" customHeight="1" x14ac:dyDescent="0.35">
      <c r="B1077" s="451"/>
      <c r="C1077" s="451"/>
      <c r="D1077" s="453"/>
      <c r="E1077" s="451"/>
      <c r="F1077" s="451"/>
      <c r="G1077" s="77" t="s">
        <v>17</v>
      </c>
      <c r="H1077" s="77" t="s">
        <v>416</v>
      </c>
      <c r="I1077" s="78" t="s">
        <v>17</v>
      </c>
      <c r="J1077" s="79" t="s">
        <v>416</v>
      </c>
      <c r="K1077" s="79" t="s">
        <v>17</v>
      </c>
      <c r="L1077" s="79" t="s">
        <v>416</v>
      </c>
    </row>
    <row r="1078" spans="1:12" ht="12" customHeight="1" x14ac:dyDescent="0.35">
      <c r="B1078" s="451"/>
      <c r="C1078" s="451"/>
      <c r="D1078" s="454"/>
      <c r="E1078" s="451"/>
      <c r="F1078" s="451"/>
      <c r="G1078" s="106"/>
      <c r="H1078" s="77" t="s">
        <v>17</v>
      </c>
      <c r="I1078" s="94"/>
      <c r="J1078" s="79" t="s">
        <v>17</v>
      </c>
      <c r="K1078" s="85"/>
      <c r="L1078" s="79" t="s">
        <v>17</v>
      </c>
    </row>
    <row r="1079" spans="1:12" ht="12" customHeight="1" x14ac:dyDescent="0.35">
      <c r="B1079" s="80" t="s">
        <v>5</v>
      </c>
      <c r="C1079" s="81" t="s">
        <v>417</v>
      </c>
      <c r="D1079" s="82"/>
      <c r="E1079" s="82"/>
      <c r="F1079" s="82"/>
      <c r="G1079" s="82"/>
      <c r="H1079" s="82"/>
      <c r="I1079" s="83"/>
      <c r="J1079" s="83"/>
      <c r="K1079" s="83"/>
      <c r="L1079" s="83"/>
    </row>
    <row r="1080" spans="1:12" ht="12" customHeight="1" x14ac:dyDescent="0.35">
      <c r="A1080" s="134">
        <v>10111000</v>
      </c>
      <c r="B1080" s="84"/>
      <c r="C1080" s="85" t="s">
        <v>1885</v>
      </c>
      <c r="D1080" s="84" t="s">
        <v>418</v>
      </c>
      <c r="E1080" s="84" t="str">
        <f>VLOOKUP(C1080,HSD!B:K,2,FALSE)</f>
        <v>OJ</v>
      </c>
      <c r="F1080" s="128">
        <v>1.06E-2</v>
      </c>
      <c r="G1080" s="87">
        <f>VLOOKUP(C1080,HSD!B:K,10,FALSE)</f>
        <v>18750</v>
      </c>
      <c r="H1080" s="87">
        <f>F1080*G1080</f>
        <v>198.75</v>
      </c>
      <c r="I1080" s="87">
        <v>78600</v>
      </c>
      <c r="J1080" s="87">
        <f>F1080*I1080</f>
        <v>833.16</v>
      </c>
      <c r="K1080" s="87">
        <v>78600</v>
      </c>
      <c r="L1080" s="87">
        <f>F1080*K1080</f>
        <v>833.16</v>
      </c>
    </row>
    <row r="1081" spans="1:12" ht="12" customHeight="1" x14ac:dyDescent="0.35">
      <c r="A1081" s="134">
        <v>10131000</v>
      </c>
      <c r="B1081" s="84"/>
      <c r="C1081" s="85" t="s">
        <v>1888</v>
      </c>
      <c r="D1081" s="84" t="s">
        <v>418</v>
      </c>
      <c r="E1081" s="84" t="str">
        <f>VLOOKUP(C1081,HSD!B:K,2,FALSE)</f>
        <v>OJ</v>
      </c>
      <c r="F1081" s="128">
        <v>0.106</v>
      </c>
      <c r="G1081" s="87">
        <f>VLOOKUP(C1081,HSD!B:K,10,FALSE)</f>
        <v>15000</v>
      </c>
      <c r="H1081" s="87">
        <f>F1081*G1081</f>
        <v>1590</v>
      </c>
      <c r="I1081" s="87">
        <v>91500</v>
      </c>
      <c r="J1081" s="87">
        <f>F1081*I1081</f>
        <v>9699</v>
      </c>
      <c r="K1081" s="87">
        <v>91500</v>
      </c>
      <c r="L1081" s="87">
        <f>F1081*K1081</f>
        <v>9699</v>
      </c>
    </row>
    <row r="1082" spans="1:12" ht="12" customHeight="1" x14ac:dyDescent="0.35">
      <c r="B1082" s="84"/>
      <c r="C1082" s="85"/>
      <c r="D1082" s="84"/>
      <c r="E1082" s="84"/>
      <c r="F1082" s="86"/>
      <c r="G1082" s="87"/>
      <c r="H1082" s="87">
        <f>F1082*G1082</f>
        <v>0</v>
      </c>
      <c r="I1082" s="87">
        <v>92500</v>
      </c>
      <c r="J1082" s="87">
        <f>F1082*I1082</f>
        <v>0</v>
      </c>
      <c r="K1082" s="87">
        <v>92500</v>
      </c>
      <c r="L1082" s="87">
        <f>F1082*K1082</f>
        <v>0</v>
      </c>
    </row>
    <row r="1083" spans="1:12" ht="12" customHeight="1" x14ac:dyDescent="0.35">
      <c r="B1083" s="84"/>
      <c r="C1083" s="85"/>
      <c r="D1083" s="84"/>
      <c r="E1083" s="84"/>
      <c r="F1083" s="86"/>
      <c r="G1083" s="87"/>
      <c r="H1083" s="87"/>
      <c r="I1083" s="87"/>
      <c r="J1083" s="87"/>
      <c r="K1083" s="87"/>
      <c r="L1083" s="87"/>
    </row>
    <row r="1084" spans="1:12" ht="12" customHeight="1" x14ac:dyDescent="0.35">
      <c r="B1084" s="84"/>
      <c r="C1084" s="88"/>
      <c r="D1084" s="79"/>
      <c r="E1084" s="79"/>
      <c r="F1084" s="89" t="s">
        <v>421</v>
      </c>
      <c r="G1084" s="101"/>
      <c r="H1084" s="87">
        <f>SUM(H1080:H1083)</f>
        <v>1788.75</v>
      </c>
      <c r="I1084" s="101"/>
      <c r="J1084" s="87">
        <f>SUM(J1080:J1083)</f>
        <v>10532.16</v>
      </c>
      <c r="K1084" s="101"/>
      <c r="L1084" s="87">
        <f>SUM(L1080:L1083)</f>
        <v>10532.16</v>
      </c>
    </row>
    <row r="1085" spans="1:12" ht="12" customHeight="1" x14ac:dyDescent="0.35">
      <c r="B1085" s="84" t="s">
        <v>6</v>
      </c>
      <c r="C1085" s="88" t="s">
        <v>422</v>
      </c>
      <c r="D1085" s="79"/>
      <c r="E1085" s="79"/>
      <c r="F1085" s="90"/>
      <c r="G1085" s="84"/>
      <c r="H1085" s="87"/>
      <c r="I1085" s="84"/>
      <c r="J1085" s="87"/>
      <c r="K1085" s="84"/>
      <c r="L1085" s="87"/>
    </row>
    <row r="1086" spans="1:12" ht="12" customHeight="1" x14ac:dyDescent="0.35">
      <c r="B1086" s="84"/>
      <c r="C1086" s="85"/>
      <c r="D1086" s="84"/>
      <c r="E1086" s="84"/>
      <c r="F1086" s="86"/>
      <c r="G1086" s="87"/>
      <c r="H1086" s="87">
        <f>F1086*G1086</f>
        <v>0</v>
      </c>
      <c r="I1086" s="87">
        <v>232500</v>
      </c>
      <c r="J1086" s="87">
        <f>F1086*I1086</f>
        <v>0</v>
      </c>
      <c r="K1086" s="87">
        <v>270000</v>
      </c>
      <c r="L1086" s="87">
        <f>F1086*K1086</f>
        <v>0</v>
      </c>
    </row>
    <row r="1087" spans="1:12" ht="12" customHeight="1" x14ac:dyDescent="0.35">
      <c r="B1087" s="84"/>
      <c r="C1087" s="88"/>
      <c r="D1087" s="79"/>
      <c r="E1087" s="84"/>
      <c r="F1087" s="102"/>
      <c r="G1087" s="87"/>
      <c r="H1087" s="87">
        <f>F1087*G1087</f>
        <v>0</v>
      </c>
      <c r="I1087" s="87">
        <v>1060</v>
      </c>
      <c r="J1087" s="87">
        <f>F1087*I1087</f>
        <v>0</v>
      </c>
      <c r="K1087" s="87">
        <v>1060</v>
      </c>
      <c r="L1087" s="87">
        <f>F1087*K1087</f>
        <v>0</v>
      </c>
    </row>
    <row r="1088" spans="1:12" ht="12" customHeight="1" x14ac:dyDescent="0.35">
      <c r="B1088" s="84"/>
      <c r="C1088" s="88"/>
      <c r="D1088" s="79"/>
      <c r="E1088" s="84"/>
      <c r="F1088" s="102"/>
      <c r="G1088" s="87"/>
      <c r="H1088" s="87">
        <f>F1088*G1088</f>
        <v>0</v>
      </c>
      <c r="I1088" s="87">
        <v>215000</v>
      </c>
      <c r="J1088" s="87">
        <f>F1088*I1088</f>
        <v>0</v>
      </c>
      <c r="K1088" s="87">
        <v>250000</v>
      </c>
      <c r="L1088" s="87">
        <f>F1088*K1088</f>
        <v>0</v>
      </c>
    </row>
    <row r="1089" spans="1:12" ht="12" customHeight="1" x14ac:dyDescent="0.35">
      <c r="B1089" s="84"/>
      <c r="C1089" s="88"/>
      <c r="D1089" s="79"/>
      <c r="E1089" s="79"/>
      <c r="F1089" s="89"/>
      <c r="G1089" s="101"/>
      <c r="H1089" s="87">
        <f>SUM(H1086:H1088)</f>
        <v>0</v>
      </c>
      <c r="I1089" s="101"/>
      <c r="J1089" s="87">
        <f>SUM(J1086:J1088)</f>
        <v>0</v>
      </c>
      <c r="K1089" s="101"/>
      <c r="L1089" s="87">
        <f>SUM(L1086:L1088)</f>
        <v>0</v>
      </c>
    </row>
    <row r="1090" spans="1:12" ht="12" customHeight="1" x14ac:dyDescent="0.35">
      <c r="B1090" s="84" t="s">
        <v>7</v>
      </c>
      <c r="C1090" s="88" t="s">
        <v>424</v>
      </c>
      <c r="D1090" s="79"/>
      <c r="E1090" s="79"/>
      <c r="F1090" s="90"/>
      <c r="G1090" s="84"/>
      <c r="H1090" s="87"/>
      <c r="I1090" s="84"/>
      <c r="J1090" s="87"/>
      <c r="K1090" s="84"/>
      <c r="L1090" s="87"/>
    </row>
    <row r="1091" spans="1:12" ht="12" customHeight="1" x14ac:dyDescent="0.35">
      <c r="A1091" s="134" t="s">
        <v>572</v>
      </c>
      <c r="B1091" s="84"/>
      <c r="C1091" s="85" t="s">
        <v>573</v>
      </c>
      <c r="D1091" s="84" t="s">
        <v>418</v>
      </c>
      <c r="E1091" s="84" t="str">
        <f>VLOOKUP(C1091,HSD!B:K,2,FALSE)</f>
        <v>jam</v>
      </c>
      <c r="F1091" s="128">
        <f>0.0483</f>
        <v>4.8300000000000003E-2</v>
      </c>
      <c r="G1091" s="87">
        <f>VLOOKUP(C1091,HSD!B:K,10,FALSE)</f>
        <v>932909.79</v>
      </c>
      <c r="H1091" s="87">
        <f>F1091*G1091</f>
        <v>45059.542857000008</v>
      </c>
      <c r="I1091" s="87"/>
      <c r="J1091" s="87">
        <f>H1091*I1091</f>
        <v>0</v>
      </c>
      <c r="K1091" s="87"/>
      <c r="L1091" s="87">
        <f>J1091*K1091</f>
        <v>0</v>
      </c>
    </row>
    <row r="1092" spans="1:12" ht="12" customHeight="1" x14ac:dyDescent="0.35">
      <c r="A1092" s="134">
        <v>31100008</v>
      </c>
      <c r="B1092" s="84"/>
      <c r="C1092" s="85" t="s">
        <v>1836</v>
      </c>
      <c r="D1092" s="84" t="s">
        <v>418</v>
      </c>
      <c r="E1092" s="84" t="str">
        <f>VLOOKUP(C1092,HSD!B:K,2,FALSE)</f>
        <v>jam</v>
      </c>
      <c r="F1092" s="128">
        <f>0.0095</f>
        <v>9.4999999999999998E-3</v>
      </c>
      <c r="G1092" s="87">
        <f>VLOOKUP(C1092,HSD!B:K,10,FALSE)</f>
        <v>1053489.6200000001</v>
      </c>
      <c r="H1092" s="87">
        <f>F1092*G1092</f>
        <v>10008.151390000001</v>
      </c>
      <c r="I1092" s="87"/>
      <c r="J1092" s="87"/>
      <c r="K1092" s="87"/>
      <c r="L1092" s="87"/>
    </row>
    <row r="1093" spans="1:12" ht="12" customHeight="1" x14ac:dyDescent="0.35">
      <c r="B1093" s="84"/>
      <c r="C1093" s="85"/>
      <c r="D1093" s="84"/>
      <c r="E1093" s="84"/>
      <c r="F1093" s="128"/>
      <c r="G1093" s="87"/>
      <c r="H1093" s="87">
        <f>F1093*G1093</f>
        <v>0</v>
      </c>
      <c r="I1093" s="87"/>
      <c r="J1093" s="87"/>
      <c r="K1093" s="87"/>
      <c r="L1093" s="87"/>
    </row>
    <row r="1094" spans="1:12" ht="12" customHeight="1" x14ac:dyDescent="0.35">
      <c r="B1094" s="84"/>
      <c r="C1094" s="88"/>
      <c r="D1094" s="79"/>
      <c r="E1094" s="79"/>
      <c r="F1094" s="89" t="s">
        <v>425</v>
      </c>
      <c r="G1094" s="101"/>
      <c r="H1094" s="87">
        <f>SUM(H1091:H1093)</f>
        <v>55067.694247000007</v>
      </c>
      <c r="I1094" s="101"/>
      <c r="J1094" s="87">
        <f>SUM(J1091)</f>
        <v>0</v>
      </c>
      <c r="K1094" s="101"/>
      <c r="L1094" s="87">
        <f>SUM(L1091)</f>
        <v>0</v>
      </c>
    </row>
    <row r="1095" spans="1:12" ht="12" customHeight="1" x14ac:dyDescent="0.35">
      <c r="B1095" s="84" t="s">
        <v>8</v>
      </c>
      <c r="C1095" s="103" t="s">
        <v>426</v>
      </c>
      <c r="D1095" s="104"/>
      <c r="E1095" s="104"/>
      <c r="F1095" s="104"/>
      <c r="G1095" s="105"/>
      <c r="H1095" s="87">
        <f>H1084+H1089+H1094</f>
        <v>56856.444247000007</v>
      </c>
      <c r="I1095" s="105"/>
      <c r="J1095" s="87">
        <f>J1084+J1089+J1094</f>
        <v>10532.16</v>
      </c>
      <c r="K1095" s="105"/>
      <c r="L1095" s="87">
        <f>L1084+L1089+L1094</f>
        <v>10532.16</v>
      </c>
    </row>
    <row r="1096" spans="1:12" ht="12" customHeight="1" x14ac:dyDescent="0.35">
      <c r="B1096" s="84" t="s">
        <v>9</v>
      </c>
      <c r="C1096" s="455" t="s">
        <v>427</v>
      </c>
      <c r="D1096" s="455"/>
      <c r="E1096" s="455"/>
      <c r="F1096" s="95">
        <f>0</f>
        <v>0</v>
      </c>
      <c r="G1096" s="85" t="s">
        <v>428</v>
      </c>
      <c r="H1096" s="87">
        <f>H1095*F1096</f>
        <v>0</v>
      </c>
      <c r="I1096" s="85" t="s">
        <v>428</v>
      </c>
      <c r="J1096" s="87">
        <f>J1095*F1096</f>
        <v>0</v>
      </c>
      <c r="K1096" s="85" t="s">
        <v>428</v>
      </c>
      <c r="L1096" s="87">
        <f>L1095*F1096</f>
        <v>0</v>
      </c>
    </row>
    <row r="1097" spans="1:12" ht="12" customHeight="1" x14ac:dyDescent="0.35">
      <c r="B1097" s="84" t="s">
        <v>10</v>
      </c>
      <c r="C1097" s="103" t="s">
        <v>429</v>
      </c>
      <c r="D1097" s="104"/>
      <c r="E1097" s="104"/>
      <c r="F1097" s="104"/>
      <c r="G1097" s="105"/>
      <c r="H1097" s="96">
        <f>H1095+H1096</f>
        <v>56856.444247000007</v>
      </c>
      <c r="I1097" s="97"/>
      <c r="J1097" s="96">
        <f>J1095+J1096</f>
        <v>10532.16</v>
      </c>
      <c r="K1097" s="97"/>
      <c r="L1097" s="96">
        <f>L1095+L1096</f>
        <v>10532.16</v>
      </c>
    </row>
    <row r="1099" spans="1:12" ht="29" customHeight="1" x14ac:dyDescent="0.35">
      <c r="B1099" s="76" t="s">
        <v>584</v>
      </c>
      <c r="C1099" s="458" t="s">
        <v>585</v>
      </c>
      <c r="D1099" s="459"/>
      <c r="E1099" s="459"/>
      <c r="F1099" s="459"/>
      <c r="G1099" s="456"/>
      <c r="H1099" s="457"/>
      <c r="I1099" s="455" t="s">
        <v>3</v>
      </c>
      <c r="J1099" s="455"/>
      <c r="K1099" s="455" t="s">
        <v>4</v>
      </c>
      <c r="L1099" s="455"/>
    </row>
    <row r="1100" spans="1:12" ht="12" customHeight="1" x14ac:dyDescent="0.35">
      <c r="B1100" s="451" t="s">
        <v>409</v>
      </c>
      <c r="C1100" s="451" t="s">
        <v>410</v>
      </c>
      <c r="D1100" s="452" t="s">
        <v>411</v>
      </c>
      <c r="E1100" s="451" t="s">
        <v>412</v>
      </c>
      <c r="F1100" s="451" t="s">
        <v>413</v>
      </c>
      <c r="G1100" s="77" t="s">
        <v>414</v>
      </c>
      <c r="H1100" s="77" t="s">
        <v>415</v>
      </c>
      <c r="I1100" s="78" t="s">
        <v>414</v>
      </c>
      <c r="J1100" s="79" t="s">
        <v>415</v>
      </c>
      <c r="K1100" s="79" t="s">
        <v>414</v>
      </c>
      <c r="L1100" s="79" t="s">
        <v>415</v>
      </c>
    </row>
    <row r="1101" spans="1:12" ht="12" customHeight="1" x14ac:dyDescent="0.35">
      <c r="B1101" s="451"/>
      <c r="C1101" s="451"/>
      <c r="D1101" s="453"/>
      <c r="E1101" s="451"/>
      <c r="F1101" s="451"/>
      <c r="G1101" s="77" t="s">
        <v>17</v>
      </c>
      <c r="H1101" s="77" t="s">
        <v>416</v>
      </c>
      <c r="I1101" s="78" t="s">
        <v>17</v>
      </c>
      <c r="J1101" s="79" t="s">
        <v>416</v>
      </c>
      <c r="K1101" s="79" t="s">
        <v>17</v>
      </c>
      <c r="L1101" s="79" t="s">
        <v>416</v>
      </c>
    </row>
    <row r="1102" spans="1:12" ht="12" customHeight="1" x14ac:dyDescent="0.35">
      <c r="B1102" s="451"/>
      <c r="C1102" s="451"/>
      <c r="D1102" s="454"/>
      <c r="E1102" s="451"/>
      <c r="F1102" s="451"/>
      <c r="G1102" s="106"/>
      <c r="H1102" s="77" t="s">
        <v>17</v>
      </c>
      <c r="I1102" s="94"/>
      <c r="J1102" s="79" t="s">
        <v>17</v>
      </c>
      <c r="K1102" s="85"/>
      <c r="L1102" s="79" t="s">
        <v>17</v>
      </c>
    </row>
    <row r="1103" spans="1:12" ht="12" customHeight="1" x14ac:dyDescent="0.35">
      <c r="B1103" s="80" t="s">
        <v>5</v>
      </c>
      <c r="C1103" s="81" t="s">
        <v>417</v>
      </c>
      <c r="D1103" s="82"/>
      <c r="E1103" s="82"/>
      <c r="F1103" s="82"/>
      <c r="G1103" s="82"/>
      <c r="H1103" s="82"/>
      <c r="I1103" s="83"/>
      <c r="J1103" s="83"/>
      <c r="K1103" s="83"/>
      <c r="L1103" s="83"/>
    </row>
    <row r="1104" spans="1:12" ht="12" customHeight="1" x14ac:dyDescent="0.35">
      <c r="A1104" s="134">
        <v>10111000</v>
      </c>
      <c r="B1104" s="84"/>
      <c r="C1104" s="85" t="s">
        <v>1885</v>
      </c>
      <c r="D1104" s="84" t="s">
        <v>418</v>
      </c>
      <c r="E1104" s="84" t="str">
        <f>VLOOKUP(C1104,HSD!B:K,2,FALSE)</f>
        <v>OJ</v>
      </c>
      <c r="F1104" s="128">
        <v>1.1999999999999999E-3</v>
      </c>
      <c r="G1104" s="87">
        <f>VLOOKUP(C1104,HSD!B:K,10,FALSE)</f>
        <v>18750</v>
      </c>
      <c r="H1104" s="87">
        <f>F1104*G1104</f>
        <v>22.499999999999996</v>
      </c>
      <c r="I1104" s="87">
        <v>78600</v>
      </c>
      <c r="J1104" s="87">
        <f>F1104*I1104</f>
        <v>94.32</v>
      </c>
      <c r="K1104" s="87">
        <v>78600</v>
      </c>
      <c r="L1104" s="87">
        <f>F1104*K1104</f>
        <v>94.32</v>
      </c>
    </row>
    <row r="1105" spans="1:12" ht="12" customHeight="1" x14ac:dyDescent="0.35">
      <c r="A1105" s="134">
        <v>10131000</v>
      </c>
      <c r="B1105" s="84"/>
      <c r="C1105" s="85" t="s">
        <v>1888</v>
      </c>
      <c r="D1105" s="84" t="s">
        <v>418</v>
      </c>
      <c r="E1105" s="84" t="str">
        <f>VLOOKUP(C1105,HSD!B:K,2,FALSE)</f>
        <v>OJ</v>
      </c>
      <c r="F1105" s="128">
        <v>1.2E-2</v>
      </c>
      <c r="G1105" s="87">
        <f>VLOOKUP(C1105,HSD!B:K,10,FALSE)</f>
        <v>15000</v>
      </c>
      <c r="H1105" s="87">
        <f>F1105*G1105</f>
        <v>180</v>
      </c>
      <c r="I1105" s="87">
        <v>91500</v>
      </c>
      <c r="J1105" s="87">
        <f>F1105*I1105</f>
        <v>1098</v>
      </c>
      <c r="K1105" s="87">
        <v>91500</v>
      </c>
      <c r="L1105" s="87">
        <f>F1105*K1105</f>
        <v>1098</v>
      </c>
    </row>
    <row r="1106" spans="1:12" ht="12" customHeight="1" x14ac:dyDescent="0.35">
      <c r="B1106" s="84"/>
      <c r="C1106" s="85"/>
      <c r="D1106" s="84"/>
      <c r="E1106" s="84"/>
      <c r="F1106" s="86"/>
      <c r="G1106" s="87"/>
      <c r="H1106" s="87">
        <f>F1106*G1106</f>
        <v>0</v>
      </c>
      <c r="I1106" s="87">
        <v>92500</v>
      </c>
      <c r="J1106" s="87">
        <f>F1106*I1106</f>
        <v>0</v>
      </c>
      <c r="K1106" s="87">
        <v>92500</v>
      </c>
      <c r="L1106" s="87">
        <f>F1106*K1106</f>
        <v>0</v>
      </c>
    </row>
    <row r="1107" spans="1:12" ht="12" customHeight="1" x14ac:dyDescent="0.35">
      <c r="B1107" s="84"/>
      <c r="C1107" s="85"/>
      <c r="D1107" s="84"/>
      <c r="E1107" s="84"/>
      <c r="F1107" s="86"/>
      <c r="G1107" s="87"/>
      <c r="H1107" s="87"/>
      <c r="I1107" s="87"/>
      <c r="J1107" s="87"/>
      <c r="K1107" s="87"/>
      <c r="L1107" s="87"/>
    </row>
    <row r="1108" spans="1:12" ht="12" customHeight="1" x14ac:dyDescent="0.35">
      <c r="B1108" s="84"/>
      <c r="C1108" s="88"/>
      <c r="D1108" s="79"/>
      <c r="E1108" s="79"/>
      <c r="F1108" s="89" t="s">
        <v>421</v>
      </c>
      <c r="G1108" s="101"/>
      <c r="H1108" s="87">
        <f>SUM(H1104:H1107)</f>
        <v>202.5</v>
      </c>
      <c r="I1108" s="101"/>
      <c r="J1108" s="87">
        <f>SUM(J1104:J1107)</f>
        <v>1192.32</v>
      </c>
      <c r="K1108" s="101"/>
      <c r="L1108" s="87">
        <f>SUM(L1104:L1107)</f>
        <v>1192.32</v>
      </c>
    </row>
    <row r="1109" spans="1:12" ht="12" customHeight="1" x14ac:dyDescent="0.35">
      <c r="B1109" s="84" t="s">
        <v>6</v>
      </c>
      <c r="C1109" s="88" t="s">
        <v>422</v>
      </c>
      <c r="D1109" s="79"/>
      <c r="E1109" s="79"/>
      <c r="F1109" s="90"/>
      <c r="G1109" s="84"/>
      <c r="H1109" s="87"/>
      <c r="I1109" s="84"/>
      <c r="J1109" s="87"/>
      <c r="K1109" s="84"/>
      <c r="L1109" s="87"/>
    </row>
    <row r="1110" spans="1:12" ht="12" customHeight="1" x14ac:dyDescent="0.35">
      <c r="B1110" s="84"/>
      <c r="C1110" s="85"/>
      <c r="D1110" s="84"/>
      <c r="E1110" s="84"/>
      <c r="F1110" s="86"/>
      <c r="G1110" s="87"/>
      <c r="H1110" s="87">
        <f>F1110*G1110</f>
        <v>0</v>
      </c>
      <c r="I1110" s="87">
        <v>232500</v>
      </c>
      <c r="J1110" s="87">
        <f>F1110*I1110</f>
        <v>0</v>
      </c>
      <c r="K1110" s="87">
        <v>270000</v>
      </c>
      <c r="L1110" s="87">
        <f>F1110*K1110</f>
        <v>0</v>
      </c>
    </row>
    <row r="1111" spans="1:12" ht="12" customHeight="1" x14ac:dyDescent="0.35">
      <c r="B1111" s="84"/>
      <c r="C1111" s="88"/>
      <c r="D1111" s="79"/>
      <c r="E1111" s="84"/>
      <c r="F1111" s="102"/>
      <c r="G1111" s="87"/>
      <c r="H1111" s="87">
        <f>F1111*G1111</f>
        <v>0</v>
      </c>
      <c r="I1111" s="87">
        <v>1060</v>
      </c>
      <c r="J1111" s="87">
        <f>F1111*I1111</f>
        <v>0</v>
      </c>
      <c r="K1111" s="87">
        <v>1060</v>
      </c>
      <c r="L1111" s="87">
        <f>F1111*K1111</f>
        <v>0</v>
      </c>
    </row>
    <row r="1112" spans="1:12" ht="12" customHeight="1" x14ac:dyDescent="0.35">
      <c r="B1112" s="84"/>
      <c r="C1112" s="88"/>
      <c r="D1112" s="79"/>
      <c r="E1112" s="84"/>
      <c r="F1112" s="102"/>
      <c r="G1112" s="87"/>
      <c r="H1112" s="87">
        <f>F1112*G1112</f>
        <v>0</v>
      </c>
      <c r="I1112" s="87">
        <v>215000</v>
      </c>
      <c r="J1112" s="87">
        <f>F1112*I1112</f>
        <v>0</v>
      </c>
      <c r="K1112" s="87">
        <v>250000</v>
      </c>
      <c r="L1112" s="87">
        <f>F1112*K1112</f>
        <v>0</v>
      </c>
    </row>
    <row r="1113" spans="1:12" ht="12" customHeight="1" x14ac:dyDescent="0.35">
      <c r="B1113" s="84"/>
      <c r="C1113" s="88"/>
      <c r="D1113" s="79"/>
      <c r="E1113" s="79"/>
      <c r="F1113" s="89"/>
      <c r="G1113" s="101"/>
      <c r="H1113" s="87">
        <f>SUM(H1110:H1112)</f>
        <v>0</v>
      </c>
      <c r="I1113" s="101"/>
      <c r="J1113" s="87">
        <f>SUM(J1110:J1112)</f>
        <v>0</v>
      </c>
      <c r="K1113" s="101"/>
      <c r="L1113" s="87">
        <f>SUM(L1110:L1112)</f>
        <v>0</v>
      </c>
    </row>
    <row r="1114" spans="1:12" ht="12" customHeight="1" x14ac:dyDescent="0.35">
      <c r="B1114" s="84" t="s">
        <v>7</v>
      </c>
      <c r="C1114" s="88" t="s">
        <v>424</v>
      </c>
      <c r="D1114" s="79"/>
      <c r="E1114" s="79"/>
      <c r="F1114" s="90"/>
      <c r="G1114" s="84"/>
      <c r="H1114" s="87"/>
      <c r="I1114" s="84"/>
      <c r="J1114" s="87"/>
      <c r="K1114" s="84"/>
      <c r="L1114" s="87"/>
    </row>
    <row r="1115" spans="1:12" ht="12" customHeight="1" x14ac:dyDescent="0.35">
      <c r="A1115" s="134" t="s">
        <v>572</v>
      </c>
      <c r="B1115" s="84"/>
      <c r="C1115" s="85" t="s">
        <v>573</v>
      </c>
      <c r="D1115" s="84" t="s">
        <v>418</v>
      </c>
      <c r="E1115" s="84" t="str">
        <f>VLOOKUP(C1115,HSD!B:K,2,FALSE)</f>
        <v>jam</v>
      </c>
      <c r="F1115" s="128">
        <v>5.4699999999999999E-2</v>
      </c>
      <c r="G1115" s="87">
        <f>VLOOKUP(C1115,HSD!B:K,10,FALSE)</f>
        <v>932909.79</v>
      </c>
      <c r="H1115" s="87">
        <f>F1115*G1115</f>
        <v>51030.165513</v>
      </c>
      <c r="I1115" s="87"/>
      <c r="J1115" s="87">
        <f>H1115*I1115</f>
        <v>0</v>
      </c>
      <c r="K1115" s="87"/>
      <c r="L1115" s="87">
        <f>J1115*K1115</f>
        <v>0</v>
      </c>
    </row>
    <row r="1116" spans="1:12" ht="12" customHeight="1" x14ac:dyDescent="0.35">
      <c r="A1116" s="134">
        <v>31100008</v>
      </c>
      <c r="B1116" s="84"/>
      <c r="C1116" s="85" t="s">
        <v>1836</v>
      </c>
      <c r="D1116" s="84" t="s">
        <v>418</v>
      </c>
      <c r="E1116" s="84" t="str">
        <f>VLOOKUP(C1116,HSD!B:K,2,FALSE)</f>
        <v>jam</v>
      </c>
      <c r="F1116" s="128">
        <v>1.2E-2</v>
      </c>
      <c r="G1116" s="87">
        <f>VLOOKUP(C1116,HSD!B:K,10,FALSE)</f>
        <v>1053489.6200000001</v>
      </c>
      <c r="H1116" s="87">
        <f>F1116*G1116</f>
        <v>12641.875440000002</v>
      </c>
      <c r="I1116" s="87"/>
      <c r="J1116" s="87"/>
      <c r="K1116" s="87"/>
      <c r="L1116" s="87"/>
    </row>
    <row r="1117" spans="1:12" ht="12" customHeight="1" x14ac:dyDescent="0.35">
      <c r="B1117" s="84"/>
      <c r="C1117" s="85"/>
      <c r="D1117" s="84"/>
      <c r="E1117" s="84"/>
      <c r="F1117" s="128"/>
      <c r="G1117" s="87"/>
      <c r="H1117" s="87">
        <f>F1117*G1117</f>
        <v>0</v>
      </c>
      <c r="I1117" s="87"/>
      <c r="J1117" s="87"/>
      <c r="K1117" s="87"/>
      <c r="L1117" s="87"/>
    </row>
    <row r="1118" spans="1:12" ht="12" customHeight="1" x14ac:dyDescent="0.35">
      <c r="B1118" s="84"/>
      <c r="C1118" s="88"/>
      <c r="D1118" s="79"/>
      <c r="E1118" s="79"/>
      <c r="F1118" s="89" t="s">
        <v>425</v>
      </c>
      <c r="G1118" s="101"/>
      <c r="H1118" s="87">
        <f>SUM(H1115:H1117)</f>
        <v>63672.040953000003</v>
      </c>
      <c r="I1118" s="101"/>
      <c r="J1118" s="87">
        <f>SUM(J1115)</f>
        <v>0</v>
      </c>
      <c r="K1118" s="101"/>
      <c r="L1118" s="87">
        <f>SUM(L1115)</f>
        <v>0</v>
      </c>
    </row>
    <row r="1119" spans="1:12" ht="12" customHeight="1" x14ac:dyDescent="0.35">
      <c r="B1119" s="84" t="s">
        <v>8</v>
      </c>
      <c r="C1119" s="103" t="s">
        <v>426</v>
      </c>
      <c r="D1119" s="104"/>
      <c r="E1119" s="104"/>
      <c r="F1119" s="104"/>
      <c r="G1119" s="105"/>
      <c r="H1119" s="87">
        <f>H1108+H1113+H1118</f>
        <v>63874.540953000003</v>
      </c>
      <c r="I1119" s="105"/>
      <c r="J1119" s="87">
        <f>J1108+J1113+J1118</f>
        <v>1192.32</v>
      </c>
      <c r="K1119" s="105"/>
      <c r="L1119" s="87">
        <f>L1108+L1113+L1118</f>
        <v>1192.32</v>
      </c>
    </row>
    <row r="1120" spans="1:12" ht="12" customHeight="1" x14ac:dyDescent="0.35">
      <c r="B1120" s="84" t="s">
        <v>9</v>
      </c>
      <c r="C1120" s="455" t="s">
        <v>427</v>
      </c>
      <c r="D1120" s="455"/>
      <c r="E1120" s="455"/>
      <c r="F1120" s="95">
        <f>0</f>
        <v>0</v>
      </c>
      <c r="G1120" s="85" t="s">
        <v>428</v>
      </c>
      <c r="H1120" s="87">
        <f>H1119*F1120</f>
        <v>0</v>
      </c>
      <c r="I1120" s="85" t="s">
        <v>428</v>
      </c>
      <c r="J1120" s="87">
        <f>J1119*F1120</f>
        <v>0</v>
      </c>
      <c r="K1120" s="85" t="s">
        <v>428</v>
      </c>
      <c r="L1120" s="87">
        <f>L1119*F1120</f>
        <v>0</v>
      </c>
    </row>
    <row r="1121" spans="1:12" ht="12" customHeight="1" x14ac:dyDescent="0.35">
      <c r="B1121" s="84" t="s">
        <v>10</v>
      </c>
      <c r="C1121" s="103" t="s">
        <v>429</v>
      </c>
      <c r="D1121" s="104"/>
      <c r="E1121" s="104"/>
      <c r="F1121" s="104"/>
      <c r="G1121" s="105"/>
      <c r="H1121" s="96">
        <f>H1119+H1120</f>
        <v>63874.540953000003</v>
      </c>
      <c r="I1121" s="97"/>
      <c r="J1121" s="96">
        <f>J1119+J1120</f>
        <v>1192.32</v>
      </c>
      <c r="K1121" s="97"/>
      <c r="L1121" s="96">
        <f>L1119+L1120</f>
        <v>1192.32</v>
      </c>
    </row>
    <row r="1123" spans="1:12" ht="37" customHeight="1" x14ac:dyDescent="0.35">
      <c r="B1123" s="76" t="s">
        <v>586</v>
      </c>
      <c r="C1123" s="458" t="s">
        <v>587</v>
      </c>
      <c r="D1123" s="459"/>
      <c r="E1123" s="459"/>
      <c r="F1123" s="459"/>
      <c r="G1123" s="456"/>
      <c r="H1123" s="457"/>
      <c r="I1123" s="455" t="s">
        <v>3</v>
      </c>
      <c r="J1123" s="455"/>
      <c r="K1123" s="455" t="s">
        <v>4</v>
      </c>
      <c r="L1123" s="455"/>
    </row>
    <row r="1124" spans="1:12" ht="12" customHeight="1" x14ac:dyDescent="0.35">
      <c r="B1124" s="451" t="s">
        <v>409</v>
      </c>
      <c r="C1124" s="451" t="s">
        <v>410</v>
      </c>
      <c r="D1124" s="452" t="s">
        <v>411</v>
      </c>
      <c r="E1124" s="451" t="s">
        <v>412</v>
      </c>
      <c r="F1124" s="451" t="s">
        <v>413</v>
      </c>
      <c r="G1124" s="77" t="s">
        <v>414</v>
      </c>
      <c r="H1124" s="77" t="s">
        <v>415</v>
      </c>
      <c r="I1124" s="78" t="s">
        <v>414</v>
      </c>
      <c r="J1124" s="79" t="s">
        <v>415</v>
      </c>
      <c r="K1124" s="79" t="s">
        <v>414</v>
      </c>
      <c r="L1124" s="79" t="s">
        <v>415</v>
      </c>
    </row>
    <row r="1125" spans="1:12" ht="12" customHeight="1" x14ac:dyDescent="0.35">
      <c r="B1125" s="451"/>
      <c r="C1125" s="451"/>
      <c r="D1125" s="453"/>
      <c r="E1125" s="451"/>
      <c r="F1125" s="451"/>
      <c r="G1125" s="77" t="s">
        <v>17</v>
      </c>
      <c r="H1125" s="77" t="s">
        <v>416</v>
      </c>
      <c r="I1125" s="78" t="s">
        <v>17</v>
      </c>
      <c r="J1125" s="79" t="s">
        <v>416</v>
      </c>
      <c r="K1125" s="79" t="s">
        <v>17</v>
      </c>
      <c r="L1125" s="79" t="s">
        <v>416</v>
      </c>
    </row>
    <row r="1126" spans="1:12" ht="12" customHeight="1" x14ac:dyDescent="0.35">
      <c r="B1126" s="451"/>
      <c r="C1126" s="451"/>
      <c r="D1126" s="454"/>
      <c r="E1126" s="451"/>
      <c r="F1126" s="451"/>
      <c r="G1126" s="106"/>
      <c r="H1126" s="77" t="s">
        <v>17</v>
      </c>
      <c r="I1126" s="94"/>
      <c r="J1126" s="79" t="s">
        <v>17</v>
      </c>
      <c r="K1126" s="85"/>
      <c r="L1126" s="79" t="s">
        <v>17</v>
      </c>
    </row>
    <row r="1127" spans="1:12" ht="12" customHeight="1" x14ac:dyDescent="0.35">
      <c r="B1127" s="80" t="s">
        <v>5</v>
      </c>
      <c r="C1127" s="81" t="s">
        <v>417</v>
      </c>
      <c r="D1127" s="82"/>
      <c r="E1127" s="82"/>
      <c r="F1127" s="82"/>
      <c r="G1127" s="82"/>
      <c r="H1127" s="82"/>
      <c r="I1127" s="83"/>
      <c r="J1127" s="83"/>
      <c r="K1127" s="83"/>
      <c r="L1127" s="83"/>
    </row>
    <row r="1128" spans="1:12" ht="12" customHeight="1" x14ac:dyDescent="0.35">
      <c r="A1128" s="134">
        <v>10111000</v>
      </c>
      <c r="B1128" s="84"/>
      <c r="C1128" s="85" t="s">
        <v>1885</v>
      </c>
      <c r="D1128" s="84" t="s">
        <v>418</v>
      </c>
      <c r="E1128" s="84" t="str">
        <f>VLOOKUP(C1128,HSD!B:K,2,FALSE)</f>
        <v>OJ</v>
      </c>
      <c r="F1128" s="128">
        <v>1.1999999999999999E-3</v>
      </c>
      <c r="G1128" s="87">
        <f>VLOOKUP(C1128,HSD!B:K,10,FALSE)</f>
        <v>18750</v>
      </c>
      <c r="H1128" s="87">
        <f>F1128*G1128</f>
        <v>22.499999999999996</v>
      </c>
      <c r="I1128" s="87">
        <v>78600</v>
      </c>
      <c r="J1128" s="87">
        <f>F1128*I1128</f>
        <v>94.32</v>
      </c>
      <c r="K1128" s="87">
        <v>78600</v>
      </c>
      <c r="L1128" s="87">
        <f>F1128*K1128</f>
        <v>94.32</v>
      </c>
    </row>
    <row r="1129" spans="1:12" ht="12" customHeight="1" x14ac:dyDescent="0.35">
      <c r="A1129" s="134">
        <v>10131000</v>
      </c>
      <c r="B1129" s="84"/>
      <c r="C1129" s="85" t="s">
        <v>1888</v>
      </c>
      <c r="D1129" s="84" t="s">
        <v>418</v>
      </c>
      <c r="E1129" s="84" t="str">
        <f>VLOOKUP(C1129,HSD!B:K,2,FALSE)</f>
        <v>OJ</v>
      </c>
      <c r="F1129" s="128">
        <v>1.2E-2</v>
      </c>
      <c r="G1129" s="87">
        <f>VLOOKUP(C1129,HSD!B:K,10,FALSE)</f>
        <v>15000</v>
      </c>
      <c r="H1129" s="87">
        <f>F1129*G1129</f>
        <v>180</v>
      </c>
      <c r="I1129" s="87">
        <v>91500</v>
      </c>
      <c r="J1129" s="87">
        <f>F1129*I1129</f>
        <v>1098</v>
      </c>
      <c r="K1129" s="87">
        <v>91500</v>
      </c>
      <c r="L1129" s="87">
        <f>F1129*K1129</f>
        <v>1098</v>
      </c>
    </row>
    <row r="1130" spans="1:12" ht="12" customHeight="1" x14ac:dyDescent="0.35">
      <c r="B1130" s="84"/>
      <c r="C1130" s="85"/>
      <c r="D1130" s="84"/>
      <c r="E1130" s="84"/>
      <c r="F1130" s="86"/>
      <c r="G1130" s="87"/>
      <c r="H1130" s="87">
        <f>F1130*G1130</f>
        <v>0</v>
      </c>
      <c r="I1130" s="87">
        <v>92500</v>
      </c>
      <c r="J1130" s="87">
        <f>F1130*I1130</f>
        <v>0</v>
      </c>
      <c r="K1130" s="87">
        <v>92500</v>
      </c>
      <c r="L1130" s="87">
        <f>F1130*K1130</f>
        <v>0</v>
      </c>
    </row>
    <row r="1131" spans="1:12" ht="12" customHeight="1" x14ac:dyDescent="0.35">
      <c r="B1131" s="84"/>
      <c r="C1131" s="85"/>
      <c r="D1131" s="84"/>
      <c r="E1131" s="84"/>
      <c r="F1131" s="86"/>
      <c r="G1131" s="87"/>
      <c r="H1131" s="87"/>
      <c r="I1131" s="87"/>
      <c r="J1131" s="87"/>
      <c r="K1131" s="87"/>
      <c r="L1131" s="87"/>
    </row>
    <row r="1132" spans="1:12" ht="12" customHeight="1" x14ac:dyDescent="0.35">
      <c r="B1132" s="84"/>
      <c r="C1132" s="88"/>
      <c r="D1132" s="79"/>
      <c r="E1132" s="79"/>
      <c r="F1132" s="89" t="s">
        <v>421</v>
      </c>
      <c r="G1132" s="101"/>
      <c r="H1132" s="87">
        <f>SUM(H1127:H1131)</f>
        <v>202.5</v>
      </c>
      <c r="I1132" s="101"/>
      <c r="J1132" s="87">
        <f>SUM(J1128:J1131)</f>
        <v>1192.32</v>
      </c>
      <c r="K1132" s="101"/>
      <c r="L1132" s="87">
        <f>SUM(L1128:L1131)</f>
        <v>1192.32</v>
      </c>
    </row>
    <row r="1133" spans="1:12" ht="12" customHeight="1" x14ac:dyDescent="0.35">
      <c r="B1133" s="84" t="s">
        <v>6</v>
      </c>
      <c r="C1133" s="88" t="s">
        <v>422</v>
      </c>
      <c r="D1133" s="79"/>
      <c r="E1133" s="79"/>
      <c r="F1133" s="90"/>
      <c r="G1133" s="84"/>
      <c r="H1133" s="87"/>
      <c r="I1133" s="84"/>
      <c r="J1133" s="87"/>
      <c r="K1133" s="84"/>
      <c r="L1133" s="87"/>
    </row>
    <row r="1134" spans="1:12" ht="12" customHeight="1" x14ac:dyDescent="0.35">
      <c r="A1134" s="134">
        <v>211100116</v>
      </c>
      <c r="B1134" s="84"/>
      <c r="C1134" s="85" t="s">
        <v>52</v>
      </c>
      <c r="D1134" s="84" t="s">
        <v>418</v>
      </c>
      <c r="E1134" s="84" t="str">
        <f>VLOOKUP(C1134,HSD!B:K,2,FALSE)</f>
        <v>m3</v>
      </c>
      <c r="F1134" s="128">
        <v>1.25</v>
      </c>
      <c r="G1134" s="87">
        <f>VLOOKUP(C1134,HSD!B:K,10,FALSE)</f>
        <v>80000</v>
      </c>
      <c r="H1134" s="87">
        <f>F1134*G1134</f>
        <v>100000</v>
      </c>
      <c r="I1134" s="87">
        <v>232500</v>
      </c>
      <c r="J1134" s="87">
        <f>F1134*I1134</f>
        <v>290625</v>
      </c>
      <c r="K1134" s="87">
        <v>270000</v>
      </c>
      <c r="L1134" s="87">
        <f>F1134*K1134</f>
        <v>337500</v>
      </c>
    </row>
    <row r="1135" spans="1:12" ht="12" customHeight="1" x14ac:dyDescent="0.35">
      <c r="B1135" s="84"/>
      <c r="C1135" s="88" t="s">
        <v>588</v>
      </c>
      <c r="D1135" s="79"/>
      <c r="E1135" s="84"/>
      <c r="F1135" s="102"/>
      <c r="G1135" s="87"/>
      <c r="H1135" s="87">
        <f>F1135*G1135</f>
        <v>0</v>
      </c>
      <c r="I1135" s="87">
        <v>1060</v>
      </c>
      <c r="J1135" s="87">
        <f>F1135*I1135</f>
        <v>0</v>
      </c>
      <c r="K1135" s="87">
        <v>1060</v>
      </c>
      <c r="L1135" s="87">
        <f>F1135*K1135</f>
        <v>0</v>
      </c>
    </row>
    <row r="1136" spans="1:12" ht="12" customHeight="1" x14ac:dyDescent="0.35">
      <c r="B1136" s="84"/>
      <c r="C1136" s="88"/>
      <c r="D1136" s="79"/>
      <c r="E1136" s="84"/>
      <c r="F1136" s="102"/>
      <c r="G1136" s="87"/>
      <c r="H1136" s="87">
        <f>F1136*G1136</f>
        <v>0</v>
      </c>
      <c r="I1136" s="87">
        <v>215000</v>
      </c>
      <c r="J1136" s="87">
        <f>F1136*I1136</f>
        <v>0</v>
      </c>
      <c r="K1136" s="87">
        <v>250000</v>
      </c>
      <c r="L1136" s="87">
        <f>F1136*K1136</f>
        <v>0</v>
      </c>
    </row>
    <row r="1137" spans="1:12" ht="12" customHeight="1" x14ac:dyDescent="0.35">
      <c r="B1137" s="84"/>
      <c r="C1137" s="88"/>
      <c r="D1137" s="79"/>
      <c r="E1137" s="79"/>
      <c r="F1137" s="129" t="s">
        <v>423</v>
      </c>
      <c r="G1137" s="101"/>
      <c r="H1137" s="87">
        <f>SUM(H1134:H1136)</f>
        <v>100000</v>
      </c>
      <c r="I1137" s="101"/>
      <c r="J1137" s="87">
        <f>SUM(J1134:J1136)</f>
        <v>290625</v>
      </c>
      <c r="K1137" s="101"/>
      <c r="L1137" s="87">
        <f>SUM(L1134:L1136)</f>
        <v>337500</v>
      </c>
    </row>
    <row r="1138" spans="1:12" ht="12" customHeight="1" x14ac:dyDescent="0.35">
      <c r="B1138" s="84" t="s">
        <v>7</v>
      </c>
      <c r="C1138" s="88" t="s">
        <v>424</v>
      </c>
      <c r="D1138" s="79"/>
      <c r="E1138" s="79"/>
      <c r="F1138" s="90"/>
      <c r="G1138" s="84"/>
      <c r="H1138" s="87"/>
      <c r="I1138" s="84"/>
      <c r="J1138" s="87"/>
      <c r="K1138" s="84"/>
      <c r="L1138" s="87"/>
    </row>
    <row r="1139" spans="1:12" ht="12" customHeight="1" x14ac:dyDescent="0.35">
      <c r="A1139" s="134" t="s">
        <v>572</v>
      </c>
      <c r="B1139" s="84"/>
      <c r="C1139" s="85" t="s">
        <v>573</v>
      </c>
      <c r="D1139" s="84" t="s">
        <v>418</v>
      </c>
      <c r="E1139" s="84" t="str">
        <f>VLOOKUP(C1139,HSD!B:K,2,FALSE)</f>
        <v>jam</v>
      </c>
      <c r="F1139" s="128">
        <v>7.1400000000000005E-2</v>
      </c>
      <c r="G1139" s="87">
        <f>VLOOKUP(C1139,HSD!B:K,10,FALSE)</f>
        <v>932909.79</v>
      </c>
      <c r="H1139" s="87">
        <f>F1139*G1139</f>
        <v>66609.759006000008</v>
      </c>
      <c r="I1139" s="87"/>
      <c r="J1139" s="87">
        <f>H1139*I1139</f>
        <v>0</v>
      </c>
      <c r="K1139" s="87"/>
      <c r="L1139" s="87">
        <f>J1139*K1139</f>
        <v>0</v>
      </c>
    </row>
    <row r="1140" spans="1:12" ht="12" customHeight="1" x14ac:dyDescent="0.35">
      <c r="A1140" s="134">
        <v>31100008</v>
      </c>
      <c r="B1140" s="84"/>
      <c r="C1140" s="85" t="s">
        <v>1836</v>
      </c>
      <c r="D1140" s="84" t="s">
        <v>418</v>
      </c>
      <c r="E1140" s="84" t="str">
        <f>VLOOKUP(C1140,HSD!B:K,2,FALSE)</f>
        <v>jam</v>
      </c>
      <c r="F1140" s="128">
        <v>1.2E-2</v>
      </c>
      <c r="G1140" s="87">
        <f>VLOOKUP(C1140,HSD!B:K,10,FALSE)</f>
        <v>1053489.6200000001</v>
      </c>
      <c r="H1140" s="87">
        <f>F1140*G1140</f>
        <v>12641.875440000002</v>
      </c>
      <c r="I1140" s="87"/>
      <c r="J1140" s="87"/>
      <c r="K1140" s="87"/>
      <c r="L1140" s="87"/>
    </row>
    <row r="1141" spans="1:12" ht="12" customHeight="1" x14ac:dyDescent="0.35">
      <c r="B1141" s="84"/>
      <c r="C1141" s="85"/>
      <c r="D1141" s="84"/>
      <c r="E1141" s="84"/>
      <c r="F1141" s="128"/>
      <c r="G1141" s="87"/>
      <c r="H1141" s="87">
        <f>F1141*G1141</f>
        <v>0</v>
      </c>
      <c r="I1141" s="87"/>
      <c r="J1141" s="87"/>
      <c r="K1141" s="87"/>
      <c r="L1141" s="87"/>
    </row>
    <row r="1142" spans="1:12" ht="12" customHeight="1" x14ac:dyDescent="0.35">
      <c r="B1142" s="84"/>
      <c r="C1142" s="88"/>
      <c r="D1142" s="79"/>
      <c r="E1142" s="79"/>
      <c r="F1142" s="89" t="s">
        <v>425</v>
      </c>
      <c r="G1142" s="101"/>
      <c r="H1142" s="87">
        <f>SUM(H1139:H1141)</f>
        <v>79251.634446000011</v>
      </c>
      <c r="I1142" s="101"/>
      <c r="J1142" s="87">
        <f>SUM(J1139)</f>
        <v>0</v>
      </c>
      <c r="K1142" s="101"/>
      <c r="L1142" s="87">
        <f>SUM(L1139)</f>
        <v>0</v>
      </c>
    </row>
    <row r="1143" spans="1:12" ht="12" customHeight="1" x14ac:dyDescent="0.35">
      <c r="B1143" s="84" t="s">
        <v>8</v>
      </c>
      <c r="C1143" s="103" t="s">
        <v>426</v>
      </c>
      <c r="D1143" s="104"/>
      <c r="E1143" s="104"/>
      <c r="F1143" s="104"/>
      <c r="G1143" s="105"/>
      <c r="H1143" s="87">
        <f>H1132+H1137+H1142</f>
        <v>179454.13444600001</v>
      </c>
      <c r="I1143" s="105"/>
      <c r="J1143" s="87">
        <f>J1132+J1137+J1142</f>
        <v>291817.32</v>
      </c>
      <c r="K1143" s="105"/>
      <c r="L1143" s="87">
        <f>L1132+L1137+L1142</f>
        <v>338692.32</v>
      </c>
    </row>
    <row r="1144" spans="1:12" ht="12" customHeight="1" x14ac:dyDescent="0.35">
      <c r="B1144" s="84" t="s">
        <v>9</v>
      </c>
      <c r="C1144" s="455" t="s">
        <v>427</v>
      </c>
      <c r="D1144" s="455"/>
      <c r="E1144" s="455"/>
      <c r="F1144" s="95">
        <f>0</f>
        <v>0</v>
      </c>
      <c r="G1144" s="85" t="s">
        <v>428</v>
      </c>
      <c r="H1144" s="87">
        <f>H1143*F1144</f>
        <v>0</v>
      </c>
      <c r="I1144" s="85" t="s">
        <v>428</v>
      </c>
      <c r="J1144" s="87">
        <f>J1143*F1144</f>
        <v>0</v>
      </c>
      <c r="K1144" s="85" t="s">
        <v>428</v>
      </c>
      <c r="L1144" s="87">
        <f>L1143*F1144</f>
        <v>0</v>
      </c>
    </row>
    <row r="1145" spans="1:12" ht="12" customHeight="1" x14ac:dyDescent="0.35">
      <c r="B1145" s="84" t="s">
        <v>10</v>
      </c>
      <c r="C1145" s="103" t="s">
        <v>429</v>
      </c>
      <c r="D1145" s="104"/>
      <c r="E1145" s="104"/>
      <c r="F1145" s="104"/>
      <c r="G1145" s="105"/>
      <c r="H1145" s="96">
        <f>H1143+H1144</f>
        <v>179454.13444600001</v>
      </c>
      <c r="I1145" s="97"/>
      <c r="J1145" s="96">
        <f>J1143+J1144</f>
        <v>291817.32</v>
      </c>
      <c r="K1145" s="97"/>
      <c r="L1145" s="96">
        <f>L1143+L1144</f>
        <v>338692.32</v>
      </c>
    </row>
    <row r="1147" spans="1:12" ht="37" customHeight="1" x14ac:dyDescent="0.35">
      <c r="B1147" s="76" t="s">
        <v>591</v>
      </c>
      <c r="C1147" s="458" t="s">
        <v>2088</v>
      </c>
      <c r="D1147" s="459"/>
      <c r="E1147" s="459"/>
      <c r="F1147" s="459"/>
      <c r="G1147" s="456"/>
      <c r="H1147" s="457"/>
      <c r="I1147" s="455" t="s">
        <v>3</v>
      </c>
      <c r="J1147" s="455"/>
      <c r="K1147" s="455" t="s">
        <v>4</v>
      </c>
      <c r="L1147" s="455"/>
    </row>
    <row r="1148" spans="1:12" ht="12" customHeight="1" x14ac:dyDescent="0.35">
      <c r="B1148" s="451" t="s">
        <v>409</v>
      </c>
      <c r="C1148" s="451" t="s">
        <v>410</v>
      </c>
      <c r="D1148" s="452" t="s">
        <v>411</v>
      </c>
      <c r="E1148" s="451" t="s">
        <v>412</v>
      </c>
      <c r="F1148" s="451" t="s">
        <v>413</v>
      </c>
      <c r="G1148" s="77" t="s">
        <v>414</v>
      </c>
      <c r="H1148" s="77" t="s">
        <v>415</v>
      </c>
      <c r="I1148" s="78" t="s">
        <v>414</v>
      </c>
      <c r="J1148" s="79" t="s">
        <v>415</v>
      </c>
      <c r="K1148" s="79" t="s">
        <v>414</v>
      </c>
      <c r="L1148" s="79" t="s">
        <v>415</v>
      </c>
    </row>
    <row r="1149" spans="1:12" ht="12" customHeight="1" x14ac:dyDescent="0.35">
      <c r="B1149" s="451"/>
      <c r="C1149" s="451"/>
      <c r="D1149" s="453"/>
      <c r="E1149" s="451"/>
      <c r="F1149" s="451"/>
      <c r="G1149" s="77" t="s">
        <v>17</v>
      </c>
      <c r="H1149" s="77" t="s">
        <v>416</v>
      </c>
      <c r="I1149" s="78" t="s">
        <v>17</v>
      </c>
      <c r="J1149" s="79" t="s">
        <v>416</v>
      </c>
      <c r="K1149" s="79" t="s">
        <v>17</v>
      </c>
      <c r="L1149" s="79" t="s">
        <v>416</v>
      </c>
    </row>
    <row r="1150" spans="1:12" ht="12" customHeight="1" x14ac:dyDescent="0.35">
      <c r="B1150" s="451"/>
      <c r="C1150" s="451"/>
      <c r="D1150" s="454"/>
      <c r="E1150" s="451"/>
      <c r="F1150" s="451"/>
      <c r="G1150" s="106"/>
      <c r="H1150" s="77" t="s">
        <v>17</v>
      </c>
      <c r="I1150" s="94"/>
      <c r="J1150" s="79" t="s">
        <v>17</v>
      </c>
      <c r="K1150" s="85"/>
      <c r="L1150" s="79" t="s">
        <v>17</v>
      </c>
    </row>
    <row r="1151" spans="1:12" ht="12" customHeight="1" x14ac:dyDescent="0.35">
      <c r="B1151" s="80" t="s">
        <v>5</v>
      </c>
      <c r="C1151" s="81" t="s">
        <v>417</v>
      </c>
      <c r="D1151" s="82"/>
      <c r="E1151" s="82"/>
      <c r="F1151" s="82"/>
      <c r="G1151" s="82"/>
      <c r="H1151" s="82"/>
      <c r="I1151" s="83"/>
      <c r="J1151" s="83"/>
      <c r="K1151" s="83"/>
      <c r="L1151" s="83"/>
    </row>
    <row r="1152" spans="1:12" ht="12" customHeight="1" x14ac:dyDescent="0.35">
      <c r="A1152" s="134">
        <v>10111000</v>
      </c>
      <c r="B1152" s="84"/>
      <c r="C1152" s="85" t="s">
        <v>1885</v>
      </c>
      <c r="D1152" s="84" t="s">
        <v>418</v>
      </c>
      <c r="E1152" s="84" t="str">
        <f>VLOOKUP(C1152,HSD!B:K,2,FALSE)</f>
        <v>OJ</v>
      </c>
      <c r="F1152" s="128">
        <v>5.9999999999999995E-4</v>
      </c>
      <c r="G1152" s="87">
        <f>VLOOKUP(C1152,HSD!B:K,10,FALSE)</f>
        <v>18750</v>
      </c>
      <c r="H1152" s="87">
        <f>F1152*G1152</f>
        <v>11.249999999999998</v>
      </c>
      <c r="I1152" s="87">
        <v>78600</v>
      </c>
      <c r="J1152" s="87">
        <f>F1152*I1152</f>
        <v>47.16</v>
      </c>
      <c r="K1152" s="87">
        <v>78600</v>
      </c>
      <c r="L1152" s="87">
        <f>F1152*K1152</f>
        <v>47.16</v>
      </c>
    </row>
    <row r="1153" spans="1:12" ht="12" customHeight="1" x14ac:dyDescent="0.35">
      <c r="A1153" s="134">
        <v>10121110</v>
      </c>
      <c r="B1153" s="84"/>
      <c r="C1153" s="85" t="s">
        <v>1887</v>
      </c>
      <c r="D1153" s="84" t="s">
        <v>418</v>
      </c>
      <c r="E1153" s="84" t="str">
        <f>VLOOKUP(C1153,HSD!B:K,2,FALSE)</f>
        <v>OJ</v>
      </c>
      <c r="F1153" s="128">
        <v>3.2000000000000002E-3</v>
      </c>
      <c r="G1153" s="87">
        <f>VLOOKUP(C1153,HSD!B:K,10,FALSE)</f>
        <v>16250</v>
      </c>
      <c r="H1153" s="87">
        <f>F1153*G1153</f>
        <v>52</v>
      </c>
      <c r="I1153" s="87"/>
      <c r="J1153" s="87"/>
      <c r="K1153" s="87"/>
      <c r="L1153" s="87"/>
    </row>
    <row r="1154" spans="1:12" ht="12" customHeight="1" x14ac:dyDescent="0.35">
      <c r="A1154" s="134">
        <v>10131000</v>
      </c>
      <c r="B1154" s="84"/>
      <c r="C1154" s="85" t="s">
        <v>1888</v>
      </c>
      <c r="D1154" s="84" t="s">
        <v>418</v>
      </c>
      <c r="E1154" s="84" t="str">
        <f>VLOOKUP(C1154,HSD!B:K,2,FALSE)</f>
        <v>OJ</v>
      </c>
      <c r="F1154" s="128">
        <v>6.3E-3</v>
      </c>
      <c r="G1154" s="87">
        <f>VLOOKUP(C1154,HSD!B:K,10,FALSE)</f>
        <v>15000</v>
      </c>
      <c r="H1154" s="87">
        <f>F1154*G1154</f>
        <v>94.5</v>
      </c>
      <c r="I1154" s="87">
        <v>91500</v>
      </c>
      <c r="J1154" s="87">
        <f>F1154*I1154</f>
        <v>576.45000000000005</v>
      </c>
      <c r="K1154" s="87">
        <v>91500</v>
      </c>
      <c r="L1154" s="87">
        <f>F1154*K1154</f>
        <v>576.45000000000005</v>
      </c>
    </row>
    <row r="1155" spans="1:12" ht="12" customHeight="1" x14ac:dyDescent="0.35">
      <c r="B1155" s="84"/>
      <c r="C1155" s="85"/>
      <c r="D1155" s="84"/>
      <c r="E1155" s="84"/>
      <c r="F1155" s="86"/>
      <c r="G1155" s="87"/>
      <c r="H1155" s="87">
        <f>F1155*G1155</f>
        <v>0</v>
      </c>
      <c r="I1155" s="87">
        <v>92500</v>
      </c>
      <c r="J1155" s="87">
        <f>F1155*I1155</f>
        <v>0</v>
      </c>
      <c r="K1155" s="87">
        <v>92500</v>
      </c>
      <c r="L1155" s="87">
        <f>F1155*K1155</f>
        <v>0</v>
      </c>
    </row>
    <row r="1156" spans="1:12" ht="12" customHeight="1" x14ac:dyDescent="0.35">
      <c r="B1156" s="84"/>
      <c r="C1156" s="85"/>
      <c r="D1156" s="84"/>
      <c r="E1156" s="84"/>
      <c r="F1156" s="86"/>
      <c r="G1156" s="87"/>
      <c r="H1156" s="87"/>
      <c r="I1156" s="87"/>
      <c r="J1156" s="87"/>
      <c r="K1156" s="87"/>
      <c r="L1156" s="87"/>
    </row>
    <row r="1157" spans="1:12" ht="12" customHeight="1" x14ac:dyDescent="0.35">
      <c r="B1157" s="84"/>
      <c r="C1157" s="88"/>
      <c r="D1157" s="79"/>
      <c r="E1157" s="79"/>
      <c r="F1157" s="89" t="s">
        <v>421</v>
      </c>
      <c r="G1157" s="101"/>
      <c r="H1157" s="87">
        <f>SUM(H1152:H1156)</f>
        <v>157.75</v>
      </c>
      <c r="I1157" s="101"/>
      <c r="J1157" s="87">
        <f>SUM(J1152:J1156)</f>
        <v>623.61</v>
      </c>
      <c r="K1157" s="101"/>
      <c r="L1157" s="87">
        <f>SUM(L1152:L1156)</f>
        <v>623.61</v>
      </c>
    </row>
    <row r="1158" spans="1:12" ht="12" customHeight="1" x14ac:dyDescent="0.35">
      <c r="B1158" s="84" t="s">
        <v>6</v>
      </c>
      <c r="C1158" s="88" t="s">
        <v>422</v>
      </c>
      <c r="D1158" s="79"/>
      <c r="E1158" s="79"/>
      <c r="F1158" s="90"/>
      <c r="G1158" s="84"/>
      <c r="H1158" s="87"/>
      <c r="I1158" s="84"/>
      <c r="J1158" s="87"/>
      <c r="K1158" s="84"/>
      <c r="L1158" s="87"/>
    </row>
    <row r="1159" spans="1:12" ht="12" customHeight="1" x14ac:dyDescent="0.35">
      <c r="B1159" s="84"/>
      <c r="C1159" s="85"/>
      <c r="D1159" s="84"/>
      <c r="E1159" s="84"/>
      <c r="F1159" s="128"/>
      <c r="G1159" s="87"/>
      <c r="H1159" s="87">
        <f>F1159*G1159</f>
        <v>0</v>
      </c>
      <c r="I1159" s="87">
        <v>232500</v>
      </c>
      <c r="J1159" s="87">
        <f>F1159*I1159</f>
        <v>0</v>
      </c>
      <c r="K1159" s="87">
        <v>270000</v>
      </c>
      <c r="L1159" s="87">
        <f>F1159*K1159</f>
        <v>0</v>
      </c>
    </row>
    <row r="1160" spans="1:12" ht="12" customHeight="1" x14ac:dyDescent="0.35">
      <c r="B1160" s="84"/>
      <c r="C1160" s="88"/>
      <c r="D1160" s="79"/>
      <c r="E1160" s="84"/>
      <c r="F1160" s="102"/>
      <c r="G1160" s="87"/>
      <c r="H1160" s="87">
        <f>F1160*G1160</f>
        <v>0</v>
      </c>
      <c r="I1160" s="87">
        <v>1060</v>
      </c>
      <c r="J1160" s="87">
        <f>F1160*I1160</f>
        <v>0</v>
      </c>
      <c r="K1160" s="87">
        <v>1060</v>
      </c>
      <c r="L1160" s="87">
        <f>F1160*K1160</f>
        <v>0</v>
      </c>
    </row>
    <row r="1161" spans="1:12" ht="12" customHeight="1" x14ac:dyDescent="0.35">
      <c r="B1161" s="84"/>
      <c r="C1161" s="88"/>
      <c r="D1161" s="79"/>
      <c r="E1161" s="84"/>
      <c r="F1161" s="102"/>
      <c r="G1161" s="87"/>
      <c r="H1161" s="87">
        <f>F1161*G1161</f>
        <v>0</v>
      </c>
      <c r="I1161" s="87">
        <v>215000</v>
      </c>
      <c r="J1161" s="87">
        <f>F1161*I1161</f>
        <v>0</v>
      </c>
      <c r="K1161" s="87">
        <v>250000</v>
      </c>
      <c r="L1161" s="87">
        <f>F1161*K1161</f>
        <v>0</v>
      </c>
    </row>
    <row r="1162" spans="1:12" ht="12" customHeight="1" x14ac:dyDescent="0.35">
      <c r="B1162" s="84"/>
      <c r="C1162" s="88"/>
      <c r="D1162" s="79"/>
      <c r="E1162" s="79"/>
      <c r="F1162" s="89"/>
      <c r="G1162" s="101"/>
      <c r="H1162" s="87">
        <f>SUM(H1159:H1161)</f>
        <v>0</v>
      </c>
      <c r="I1162" s="101"/>
      <c r="J1162" s="87">
        <f>SUM(J1159:J1161)</f>
        <v>0</v>
      </c>
      <c r="K1162" s="101"/>
      <c r="L1162" s="87">
        <f>SUM(L1159:L1161)</f>
        <v>0</v>
      </c>
    </row>
    <row r="1163" spans="1:12" ht="12" customHeight="1" x14ac:dyDescent="0.35">
      <c r="B1163" s="84" t="s">
        <v>7</v>
      </c>
      <c r="C1163" s="88" t="s">
        <v>424</v>
      </c>
      <c r="D1163" s="79"/>
      <c r="E1163" s="79"/>
      <c r="F1163" s="90"/>
      <c r="G1163" s="84"/>
      <c r="H1163" s="87"/>
      <c r="I1163" s="84"/>
      <c r="J1163" s="87"/>
      <c r="K1163" s="84"/>
      <c r="L1163" s="87"/>
    </row>
    <row r="1164" spans="1:12" ht="12" customHeight="1" x14ac:dyDescent="0.35">
      <c r="A1164" s="134" t="s">
        <v>572</v>
      </c>
      <c r="B1164" s="84"/>
      <c r="C1164" s="85" t="s">
        <v>573</v>
      </c>
      <c r="D1164" s="84" t="s">
        <v>418</v>
      </c>
      <c r="E1164" s="84" t="str">
        <f>VLOOKUP(C1164,HSD!B:K,2,FALSE)</f>
        <v>jam</v>
      </c>
      <c r="F1164" s="128">
        <v>8.1430000000000002E-2</v>
      </c>
      <c r="G1164" s="87">
        <f>VLOOKUP(C1164,HSD!B:K,10,FALSE)</f>
        <v>932909.79</v>
      </c>
      <c r="H1164" s="87">
        <f>F1164*G1164</f>
        <v>75966.844199700005</v>
      </c>
      <c r="I1164" s="87"/>
      <c r="J1164" s="87">
        <f>H1164*I1164</f>
        <v>0</v>
      </c>
      <c r="K1164" s="87"/>
      <c r="L1164" s="87">
        <f>J1164*K1164</f>
        <v>0</v>
      </c>
    </row>
    <row r="1165" spans="1:12" ht="12" customHeight="1" x14ac:dyDescent="0.35">
      <c r="A1165" s="134">
        <v>31100008</v>
      </c>
      <c r="B1165" s="84"/>
      <c r="C1165" s="85" t="s">
        <v>1836</v>
      </c>
      <c r="D1165" s="84" t="s">
        <v>418</v>
      </c>
      <c r="E1165" s="84" t="str">
        <f>VLOOKUP(C1165,HSD!B:K,2,FALSE)</f>
        <v>jam</v>
      </c>
      <c r="F1165" s="128">
        <v>5.1900000000000002E-2</v>
      </c>
      <c r="G1165" s="87">
        <f>VLOOKUP(C1165,HSD!B:K,10,FALSE)</f>
        <v>1053489.6200000001</v>
      </c>
      <c r="H1165" s="87">
        <f>F1165*G1165</f>
        <v>54676.111278000004</v>
      </c>
      <c r="I1165" s="87"/>
      <c r="J1165" s="87"/>
      <c r="K1165" s="87"/>
      <c r="L1165" s="87"/>
    </row>
    <row r="1166" spans="1:12" ht="12" customHeight="1" x14ac:dyDescent="0.35">
      <c r="A1166" s="134">
        <v>31100029</v>
      </c>
      <c r="B1166" s="84"/>
      <c r="C1166" s="85" t="s">
        <v>1827</v>
      </c>
      <c r="D1166" s="84" t="s">
        <v>418</v>
      </c>
      <c r="E1166" s="84" t="str">
        <f>VLOOKUP(C1166,HSD!B:K,2,FALSE)</f>
        <v>jam</v>
      </c>
      <c r="F1166" s="128">
        <v>8.3000000000000001E-4</v>
      </c>
      <c r="G1166" s="87">
        <f>VLOOKUP(C1166,HSD!B:K,10,FALSE)</f>
        <v>1332979.1599999999</v>
      </c>
      <c r="H1166" s="87">
        <f>F1166*G1166</f>
        <v>1106.3727027999998</v>
      </c>
      <c r="I1166" s="87"/>
      <c r="J1166" s="87"/>
      <c r="K1166" s="87"/>
      <c r="L1166" s="87"/>
    </row>
    <row r="1167" spans="1:12" ht="12" customHeight="1" x14ac:dyDescent="0.35">
      <c r="B1167" s="84"/>
      <c r="C1167" s="88"/>
      <c r="D1167" s="79"/>
      <c r="E1167" s="79"/>
      <c r="F1167" s="89" t="s">
        <v>425</v>
      </c>
      <c r="G1167" s="101"/>
      <c r="H1167" s="87">
        <f>SUM(H1164:H1166)</f>
        <v>131749.32818050002</v>
      </c>
      <c r="I1167" s="101"/>
      <c r="J1167" s="87">
        <f>SUM(J1164)</f>
        <v>0</v>
      </c>
      <c r="K1167" s="101"/>
      <c r="L1167" s="87">
        <f>SUM(L1164)</f>
        <v>0</v>
      </c>
    </row>
    <row r="1168" spans="1:12" ht="12" customHeight="1" x14ac:dyDescent="0.35">
      <c r="B1168" s="84" t="s">
        <v>8</v>
      </c>
      <c r="C1168" s="103" t="s">
        <v>426</v>
      </c>
      <c r="D1168" s="104"/>
      <c r="E1168" s="104"/>
      <c r="F1168" s="104"/>
      <c r="G1168" s="105"/>
      <c r="H1168" s="87">
        <f>H1157+H1162+H1167</f>
        <v>131907.07818050002</v>
      </c>
      <c r="I1168" s="105"/>
      <c r="J1168" s="87">
        <f>J1157+J1162+J1167</f>
        <v>623.61</v>
      </c>
      <c r="K1168" s="105"/>
      <c r="L1168" s="87">
        <f>L1157+L1162+L1167</f>
        <v>623.61</v>
      </c>
    </row>
    <row r="1169" spans="1:12" ht="12" customHeight="1" x14ac:dyDescent="0.35">
      <c r="B1169" s="84" t="s">
        <v>9</v>
      </c>
      <c r="C1169" s="455" t="s">
        <v>427</v>
      </c>
      <c r="D1169" s="455"/>
      <c r="E1169" s="455"/>
      <c r="F1169" s="95">
        <f>0</f>
        <v>0</v>
      </c>
      <c r="G1169" s="85" t="s">
        <v>428</v>
      </c>
      <c r="H1169" s="87">
        <f>H1168*F1169</f>
        <v>0</v>
      </c>
      <c r="I1169" s="85" t="s">
        <v>428</v>
      </c>
      <c r="J1169" s="87">
        <f>J1168*F1169</f>
        <v>0</v>
      </c>
      <c r="K1169" s="85" t="s">
        <v>428</v>
      </c>
      <c r="L1169" s="87">
        <f>L1168*F1169</f>
        <v>0</v>
      </c>
    </row>
    <row r="1170" spans="1:12" ht="12" customHeight="1" x14ac:dyDescent="0.35">
      <c r="B1170" s="84" t="s">
        <v>10</v>
      </c>
      <c r="C1170" s="103" t="s">
        <v>429</v>
      </c>
      <c r="D1170" s="104"/>
      <c r="E1170" s="104"/>
      <c r="F1170" s="104"/>
      <c r="G1170" s="105"/>
      <c r="H1170" s="96">
        <f>H1168+H1169</f>
        <v>131907.07818050002</v>
      </c>
      <c r="I1170" s="97"/>
      <c r="J1170" s="96">
        <f>J1168+J1169</f>
        <v>623.61</v>
      </c>
      <c r="K1170" s="97"/>
      <c r="L1170" s="96">
        <f>L1168+L1169</f>
        <v>623.61</v>
      </c>
    </row>
    <row r="1172" spans="1:12" ht="37" customHeight="1" x14ac:dyDescent="0.35">
      <c r="B1172" s="76" t="s">
        <v>594</v>
      </c>
      <c r="C1172" s="458" t="s">
        <v>595</v>
      </c>
      <c r="D1172" s="459"/>
      <c r="E1172" s="459"/>
      <c r="F1172" s="459"/>
      <c r="G1172" s="456"/>
      <c r="H1172" s="457"/>
      <c r="I1172" s="455" t="s">
        <v>3</v>
      </c>
      <c r="J1172" s="455"/>
      <c r="K1172" s="455" t="s">
        <v>4</v>
      </c>
      <c r="L1172" s="455"/>
    </row>
    <row r="1173" spans="1:12" ht="12" customHeight="1" x14ac:dyDescent="0.35">
      <c r="B1173" s="451" t="s">
        <v>409</v>
      </c>
      <c r="C1173" s="451" t="s">
        <v>410</v>
      </c>
      <c r="D1173" s="452" t="s">
        <v>411</v>
      </c>
      <c r="E1173" s="451" t="s">
        <v>412</v>
      </c>
      <c r="F1173" s="451" t="s">
        <v>413</v>
      </c>
      <c r="G1173" s="77" t="s">
        <v>414</v>
      </c>
      <c r="H1173" s="77" t="s">
        <v>415</v>
      </c>
      <c r="I1173" s="78" t="s">
        <v>414</v>
      </c>
      <c r="J1173" s="79" t="s">
        <v>415</v>
      </c>
      <c r="K1173" s="79" t="s">
        <v>414</v>
      </c>
      <c r="L1173" s="79" t="s">
        <v>415</v>
      </c>
    </row>
    <row r="1174" spans="1:12" ht="12" customHeight="1" x14ac:dyDescent="0.35">
      <c r="B1174" s="451"/>
      <c r="C1174" s="451"/>
      <c r="D1174" s="453"/>
      <c r="E1174" s="451"/>
      <c r="F1174" s="451"/>
      <c r="G1174" s="77" t="s">
        <v>17</v>
      </c>
      <c r="H1174" s="77" t="s">
        <v>416</v>
      </c>
      <c r="I1174" s="78" t="s">
        <v>17</v>
      </c>
      <c r="J1174" s="79" t="s">
        <v>416</v>
      </c>
      <c r="K1174" s="79" t="s">
        <v>17</v>
      </c>
      <c r="L1174" s="79" t="s">
        <v>416</v>
      </c>
    </row>
    <row r="1175" spans="1:12" ht="12" customHeight="1" x14ac:dyDescent="0.35">
      <c r="B1175" s="451"/>
      <c r="C1175" s="451"/>
      <c r="D1175" s="454"/>
      <c r="E1175" s="451"/>
      <c r="F1175" s="451"/>
      <c r="G1175" s="106"/>
      <c r="H1175" s="77" t="s">
        <v>17</v>
      </c>
      <c r="I1175" s="94"/>
      <c r="J1175" s="79" t="s">
        <v>17</v>
      </c>
      <c r="K1175" s="85"/>
      <c r="L1175" s="79" t="s">
        <v>17</v>
      </c>
    </row>
    <row r="1176" spans="1:12" ht="12" customHeight="1" x14ac:dyDescent="0.35">
      <c r="B1176" s="80" t="s">
        <v>5</v>
      </c>
      <c r="C1176" s="81" t="s">
        <v>417</v>
      </c>
      <c r="D1176" s="82"/>
      <c r="E1176" s="82"/>
      <c r="F1176" s="82"/>
      <c r="G1176" s="82"/>
      <c r="H1176" s="82"/>
      <c r="I1176" s="83"/>
      <c r="J1176" s="83"/>
      <c r="K1176" s="83"/>
      <c r="L1176" s="83"/>
    </row>
    <row r="1177" spans="1:12" ht="12" customHeight="1" x14ac:dyDescent="0.35">
      <c r="A1177" s="134">
        <v>10111000</v>
      </c>
      <c r="B1177" s="84"/>
      <c r="C1177" s="85" t="s">
        <v>1885</v>
      </c>
      <c r="D1177" s="84" t="s">
        <v>418</v>
      </c>
      <c r="E1177" s="84" t="str">
        <f>VLOOKUP(C1177,HSD!B:K,2,FALSE)</f>
        <v>OJ</v>
      </c>
      <c r="F1177" s="128">
        <v>1.6299999999999999E-2</v>
      </c>
      <c r="G1177" s="87">
        <f>VLOOKUP(C1177,HSD!B:K,10,FALSE)</f>
        <v>18750</v>
      </c>
      <c r="H1177" s="87">
        <f>F1177*G1177</f>
        <v>305.625</v>
      </c>
      <c r="I1177" s="87">
        <v>78600</v>
      </c>
      <c r="J1177" s="87">
        <f>F1177*I1177</f>
        <v>1281.1799999999998</v>
      </c>
      <c r="K1177" s="87">
        <v>78600</v>
      </c>
      <c r="L1177" s="87">
        <f>F1177*K1177</f>
        <v>1281.1799999999998</v>
      </c>
    </row>
    <row r="1178" spans="1:12" ht="12" customHeight="1" x14ac:dyDescent="0.35">
      <c r="A1178" s="134">
        <v>10121110</v>
      </c>
      <c r="B1178" s="84"/>
      <c r="C1178" s="85" t="s">
        <v>1887</v>
      </c>
      <c r="D1178" s="84" t="s">
        <v>418</v>
      </c>
      <c r="E1178" s="84" t="str">
        <f>VLOOKUP(C1178,HSD!B:K,2,FALSE)</f>
        <v>OJ</v>
      </c>
      <c r="F1178" s="128">
        <v>8.14E-2</v>
      </c>
      <c r="G1178" s="87">
        <f>VLOOKUP(C1178,HSD!B:K,10,FALSE)</f>
        <v>16250</v>
      </c>
      <c r="H1178" s="87">
        <f>F1178*G1178</f>
        <v>1322.75</v>
      </c>
      <c r="I1178" s="87"/>
      <c r="J1178" s="87"/>
      <c r="K1178" s="87"/>
      <c r="L1178" s="87"/>
    </row>
    <row r="1179" spans="1:12" ht="12" customHeight="1" x14ac:dyDescent="0.35">
      <c r="A1179" s="134">
        <v>10131000</v>
      </c>
      <c r="B1179" s="84"/>
      <c r="C1179" s="85" t="s">
        <v>1888</v>
      </c>
      <c r="D1179" s="84" t="s">
        <v>418</v>
      </c>
      <c r="E1179" s="84" t="str">
        <f>VLOOKUP(C1179,HSD!B:K,2,FALSE)</f>
        <v>OJ</v>
      </c>
      <c r="F1179" s="128">
        <v>0.16289999999999999</v>
      </c>
      <c r="G1179" s="87">
        <f>VLOOKUP(C1179,HSD!B:K,10,FALSE)</f>
        <v>15000</v>
      </c>
      <c r="H1179" s="87">
        <f>F1179*G1179</f>
        <v>2443.5</v>
      </c>
      <c r="I1179" s="87">
        <v>91500</v>
      </c>
      <c r="J1179" s="87">
        <f>F1179*I1179</f>
        <v>14905.349999999999</v>
      </c>
      <c r="K1179" s="87">
        <v>91500</v>
      </c>
      <c r="L1179" s="87">
        <f>F1179*K1179</f>
        <v>14905.349999999999</v>
      </c>
    </row>
    <row r="1180" spans="1:12" ht="12" customHeight="1" x14ac:dyDescent="0.35">
      <c r="B1180" s="84"/>
      <c r="C1180" s="85"/>
      <c r="D1180" s="84"/>
      <c r="E1180" s="84"/>
      <c r="F1180" s="86"/>
      <c r="G1180" s="87"/>
      <c r="H1180" s="87">
        <f>F1180*G1180</f>
        <v>0</v>
      </c>
      <c r="I1180" s="87">
        <v>92500</v>
      </c>
      <c r="J1180" s="87">
        <f>F1180*I1180</f>
        <v>0</v>
      </c>
      <c r="K1180" s="87">
        <v>92500</v>
      </c>
      <c r="L1180" s="87">
        <f>F1180*K1180</f>
        <v>0</v>
      </c>
    </row>
    <row r="1181" spans="1:12" ht="12" customHeight="1" x14ac:dyDescent="0.35">
      <c r="B1181" s="84"/>
      <c r="C1181" s="85"/>
      <c r="D1181" s="84"/>
      <c r="E1181" s="84"/>
      <c r="F1181" s="86"/>
      <c r="G1181" s="87"/>
      <c r="H1181" s="87"/>
      <c r="I1181" s="87"/>
      <c r="J1181" s="87"/>
      <c r="K1181" s="87"/>
      <c r="L1181" s="87"/>
    </row>
    <row r="1182" spans="1:12" ht="12" customHeight="1" x14ac:dyDescent="0.35">
      <c r="B1182" s="84"/>
      <c r="C1182" s="88"/>
      <c r="D1182" s="79"/>
      <c r="E1182" s="79"/>
      <c r="F1182" s="89" t="s">
        <v>421</v>
      </c>
      <c r="G1182" s="101"/>
      <c r="H1182" s="87">
        <f>SUM(H1177:H1181)</f>
        <v>4071.875</v>
      </c>
      <c r="I1182" s="101"/>
      <c r="J1182" s="87">
        <f>SUM(J1177:J1181)</f>
        <v>16186.529999999999</v>
      </c>
      <c r="K1182" s="101"/>
      <c r="L1182" s="87">
        <f>SUM(L1177:L1181)</f>
        <v>16186.529999999999</v>
      </c>
    </row>
    <row r="1183" spans="1:12" ht="12" customHeight="1" x14ac:dyDescent="0.35">
      <c r="B1183" s="84" t="s">
        <v>6</v>
      </c>
      <c r="C1183" s="88" t="s">
        <v>422</v>
      </c>
      <c r="D1183" s="79"/>
      <c r="E1183" s="79"/>
      <c r="F1183" s="90"/>
      <c r="G1183" s="84"/>
      <c r="H1183" s="87"/>
      <c r="I1183" s="84"/>
      <c r="J1183" s="87"/>
      <c r="K1183" s="84"/>
      <c r="L1183" s="87"/>
    </row>
    <row r="1184" spans="1:12" ht="12" customHeight="1" x14ac:dyDescent="0.35">
      <c r="B1184" s="84"/>
      <c r="C1184" s="85"/>
      <c r="D1184" s="84"/>
      <c r="E1184" s="84"/>
      <c r="F1184" s="128"/>
      <c r="G1184" s="87"/>
      <c r="H1184" s="87">
        <f>F1184*G1184</f>
        <v>0</v>
      </c>
      <c r="I1184" s="87">
        <v>232500</v>
      </c>
      <c r="J1184" s="87">
        <f>F1184*I1184</f>
        <v>0</v>
      </c>
      <c r="K1184" s="87">
        <v>270000</v>
      </c>
      <c r="L1184" s="87">
        <f>F1184*K1184</f>
        <v>0</v>
      </c>
    </row>
    <row r="1185" spans="1:12" ht="12" customHeight="1" x14ac:dyDescent="0.35">
      <c r="B1185" s="84"/>
      <c r="C1185" s="88"/>
      <c r="D1185" s="79"/>
      <c r="E1185" s="84"/>
      <c r="F1185" s="102"/>
      <c r="G1185" s="87"/>
      <c r="H1185" s="87">
        <f>F1185*G1185</f>
        <v>0</v>
      </c>
      <c r="I1185" s="87">
        <v>1060</v>
      </c>
      <c r="J1185" s="87">
        <f>F1185*I1185</f>
        <v>0</v>
      </c>
      <c r="K1185" s="87">
        <v>1060</v>
      </c>
      <c r="L1185" s="87">
        <f>F1185*K1185</f>
        <v>0</v>
      </c>
    </row>
    <row r="1186" spans="1:12" ht="12" customHeight="1" x14ac:dyDescent="0.35">
      <c r="B1186" s="84"/>
      <c r="C1186" s="88"/>
      <c r="D1186" s="79"/>
      <c r="E1186" s="84"/>
      <c r="F1186" s="102"/>
      <c r="G1186" s="87"/>
      <c r="H1186" s="87">
        <f>F1186*G1186</f>
        <v>0</v>
      </c>
      <c r="I1186" s="87">
        <v>215000</v>
      </c>
      <c r="J1186" s="87">
        <f>F1186*I1186</f>
        <v>0</v>
      </c>
      <c r="K1186" s="87">
        <v>250000</v>
      </c>
      <c r="L1186" s="87">
        <f>F1186*K1186</f>
        <v>0</v>
      </c>
    </row>
    <row r="1187" spans="1:12" ht="12" customHeight="1" x14ac:dyDescent="0.35">
      <c r="B1187" s="84"/>
      <c r="C1187" s="88"/>
      <c r="D1187" s="79"/>
      <c r="E1187" s="79"/>
      <c r="F1187" s="89"/>
      <c r="G1187" s="101"/>
      <c r="H1187" s="87">
        <f>SUM(H1184:H1186)</f>
        <v>0</v>
      </c>
      <c r="I1187" s="101"/>
      <c r="J1187" s="87">
        <f>SUM(J1184:J1186)</f>
        <v>0</v>
      </c>
      <c r="K1187" s="101"/>
      <c r="L1187" s="87">
        <f>SUM(L1184:L1186)</f>
        <v>0</v>
      </c>
    </row>
    <row r="1188" spans="1:12" ht="12" customHeight="1" x14ac:dyDescent="0.35">
      <c r="B1188" s="84" t="s">
        <v>7</v>
      </c>
      <c r="C1188" s="88" t="s">
        <v>424</v>
      </c>
      <c r="D1188" s="79"/>
      <c r="E1188" s="79"/>
      <c r="F1188" s="90"/>
      <c r="G1188" s="84"/>
      <c r="H1188" s="87"/>
      <c r="I1188" s="84"/>
      <c r="J1188" s="87"/>
      <c r="K1188" s="84"/>
      <c r="L1188" s="87"/>
    </row>
    <row r="1189" spans="1:12" ht="12" customHeight="1" x14ac:dyDescent="0.35">
      <c r="A1189" s="134" t="s">
        <v>572</v>
      </c>
      <c r="B1189" s="84"/>
      <c r="C1189" s="85" t="s">
        <v>573</v>
      </c>
      <c r="D1189" s="84" t="s">
        <v>418</v>
      </c>
      <c r="E1189" s="84" t="str">
        <f>VLOOKUP(C1189,HSD!B:K,2,FALSE)</f>
        <v>jam</v>
      </c>
      <c r="F1189" s="128">
        <v>8.1430000000000002E-2</v>
      </c>
      <c r="G1189" s="87">
        <f>VLOOKUP(C1189,HSD!B:K,10,FALSE)</f>
        <v>932909.79</v>
      </c>
      <c r="H1189" s="87">
        <f>F1189*G1189</f>
        <v>75966.844199700005</v>
      </c>
      <c r="I1189" s="87"/>
      <c r="J1189" s="87">
        <f>H1189*I1189</f>
        <v>0</v>
      </c>
      <c r="K1189" s="87"/>
      <c r="L1189" s="87">
        <f>J1189*K1189</f>
        <v>0</v>
      </c>
    </row>
    <row r="1190" spans="1:12" ht="12" customHeight="1" x14ac:dyDescent="0.35">
      <c r="A1190" s="134">
        <v>31100008</v>
      </c>
      <c r="B1190" s="84"/>
      <c r="C1190" s="85" t="s">
        <v>1836</v>
      </c>
      <c r="D1190" s="84" t="s">
        <v>418</v>
      </c>
      <c r="E1190" s="84" t="str">
        <f>VLOOKUP(C1190,HSD!B:K,2,FALSE)</f>
        <v>jam</v>
      </c>
      <c r="F1190" s="128">
        <v>9.6200000000000001E-3</v>
      </c>
      <c r="G1190" s="87">
        <f>VLOOKUP(C1190,HSD!B:K,10,FALSE)</f>
        <v>1053489.6200000001</v>
      </c>
      <c r="H1190" s="87">
        <f>F1190*G1190</f>
        <v>10134.570144400001</v>
      </c>
      <c r="I1190" s="87"/>
      <c r="J1190" s="87"/>
      <c r="K1190" s="87"/>
      <c r="L1190" s="87"/>
    </row>
    <row r="1191" spans="1:12" ht="12" customHeight="1" x14ac:dyDescent="0.35">
      <c r="B1191" s="84"/>
      <c r="C1191" s="85"/>
      <c r="D1191" s="84"/>
      <c r="E1191" s="84"/>
      <c r="F1191" s="128"/>
      <c r="G1191" s="87"/>
      <c r="H1191" s="87">
        <f>F1191*G1191</f>
        <v>0</v>
      </c>
      <c r="I1191" s="87"/>
      <c r="J1191" s="87"/>
      <c r="K1191" s="87"/>
      <c r="L1191" s="87"/>
    </row>
    <row r="1192" spans="1:12" ht="12" customHeight="1" x14ac:dyDescent="0.35">
      <c r="B1192" s="84"/>
      <c r="C1192" s="88"/>
      <c r="D1192" s="79"/>
      <c r="E1192" s="79"/>
      <c r="F1192" s="89" t="s">
        <v>425</v>
      </c>
      <c r="G1192" s="101"/>
      <c r="H1192" s="87">
        <f>SUM(H1189:H1191)</f>
        <v>86101.414344100005</v>
      </c>
      <c r="I1192" s="101"/>
      <c r="J1192" s="87">
        <f>SUM(J1189)</f>
        <v>0</v>
      </c>
      <c r="K1192" s="101"/>
      <c r="L1192" s="87">
        <f>SUM(L1189)</f>
        <v>0</v>
      </c>
    </row>
    <row r="1193" spans="1:12" ht="12" customHeight="1" x14ac:dyDescent="0.35">
      <c r="B1193" s="84" t="s">
        <v>8</v>
      </c>
      <c r="C1193" s="103" t="s">
        <v>426</v>
      </c>
      <c r="D1193" s="104"/>
      <c r="E1193" s="104"/>
      <c r="F1193" s="104"/>
      <c r="G1193" s="105"/>
      <c r="H1193" s="87">
        <f>H1182+H1187+H1192</f>
        <v>90173.289344100005</v>
      </c>
      <c r="I1193" s="105"/>
      <c r="J1193" s="87">
        <f>J1182+J1187+J1192</f>
        <v>16186.529999999999</v>
      </c>
      <c r="K1193" s="105"/>
      <c r="L1193" s="87">
        <f>L1182+L1187+L1192</f>
        <v>16186.529999999999</v>
      </c>
    </row>
    <row r="1194" spans="1:12" ht="12" customHeight="1" x14ac:dyDescent="0.35">
      <c r="B1194" s="84" t="s">
        <v>9</v>
      </c>
      <c r="C1194" s="455" t="s">
        <v>427</v>
      </c>
      <c r="D1194" s="455"/>
      <c r="E1194" s="455"/>
      <c r="F1194" s="95">
        <f>0</f>
        <v>0</v>
      </c>
      <c r="G1194" s="85" t="s">
        <v>428</v>
      </c>
      <c r="H1194" s="87">
        <f>H1193*F1194</f>
        <v>0</v>
      </c>
      <c r="I1194" s="85" t="s">
        <v>428</v>
      </c>
      <c r="J1194" s="87">
        <f>J1193*F1194</f>
        <v>0</v>
      </c>
      <c r="K1194" s="85" t="s">
        <v>428</v>
      </c>
      <c r="L1194" s="87">
        <f>L1193*F1194</f>
        <v>0</v>
      </c>
    </row>
    <row r="1195" spans="1:12" ht="12" customHeight="1" x14ac:dyDescent="0.35">
      <c r="B1195" s="84" t="s">
        <v>10</v>
      </c>
      <c r="C1195" s="103" t="s">
        <v>429</v>
      </c>
      <c r="D1195" s="104"/>
      <c r="E1195" s="104"/>
      <c r="F1195" s="104"/>
      <c r="G1195" s="105"/>
      <c r="H1195" s="96">
        <f>H1193+H1194</f>
        <v>90173.289344100005</v>
      </c>
      <c r="I1195" s="97"/>
      <c r="J1195" s="96">
        <f>J1193+J1194</f>
        <v>16186.529999999999</v>
      </c>
      <c r="K1195" s="97"/>
      <c r="L1195" s="96">
        <f>L1193+L1194</f>
        <v>16186.529999999999</v>
      </c>
    </row>
    <row r="1197" spans="1:12" ht="37" customHeight="1" x14ac:dyDescent="0.35">
      <c r="B1197" s="76" t="s">
        <v>589</v>
      </c>
      <c r="C1197" s="458" t="s">
        <v>590</v>
      </c>
      <c r="D1197" s="459"/>
      <c r="E1197" s="459"/>
      <c r="F1197" s="459"/>
      <c r="G1197" s="456"/>
      <c r="H1197" s="457"/>
      <c r="I1197" s="455" t="s">
        <v>3</v>
      </c>
      <c r="J1197" s="455"/>
      <c r="K1197" s="455" t="s">
        <v>4</v>
      </c>
      <c r="L1197" s="455"/>
    </row>
    <row r="1198" spans="1:12" ht="12" customHeight="1" x14ac:dyDescent="0.35">
      <c r="B1198" s="451" t="s">
        <v>409</v>
      </c>
      <c r="C1198" s="451" t="s">
        <v>410</v>
      </c>
      <c r="D1198" s="452" t="s">
        <v>411</v>
      </c>
      <c r="E1198" s="451" t="s">
        <v>412</v>
      </c>
      <c r="F1198" s="451" t="s">
        <v>413</v>
      </c>
      <c r="G1198" s="77" t="s">
        <v>414</v>
      </c>
      <c r="H1198" s="77" t="s">
        <v>415</v>
      </c>
      <c r="I1198" s="78" t="s">
        <v>414</v>
      </c>
      <c r="J1198" s="79" t="s">
        <v>415</v>
      </c>
      <c r="K1198" s="79" t="s">
        <v>414</v>
      </c>
      <c r="L1198" s="79" t="s">
        <v>415</v>
      </c>
    </row>
    <row r="1199" spans="1:12" ht="12" customHeight="1" x14ac:dyDescent="0.35">
      <c r="B1199" s="451"/>
      <c r="C1199" s="451"/>
      <c r="D1199" s="453"/>
      <c r="E1199" s="451"/>
      <c r="F1199" s="451"/>
      <c r="G1199" s="77" t="s">
        <v>17</v>
      </c>
      <c r="H1199" s="77" t="s">
        <v>416</v>
      </c>
      <c r="I1199" s="78" t="s">
        <v>17</v>
      </c>
      <c r="J1199" s="79" t="s">
        <v>416</v>
      </c>
      <c r="K1199" s="79" t="s">
        <v>17</v>
      </c>
      <c r="L1199" s="79" t="s">
        <v>416</v>
      </c>
    </row>
    <row r="1200" spans="1:12" ht="12" customHeight="1" x14ac:dyDescent="0.35">
      <c r="B1200" s="451"/>
      <c r="C1200" s="451"/>
      <c r="D1200" s="454"/>
      <c r="E1200" s="451"/>
      <c r="F1200" s="451"/>
      <c r="G1200" s="106"/>
      <c r="H1200" s="77" t="s">
        <v>17</v>
      </c>
      <c r="I1200" s="94"/>
      <c r="J1200" s="79" t="s">
        <v>17</v>
      </c>
      <c r="K1200" s="85"/>
      <c r="L1200" s="79" t="s">
        <v>17</v>
      </c>
    </row>
    <row r="1201" spans="1:12" ht="12" customHeight="1" x14ac:dyDescent="0.35">
      <c r="B1201" s="80" t="s">
        <v>5</v>
      </c>
      <c r="C1201" s="81" t="s">
        <v>417</v>
      </c>
      <c r="D1201" s="82"/>
      <c r="E1201" s="82"/>
      <c r="F1201" s="82"/>
      <c r="G1201" s="82"/>
      <c r="H1201" s="82"/>
      <c r="I1201" s="83"/>
      <c r="J1201" s="83"/>
      <c r="K1201" s="83"/>
      <c r="L1201" s="83"/>
    </row>
    <row r="1202" spans="1:12" ht="12" customHeight="1" x14ac:dyDescent="0.35">
      <c r="A1202" s="134">
        <v>10111000</v>
      </c>
      <c r="B1202" s="84"/>
      <c r="C1202" s="85" t="s">
        <v>1885</v>
      </c>
      <c r="D1202" s="84" t="s">
        <v>418</v>
      </c>
      <c r="E1202" s="84" t="str">
        <f>VLOOKUP(C1202,HSD!B:K,2,FALSE)</f>
        <v>OJ</v>
      </c>
      <c r="F1202" s="128">
        <v>1.6299999999999999E-2</v>
      </c>
      <c r="G1202" s="87">
        <f>VLOOKUP(C1202,HSD!B:K,10,FALSE)</f>
        <v>18750</v>
      </c>
      <c r="H1202" s="87">
        <f>F1202*G1202</f>
        <v>305.625</v>
      </c>
      <c r="I1202" s="87">
        <v>78600</v>
      </c>
      <c r="J1202" s="87">
        <f>F1202*I1202</f>
        <v>1281.1799999999998</v>
      </c>
      <c r="K1202" s="87">
        <v>78600</v>
      </c>
      <c r="L1202" s="87">
        <f>F1202*K1202</f>
        <v>1281.1799999999998</v>
      </c>
    </row>
    <row r="1203" spans="1:12" ht="12" customHeight="1" x14ac:dyDescent="0.35">
      <c r="A1203" s="134">
        <v>10121110</v>
      </c>
      <c r="B1203" s="84"/>
      <c r="C1203" s="85" t="s">
        <v>1887</v>
      </c>
      <c r="D1203" s="84" t="s">
        <v>418</v>
      </c>
      <c r="E1203" s="84" t="str">
        <f>VLOOKUP(C1203,HSD!B:K,2,FALSE)</f>
        <v>OJ</v>
      </c>
      <c r="F1203" s="128">
        <v>8.14E-2</v>
      </c>
      <c r="G1203" s="87">
        <f>VLOOKUP(C1203,HSD!B:K,10,FALSE)</f>
        <v>16250</v>
      </c>
      <c r="H1203" s="87">
        <f>F1203*G1203</f>
        <v>1322.75</v>
      </c>
      <c r="I1203" s="87"/>
      <c r="J1203" s="87"/>
      <c r="K1203" s="87"/>
      <c r="L1203" s="87"/>
    </row>
    <row r="1204" spans="1:12" ht="12" customHeight="1" x14ac:dyDescent="0.35">
      <c r="A1204" s="134">
        <v>10131000</v>
      </c>
      <c r="B1204" s="84"/>
      <c r="C1204" s="85" t="s">
        <v>1888</v>
      </c>
      <c r="D1204" s="84" t="s">
        <v>418</v>
      </c>
      <c r="E1204" s="84" t="str">
        <f>VLOOKUP(C1204,HSD!B:K,2,FALSE)</f>
        <v>OJ</v>
      </c>
      <c r="F1204" s="128">
        <v>0.16289999999999999</v>
      </c>
      <c r="G1204" s="87">
        <f>VLOOKUP(C1204,HSD!B:K,10,FALSE)</f>
        <v>15000</v>
      </c>
      <c r="H1204" s="87">
        <f>F1204*G1204</f>
        <v>2443.5</v>
      </c>
      <c r="I1204" s="87">
        <v>91500</v>
      </c>
      <c r="J1204" s="87">
        <f>F1204*I1204</f>
        <v>14905.349999999999</v>
      </c>
      <c r="K1204" s="87">
        <v>91500</v>
      </c>
      <c r="L1204" s="87">
        <f>F1204*K1204</f>
        <v>14905.349999999999</v>
      </c>
    </row>
    <row r="1205" spans="1:12" ht="12" customHeight="1" x14ac:dyDescent="0.35">
      <c r="B1205" s="84"/>
      <c r="C1205" s="85"/>
      <c r="D1205" s="84"/>
      <c r="E1205" s="84"/>
      <c r="F1205" s="86"/>
      <c r="G1205" s="87"/>
      <c r="H1205" s="87">
        <f>F1205*G1205</f>
        <v>0</v>
      </c>
      <c r="I1205" s="87">
        <v>92500</v>
      </c>
      <c r="J1205" s="87">
        <f>F1205*I1205</f>
        <v>0</v>
      </c>
      <c r="K1205" s="87">
        <v>92500</v>
      </c>
      <c r="L1205" s="87">
        <f>F1205*K1205</f>
        <v>0</v>
      </c>
    </row>
    <row r="1206" spans="1:12" ht="12" customHeight="1" x14ac:dyDescent="0.35">
      <c r="B1206" s="84"/>
      <c r="C1206" s="85"/>
      <c r="D1206" s="84"/>
      <c r="E1206" s="84"/>
      <c r="F1206" s="86"/>
      <c r="G1206" s="87"/>
      <c r="H1206" s="87"/>
      <c r="I1206" s="87"/>
      <c r="J1206" s="87"/>
      <c r="K1206" s="87"/>
      <c r="L1206" s="87"/>
    </row>
    <row r="1207" spans="1:12" ht="12" customHeight="1" x14ac:dyDescent="0.35">
      <c r="B1207" s="84"/>
      <c r="C1207" s="88"/>
      <c r="D1207" s="79"/>
      <c r="E1207" s="79"/>
      <c r="F1207" s="89" t="s">
        <v>421</v>
      </c>
      <c r="G1207" s="101"/>
      <c r="H1207" s="87">
        <f>SUM(H1202:H1206)</f>
        <v>4071.875</v>
      </c>
      <c r="I1207" s="101"/>
      <c r="J1207" s="87">
        <f>SUM(J1202:J1206)</f>
        <v>16186.529999999999</v>
      </c>
      <c r="K1207" s="101"/>
      <c r="L1207" s="87">
        <f>SUM(L1202:L1206)</f>
        <v>16186.529999999999</v>
      </c>
    </row>
    <row r="1208" spans="1:12" ht="12" customHeight="1" x14ac:dyDescent="0.35">
      <c r="B1208" s="84" t="s">
        <v>6</v>
      </c>
      <c r="C1208" s="88" t="s">
        <v>422</v>
      </c>
      <c r="D1208" s="79"/>
      <c r="E1208" s="79"/>
      <c r="F1208" s="90"/>
      <c r="G1208" s="84"/>
      <c r="H1208" s="87"/>
      <c r="I1208" s="84"/>
      <c r="J1208" s="87"/>
      <c r="K1208" s="84"/>
      <c r="L1208" s="87"/>
    </row>
    <row r="1209" spans="1:12" ht="12" customHeight="1" x14ac:dyDescent="0.35">
      <c r="A1209" s="134">
        <v>211100116</v>
      </c>
      <c r="B1209" s="84"/>
      <c r="C1209" s="85" t="s">
        <v>52</v>
      </c>
      <c r="D1209" s="84" t="s">
        <v>418</v>
      </c>
      <c r="E1209" s="84" t="str">
        <f>VLOOKUP(C1209,HSD!B:K,2,FALSE)</f>
        <v>m3</v>
      </c>
      <c r="F1209" s="128">
        <v>1.62</v>
      </c>
      <c r="G1209" s="87">
        <f>VLOOKUP(C1209,HSD!B:K,10,FALSE)</f>
        <v>80000</v>
      </c>
      <c r="H1209" s="87">
        <f>F1209*G1209</f>
        <v>129600.00000000001</v>
      </c>
      <c r="I1209" s="87">
        <v>232500</v>
      </c>
      <c r="J1209" s="87">
        <f>F1209*I1209</f>
        <v>376650</v>
      </c>
      <c r="K1209" s="87">
        <v>270000</v>
      </c>
      <c r="L1209" s="87">
        <f>F1209*K1209</f>
        <v>437400</v>
      </c>
    </row>
    <row r="1210" spans="1:12" ht="12" customHeight="1" x14ac:dyDescent="0.35">
      <c r="B1210" s="84"/>
      <c r="C1210" s="88" t="s">
        <v>588</v>
      </c>
      <c r="D1210" s="79"/>
      <c r="E1210" s="84"/>
      <c r="F1210" s="102"/>
      <c r="G1210" s="87"/>
      <c r="H1210" s="87">
        <f>F1210*G1210</f>
        <v>0</v>
      </c>
      <c r="I1210" s="87">
        <v>1060</v>
      </c>
      <c r="J1210" s="87">
        <f>F1210*I1210</f>
        <v>0</v>
      </c>
      <c r="K1210" s="87">
        <v>1060</v>
      </c>
      <c r="L1210" s="87">
        <f>F1210*K1210</f>
        <v>0</v>
      </c>
    </row>
    <row r="1211" spans="1:12" ht="12" customHeight="1" x14ac:dyDescent="0.35">
      <c r="B1211" s="84"/>
      <c r="C1211" s="88"/>
      <c r="D1211" s="79"/>
      <c r="E1211" s="84"/>
      <c r="F1211" s="102"/>
      <c r="G1211" s="87"/>
      <c r="H1211" s="87">
        <f>F1211*G1211</f>
        <v>0</v>
      </c>
      <c r="I1211" s="87">
        <v>215000</v>
      </c>
      <c r="J1211" s="87">
        <f>F1211*I1211</f>
        <v>0</v>
      </c>
      <c r="K1211" s="87">
        <v>250000</v>
      </c>
      <c r="L1211" s="87">
        <f>F1211*K1211</f>
        <v>0</v>
      </c>
    </row>
    <row r="1212" spans="1:12" ht="12" customHeight="1" x14ac:dyDescent="0.35">
      <c r="B1212" s="84"/>
      <c r="C1212" s="88"/>
      <c r="D1212" s="79"/>
      <c r="E1212" s="79"/>
      <c r="F1212" s="129" t="s">
        <v>423</v>
      </c>
      <c r="G1212" s="101"/>
      <c r="H1212" s="87">
        <f>SUM(H1209:H1211)</f>
        <v>129600.00000000001</v>
      </c>
      <c r="I1212" s="101"/>
      <c r="J1212" s="87">
        <f>SUM(J1209:J1211)</f>
        <v>376650</v>
      </c>
      <c r="K1212" s="101"/>
      <c r="L1212" s="87">
        <f>SUM(L1209:L1211)</f>
        <v>437400</v>
      </c>
    </row>
    <row r="1213" spans="1:12" ht="12" customHeight="1" x14ac:dyDescent="0.35">
      <c r="B1213" s="84" t="s">
        <v>7</v>
      </c>
      <c r="C1213" s="88" t="s">
        <v>424</v>
      </c>
      <c r="D1213" s="79"/>
      <c r="E1213" s="79"/>
      <c r="F1213" s="90"/>
      <c r="G1213" s="84"/>
      <c r="H1213" s="87"/>
      <c r="I1213" s="84"/>
      <c r="J1213" s="87"/>
      <c r="K1213" s="84"/>
      <c r="L1213" s="87"/>
    </row>
    <row r="1214" spans="1:12" ht="12" customHeight="1" x14ac:dyDescent="0.35">
      <c r="A1214" s="134" t="s">
        <v>572</v>
      </c>
      <c r="B1214" s="84"/>
      <c r="C1214" s="85" t="s">
        <v>573</v>
      </c>
      <c r="D1214" s="84" t="s">
        <v>418</v>
      </c>
      <c r="E1214" s="84" t="str">
        <f>VLOOKUP(C1214,HSD!B:K,2,FALSE)</f>
        <v>jam</v>
      </c>
      <c r="F1214" s="128">
        <v>8.1430000000000002E-2</v>
      </c>
      <c r="G1214" s="87">
        <f>VLOOKUP(C1214,HSD!B:K,10,FALSE)</f>
        <v>932909.79</v>
      </c>
      <c r="H1214" s="87">
        <f>F1214*G1214</f>
        <v>75966.844199700005</v>
      </c>
      <c r="I1214" s="87"/>
      <c r="J1214" s="87">
        <f>H1214*I1214</f>
        <v>0</v>
      </c>
      <c r="K1214" s="87"/>
      <c r="L1214" s="87">
        <f>J1214*K1214</f>
        <v>0</v>
      </c>
    </row>
    <row r="1215" spans="1:12" ht="12" customHeight="1" x14ac:dyDescent="0.35">
      <c r="A1215" s="134">
        <v>31100008</v>
      </c>
      <c r="B1215" s="84"/>
      <c r="C1215" s="85" t="s">
        <v>1836</v>
      </c>
      <c r="D1215" s="84" t="s">
        <v>418</v>
      </c>
      <c r="E1215" s="84" t="str">
        <f>VLOOKUP(C1215,HSD!B:K,2,FALSE)</f>
        <v>jam</v>
      </c>
      <c r="F1215" s="128">
        <v>9.6200000000000001E-3</v>
      </c>
      <c r="G1215" s="87">
        <f>VLOOKUP(C1215,HSD!B:K,10,FALSE)</f>
        <v>1053489.6200000001</v>
      </c>
      <c r="H1215" s="87">
        <f>F1215*G1215</f>
        <v>10134.570144400001</v>
      </c>
      <c r="I1215" s="87"/>
      <c r="J1215" s="87"/>
      <c r="K1215" s="87"/>
      <c r="L1215" s="87"/>
    </row>
    <row r="1216" spans="1:12" ht="12" customHeight="1" x14ac:dyDescent="0.35">
      <c r="A1216" s="134">
        <v>31100029</v>
      </c>
      <c r="B1216" s="84"/>
      <c r="C1216" s="85" t="s">
        <v>1827</v>
      </c>
      <c r="D1216" s="84" t="s">
        <v>418</v>
      </c>
      <c r="E1216" s="84" t="str">
        <f>VLOOKUP(C1216,HSD!B:K,2,FALSE)</f>
        <v>jam</v>
      </c>
      <c r="F1216" s="128">
        <v>1.5900000000000001E-3</v>
      </c>
      <c r="G1216" s="87">
        <f>VLOOKUP(C1216,HSD!B:K,10,FALSE)</f>
        <v>1332979.1599999999</v>
      </c>
      <c r="H1216" s="87">
        <f>F1216*G1216</f>
        <v>2119.4368644000001</v>
      </c>
      <c r="I1216" s="87"/>
      <c r="J1216" s="87"/>
      <c r="K1216" s="87"/>
      <c r="L1216" s="87"/>
    </row>
    <row r="1217" spans="1:12" ht="12" customHeight="1" x14ac:dyDescent="0.35">
      <c r="B1217" s="84"/>
      <c r="C1217" s="88"/>
      <c r="D1217" s="79"/>
      <c r="E1217" s="79"/>
      <c r="F1217" s="89" t="s">
        <v>425</v>
      </c>
      <c r="G1217" s="101"/>
      <c r="H1217" s="87">
        <f>SUM(H1214:H1216)</f>
        <v>88220.851208500011</v>
      </c>
      <c r="I1217" s="101"/>
      <c r="J1217" s="87">
        <f>SUM(J1214)</f>
        <v>0</v>
      </c>
      <c r="K1217" s="101"/>
      <c r="L1217" s="87">
        <f>SUM(L1214)</f>
        <v>0</v>
      </c>
    </row>
    <row r="1218" spans="1:12" ht="12" customHeight="1" x14ac:dyDescent="0.35">
      <c r="B1218" s="84" t="s">
        <v>8</v>
      </c>
      <c r="C1218" s="103" t="s">
        <v>426</v>
      </c>
      <c r="D1218" s="104"/>
      <c r="E1218" s="104"/>
      <c r="F1218" s="104"/>
      <c r="G1218" s="105"/>
      <c r="H1218" s="87">
        <f>H1207+H1212+H1217</f>
        <v>221892.72620850001</v>
      </c>
      <c r="I1218" s="105"/>
      <c r="J1218" s="87">
        <f>J1207+J1212+J1217</f>
        <v>392836.53</v>
      </c>
      <c r="K1218" s="105"/>
      <c r="L1218" s="87">
        <f>L1207+L1212+L1217</f>
        <v>453586.53</v>
      </c>
    </row>
    <row r="1219" spans="1:12" ht="12" customHeight="1" x14ac:dyDescent="0.35">
      <c r="B1219" s="84" t="s">
        <v>9</v>
      </c>
      <c r="C1219" s="455" t="s">
        <v>427</v>
      </c>
      <c r="D1219" s="455"/>
      <c r="E1219" s="455"/>
      <c r="F1219" s="95">
        <f>0</f>
        <v>0</v>
      </c>
      <c r="G1219" s="85" t="s">
        <v>428</v>
      </c>
      <c r="H1219" s="87">
        <f>H1218*F1219</f>
        <v>0</v>
      </c>
      <c r="I1219" s="85" t="s">
        <v>428</v>
      </c>
      <c r="J1219" s="87">
        <f>J1218*F1219</f>
        <v>0</v>
      </c>
      <c r="K1219" s="85" t="s">
        <v>428</v>
      </c>
      <c r="L1219" s="87">
        <f>L1218*F1219</f>
        <v>0</v>
      </c>
    </row>
    <row r="1220" spans="1:12" ht="12" customHeight="1" x14ac:dyDescent="0.35">
      <c r="B1220" s="84" t="s">
        <v>10</v>
      </c>
      <c r="C1220" s="103" t="s">
        <v>429</v>
      </c>
      <c r="D1220" s="104"/>
      <c r="E1220" s="104"/>
      <c r="F1220" s="104"/>
      <c r="G1220" s="105"/>
      <c r="H1220" s="96">
        <f>H1218+H1219</f>
        <v>221892.72620850001</v>
      </c>
      <c r="I1220" s="97"/>
      <c r="J1220" s="96">
        <f>J1218+J1219</f>
        <v>392836.53</v>
      </c>
      <c r="K1220" s="97"/>
      <c r="L1220" s="96">
        <f>L1218+L1219</f>
        <v>453586.53</v>
      </c>
    </row>
    <row r="1222" spans="1:12" ht="37" customHeight="1" x14ac:dyDescent="0.35">
      <c r="B1222" s="76" t="s">
        <v>596</v>
      </c>
      <c r="C1222" s="458" t="s">
        <v>597</v>
      </c>
      <c r="D1222" s="459"/>
      <c r="E1222" s="459"/>
      <c r="F1222" s="459"/>
      <c r="G1222" s="456"/>
      <c r="H1222" s="457"/>
      <c r="I1222" s="455" t="s">
        <v>3</v>
      </c>
      <c r="J1222" s="455"/>
      <c r="K1222" s="455" t="s">
        <v>4</v>
      </c>
      <c r="L1222" s="455"/>
    </row>
    <row r="1223" spans="1:12" ht="12" customHeight="1" x14ac:dyDescent="0.35">
      <c r="B1223" s="451" t="s">
        <v>409</v>
      </c>
      <c r="C1223" s="451" t="s">
        <v>410</v>
      </c>
      <c r="D1223" s="452" t="s">
        <v>411</v>
      </c>
      <c r="E1223" s="451" t="s">
        <v>412</v>
      </c>
      <c r="F1223" s="451" t="s">
        <v>413</v>
      </c>
      <c r="G1223" s="77" t="s">
        <v>414</v>
      </c>
      <c r="H1223" s="77" t="s">
        <v>415</v>
      </c>
      <c r="I1223" s="78" t="s">
        <v>414</v>
      </c>
      <c r="J1223" s="79" t="s">
        <v>415</v>
      </c>
      <c r="K1223" s="79" t="s">
        <v>414</v>
      </c>
      <c r="L1223" s="79" t="s">
        <v>415</v>
      </c>
    </row>
    <row r="1224" spans="1:12" ht="12" customHeight="1" x14ac:dyDescent="0.35">
      <c r="B1224" s="451"/>
      <c r="C1224" s="451"/>
      <c r="D1224" s="453"/>
      <c r="E1224" s="451"/>
      <c r="F1224" s="451"/>
      <c r="G1224" s="77" t="s">
        <v>17</v>
      </c>
      <c r="H1224" s="77" t="s">
        <v>416</v>
      </c>
      <c r="I1224" s="78" t="s">
        <v>17</v>
      </c>
      <c r="J1224" s="79" t="s">
        <v>416</v>
      </c>
      <c r="K1224" s="79" t="s">
        <v>17</v>
      </c>
      <c r="L1224" s="79" t="s">
        <v>416</v>
      </c>
    </row>
    <row r="1225" spans="1:12" ht="12" customHeight="1" x14ac:dyDescent="0.35">
      <c r="B1225" s="451"/>
      <c r="C1225" s="451"/>
      <c r="D1225" s="454"/>
      <c r="E1225" s="451"/>
      <c r="F1225" s="451"/>
      <c r="G1225" s="106"/>
      <c r="H1225" s="77" t="s">
        <v>17</v>
      </c>
      <c r="I1225" s="94"/>
      <c r="J1225" s="79" t="s">
        <v>17</v>
      </c>
      <c r="K1225" s="85"/>
      <c r="L1225" s="79" t="s">
        <v>17</v>
      </c>
    </row>
    <row r="1226" spans="1:12" ht="12" customHeight="1" x14ac:dyDescent="0.35">
      <c r="B1226" s="80" t="s">
        <v>5</v>
      </c>
      <c r="C1226" s="81" t="s">
        <v>417</v>
      </c>
      <c r="D1226" s="82"/>
      <c r="E1226" s="82"/>
      <c r="F1226" s="82"/>
      <c r="G1226" s="82"/>
      <c r="H1226" s="82"/>
      <c r="I1226" s="83"/>
      <c r="J1226" s="83"/>
      <c r="K1226" s="83"/>
      <c r="L1226" s="83"/>
    </row>
    <row r="1227" spans="1:12" ht="12" customHeight="1" x14ac:dyDescent="0.35">
      <c r="A1227" s="134">
        <v>10111000</v>
      </c>
      <c r="B1227" s="84"/>
      <c r="C1227" s="85" t="s">
        <v>1885</v>
      </c>
      <c r="D1227" s="84" t="s">
        <v>418</v>
      </c>
      <c r="E1227" s="84" t="str">
        <f>VLOOKUP(C1227,HSD!B:K,2,FALSE)</f>
        <v>OJ</v>
      </c>
      <c r="F1227" s="128">
        <v>1.6299999999999999E-2</v>
      </c>
      <c r="G1227" s="87">
        <f>VLOOKUP(C1227,HSD!B:K,10,FALSE)</f>
        <v>18750</v>
      </c>
      <c r="H1227" s="87">
        <f>F1227*G1227</f>
        <v>305.625</v>
      </c>
      <c r="I1227" s="87">
        <v>78600</v>
      </c>
      <c r="J1227" s="87">
        <f>F1227*I1227</f>
        <v>1281.1799999999998</v>
      </c>
      <c r="K1227" s="87">
        <v>78600</v>
      </c>
      <c r="L1227" s="87">
        <f>F1227*K1227</f>
        <v>1281.1799999999998</v>
      </c>
    </row>
    <row r="1228" spans="1:12" ht="12" customHeight="1" x14ac:dyDescent="0.35">
      <c r="A1228" s="134">
        <v>10121110</v>
      </c>
      <c r="B1228" s="84"/>
      <c r="C1228" s="85" t="s">
        <v>1887</v>
      </c>
      <c r="D1228" s="84" t="s">
        <v>418</v>
      </c>
      <c r="E1228" s="84" t="str">
        <f>VLOOKUP(C1228,HSD!B:K,2,FALSE)</f>
        <v>OJ</v>
      </c>
      <c r="F1228" s="128">
        <v>4.0000000000000001E-3</v>
      </c>
      <c r="G1228" s="87">
        <f>VLOOKUP(C1228,HSD!B:K,10,FALSE)</f>
        <v>16250</v>
      </c>
      <c r="H1228" s="87">
        <f>F1228*G1228</f>
        <v>65</v>
      </c>
      <c r="I1228" s="87"/>
      <c r="J1228" s="87"/>
      <c r="K1228" s="87"/>
      <c r="L1228" s="87"/>
    </row>
    <row r="1229" spans="1:12" ht="12" customHeight="1" x14ac:dyDescent="0.35">
      <c r="A1229" s="134">
        <v>10131000</v>
      </c>
      <c r="B1229" s="84"/>
      <c r="C1229" s="85" t="s">
        <v>1888</v>
      </c>
      <c r="D1229" s="84" t="s">
        <v>418</v>
      </c>
      <c r="E1229" s="84" t="str">
        <f>VLOOKUP(C1229,HSD!B:K,2,FALSE)</f>
        <v>OJ</v>
      </c>
      <c r="F1229" s="128">
        <v>1.61E-2</v>
      </c>
      <c r="G1229" s="87">
        <f>VLOOKUP(C1229,HSD!B:K,10,FALSE)</f>
        <v>15000</v>
      </c>
      <c r="H1229" s="87">
        <f>F1229*G1229</f>
        <v>241.5</v>
      </c>
      <c r="I1229" s="87">
        <v>91500</v>
      </c>
      <c r="J1229" s="87">
        <f>F1229*I1229</f>
        <v>1473.1499999999999</v>
      </c>
      <c r="K1229" s="87">
        <v>91500</v>
      </c>
      <c r="L1229" s="87">
        <f>F1229*K1229</f>
        <v>1473.1499999999999</v>
      </c>
    </row>
    <row r="1230" spans="1:12" ht="12" customHeight="1" x14ac:dyDescent="0.35">
      <c r="B1230" s="84"/>
      <c r="C1230" s="85"/>
      <c r="D1230" s="84"/>
      <c r="E1230" s="84"/>
      <c r="F1230" s="86"/>
      <c r="G1230" s="87"/>
      <c r="H1230" s="87">
        <f>F1230*G1230</f>
        <v>0</v>
      </c>
      <c r="I1230" s="87">
        <v>92500</v>
      </c>
      <c r="J1230" s="87">
        <f>F1230*I1230</f>
        <v>0</v>
      </c>
      <c r="K1230" s="87">
        <v>92500</v>
      </c>
      <c r="L1230" s="87">
        <f>F1230*K1230</f>
        <v>0</v>
      </c>
    </row>
    <row r="1231" spans="1:12" ht="12" customHeight="1" x14ac:dyDescent="0.35">
      <c r="B1231" s="84"/>
      <c r="C1231" s="85"/>
      <c r="D1231" s="84"/>
      <c r="E1231" s="84"/>
      <c r="F1231" s="86"/>
      <c r="G1231" s="87"/>
      <c r="H1231" s="87"/>
      <c r="I1231" s="87"/>
      <c r="J1231" s="87"/>
      <c r="K1231" s="87"/>
      <c r="L1231" s="87"/>
    </row>
    <row r="1232" spans="1:12" ht="12" customHeight="1" x14ac:dyDescent="0.35">
      <c r="B1232" s="84"/>
      <c r="C1232" s="88"/>
      <c r="D1232" s="79"/>
      <c r="E1232" s="79"/>
      <c r="F1232" s="89" t="s">
        <v>421</v>
      </c>
      <c r="G1232" s="101"/>
      <c r="H1232" s="87">
        <f>SUM(H1227:H1231)</f>
        <v>612.125</v>
      </c>
      <c r="I1232" s="101"/>
      <c r="J1232" s="87">
        <f>SUM(J1227:J1231)</f>
        <v>2754.33</v>
      </c>
      <c r="K1232" s="101"/>
      <c r="L1232" s="87">
        <f>SUM(L1227:L1231)</f>
        <v>2754.33</v>
      </c>
    </row>
    <row r="1233" spans="1:12" ht="12" customHeight="1" x14ac:dyDescent="0.35">
      <c r="B1233" s="84" t="s">
        <v>6</v>
      </c>
      <c r="C1233" s="88" t="s">
        <v>422</v>
      </c>
      <c r="D1233" s="79"/>
      <c r="E1233" s="79"/>
      <c r="F1233" s="90"/>
      <c r="G1233" s="84"/>
      <c r="H1233" s="87"/>
      <c r="I1233" s="84"/>
      <c r="J1233" s="87"/>
      <c r="K1233" s="84"/>
      <c r="L1233" s="87"/>
    </row>
    <row r="1234" spans="1:12" ht="12" customHeight="1" x14ac:dyDescent="0.35">
      <c r="B1234" s="84"/>
      <c r="C1234" s="85"/>
      <c r="D1234" s="84"/>
      <c r="E1234" s="84"/>
      <c r="F1234" s="128"/>
      <c r="G1234" s="87"/>
      <c r="H1234" s="87">
        <f>F1234*G1234</f>
        <v>0</v>
      </c>
      <c r="I1234" s="87">
        <v>232500</v>
      </c>
      <c r="J1234" s="87">
        <f>F1234*I1234</f>
        <v>0</v>
      </c>
      <c r="K1234" s="87">
        <v>270000</v>
      </c>
      <c r="L1234" s="87">
        <f>F1234*K1234</f>
        <v>0</v>
      </c>
    </row>
    <row r="1235" spans="1:12" ht="12" customHeight="1" x14ac:dyDescent="0.35">
      <c r="B1235" s="84"/>
      <c r="C1235" s="88"/>
      <c r="D1235" s="79"/>
      <c r="E1235" s="84"/>
      <c r="F1235" s="102"/>
      <c r="G1235" s="87"/>
      <c r="H1235" s="87">
        <f>F1235*G1235</f>
        <v>0</v>
      </c>
      <c r="I1235" s="87">
        <v>1060</v>
      </c>
      <c r="J1235" s="87">
        <f>F1235*I1235</f>
        <v>0</v>
      </c>
      <c r="K1235" s="87">
        <v>1060</v>
      </c>
      <c r="L1235" s="87">
        <f>F1235*K1235</f>
        <v>0</v>
      </c>
    </row>
    <row r="1236" spans="1:12" ht="12" customHeight="1" x14ac:dyDescent="0.35">
      <c r="B1236" s="84"/>
      <c r="C1236" s="88"/>
      <c r="D1236" s="79"/>
      <c r="E1236" s="84"/>
      <c r="F1236" s="102"/>
      <c r="G1236" s="87"/>
      <c r="H1236" s="87">
        <f>F1236*G1236</f>
        <v>0</v>
      </c>
      <c r="I1236" s="87">
        <v>215000</v>
      </c>
      <c r="J1236" s="87">
        <f>F1236*I1236</f>
        <v>0</v>
      </c>
      <c r="K1236" s="87">
        <v>250000</v>
      </c>
      <c r="L1236" s="87">
        <f>F1236*K1236</f>
        <v>0</v>
      </c>
    </row>
    <row r="1237" spans="1:12" ht="12" customHeight="1" x14ac:dyDescent="0.35">
      <c r="B1237" s="84"/>
      <c r="C1237" s="88"/>
      <c r="D1237" s="79"/>
      <c r="E1237" s="79"/>
      <c r="F1237" s="89"/>
      <c r="G1237" s="101"/>
      <c r="H1237" s="87">
        <f>SUM(H1234:H1236)</f>
        <v>0</v>
      </c>
      <c r="I1237" s="101"/>
      <c r="J1237" s="87">
        <f>SUM(J1234:J1236)</f>
        <v>0</v>
      </c>
      <c r="K1237" s="101"/>
      <c r="L1237" s="87">
        <f>SUM(L1234:L1236)</f>
        <v>0</v>
      </c>
    </row>
    <row r="1238" spans="1:12" ht="12" customHeight="1" x14ac:dyDescent="0.35">
      <c r="B1238" s="84" t="s">
        <v>7</v>
      </c>
      <c r="C1238" s="88" t="s">
        <v>424</v>
      </c>
      <c r="D1238" s="79"/>
      <c r="E1238" s="79"/>
      <c r="F1238" s="90"/>
      <c r="G1238" s="84"/>
      <c r="H1238" s="87"/>
      <c r="I1238" s="84"/>
      <c r="J1238" s="87"/>
      <c r="K1238" s="84"/>
      <c r="L1238" s="87"/>
    </row>
    <row r="1239" spans="1:12" ht="12" customHeight="1" x14ac:dyDescent="0.35">
      <c r="A1239" s="134">
        <v>31100029</v>
      </c>
      <c r="B1239" s="84"/>
      <c r="C1239" s="85" t="s">
        <v>1827</v>
      </c>
      <c r="D1239" s="84" t="s">
        <v>418</v>
      </c>
      <c r="E1239" s="84" t="str">
        <f>VLOOKUP(C1239,HSD!B:K,2,FALSE)</f>
        <v>jam</v>
      </c>
      <c r="F1239" s="128">
        <v>6.1199999999999996E-3</v>
      </c>
      <c r="G1239" s="87">
        <f>VLOOKUP(C1239,HSD!B:K,10,FALSE)</f>
        <v>1332979.1599999999</v>
      </c>
      <c r="H1239" s="87">
        <f>F1239*G1239</f>
        <v>8157.832459199999</v>
      </c>
      <c r="I1239" s="87"/>
      <c r="J1239" s="87">
        <f>H1239*I1239</f>
        <v>0</v>
      </c>
      <c r="K1239" s="87"/>
      <c r="L1239" s="87">
        <f>J1239*K1239</f>
        <v>0</v>
      </c>
    </row>
    <row r="1240" spans="1:12" ht="12" customHeight="1" x14ac:dyDescent="0.35">
      <c r="A1240" s="134">
        <v>31100020</v>
      </c>
      <c r="B1240" s="84"/>
      <c r="C1240" s="85" t="s">
        <v>501</v>
      </c>
      <c r="D1240" s="84" t="s">
        <v>418</v>
      </c>
      <c r="E1240" s="84" t="str">
        <f>VLOOKUP(C1240,HSD!B:K,2,FALSE)</f>
        <v>Sewa-hari</v>
      </c>
      <c r="F1240" s="128">
        <v>7.0299999999999998E-3</v>
      </c>
      <c r="G1240" s="87">
        <f>VLOOKUP(C1240,HSD!B:K,10,FALSE)</f>
        <v>759675.86</v>
      </c>
      <c r="H1240" s="87">
        <f>F1240*G1240</f>
        <v>5340.5212958000002</v>
      </c>
      <c r="I1240" s="87"/>
      <c r="J1240" s="87"/>
      <c r="K1240" s="87"/>
      <c r="L1240" s="87"/>
    </row>
    <row r="1241" spans="1:12" ht="12" customHeight="1" x14ac:dyDescent="0.35">
      <c r="A1241" s="134">
        <v>31100022</v>
      </c>
      <c r="B1241" s="84"/>
      <c r="C1241" s="85" t="s">
        <v>1883</v>
      </c>
      <c r="D1241" s="84" t="s">
        <v>418</v>
      </c>
      <c r="E1241" s="84" t="str">
        <f>VLOOKUP(C1241,HSD!B:K,2,FALSE)</f>
        <v>jam</v>
      </c>
      <c r="F1241" s="128">
        <v>5.7373E-2</v>
      </c>
      <c r="G1241" s="87">
        <f>VLOOKUP(C1241,HSD!B:K,10,FALSE)</f>
        <v>0</v>
      </c>
      <c r="H1241" s="87">
        <f>F1241*G1241</f>
        <v>0</v>
      </c>
      <c r="I1241" s="87"/>
      <c r="J1241" s="87"/>
      <c r="K1241" s="87"/>
      <c r="L1241" s="87"/>
    </row>
    <row r="1242" spans="1:12" ht="12" customHeight="1" x14ac:dyDescent="0.35">
      <c r="B1242" s="84"/>
      <c r="C1242" s="88"/>
      <c r="D1242" s="79"/>
      <c r="E1242" s="79"/>
      <c r="F1242" s="89" t="s">
        <v>425</v>
      </c>
      <c r="G1242" s="101"/>
      <c r="H1242" s="87">
        <f>SUM(H1239:H1241)</f>
        <v>13498.353755</v>
      </c>
      <c r="I1242" s="101"/>
      <c r="J1242" s="87">
        <f>SUM(J1239)</f>
        <v>0</v>
      </c>
      <c r="K1242" s="101"/>
      <c r="L1242" s="87">
        <f>SUM(L1239)</f>
        <v>0</v>
      </c>
    </row>
    <row r="1243" spans="1:12" ht="12" customHeight="1" x14ac:dyDescent="0.35">
      <c r="B1243" s="84" t="s">
        <v>8</v>
      </c>
      <c r="C1243" s="103" t="s">
        <v>426</v>
      </c>
      <c r="D1243" s="104"/>
      <c r="E1243" s="104"/>
      <c r="F1243" s="104"/>
      <c r="G1243" s="105"/>
      <c r="H1243" s="87">
        <f>H1232+H1237+H1242</f>
        <v>14110.478755</v>
      </c>
      <c r="I1243" s="105"/>
      <c r="J1243" s="87">
        <f>J1232+J1237+J1242</f>
        <v>2754.33</v>
      </c>
      <c r="K1243" s="105"/>
      <c r="L1243" s="87">
        <f>L1232+L1237+L1242</f>
        <v>2754.33</v>
      </c>
    </row>
    <row r="1244" spans="1:12" ht="12" customHeight="1" x14ac:dyDescent="0.35">
      <c r="B1244" s="84" t="s">
        <v>9</v>
      </c>
      <c r="C1244" s="455" t="s">
        <v>427</v>
      </c>
      <c r="D1244" s="455"/>
      <c r="E1244" s="455"/>
      <c r="F1244" s="95">
        <f>0</f>
        <v>0</v>
      </c>
      <c r="G1244" s="85" t="s">
        <v>428</v>
      </c>
      <c r="H1244" s="87">
        <f>H1243*F1244</f>
        <v>0</v>
      </c>
      <c r="I1244" s="85" t="s">
        <v>428</v>
      </c>
      <c r="J1244" s="87">
        <f>J1243*F1244</f>
        <v>0</v>
      </c>
      <c r="K1244" s="85" t="s">
        <v>428</v>
      </c>
      <c r="L1244" s="87">
        <f>L1243*F1244</f>
        <v>0</v>
      </c>
    </row>
    <row r="1245" spans="1:12" ht="12" customHeight="1" x14ac:dyDescent="0.35">
      <c r="B1245" s="84" t="s">
        <v>10</v>
      </c>
      <c r="C1245" s="103" t="s">
        <v>429</v>
      </c>
      <c r="D1245" s="104"/>
      <c r="E1245" s="104"/>
      <c r="F1245" s="104"/>
      <c r="G1245" s="105"/>
      <c r="H1245" s="96">
        <f>H1243+H1244</f>
        <v>14110.478755</v>
      </c>
      <c r="I1245" s="97"/>
      <c r="J1245" s="96">
        <f>J1243+J1244</f>
        <v>2754.33</v>
      </c>
      <c r="K1245" s="97"/>
      <c r="L1245" s="96">
        <f>L1243+L1244</f>
        <v>2754.33</v>
      </c>
    </row>
    <row r="1247" spans="1:12" ht="37" customHeight="1" x14ac:dyDescent="0.35">
      <c r="B1247" s="76" t="s">
        <v>598</v>
      </c>
      <c r="C1247" s="458" t="s">
        <v>599</v>
      </c>
      <c r="D1247" s="459"/>
      <c r="E1247" s="459"/>
      <c r="F1247" s="459"/>
      <c r="G1247" s="456"/>
      <c r="H1247" s="457"/>
      <c r="I1247" s="455" t="s">
        <v>3</v>
      </c>
      <c r="J1247" s="455"/>
      <c r="K1247" s="455" t="s">
        <v>4</v>
      </c>
      <c r="L1247" s="455"/>
    </row>
    <row r="1248" spans="1:12" ht="12" customHeight="1" x14ac:dyDescent="0.35">
      <c r="B1248" s="451" t="s">
        <v>409</v>
      </c>
      <c r="C1248" s="451" t="s">
        <v>410</v>
      </c>
      <c r="D1248" s="452" t="s">
        <v>411</v>
      </c>
      <c r="E1248" s="451" t="s">
        <v>412</v>
      </c>
      <c r="F1248" s="451" t="s">
        <v>413</v>
      </c>
      <c r="G1248" s="77" t="s">
        <v>414</v>
      </c>
      <c r="H1248" s="77" t="s">
        <v>415</v>
      </c>
      <c r="I1248" s="78" t="s">
        <v>414</v>
      </c>
      <c r="J1248" s="79" t="s">
        <v>415</v>
      </c>
      <c r="K1248" s="79" t="s">
        <v>414</v>
      </c>
      <c r="L1248" s="79" t="s">
        <v>415</v>
      </c>
    </row>
    <row r="1249" spans="1:12" ht="12" customHeight="1" x14ac:dyDescent="0.35">
      <c r="B1249" s="451"/>
      <c r="C1249" s="451"/>
      <c r="D1249" s="453"/>
      <c r="E1249" s="451"/>
      <c r="F1249" s="451"/>
      <c r="G1249" s="77" t="s">
        <v>17</v>
      </c>
      <c r="H1249" s="77" t="s">
        <v>416</v>
      </c>
      <c r="I1249" s="78" t="s">
        <v>17</v>
      </c>
      <c r="J1249" s="79" t="s">
        <v>416</v>
      </c>
      <c r="K1249" s="79" t="s">
        <v>17</v>
      </c>
      <c r="L1249" s="79" t="s">
        <v>416</v>
      </c>
    </row>
    <row r="1250" spans="1:12" ht="12" customHeight="1" x14ac:dyDescent="0.35">
      <c r="B1250" s="451"/>
      <c r="C1250" s="451"/>
      <c r="D1250" s="454"/>
      <c r="E1250" s="451"/>
      <c r="F1250" s="451"/>
      <c r="G1250" s="106"/>
      <c r="H1250" s="77" t="s">
        <v>17</v>
      </c>
      <c r="I1250" s="94"/>
      <c r="J1250" s="79" t="s">
        <v>17</v>
      </c>
      <c r="K1250" s="85"/>
      <c r="L1250" s="79" t="s">
        <v>17</v>
      </c>
    </row>
    <row r="1251" spans="1:12" ht="12" customHeight="1" x14ac:dyDescent="0.35">
      <c r="B1251" s="80" t="s">
        <v>5</v>
      </c>
      <c r="C1251" s="81" t="s">
        <v>417</v>
      </c>
      <c r="D1251" s="82"/>
      <c r="E1251" s="82"/>
      <c r="F1251" s="82"/>
      <c r="G1251" s="82"/>
      <c r="H1251" s="82"/>
      <c r="I1251" s="83"/>
      <c r="J1251" s="83"/>
      <c r="K1251" s="83"/>
      <c r="L1251" s="83"/>
    </row>
    <row r="1252" spans="1:12" ht="12" customHeight="1" x14ac:dyDescent="0.35">
      <c r="A1252" s="134">
        <v>10111000</v>
      </c>
      <c r="B1252" s="84"/>
      <c r="C1252" s="85" t="s">
        <v>1885</v>
      </c>
      <c r="D1252" s="84" t="s">
        <v>418</v>
      </c>
      <c r="E1252" s="84" t="str">
        <f>VLOOKUP(C1252,HSD!B:K,2,FALSE)</f>
        <v>OJ</v>
      </c>
      <c r="F1252" s="128">
        <v>1.6299999999999999E-2</v>
      </c>
      <c r="G1252" s="87">
        <f>VLOOKUP(C1252,HSD!B:K,10,FALSE)</f>
        <v>18750</v>
      </c>
      <c r="H1252" s="87">
        <f>F1252*G1252</f>
        <v>305.625</v>
      </c>
      <c r="I1252" s="87">
        <v>78600</v>
      </c>
      <c r="J1252" s="87">
        <f>F1252*I1252</f>
        <v>1281.1799999999998</v>
      </c>
      <c r="K1252" s="87">
        <v>78600</v>
      </c>
      <c r="L1252" s="87">
        <f>F1252*K1252</f>
        <v>1281.1799999999998</v>
      </c>
    </row>
    <row r="1253" spans="1:12" ht="12" customHeight="1" x14ac:dyDescent="0.35">
      <c r="A1253" s="134">
        <v>10121110</v>
      </c>
      <c r="B1253" s="84"/>
      <c r="C1253" s="85" t="s">
        <v>1887</v>
      </c>
      <c r="D1253" s="84" t="s">
        <v>418</v>
      </c>
      <c r="E1253" s="84" t="str">
        <f>VLOOKUP(C1253,HSD!B:K,2,FALSE)</f>
        <v>OJ</v>
      </c>
      <c r="F1253" s="128">
        <v>4.0000000000000001E-3</v>
      </c>
      <c r="G1253" s="87">
        <f>VLOOKUP(C1253,HSD!B:K,10,FALSE)</f>
        <v>16250</v>
      </c>
      <c r="H1253" s="87">
        <f>F1253*G1253</f>
        <v>65</v>
      </c>
      <c r="I1253" s="87"/>
      <c r="J1253" s="87"/>
      <c r="K1253" s="87"/>
      <c r="L1253" s="87"/>
    </row>
    <row r="1254" spans="1:12" ht="12" customHeight="1" x14ac:dyDescent="0.35">
      <c r="A1254" s="134">
        <v>10131000</v>
      </c>
      <c r="B1254" s="84"/>
      <c r="C1254" s="85" t="s">
        <v>1888</v>
      </c>
      <c r="D1254" s="84" t="s">
        <v>418</v>
      </c>
      <c r="E1254" s="84" t="str">
        <f>VLOOKUP(C1254,HSD!B:K,2,FALSE)</f>
        <v>OJ</v>
      </c>
      <c r="F1254" s="128">
        <v>1.61E-2</v>
      </c>
      <c r="G1254" s="87">
        <f>VLOOKUP(C1254,HSD!B:K,10,FALSE)</f>
        <v>15000</v>
      </c>
      <c r="H1254" s="87">
        <f>F1254*G1254</f>
        <v>241.5</v>
      </c>
      <c r="I1254" s="87">
        <v>91500</v>
      </c>
      <c r="J1254" s="87">
        <f>F1254*I1254</f>
        <v>1473.1499999999999</v>
      </c>
      <c r="K1254" s="87">
        <v>91500</v>
      </c>
      <c r="L1254" s="87">
        <f>F1254*K1254</f>
        <v>1473.1499999999999</v>
      </c>
    </row>
    <row r="1255" spans="1:12" ht="12" customHeight="1" x14ac:dyDescent="0.35">
      <c r="B1255" s="84"/>
      <c r="C1255" s="85"/>
      <c r="D1255" s="84"/>
      <c r="E1255" s="84"/>
      <c r="F1255" s="86"/>
      <c r="G1255" s="87"/>
      <c r="H1255" s="87">
        <f>F1255*G1255</f>
        <v>0</v>
      </c>
      <c r="I1255" s="87">
        <v>92500</v>
      </c>
      <c r="J1255" s="87">
        <f>F1255*I1255</f>
        <v>0</v>
      </c>
      <c r="K1255" s="87">
        <v>92500</v>
      </c>
      <c r="L1255" s="87">
        <f>F1255*K1255</f>
        <v>0</v>
      </c>
    </row>
    <row r="1256" spans="1:12" ht="12" customHeight="1" x14ac:dyDescent="0.35">
      <c r="B1256" s="84"/>
      <c r="C1256" s="85"/>
      <c r="D1256" s="84"/>
      <c r="E1256" s="84"/>
      <c r="F1256" s="86"/>
      <c r="G1256" s="87"/>
      <c r="H1256" s="87"/>
      <c r="I1256" s="87"/>
      <c r="J1256" s="87"/>
      <c r="K1256" s="87"/>
      <c r="L1256" s="87"/>
    </row>
    <row r="1257" spans="1:12" ht="12" customHeight="1" x14ac:dyDescent="0.35">
      <c r="B1257" s="84"/>
      <c r="C1257" s="88"/>
      <c r="D1257" s="79"/>
      <c r="E1257" s="79"/>
      <c r="F1257" s="89" t="s">
        <v>421</v>
      </c>
      <c r="G1257" s="101"/>
      <c r="H1257" s="87">
        <f>SUM(H1252:H1256)</f>
        <v>612.125</v>
      </c>
      <c r="I1257" s="101"/>
      <c r="J1257" s="87">
        <f>SUM(J1252:J1256)</f>
        <v>2754.33</v>
      </c>
      <c r="K1257" s="101"/>
      <c r="L1257" s="87">
        <f>SUM(L1252:L1256)</f>
        <v>2754.33</v>
      </c>
    </row>
    <row r="1258" spans="1:12" ht="12" customHeight="1" x14ac:dyDescent="0.35">
      <c r="B1258" s="84" t="s">
        <v>6</v>
      </c>
      <c r="C1258" s="88" t="s">
        <v>422</v>
      </c>
      <c r="D1258" s="79"/>
      <c r="E1258" s="79"/>
      <c r="F1258" s="90"/>
      <c r="G1258" s="84"/>
      <c r="H1258" s="87"/>
      <c r="I1258" s="84"/>
      <c r="J1258" s="87"/>
      <c r="K1258" s="84"/>
      <c r="L1258" s="87"/>
    </row>
    <row r="1259" spans="1:12" ht="12" customHeight="1" x14ac:dyDescent="0.35">
      <c r="B1259" s="84"/>
      <c r="C1259" s="85"/>
      <c r="D1259" s="84"/>
      <c r="E1259" s="84"/>
      <c r="F1259" s="128"/>
      <c r="G1259" s="87"/>
      <c r="H1259" s="87">
        <f>F1259*G1259</f>
        <v>0</v>
      </c>
      <c r="I1259" s="87">
        <v>232500</v>
      </c>
      <c r="J1259" s="87">
        <f>F1259*I1259</f>
        <v>0</v>
      </c>
      <c r="K1259" s="87">
        <v>270000</v>
      </c>
      <c r="L1259" s="87">
        <f>F1259*K1259</f>
        <v>0</v>
      </c>
    </row>
    <row r="1260" spans="1:12" ht="12" customHeight="1" x14ac:dyDescent="0.35">
      <c r="B1260" s="84"/>
      <c r="C1260" s="88"/>
      <c r="D1260" s="79"/>
      <c r="E1260" s="84"/>
      <c r="F1260" s="102"/>
      <c r="G1260" s="87"/>
      <c r="H1260" s="87">
        <f>F1260*G1260</f>
        <v>0</v>
      </c>
      <c r="I1260" s="87">
        <v>1060</v>
      </c>
      <c r="J1260" s="87">
        <f>F1260*I1260</f>
        <v>0</v>
      </c>
      <c r="K1260" s="87">
        <v>1060</v>
      </c>
      <c r="L1260" s="87">
        <f>F1260*K1260</f>
        <v>0</v>
      </c>
    </row>
    <row r="1261" spans="1:12" ht="12" customHeight="1" x14ac:dyDescent="0.35">
      <c r="B1261" s="84"/>
      <c r="C1261" s="88"/>
      <c r="D1261" s="79"/>
      <c r="E1261" s="84"/>
      <c r="F1261" s="102"/>
      <c r="G1261" s="87"/>
      <c r="H1261" s="87">
        <f>F1261*G1261</f>
        <v>0</v>
      </c>
      <c r="I1261" s="87">
        <v>215000</v>
      </c>
      <c r="J1261" s="87">
        <f>F1261*I1261</f>
        <v>0</v>
      </c>
      <c r="K1261" s="87">
        <v>250000</v>
      </c>
      <c r="L1261" s="87">
        <f>F1261*K1261</f>
        <v>0</v>
      </c>
    </row>
    <row r="1262" spans="1:12" ht="12" customHeight="1" x14ac:dyDescent="0.35">
      <c r="B1262" s="84"/>
      <c r="C1262" s="88"/>
      <c r="D1262" s="79"/>
      <c r="E1262" s="79"/>
      <c r="F1262" s="89"/>
      <c r="G1262" s="101"/>
      <c r="H1262" s="87">
        <f>SUM(H1259:H1261)</f>
        <v>0</v>
      </c>
      <c r="I1262" s="101"/>
      <c r="J1262" s="87">
        <f>SUM(J1259:J1261)</f>
        <v>0</v>
      </c>
      <c r="K1262" s="101"/>
      <c r="L1262" s="87">
        <f>SUM(L1259:L1261)</f>
        <v>0</v>
      </c>
    </row>
    <row r="1263" spans="1:12" ht="12" customHeight="1" x14ac:dyDescent="0.35">
      <c r="B1263" s="84" t="s">
        <v>7</v>
      </c>
      <c r="C1263" s="88" t="s">
        <v>424</v>
      </c>
      <c r="D1263" s="79"/>
      <c r="E1263" s="79"/>
      <c r="F1263" s="90"/>
      <c r="G1263" s="84"/>
      <c r="H1263" s="87"/>
      <c r="I1263" s="84"/>
      <c r="J1263" s="87"/>
      <c r="K1263" s="84"/>
      <c r="L1263" s="87"/>
    </row>
    <row r="1264" spans="1:12" ht="12" customHeight="1" x14ac:dyDescent="0.35">
      <c r="A1264" s="134">
        <v>31100029</v>
      </c>
      <c r="B1264" s="84"/>
      <c r="C1264" s="85" t="s">
        <v>1827</v>
      </c>
      <c r="D1264" s="84" t="s">
        <v>418</v>
      </c>
      <c r="E1264" s="84" t="str">
        <f>VLOOKUP(C1264,HSD!B:K,2,FALSE)</f>
        <v>jam</v>
      </c>
      <c r="F1264" s="128">
        <v>6.1199999999999996E-3</v>
      </c>
      <c r="G1264" s="87">
        <f>VLOOKUP(C1264,HSD!B:K,10,FALSE)</f>
        <v>1332979.1599999999</v>
      </c>
      <c r="H1264" s="87">
        <f>F1264*G1264</f>
        <v>8157.832459199999</v>
      </c>
      <c r="I1264" s="87"/>
      <c r="J1264" s="87">
        <f>H1264*I1264</f>
        <v>0</v>
      </c>
      <c r="K1264" s="87"/>
      <c r="L1264" s="87">
        <f>J1264*K1264</f>
        <v>0</v>
      </c>
    </row>
    <row r="1265" spans="1:12" ht="12" customHeight="1" x14ac:dyDescent="0.35">
      <c r="A1265" s="134">
        <v>31100020</v>
      </c>
      <c r="B1265" s="84"/>
      <c r="C1265" s="85" t="s">
        <v>501</v>
      </c>
      <c r="D1265" s="84" t="s">
        <v>418</v>
      </c>
      <c r="E1265" s="84" t="str">
        <f>VLOOKUP(C1265,HSD!B:K,2,FALSE)</f>
        <v>Sewa-hari</v>
      </c>
      <c r="F1265" s="128">
        <v>7.0299999999999998E-3</v>
      </c>
      <c r="G1265" s="87">
        <f>VLOOKUP(C1265,HSD!B:K,10,FALSE)</f>
        <v>759675.86</v>
      </c>
      <c r="H1265" s="87">
        <f>F1265*G1265</f>
        <v>5340.5212958000002</v>
      </c>
      <c r="I1265" s="87"/>
      <c r="J1265" s="87"/>
      <c r="K1265" s="87"/>
      <c r="L1265" s="87"/>
    </row>
    <row r="1266" spans="1:12" ht="12" customHeight="1" x14ac:dyDescent="0.35">
      <c r="A1266" s="134">
        <v>31100017</v>
      </c>
      <c r="B1266" s="84"/>
      <c r="C1266" s="85" t="s">
        <v>498</v>
      </c>
      <c r="D1266" s="84" t="s">
        <v>418</v>
      </c>
      <c r="E1266" s="84" t="str">
        <f>VLOOKUP(C1266,HSD!B:K,2,FALSE)</f>
        <v>Sewa-jam</v>
      </c>
      <c r="F1266" s="128">
        <v>4.0200000000000001E-3</v>
      </c>
      <c r="G1266" s="87">
        <f>VLOOKUP(C1266,HSD!B:K,10,FALSE)</f>
        <v>543500.19999999995</v>
      </c>
      <c r="H1266" s="87">
        <f>F1266*G1266</f>
        <v>2184.8708039999997</v>
      </c>
      <c r="I1266" s="87"/>
      <c r="J1266" s="87"/>
      <c r="K1266" s="87"/>
      <c r="L1266" s="87"/>
    </row>
    <row r="1267" spans="1:12" ht="12" customHeight="1" x14ac:dyDescent="0.35">
      <c r="B1267" s="84"/>
      <c r="C1267" s="88"/>
      <c r="D1267" s="79"/>
      <c r="E1267" s="79"/>
      <c r="F1267" s="89" t="s">
        <v>425</v>
      </c>
      <c r="G1267" s="101"/>
      <c r="H1267" s="87">
        <f>SUM(H1264:H1266)</f>
        <v>15683.224559</v>
      </c>
      <c r="I1267" s="101"/>
      <c r="J1267" s="87">
        <f>SUM(J1264)</f>
        <v>0</v>
      </c>
      <c r="K1267" s="101"/>
      <c r="L1267" s="87">
        <f>SUM(L1264)</f>
        <v>0</v>
      </c>
    </row>
    <row r="1268" spans="1:12" ht="12" customHeight="1" x14ac:dyDescent="0.35">
      <c r="B1268" s="84" t="s">
        <v>8</v>
      </c>
      <c r="C1268" s="103" t="s">
        <v>426</v>
      </c>
      <c r="D1268" s="104"/>
      <c r="E1268" s="104"/>
      <c r="F1268" s="104"/>
      <c r="G1268" s="105"/>
      <c r="H1268" s="87">
        <f>H1257+H1262+H1267</f>
        <v>16295.349559</v>
      </c>
      <c r="I1268" s="105"/>
      <c r="J1268" s="87">
        <f>J1257+J1262+J1267</f>
        <v>2754.33</v>
      </c>
      <c r="K1268" s="105"/>
      <c r="L1268" s="87">
        <f>L1257+L1262+L1267</f>
        <v>2754.33</v>
      </c>
    </row>
    <row r="1269" spans="1:12" ht="12" customHeight="1" x14ac:dyDescent="0.35">
      <c r="B1269" s="84" t="s">
        <v>9</v>
      </c>
      <c r="C1269" s="455" t="s">
        <v>427</v>
      </c>
      <c r="D1269" s="455"/>
      <c r="E1269" s="455"/>
      <c r="F1269" s="95">
        <f>0</f>
        <v>0</v>
      </c>
      <c r="G1269" s="85" t="s">
        <v>428</v>
      </c>
      <c r="H1269" s="87">
        <f>H1268*F1269</f>
        <v>0</v>
      </c>
      <c r="I1269" s="85" t="s">
        <v>428</v>
      </c>
      <c r="J1269" s="87">
        <f>J1268*F1269</f>
        <v>0</v>
      </c>
      <c r="K1269" s="85" t="s">
        <v>428</v>
      </c>
      <c r="L1269" s="87">
        <f>L1268*F1269</f>
        <v>0</v>
      </c>
    </row>
    <row r="1270" spans="1:12" ht="12" customHeight="1" x14ac:dyDescent="0.35">
      <c r="B1270" s="84" t="s">
        <v>10</v>
      </c>
      <c r="C1270" s="103" t="s">
        <v>429</v>
      </c>
      <c r="D1270" s="104"/>
      <c r="E1270" s="104"/>
      <c r="F1270" s="104"/>
      <c r="G1270" s="105"/>
      <c r="H1270" s="96">
        <f>H1268+H1269</f>
        <v>16295.349559</v>
      </c>
      <c r="I1270" s="97"/>
      <c r="J1270" s="96">
        <f>J1268+J1269</f>
        <v>2754.33</v>
      </c>
      <c r="K1270" s="97"/>
      <c r="L1270" s="96">
        <f>L1268+L1269</f>
        <v>2754.33</v>
      </c>
    </row>
    <row r="1272" spans="1:12" ht="37" customHeight="1" x14ac:dyDescent="0.35">
      <c r="B1272" s="76" t="s">
        <v>600</v>
      </c>
      <c r="C1272" s="458" t="s">
        <v>601</v>
      </c>
      <c r="D1272" s="459"/>
      <c r="E1272" s="459"/>
      <c r="F1272" s="459"/>
      <c r="G1272" s="456"/>
      <c r="H1272" s="457"/>
      <c r="I1272" s="455" t="s">
        <v>3</v>
      </c>
      <c r="J1272" s="455"/>
      <c r="K1272" s="455" t="s">
        <v>4</v>
      </c>
      <c r="L1272" s="455"/>
    </row>
    <row r="1273" spans="1:12" ht="12" customHeight="1" x14ac:dyDescent="0.35">
      <c r="B1273" s="451" t="s">
        <v>409</v>
      </c>
      <c r="C1273" s="451" t="s">
        <v>410</v>
      </c>
      <c r="D1273" s="452" t="s">
        <v>411</v>
      </c>
      <c r="E1273" s="451" t="s">
        <v>412</v>
      </c>
      <c r="F1273" s="451" t="s">
        <v>413</v>
      </c>
      <c r="G1273" s="77" t="s">
        <v>414</v>
      </c>
      <c r="H1273" s="77" t="s">
        <v>415</v>
      </c>
      <c r="I1273" s="78" t="s">
        <v>414</v>
      </c>
      <c r="J1273" s="79" t="s">
        <v>415</v>
      </c>
      <c r="K1273" s="79" t="s">
        <v>414</v>
      </c>
      <c r="L1273" s="79" t="s">
        <v>415</v>
      </c>
    </row>
    <row r="1274" spans="1:12" ht="12" customHeight="1" x14ac:dyDescent="0.35">
      <c r="B1274" s="451"/>
      <c r="C1274" s="451"/>
      <c r="D1274" s="453"/>
      <c r="E1274" s="451"/>
      <c r="F1274" s="451"/>
      <c r="G1274" s="77" t="s">
        <v>17</v>
      </c>
      <c r="H1274" s="77" t="s">
        <v>416</v>
      </c>
      <c r="I1274" s="78" t="s">
        <v>17</v>
      </c>
      <c r="J1274" s="79" t="s">
        <v>416</v>
      </c>
      <c r="K1274" s="79" t="s">
        <v>17</v>
      </c>
      <c r="L1274" s="79" t="s">
        <v>416</v>
      </c>
    </row>
    <row r="1275" spans="1:12" ht="12" customHeight="1" x14ac:dyDescent="0.35">
      <c r="B1275" s="451"/>
      <c r="C1275" s="451"/>
      <c r="D1275" s="454"/>
      <c r="E1275" s="451"/>
      <c r="F1275" s="451"/>
      <c r="G1275" s="106"/>
      <c r="H1275" s="77" t="s">
        <v>17</v>
      </c>
      <c r="I1275" s="94"/>
      <c r="J1275" s="79" t="s">
        <v>17</v>
      </c>
      <c r="K1275" s="85"/>
      <c r="L1275" s="79" t="s">
        <v>17</v>
      </c>
    </row>
    <row r="1276" spans="1:12" ht="12" customHeight="1" x14ac:dyDescent="0.35">
      <c r="B1276" s="80" t="s">
        <v>5</v>
      </c>
      <c r="C1276" s="81" t="s">
        <v>417</v>
      </c>
      <c r="D1276" s="82"/>
      <c r="E1276" s="82"/>
      <c r="F1276" s="82"/>
      <c r="G1276" s="82"/>
      <c r="H1276" s="82"/>
      <c r="I1276" s="83"/>
      <c r="J1276" s="83"/>
      <c r="K1276" s="83"/>
      <c r="L1276" s="83"/>
    </row>
    <row r="1277" spans="1:12" ht="12" customHeight="1" x14ac:dyDescent="0.35">
      <c r="A1277" s="134">
        <v>10111000</v>
      </c>
      <c r="B1277" s="84"/>
      <c r="C1277" s="85" t="s">
        <v>1885</v>
      </c>
      <c r="D1277" s="84" t="s">
        <v>418</v>
      </c>
      <c r="E1277" s="84" t="s">
        <v>439</v>
      </c>
      <c r="F1277" s="128">
        <v>1.6299999999999999E-2</v>
      </c>
      <c r="G1277" s="87">
        <f>VLOOKUP(C1277,HSD!B:K,10,FALSE)</f>
        <v>18750</v>
      </c>
      <c r="H1277" s="87">
        <f>F1277*G1277</f>
        <v>305.625</v>
      </c>
      <c r="I1277" s="87">
        <v>78600</v>
      </c>
      <c r="J1277" s="87">
        <f>F1277*I1277</f>
        <v>1281.1799999999998</v>
      </c>
      <c r="K1277" s="87">
        <v>78600</v>
      </c>
      <c r="L1277" s="87">
        <f>F1277*K1277</f>
        <v>1281.1799999999998</v>
      </c>
    </row>
    <row r="1278" spans="1:12" ht="12" customHeight="1" x14ac:dyDescent="0.35">
      <c r="A1278" s="134">
        <v>10121110</v>
      </c>
      <c r="B1278" s="84"/>
      <c r="C1278" s="85" t="s">
        <v>1887</v>
      </c>
      <c r="D1278" s="84" t="s">
        <v>418</v>
      </c>
      <c r="E1278" s="84" t="s">
        <v>439</v>
      </c>
      <c r="F1278" s="128">
        <v>4.0000000000000001E-3</v>
      </c>
      <c r="G1278" s="87">
        <f>VLOOKUP(C1278,HSD!B:K,10,FALSE)</f>
        <v>16250</v>
      </c>
      <c r="H1278" s="87">
        <f>F1278*G1278</f>
        <v>65</v>
      </c>
      <c r="I1278" s="87"/>
      <c r="J1278" s="87"/>
      <c r="K1278" s="87"/>
      <c r="L1278" s="87"/>
    </row>
    <row r="1279" spans="1:12" ht="12" customHeight="1" x14ac:dyDescent="0.35">
      <c r="A1279" s="134">
        <v>10131000</v>
      </c>
      <c r="B1279" s="84"/>
      <c r="C1279" s="85" t="s">
        <v>1888</v>
      </c>
      <c r="D1279" s="84" t="s">
        <v>418</v>
      </c>
      <c r="E1279" s="84" t="s">
        <v>439</v>
      </c>
      <c r="F1279" s="128">
        <v>1.61E-2</v>
      </c>
      <c r="G1279" s="87">
        <f>VLOOKUP(C1279,HSD!B:K,10,FALSE)</f>
        <v>15000</v>
      </c>
      <c r="H1279" s="87">
        <f>F1279*G1279</f>
        <v>241.5</v>
      </c>
      <c r="I1279" s="87">
        <v>91500</v>
      </c>
      <c r="J1279" s="87">
        <f>F1279*I1279</f>
        <v>1473.1499999999999</v>
      </c>
      <c r="K1279" s="87">
        <v>91500</v>
      </c>
      <c r="L1279" s="87">
        <f>F1279*K1279</f>
        <v>1473.1499999999999</v>
      </c>
    </row>
    <row r="1280" spans="1:12" ht="12" customHeight="1" x14ac:dyDescent="0.35">
      <c r="B1280" s="84"/>
      <c r="C1280" s="85"/>
      <c r="D1280" s="84"/>
      <c r="E1280" s="84"/>
      <c r="F1280" s="86"/>
      <c r="G1280" s="87"/>
      <c r="H1280" s="87">
        <f>F1280*G1280</f>
        <v>0</v>
      </c>
      <c r="I1280" s="87">
        <v>92500</v>
      </c>
      <c r="J1280" s="87">
        <f>F1280*I1280</f>
        <v>0</v>
      </c>
      <c r="K1280" s="87">
        <v>92500</v>
      </c>
      <c r="L1280" s="87">
        <f>F1280*K1280</f>
        <v>0</v>
      </c>
    </row>
    <row r="1281" spans="1:12" ht="12" customHeight="1" x14ac:dyDescent="0.35">
      <c r="B1281" s="84"/>
      <c r="C1281" s="85"/>
      <c r="D1281" s="84"/>
      <c r="E1281" s="84"/>
      <c r="F1281" s="86"/>
      <c r="G1281" s="87"/>
      <c r="H1281" s="87"/>
      <c r="I1281" s="87"/>
      <c r="J1281" s="87"/>
      <c r="K1281" s="87"/>
      <c r="L1281" s="87"/>
    </row>
    <row r="1282" spans="1:12" ht="12" customHeight="1" x14ac:dyDescent="0.35">
      <c r="B1282" s="84"/>
      <c r="C1282" s="88"/>
      <c r="D1282" s="79"/>
      <c r="E1282" s="79"/>
      <c r="F1282" s="89" t="s">
        <v>421</v>
      </c>
      <c r="G1282" s="101"/>
      <c r="H1282" s="87">
        <f>SUM(H1277:H1281)</f>
        <v>612.125</v>
      </c>
      <c r="I1282" s="101"/>
      <c r="J1282" s="87">
        <f>SUM(J1277:J1281)</f>
        <v>2754.33</v>
      </c>
      <c r="K1282" s="101"/>
      <c r="L1282" s="87">
        <f>SUM(L1277:L1281)</f>
        <v>2754.33</v>
      </c>
    </row>
    <row r="1283" spans="1:12" ht="12" customHeight="1" x14ac:dyDescent="0.35">
      <c r="B1283" s="84" t="s">
        <v>6</v>
      </c>
      <c r="C1283" s="88" t="s">
        <v>422</v>
      </c>
      <c r="D1283" s="79"/>
      <c r="E1283" s="79"/>
      <c r="F1283" s="90"/>
      <c r="G1283" s="84"/>
      <c r="H1283" s="87"/>
      <c r="I1283" s="84"/>
      <c r="J1283" s="87"/>
      <c r="K1283" s="84"/>
      <c r="L1283" s="87"/>
    </row>
    <row r="1284" spans="1:12" ht="12" customHeight="1" x14ac:dyDescent="0.35">
      <c r="B1284" s="84"/>
      <c r="C1284" s="85"/>
      <c r="D1284" s="84"/>
      <c r="E1284" s="84"/>
      <c r="F1284" s="128"/>
      <c r="G1284" s="87"/>
      <c r="H1284" s="87">
        <f>F1284*G1284</f>
        <v>0</v>
      </c>
      <c r="I1284" s="87">
        <v>232500</v>
      </c>
      <c r="J1284" s="87">
        <f>F1284*I1284</f>
        <v>0</v>
      </c>
      <c r="K1284" s="87">
        <v>270000</v>
      </c>
      <c r="L1284" s="87">
        <f>F1284*K1284</f>
        <v>0</v>
      </c>
    </row>
    <row r="1285" spans="1:12" ht="12" customHeight="1" x14ac:dyDescent="0.35">
      <c r="B1285" s="84"/>
      <c r="C1285" s="88"/>
      <c r="D1285" s="79"/>
      <c r="E1285" s="84"/>
      <c r="F1285" s="102"/>
      <c r="G1285" s="87"/>
      <c r="H1285" s="87">
        <f>F1285*G1285</f>
        <v>0</v>
      </c>
      <c r="I1285" s="87">
        <v>1060</v>
      </c>
      <c r="J1285" s="87">
        <f>F1285*I1285</f>
        <v>0</v>
      </c>
      <c r="K1285" s="87">
        <v>1060</v>
      </c>
      <c r="L1285" s="87">
        <f>F1285*K1285</f>
        <v>0</v>
      </c>
    </row>
    <row r="1286" spans="1:12" ht="12" customHeight="1" x14ac:dyDescent="0.35">
      <c r="B1286" s="84"/>
      <c r="C1286" s="88"/>
      <c r="D1286" s="79"/>
      <c r="E1286" s="84"/>
      <c r="F1286" s="102"/>
      <c r="G1286" s="87"/>
      <c r="H1286" s="87">
        <f>F1286*G1286</f>
        <v>0</v>
      </c>
      <c r="I1286" s="87">
        <v>215000</v>
      </c>
      <c r="J1286" s="87">
        <f>F1286*I1286</f>
        <v>0</v>
      </c>
      <c r="K1286" s="87">
        <v>250000</v>
      </c>
      <c r="L1286" s="87">
        <f>F1286*K1286</f>
        <v>0</v>
      </c>
    </row>
    <row r="1287" spans="1:12" ht="12" customHeight="1" x14ac:dyDescent="0.35">
      <c r="B1287" s="84"/>
      <c r="C1287" s="88"/>
      <c r="D1287" s="79"/>
      <c r="E1287" s="79"/>
      <c r="F1287" s="89"/>
      <c r="G1287" s="101"/>
      <c r="H1287" s="87">
        <f>SUM(H1284:H1286)</f>
        <v>0</v>
      </c>
      <c r="I1287" s="101"/>
      <c r="J1287" s="87">
        <f>SUM(J1284:J1286)</f>
        <v>0</v>
      </c>
      <c r="K1287" s="101"/>
      <c r="L1287" s="87">
        <f>SUM(L1284:L1286)</f>
        <v>0</v>
      </c>
    </row>
    <row r="1288" spans="1:12" ht="12" customHeight="1" x14ac:dyDescent="0.35">
      <c r="B1288" s="84" t="s">
        <v>7</v>
      </c>
      <c r="C1288" s="88" t="s">
        <v>424</v>
      </c>
      <c r="D1288" s="79"/>
      <c r="E1288" s="79"/>
      <c r="F1288" s="90"/>
      <c r="G1288" s="84"/>
      <c r="H1288" s="87"/>
      <c r="I1288" s="84"/>
      <c r="J1288" s="87"/>
      <c r="K1288" s="84"/>
      <c r="L1288" s="87"/>
    </row>
    <row r="1289" spans="1:12" ht="12" customHeight="1" x14ac:dyDescent="0.35">
      <c r="A1289" s="134">
        <v>31100029</v>
      </c>
      <c r="B1289" s="84"/>
      <c r="C1289" s="85" t="s">
        <v>1827</v>
      </c>
      <c r="D1289" s="84" t="s">
        <v>418</v>
      </c>
      <c r="E1289" s="84" t="str">
        <f>VLOOKUP(C1289,HSD!B:K,2,FALSE)</f>
        <v>jam</v>
      </c>
      <c r="F1289" s="128">
        <v>3.1700000000000001E-3</v>
      </c>
      <c r="G1289" s="87">
        <f>VLOOKUP(C1289,HSD!B:K,10,FALSE)</f>
        <v>1332979.1599999999</v>
      </c>
      <c r="H1289" s="87">
        <f>F1289*G1289</f>
        <v>4225.5439372000001</v>
      </c>
      <c r="I1289" s="87"/>
      <c r="J1289" s="87">
        <f>H1289*I1289</f>
        <v>0</v>
      </c>
      <c r="K1289" s="87"/>
      <c r="L1289" s="87">
        <f>J1289*K1289</f>
        <v>0</v>
      </c>
    </row>
    <row r="1290" spans="1:12" ht="12" customHeight="1" x14ac:dyDescent="0.35">
      <c r="A1290" s="134">
        <v>31100020</v>
      </c>
      <c r="B1290" s="84"/>
      <c r="C1290" s="85" t="s">
        <v>501</v>
      </c>
      <c r="D1290" s="84" t="s">
        <v>418</v>
      </c>
      <c r="E1290" s="84" t="str">
        <f>VLOOKUP(C1290,HSD!B:K,2,FALSE)</f>
        <v>Sewa-hari</v>
      </c>
      <c r="F1290" s="128">
        <v>7.0299999999999998E-3</v>
      </c>
      <c r="G1290" s="87">
        <f>VLOOKUP(C1290,HSD!B:K,10,FALSE)</f>
        <v>759675.86</v>
      </c>
      <c r="H1290" s="87">
        <f>F1290*G1290</f>
        <v>5340.5212958000002</v>
      </c>
      <c r="I1290" s="87"/>
      <c r="J1290" s="87"/>
      <c r="K1290" s="87"/>
      <c r="L1290" s="87"/>
    </row>
    <row r="1291" spans="1:12" ht="12" customHeight="1" x14ac:dyDescent="0.35">
      <c r="A1291" s="134">
        <v>31100016</v>
      </c>
      <c r="B1291" s="84"/>
      <c r="C1291" s="85" t="s">
        <v>497</v>
      </c>
      <c r="D1291" s="84" t="s">
        <v>418</v>
      </c>
      <c r="E1291" s="84" t="str">
        <f>VLOOKUP(C1291,HSD!B:K,2,FALSE)</f>
        <v>jam</v>
      </c>
      <c r="F1291" s="128">
        <v>3.5699999999999998E-3</v>
      </c>
      <c r="G1291" s="87">
        <f>VLOOKUP(C1291,HSD!B:K,10,FALSE)</f>
        <v>965734</v>
      </c>
      <c r="H1291" s="87">
        <f>F1291*G1291</f>
        <v>3447.67038</v>
      </c>
      <c r="I1291" s="87"/>
      <c r="J1291" s="87"/>
      <c r="K1291" s="87"/>
      <c r="L1291" s="87"/>
    </row>
    <row r="1292" spans="1:12" ht="12" customHeight="1" x14ac:dyDescent="0.35">
      <c r="A1292" s="134" t="s">
        <v>602</v>
      </c>
      <c r="B1292" s="84"/>
      <c r="C1292" s="85" t="s">
        <v>603</v>
      </c>
      <c r="D1292" s="84" t="s">
        <v>418</v>
      </c>
      <c r="E1292" s="84" t="str">
        <f>VLOOKUP(C1292,HSD!B:K,2,FALSE)</f>
        <v>jam</v>
      </c>
      <c r="F1292" s="128">
        <v>3.5699999999999998E-3</v>
      </c>
      <c r="G1292" s="87">
        <f>VLOOKUP(C1292,HSD!B:K,10,FALSE)</f>
        <v>489468.66924812773</v>
      </c>
      <c r="H1292" s="87">
        <f>F1292*G1292</f>
        <v>1747.4031492158158</v>
      </c>
      <c r="I1292" s="87"/>
      <c r="J1292" s="87"/>
      <c r="K1292" s="87"/>
      <c r="L1292" s="87"/>
    </row>
    <row r="1293" spans="1:12" ht="12" customHeight="1" x14ac:dyDescent="0.35">
      <c r="A1293" s="134">
        <v>31100017</v>
      </c>
      <c r="B1293" s="84"/>
      <c r="C1293" s="85" t="s">
        <v>498</v>
      </c>
      <c r="D1293" s="84" t="s">
        <v>418</v>
      </c>
      <c r="E1293" s="84" t="str">
        <f>VLOOKUP(C1293,HSD!B:K,2,FALSE)</f>
        <v>Sewa-jam</v>
      </c>
      <c r="F1293" s="128">
        <v>4.0200000000000001E-3</v>
      </c>
      <c r="G1293" s="87">
        <f>VLOOKUP(C1293,HSD!B:K,10,FALSE)</f>
        <v>543500.19999999995</v>
      </c>
      <c r="H1293" s="87">
        <f>F1293*G1293</f>
        <v>2184.8708039999997</v>
      </c>
      <c r="I1293" s="87"/>
      <c r="J1293" s="87"/>
      <c r="K1293" s="87"/>
      <c r="L1293" s="87"/>
    </row>
    <row r="1294" spans="1:12" ht="12" customHeight="1" x14ac:dyDescent="0.35">
      <c r="B1294" s="84"/>
      <c r="C1294" s="88"/>
      <c r="D1294" s="79"/>
      <c r="E1294" s="79"/>
      <c r="F1294" s="89" t="s">
        <v>425</v>
      </c>
      <c r="G1294" s="101"/>
      <c r="H1294" s="87">
        <f>SUM(H1289:H1293)</f>
        <v>16946.009566215816</v>
      </c>
      <c r="I1294" s="101"/>
      <c r="J1294" s="87">
        <f>SUM(J1289)</f>
        <v>0</v>
      </c>
      <c r="K1294" s="101"/>
      <c r="L1294" s="87">
        <f>SUM(L1289)</f>
        <v>0</v>
      </c>
    </row>
    <row r="1295" spans="1:12" ht="12" customHeight="1" x14ac:dyDescent="0.35">
      <c r="B1295" s="84" t="s">
        <v>8</v>
      </c>
      <c r="C1295" s="103" t="s">
        <v>426</v>
      </c>
      <c r="D1295" s="104"/>
      <c r="E1295" s="104"/>
      <c r="F1295" s="104"/>
      <c r="G1295" s="105"/>
      <c r="H1295" s="87">
        <f>H1282+H1287+H1294</f>
        <v>17558.134566215816</v>
      </c>
      <c r="I1295" s="105"/>
      <c r="J1295" s="87">
        <f>J1282+J1287+J1294</f>
        <v>2754.33</v>
      </c>
      <c r="K1295" s="105"/>
      <c r="L1295" s="87">
        <f>L1282+L1287+L1294</f>
        <v>2754.33</v>
      </c>
    </row>
    <row r="1296" spans="1:12" ht="12" customHeight="1" x14ac:dyDescent="0.35">
      <c r="B1296" s="84" t="s">
        <v>9</v>
      </c>
      <c r="C1296" s="455" t="s">
        <v>427</v>
      </c>
      <c r="D1296" s="455"/>
      <c r="E1296" s="455"/>
      <c r="F1296" s="95">
        <f>0</f>
        <v>0</v>
      </c>
      <c r="G1296" s="85" t="s">
        <v>428</v>
      </c>
      <c r="H1296" s="87">
        <f>H1295*F1296</f>
        <v>0</v>
      </c>
      <c r="I1296" s="85" t="s">
        <v>428</v>
      </c>
      <c r="J1296" s="87">
        <f>J1295*F1296</f>
        <v>0</v>
      </c>
      <c r="K1296" s="85" t="s">
        <v>428</v>
      </c>
      <c r="L1296" s="87">
        <f>L1295*F1296</f>
        <v>0</v>
      </c>
    </row>
    <row r="1297" spans="1:12" ht="12" customHeight="1" x14ac:dyDescent="0.35">
      <c r="B1297" s="84" t="s">
        <v>10</v>
      </c>
      <c r="C1297" s="103" t="s">
        <v>429</v>
      </c>
      <c r="D1297" s="104"/>
      <c r="E1297" s="104"/>
      <c r="F1297" s="104"/>
      <c r="G1297" s="105"/>
      <c r="H1297" s="96">
        <f>H1295+H1296</f>
        <v>17558.134566215816</v>
      </c>
      <c r="I1297" s="97"/>
      <c r="J1297" s="96">
        <f>J1295+J1296</f>
        <v>2754.33</v>
      </c>
      <c r="K1297" s="97"/>
      <c r="L1297" s="96">
        <f>L1295+L1296</f>
        <v>2754.33</v>
      </c>
    </row>
    <row r="1299" spans="1:12" ht="37" customHeight="1" x14ac:dyDescent="0.35">
      <c r="B1299" s="76" t="s">
        <v>604</v>
      </c>
      <c r="C1299" s="458" t="s">
        <v>605</v>
      </c>
      <c r="D1299" s="459"/>
      <c r="E1299" s="459"/>
      <c r="F1299" s="459"/>
      <c r="G1299" s="456"/>
      <c r="H1299" s="457"/>
      <c r="I1299" s="455" t="s">
        <v>3</v>
      </c>
      <c r="J1299" s="455"/>
      <c r="K1299" s="455" t="s">
        <v>4</v>
      </c>
      <c r="L1299" s="455"/>
    </row>
    <row r="1300" spans="1:12" ht="12" customHeight="1" x14ac:dyDescent="0.35">
      <c r="B1300" s="451" t="s">
        <v>409</v>
      </c>
      <c r="C1300" s="451" t="s">
        <v>410</v>
      </c>
      <c r="D1300" s="452" t="s">
        <v>411</v>
      </c>
      <c r="E1300" s="451" t="s">
        <v>412</v>
      </c>
      <c r="F1300" s="451" t="s">
        <v>413</v>
      </c>
      <c r="G1300" s="77" t="s">
        <v>414</v>
      </c>
      <c r="H1300" s="77" t="s">
        <v>415</v>
      </c>
      <c r="I1300" s="78" t="s">
        <v>414</v>
      </c>
      <c r="J1300" s="79" t="s">
        <v>415</v>
      </c>
      <c r="K1300" s="79" t="s">
        <v>414</v>
      </c>
      <c r="L1300" s="79" t="s">
        <v>415</v>
      </c>
    </row>
    <row r="1301" spans="1:12" ht="12" customHeight="1" x14ac:dyDescent="0.35">
      <c r="B1301" s="451"/>
      <c r="C1301" s="451"/>
      <c r="D1301" s="453"/>
      <c r="E1301" s="451"/>
      <c r="F1301" s="451"/>
      <c r="G1301" s="77" t="s">
        <v>17</v>
      </c>
      <c r="H1301" s="77" t="s">
        <v>416</v>
      </c>
      <c r="I1301" s="78" t="s">
        <v>17</v>
      </c>
      <c r="J1301" s="79" t="s">
        <v>416</v>
      </c>
      <c r="K1301" s="79" t="s">
        <v>17</v>
      </c>
      <c r="L1301" s="79" t="s">
        <v>416</v>
      </c>
    </row>
    <row r="1302" spans="1:12" ht="12" customHeight="1" x14ac:dyDescent="0.35">
      <c r="B1302" s="451"/>
      <c r="C1302" s="451"/>
      <c r="D1302" s="454"/>
      <c r="E1302" s="451"/>
      <c r="F1302" s="451"/>
      <c r="G1302" s="106"/>
      <c r="H1302" s="77" t="s">
        <v>17</v>
      </c>
      <c r="I1302" s="94"/>
      <c r="J1302" s="79" t="s">
        <v>17</v>
      </c>
      <c r="K1302" s="85"/>
      <c r="L1302" s="79" t="s">
        <v>17</v>
      </c>
    </row>
    <row r="1303" spans="1:12" ht="12" customHeight="1" x14ac:dyDescent="0.35">
      <c r="B1303" s="80" t="s">
        <v>5</v>
      </c>
      <c r="C1303" s="81" t="s">
        <v>417</v>
      </c>
      <c r="D1303" s="82"/>
      <c r="E1303" s="82"/>
      <c r="F1303" s="82"/>
      <c r="G1303" s="82"/>
      <c r="H1303" s="82"/>
      <c r="I1303" s="83"/>
      <c r="J1303" s="83"/>
      <c r="K1303" s="83"/>
      <c r="L1303" s="83"/>
    </row>
    <row r="1304" spans="1:12" ht="12" customHeight="1" x14ac:dyDescent="0.35">
      <c r="A1304" s="134">
        <v>10131000</v>
      </c>
      <c r="B1304" s="84"/>
      <c r="C1304" s="85" t="s">
        <v>1885</v>
      </c>
      <c r="D1304" s="84" t="s">
        <v>418</v>
      </c>
      <c r="E1304" s="84" t="str">
        <f>VLOOKUP(C1304,HSD!B:K,2,FALSE)</f>
        <v>OJ</v>
      </c>
      <c r="F1304" s="128">
        <v>0.02</v>
      </c>
      <c r="G1304" s="87">
        <f>P1302</f>
        <v>0</v>
      </c>
      <c r="H1304" s="87">
        <f>F1304*G1304</f>
        <v>0</v>
      </c>
      <c r="I1304" s="87">
        <v>91500</v>
      </c>
      <c r="J1304" s="87">
        <f>F1304*I1304</f>
        <v>1830</v>
      </c>
      <c r="K1304" s="87">
        <v>91500</v>
      </c>
      <c r="L1304" s="87">
        <f>F1304*K1304</f>
        <v>1830</v>
      </c>
    </row>
    <row r="1305" spans="1:12" ht="12" customHeight="1" x14ac:dyDescent="0.35">
      <c r="A1305" s="134">
        <v>10121110</v>
      </c>
      <c r="B1305" s="84"/>
      <c r="C1305" s="85" t="s">
        <v>1887</v>
      </c>
      <c r="D1305" s="84" t="s">
        <v>418</v>
      </c>
      <c r="E1305" s="84" t="str">
        <f>VLOOKUP(C1305,HSD!B:K,2,FALSE)</f>
        <v>OJ</v>
      </c>
      <c r="F1305" s="128">
        <v>0.01</v>
      </c>
      <c r="G1305" s="87">
        <f>VLOOKUP(C1305,HSD!B:K,10,FALSE)</f>
        <v>16250</v>
      </c>
      <c r="H1305" s="87">
        <f>F1305*G1305</f>
        <v>162.5</v>
      </c>
      <c r="I1305" s="87"/>
      <c r="J1305" s="87"/>
      <c r="K1305" s="87"/>
      <c r="L1305" s="87"/>
    </row>
    <row r="1306" spans="1:12" ht="12" customHeight="1" x14ac:dyDescent="0.35">
      <c r="A1306" s="134">
        <v>10111000</v>
      </c>
      <c r="B1306" s="84"/>
      <c r="C1306" s="85" t="s">
        <v>1888</v>
      </c>
      <c r="D1306" s="84" t="s">
        <v>418</v>
      </c>
      <c r="E1306" s="84" t="str">
        <f>VLOOKUP(C1306,HSD!B:K,2,FALSE)</f>
        <v>OJ</v>
      </c>
      <c r="F1306" s="128">
        <v>2E-3</v>
      </c>
      <c r="G1306" s="87">
        <f>VLOOKUP(C1306,HSD!B:K,10,FALSE)</f>
        <v>15000</v>
      </c>
      <c r="H1306" s="87">
        <f>F1306*G1306</f>
        <v>30</v>
      </c>
      <c r="I1306" s="87">
        <v>78600</v>
      </c>
      <c r="J1306" s="87">
        <f>F1306*I1306</f>
        <v>157.20000000000002</v>
      </c>
      <c r="K1306" s="87">
        <v>78600</v>
      </c>
      <c r="L1306" s="87">
        <f>F1306*K1306</f>
        <v>157.20000000000002</v>
      </c>
    </row>
    <row r="1307" spans="1:12" ht="12" customHeight="1" x14ac:dyDescent="0.35">
      <c r="B1307" s="84"/>
      <c r="C1307" s="85"/>
      <c r="D1307" s="84"/>
      <c r="E1307" s="84"/>
      <c r="F1307" s="86"/>
      <c r="G1307" s="87"/>
      <c r="H1307" s="87">
        <f>F1307*G1307</f>
        <v>0</v>
      </c>
      <c r="I1307" s="87">
        <v>92500</v>
      </c>
      <c r="J1307" s="87">
        <f>F1307*I1307</f>
        <v>0</v>
      </c>
      <c r="K1307" s="87">
        <v>92500</v>
      </c>
      <c r="L1307" s="87">
        <f>F1307*K1307</f>
        <v>0</v>
      </c>
    </row>
    <row r="1308" spans="1:12" ht="12" customHeight="1" x14ac:dyDescent="0.35">
      <c r="B1308" s="84"/>
      <c r="C1308" s="85"/>
      <c r="D1308" s="84"/>
      <c r="E1308" s="84"/>
      <c r="F1308" s="86"/>
      <c r="G1308" s="87"/>
      <c r="H1308" s="87"/>
      <c r="I1308" s="87"/>
      <c r="J1308" s="87"/>
      <c r="K1308" s="87"/>
      <c r="L1308" s="87"/>
    </row>
    <row r="1309" spans="1:12" ht="12" customHeight="1" x14ac:dyDescent="0.35">
      <c r="B1309" s="84"/>
      <c r="C1309" s="88"/>
      <c r="D1309" s="79"/>
      <c r="E1309" s="79"/>
      <c r="F1309" s="89" t="s">
        <v>421</v>
      </c>
      <c r="G1309" s="101"/>
      <c r="H1309" s="87">
        <f>SUM(H1304:H1308)</f>
        <v>192.5</v>
      </c>
      <c r="I1309" s="101"/>
      <c r="J1309" s="87">
        <f>SUM(J1306:J1308)</f>
        <v>157.20000000000002</v>
      </c>
      <c r="K1309" s="101"/>
      <c r="L1309" s="87">
        <f>SUM(L1306:L1308)</f>
        <v>157.20000000000002</v>
      </c>
    </row>
    <row r="1310" spans="1:12" ht="12" customHeight="1" x14ac:dyDescent="0.35">
      <c r="B1310" s="84" t="s">
        <v>6</v>
      </c>
      <c r="C1310" s="88" t="s">
        <v>422</v>
      </c>
      <c r="D1310" s="79"/>
      <c r="E1310" s="79"/>
      <c r="F1310" s="90"/>
      <c r="G1310" s="84"/>
      <c r="H1310" s="87"/>
      <c r="I1310" s="84"/>
      <c r="J1310" s="87"/>
      <c r="K1310" s="84"/>
      <c r="L1310" s="87"/>
    </row>
    <row r="1311" spans="1:12" ht="12" customHeight="1" x14ac:dyDescent="0.35">
      <c r="B1311" s="84"/>
      <c r="C1311" s="85"/>
      <c r="D1311" s="84"/>
      <c r="E1311" s="84"/>
      <c r="F1311" s="128"/>
      <c r="G1311" s="87"/>
      <c r="H1311" s="87">
        <f>F1311*G1311</f>
        <v>0</v>
      </c>
      <c r="I1311" s="87">
        <v>232500</v>
      </c>
      <c r="J1311" s="87">
        <f>F1311*I1311</f>
        <v>0</v>
      </c>
      <c r="K1311" s="87">
        <v>270000</v>
      </c>
      <c r="L1311" s="87">
        <f>F1311*K1311</f>
        <v>0</v>
      </c>
    </row>
    <row r="1312" spans="1:12" ht="12" customHeight="1" x14ac:dyDescent="0.35">
      <c r="B1312" s="84"/>
      <c r="C1312" s="88"/>
      <c r="D1312" s="79"/>
      <c r="E1312" s="84"/>
      <c r="F1312" s="102"/>
      <c r="G1312" s="87"/>
      <c r="H1312" s="87">
        <f>F1312*G1312</f>
        <v>0</v>
      </c>
      <c r="I1312" s="87">
        <v>1060</v>
      </c>
      <c r="J1312" s="87">
        <f>F1312*I1312</f>
        <v>0</v>
      </c>
      <c r="K1312" s="87">
        <v>1060</v>
      </c>
      <c r="L1312" s="87">
        <f>F1312*K1312</f>
        <v>0</v>
      </c>
    </row>
    <row r="1313" spans="1:12" ht="12" customHeight="1" x14ac:dyDescent="0.35">
      <c r="B1313" s="84"/>
      <c r="C1313" s="88"/>
      <c r="D1313" s="79"/>
      <c r="E1313" s="84"/>
      <c r="F1313" s="102"/>
      <c r="G1313" s="87"/>
      <c r="H1313" s="87">
        <f>F1313*G1313</f>
        <v>0</v>
      </c>
      <c r="I1313" s="87">
        <v>215000</v>
      </c>
      <c r="J1313" s="87">
        <f>F1313*I1313</f>
        <v>0</v>
      </c>
      <c r="K1313" s="87">
        <v>250000</v>
      </c>
      <c r="L1313" s="87">
        <f>F1313*K1313</f>
        <v>0</v>
      </c>
    </row>
    <row r="1314" spans="1:12" ht="12" customHeight="1" x14ac:dyDescent="0.35">
      <c r="B1314" s="84"/>
      <c r="C1314" s="88"/>
      <c r="D1314" s="79"/>
      <c r="E1314" s="79"/>
      <c r="F1314" s="89"/>
      <c r="G1314" s="101"/>
      <c r="H1314" s="87">
        <f>SUM(H1311:H1313)</f>
        <v>0</v>
      </c>
      <c r="I1314" s="101"/>
      <c r="J1314" s="87">
        <f>SUM(J1311:J1313)</f>
        <v>0</v>
      </c>
      <c r="K1314" s="101"/>
      <c r="L1314" s="87">
        <f>SUM(L1311:L1313)</f>
        <v>0</v>
      </c>
    </row>
    <row r="1315" spans="1:12" ht="12" customHeight="1" x14ac:dyDescent="0.35">
      <c r="B1315" s="84" t="s">
        <v>7</v>
      </c>
      <c r="C1315" s="88" t="s">
        <v>424</v>
      </c>
      <c r="D1315" s="79"/>
      <c r="E1315" s="79"/>
      <c r="F1315" s="90"/>
      <c r="G1315" s="84"/>
      <c r="H1315" s="87"/>
      <c r="I1315" s="84"/>
      <c r="J1315" s="87"/>
      <c r="K1315" s="84"/>
      <c r="L1315" s="87"/>
    </row>
    <row r="1316" spans="1:12" ht="12" customHeight="1" x14ac:dyDescent="0.35">
      <c r="A1316" s="134">
        <v>31100008</v>
      </c>
      <c r="B1316" s="84"/>
      <c r="C1316" s="85" t="s">
        <v>1836</v>
      </c>
      <c r="D1316" s="84" t="s">
        <v>418</v>
      </c>
      <c r="E1316" s="84" t="str">
        <f>VLOOKUP(C1316,HSD!B:K,2,FALSE)</f>
        <v>jam</v>
      </c>
      <c r="F1316" s="128">
        <v>0.02</v>
      </c>
      <c r="G1316" s="87">
        <f>VLOOKUP(C1316,HSD!B:K,10,FALSE)</f>
        <v>1053489.6200000001</v>
      </c>
      <c r="H1316" s="87">
        <f>F1316*G1316</f>
        <v>21069.792400000002</v>
      </c>
      <c r="I1316" s="87"/>
      <c r="J1316" s="87">
        <f>H1316*I1316</f>
        <v>0</v>
      </c>
      <c r="K1316" s="87"/>
      <c r="L1316" s="87">
        <f>J1316*K1316</f>
        <v>0</v>
      </c>
    </row>
    <row r="1317" spans="1:12" ht="12" customHeight="1" x14ac:dyDescent="0.35">
      <c r="B1317" s="84"/>
      <c r="C1317" s="85"/>
      <c r="D1317" s="84"/>
      <c r="E1317" s="84"/>
      <c r="F1317" s="128"/>
      <c r="G1317" s="87"/>
      <c r="H1317" s="87">
        <f>F1317*G1317</f>
        <v>0</v>
      </c>
      <c r="I1317" s="87"/>
      <c r="J1317" s="87"/>
      <c r="K1317" s="87"/>
      <c r="L1317" s="87"/>
    </row>
    <row r="1318" spans="1:12" ht="12" customHeight="1" x14ac:dyDescent="0.35">
      <c r="B1318" s="84"/>
      <c r="C1318" s="85"/>
      <c r="D1318" s="84"/>
      <c r="E1318" s="84"/>
      <c r="F1318" s="128"/>
      <c r="G1318" s="87"/>
      <c r="H1318" s="87">
        <f>F1318*G1318</f>
        <v>0</v>
      </c>
      <c r="I1318" s="87"/>
      <c r="J1318" s="87"/>
      <c r="K1318" s="87"/>
      <c r="L1318" s="87"/>
    </row>
    <row r="1319" spans="1:12" ht="12" customHeight="1" x14ac:dyDescent="0.35">
      <c r="B1319" s="84"/>
      <c r="C1319" s="88"/>
      <c r="D1319" s="79"/>
      <c r="E1319" s="79"/>
      <c r="F1319" s="89" t="s">
        <v>425</v>
      </c>
      <c r="G1319" s="101"/>
      <c r="H1319" s="87">
        <f>SUM(H1316:H1318)</f>
        <v>21069.792400000002</v>
      </c>
      <c r="I1319" s="101"/>
      <c r="J1319" s="87">
        <f>SUM(J1316)</f>
        <v>0</v>
      </c>
      <c r="K1319" s="101"/>
      <c r="L1319" s="87">
        <f>SUM(L1316)</f>
        <v>0</v>
      </c>
    </row>
    <row r="1320" spans="1:12" ht="12" customHeight="1" x14ac:dyDescent="0.35">
      <c r="B1320" s="84" t="s">
        <v>8</v>
      </c>
      <c r="C1320" s="103" t="s">
        <v>426</v>
      </c>
      <c r="D1320" s="104"/>
      <c r="E1320" s="104"/>
      <c r="F1320" s="104"/>
      <c r="G1320" s="105"/>
      <c r="H1320" s="87">
        <f>H1309+H1314+H1319</f>
        <v>21262.292400000002</v>
      </c>
      <c r="I1320" s="105"/>
      <c r="J1320" s="87">
        <f>J1309+J1314+J1319</f>
        <v>157.20000000000002</v>
      </c>
      <c r="K1320" s="105"/>
      <c r="L1320" s="87">
        <f>L1309+L1314+L1319</f>
        <v>157.20000000000002</v>
      </c>
    </row>
    <row r="1321" spans="1:12" ht="12" customHeight="1" x14ac:dyDescent="0.35">
      <c r="B1321" s="84" t="s">
        <v>9</v>
      </c>
      <c r="C1321" s="455" t="s">
        <v>427</v>
      </c>
      <c r="D1321" s="455"/>
      <c r="E1321" s="455"/>
      <c r="F1321" s="95">
        <f>0</f>
        <v>0</v>
      </c>
      <c r="G1321" s="85" t="s">
        <v>428</v>
      </c>
      <c r="H1321" s="87">
        <f>H1320*F1321</f>
        <v>0</v>
      </c>
      <c r="I1321" s="85" t="s">
        <v>428</v>
      </c>
      <c r="J1321" s="87">
        <f>J1320*F1321</f>
        <v>0</v>
      </c>
      <c r="K1321" s="85" t="s">
        <v>428</v>
      </c>
      <c r="L1321" s="87">
        <f>L1320*F1321</f>
        <v>0</v>
      </c>
    </row>
    <row r="1322" spans="1:12" ht="12" customHeight="1" x14ac:dyDescent="0.35">
      <c r="B1322" s="84" t="s">
        <v>10</v>
      </c>
      <c r="C1322" s="103" t="s">
        <v>429</v>
      </c>
      <c r="D1322" s="104"/>
      <c r="E1322" s="104"/>
      <c r="F1322" s="104"/>
      <c r="G1322" s="105"/>
      <c r="H1322" s="96">
        <f>H1320+H1321</f>
        <v>21262.292400000002</v>
      </c>
      <c r="I1322" s="97"/>
      <c r="J1322" s="96">
        <f>J1320+J1321</f>
        <v>157.20000000000002</v>
      </c>
      <c r="K1322" s="97"/>
      <c r="L1322" s="96">
        <f>L1320+L1321</f>
        <v>157.20000000000002</v>
      </c>
    </row>
    <row r="1324" spans="1:12" ht="37" customHeight="1" x14ac:dyDescent="0.35">
      <c r="B1324" s="76" t="s">
        <v>606</v>
      </c>
      <c r="C1324" s="458" t="s">
        <v>607</v>
      </c>
      <c r="D1324" s="459"/>
      <c r="E1324" s="459"/>
      <c r="F1324" s="459"/>
      <c r="G1324" s="456"/>
      <c r="H1324" s="457"/>
      <c r="I1324" s="455" t="s">
        <v>3</v>
      </c>
      <c r="J1324" s="455"/>
      <c r="K1324" s="455" t="s">
        <v>4</v>
      </c>
      <c r="L1324" s="455"/>
    </row>
    <row r="1325" spans="1:12" ht="12" customHeight="1" x14ac:dyDescent="0.35">
      <c r="B1325" s="451" t="s">
        <v>409</v>
      </c>
      <c r="C1325" s="451" t="s">
        <v>410</v>
      </c>
      <c r="D1325" s="452" t="s">
        <v>411</v>
      </c>
      <c r="E1325" s="451" t="s">
        <v>412</v>
      </c>
      <c r="F1325" s="451" t="s">
        <v>413</v>
      </c>
      <c r="G1325" s="77" t="s">
        <v>414</v>
      </c>
      <c r="H1325" s="77" t="s">
        <v>415</v>
      </c>
      <c r="I1325" s="78" t="s">
        <v>414</v>
      </c>
      <c r="J1325" s="79" t="s">
        <v>415</v>
      </c>
      <c r="K1325" s="79" t="s">
        <v>414</v>
      </c>
      <c r="L1325" s="79" t="s">
        <v>415</v>
      </c>
    </row>
    <row r="1326" spans="1:12" ht="12" customHeight="1" x14ac:dyDescent="0.35">
      <c r="B1326" s="451"/>
      <c r="C1326" s="451"/>
      <c r="D1326" s="453"/>
      <c r="E1326" s="451"/>
      <c r="F1326" s="451"/>
      <c r="G1326" s="77" t="s">
        <v>17</v>
      </c>
      <c r="H1326" s="77" t="s">
        <v>416</v>
      </c>
      <c r="I1326" s="78" t="s">
        <v>17</v>
      </c>
      <c r="J1326" s="79" t="s">
        <v>416</v>
      </c>
      <c r="K1326" s="79" t="s">
        <v>17</v>
      </c>
      <c r="L1326" s="79" t="s">
        <v>416</v>
      </c>
    </row>
    <row r="1327" spans="1:12" ht="12" customHeight="1" x14ac:dyDescent="0.35">
      <c r="B1327" s="451"/>
      <c r="C1327" s="451"/>
      <c r="D1327" s="454"/>
      <c r="E1327" s="451"/>
      <c r="F1327" s="451"/>
      <c r="G1327" s="106"/>
      <c r="H1327" s="77" t="s">
        <v>17</v>
      </c>
      <c r="I1327" s="94"/>
      <c r="J1327" s="79" t="s">
        <v>17</v>
      </c>
      <c r="K1327" s="85"/>
      <c r="L1327" s="79" t="s">
        <v>17</v>
      </c>
    </row>
    <row r="1328" spans="1:12" ht="12" customHeight="1" x14ac:dyDescent="0.35">
      <c r="B1328" s="80" t="s">
        <v>5</v>
      </c>
      <c r="C1328" s="81" t="s">
        <v>417</v>
      </c>
      <c r="D1328" s="82"/>
      <c r="E1328" s="82"/>
      <c r="F1328" s="82"/>
      <c r="G1328" s="82"/>
      <c r="H1328" s="82"/>
      <c r="I1328" s="83"/>
      <c r="J1328" s="83"/>
      <c r="K1328" s="83"/>
      <c r="L1328" s="83"/>
    </row>
    <row r="1329" spans="1:12" ht="12" customHeight="1" x14ac:dyDescent="0.35">
      <c r="A1329" s="134">
        <v>10131000</v>
      </c>
      <c r="B1329" s="84"/>
      <c r="C1329" s="85" t="s">
        <v>1885</v>
      </c>
      <c r="D1329" s="84" t="s">
        <v>418</v>
      </c>
      <c r="E1329" s="84" t="str">
        <f>VLOOKUP(C1329,HSD!B:K,2,FALSE)</f>
        <v>OJ</v>
      </c>
      <c r="F1329" s="128">
        <v>0.18759999999999999</v>
      </c>
      <c r="G1329" s="87">
        <f>VLOOKUP(C1329,HSD!B:K,10,FALSE)</f>
        <v>18750</v>
      </c>
      <c r="H1329" s="87">
        <f>F1329*G1329</f>
        <v>3517.5</v>
      </c>
      <c r="I1329" s="87">
        <v>91500</v>
      </c>
      <c r="J1329" s="87">
        <f>F1329*I1329</f>
        <v>17165.399999999998</v>
      </c>
      <c r="K1329" s="87">
        <v>91500</v>
      </c>
      <c r="L1329" s="87">
        <f>F1329*K1329</f>
        <v>17165.399999999998</v>
      </c>
    </row>
    <row r="1330" spans="1:12" ht="12" customHeight="1" x14ac:dyDescent="0.35">
      <c r="A1330" s="134">
        <v>10121110</v>
      </c>
      <c r="B1330" s="84"/>
      <c r="C1330" s="85" t="s">
        <v>1887</v>
      </c>
      <c r="D1330" s="84" t="s">
        <v>418</v>
      </c>
      <c r="E1330" s="84" t="str">
        <f>VLOOKUP(C1330,HSD!B:K,2,FALSE)</f>
        <v>OJ</v>
      </c>
      <c r="F1330" s="128"/>
      <c r="G1330" s="87">
        <f>VLOOKUP(C1330,HSD!B:K,10,FALSE)</f>
        <v>16250</v>
      </c>
      <c r="H1330" s="87">
        <f>F1330*G1330</f>
        <v>0</v>
      </c>
      <c r="I1330" s="87"/>
      <c r="J1330" s="87"/>
      <c r="K1330" s="87"/>
      <c r="L1330" s="87"/>
    </row>
    <row r="1331" spans="1:12" ht="12" customHeight="1" x14ac:dyDescent="0.35">
      <c r="A1331" s="134">
        <v>10111000</v>
      </c>
      <c r="B1331" s="84"/>
      <c r="C1331" s="85" t="s">
        <v>1888</v>
      </c>
      <c r="D1331" s="84" t="s">
        <v>418</v>
      </c>
      <c r="E1331" s="84" t="str">
        <f>VLOOKUP(C1331,HSD!B:K,2,FALSE)</f>
        <v>OJ</v>
      </c>
      <c r="F1331" s="128">
        <v>1.8800000000000001E-2</v>
      </c>
      <c r="G1331" s="87">
        <f>VLOOKUP(C1331,HSD!B:K,10,FALSE)</f>
        <v>15000</v>
      </c>
      <c r="H1331" s="87">
        <f>F1331*G1331</f>
        <v>282</v>
      </c>
      <c r="I1331" s="87">
        <v>78600</v>
      </c>
      <c r="J1331" s="87">
        <f>F1331*I1331</f>
        <v>1477.68</v>
      </c>
      <c r="K1331" s="87">
        <v>78600</v>
      </c>
      <c r="L1331" s="87">
        <f>F1331*K1331</f>
        <v>1477.68</v>
      </c>
    </row>
    <row r="1332" spans="1:12" ht="12" customHeight="1" x14ac:dyDescent="0.35">
      <c r="B1332" s="84"/>
      <c r="C1332" s="85"/>
      <c r="D1332" s="84"/>
      <c r="E1332" s="84"/>
      <c r="F1332" s="86"/>
      <c r="G1332" s="87"/>
      <c r="H1332" s="87">
        <f>F1332*G1332</f>
        <v>0</v>
      </c>
      <c r="I1332" s="87">
        <v>92500</v>
      </c>
      <c r="J1332" s="87">
        <f>F1332*I1332</f>
        <v>0</v>
      </c>
      <c r="K1332" s="87">
        <v>92500</v>
      </c>
      <c r="L1332" s="87">
        <f>F1332*K1332</f>
        <v>0</v>
      </c>
    </row>
    <row r="1333" spans="1:12" ht="12" customHeight="1" x14ac:dyDescent="0.35">
      <c r="B1333" s="84"/>
      <c r="C1333" s="85"/>
      <c r="D1333" s="84"/>
      <c r="E1333" s="84"/>
      <c r="F1333" s="86"/>
      <c r="G1333" s="87"/>
      <c r="H1333" s="87"/>
      <c r="I1333" s="87"/>
      <c r="J1333" s="87"/>
      <c r="K1333" s="87"/>
      <c r="L1333" s="87"/>
    </row>
    <row r="1334" spans="1:12" ht="12" customHeight="1" x14ac:dyDescent="0.35">
      <c r="B1334" s="84"/>
      <c r="C1334" s="88"/>
      <c r="D1334" s="79"/>
      <c r="E1334" s="79"/>
      <c r="F1334" s="89" t="s">
        <v>421</v>
      </c>
      <c r="G1334" s="101"/>
      <c r="H1334" s="87">
        <f>SUM(H1329:H1333)</f>
        <v>3799.5</v>
      </c>
      <c r="I1334" s="101"/>
      <c r="J1334" s="87">
        <f>SUM(J1331:J1333)</f>
        <v>1477.68</v>
      </c>
      <c r="K1334" s="101"/>
      <c r="L1334" s="87">
        <f>SUM(L1331:L1333)</f>
        <v>1477.68</v>
      </c>
    </row>
    <row r="1335" spans="1:12" ht="12" customHeight="1" x14ac:dyDescent="0.35">
      <c r="B1335" s="84" t="s">
        <v>6</v>
      </c>
      <c r="C1335" s="88" t="s">
        <v>422</v>
      </c>
      <c r="D1335" s="79"/>
      <c r="E1335" s="79"/>
      <c r="F1335" s="90"/>
      <c r="G1335" s="84"/>
      <c r="H1335" s="87"/>
      <c r="I1335" s="84"/>
      <c r="J1335" s="87"/>
      <c r="K1335" s="84"/>
      <c r="L1335" s="87"/>
    </row>
    <row r="1336" spans="1:12" ht="12" customHeight="1" x14ac:dyDescent="0.35">
      <c r="B1336" s="84"/>
      <c r="C1336" s="85"/>
      <c r="D1336" s="84"/>
      <c r="E1336" s="84"/>
      <c r="F1336" s="128"/>
      <c r="G1336" s="87"/>
      <c r="H1336" s="87">
        <f>F1336*G1336</f>
        <v>0</v>
      </c>
      <c r="I1336" s="87">
        <v>232500</v>
      </c>
      <c r="J1336" s="87">
        <f>F1336*I1336</f>
        <v>0</v>
      </c>
      <c r="K1336" s="87">
        <v>270000</v>
      </c>
      <c r="L1336" s="87">
        <f>F1336*K1336</f>
        <v>0</v>
      </c>
    </row>
    <row r="1337" spans="1:12" ht="12" customHeight="1" x14ac:dyDescent="0.35">
      <c r="B1337" s="84"/>
      <c r="C1337" s="88"/>
      <c r="D1337" s="79"/>
      <c r="E1337" s="84"/>
      <c r="F1337" s="102"/>
      <c r="G1337" s="87"/>
      <c r="H1337" s="87">
        <f>F1337*G1337</f>
        <v>0</v>
      </c>
      <c r="I1337" s="87">
        <v>1060</v>
      </c>
      <c r="J1337" s="87">
        <f>F1337*I1337</f>
        <v>0</v>
      </c>
      <c r="K1337" s="87">
        <v>1060</v>
      </c>
      <c r="L1337" s="87">
        <f>F1337*K1337</f>
        <v>0</v>
      </c>
    </row>
    <row r="1338" spans="1:12" ht="12" customHeight="1" x14ac:dyDescent="0.35">
      <c r="B1338" s="84"/>
      <c r="C1338" s="88"/>
      <c r="D1338" s="79"/>
      <c r="E1338" s="84"/>
      <c r="F1338" s="102"/>
      <c r="G1338" s="87"/>
      <c r="H1338" s="87">
        <f>F1338*G1338</f>
        <v>0</v>
      </c>
      <c r="I1338" s="87">
        <v>215000</v>
      </c>
      <c r="J1338" s="87">
        <f>F1338*I1338</f>
        <v>0</v>
      </c>
      <c r="K1338" s="87">
        <v>250000</v>
      </c>
      <c r="L1338" s="87">
        <f>F1338*K1338</f>
        <v>0</v>
      </c>
    </row>
    <row r="1339" spans="1:12" ht="12" customHeight="1" x14ac:dyDescent="0.35">
      <c r="B1339" s="84"/>
      <c r="C1339" s="88"/>
      <c r="D1339" s="79"/>
      <c r="E1339" s="79"/>
      <c r="F1339" s="89"/>
      <c r="G1339" s="101"/>
      <c r="H1339" s="87">
        <f>SUM(H1336:H1338)</f>
        <v>0</v>
      </c>
      <c r="I1339" s="101"/>
      <c r="J1339" s="87">
        <f>SUM(J1336:J1338)</f>
        <v>0</v>
      </c>
      <c r="K1339" s="101"/>
      <c r="L1339" s="87">
        <f>SUM(L1336:L1338)</f>
        <v>0</v>
      </c>
    </row>
    <row r="1340" spans="1:12" ht="12" customHeight="1" x14ac:dyDescent="0.35">
      <c r="B1340" s="84" t="s">
        <v>7</v>
      </c>
      <c r="C1340" s="88" t="s">
        <v>424</v>
      </c>
      <c r="D1340" s="79"/>
      <c r="E1340" s="79"/>
      <c r="F1340" s="90"/>
      <c r="G1340" s="84"/>
      <c r="H1340" s="87"/>
      <c r="I1340" s="84"/>
      <c r="J1340" s="87"/>
      <c r="K1340" s="84"/>
      <c r="L1340" s="87"/>
    </row>
    <row r="1341" spans="1:12" ht="12" customHeight="1" x14ac:dyDescent="0.35">
      <c r="A1341" s="134">
        <v>31100008</v>
      </c>
      <c r="B1341" s="84"/>
      <c r="C1341" s="85" t="s">
        <v>1836</v>
      </c>
      <c r="D1341" s="84" t="s">
        <v>418</v>
      </c>
      <c r="E1341" s="84" t="str">
        <f>VLOOKUP(C1341,HSD!B:K,2,FALSE)</f>
        <v>jam</v>
      </c>
      <c r="F1341" s="128">
        <v>2.3400000000000001E-2</v>
      </c>
      <c r="G1341" s="87">
        <f>VLOOKUP(C1341,HSD!B:K,10,FALSE)</f>
        <v>1053489.6200000001</v>
      </c>
      <c r="H1341" s="87">
        <f>F1341*G1341</f>
        <v>24651.657108000003</v>
      </c>
      <c r="I1341" s="87"/>
      <c r="J1341" s="87">
        <f>H1341*I1341</f>
        <v>0</v>
      </c>
      <c r="K1341" s="87"/>
      <c r="L1341" s="87">
        <f>J1341*K1341</f>
        <v>0</v>
      </c>
    </row>
    <row r="1342" spans="1:12" ht="12" customHeight="1" x14ac:dyDescent="0.35">
      <c r="A1342" s="134" t="s">
        <v>572</v>
      </c>
      <c r="B1342" s="84"/>
      <c r="C1342" s="85" t="s">
        <v>573</v>
      </c>
      <c r="D1342" s="84" t="s">
        <v>418</v>
      </c>
      <c r="E1342" s="84" t="str">
        <f>VLOOKUP(C1342,HSD!B:K,2,FALSE)</f>
        <v>jam</v>
      </c>
      <c r="F1342" s="128">
        <v>2.3400000000000001E-2</v>
      </c>
      <c r="G1342" s="87">
        <f>VLOOKUP(C1342,HSD!B:K,10,FALSE)</f>
        <v>932909.79</v>
      </c>
      <c r="H1342" s="87">
        <f>F1342*G1342</f>
        <v>21830.089086</v>
      </c>
      <c r="I1342" s="87"/>
      <c r="J1342" s="87"/>
      <c r="K1342" s="87"/>
      <c r="L1342" s="87"/>
    </row>
    <row r="1343" spans="1:12" ht="12" customHeight="1" x14ac:dyDescent="0.35">
      <c r="B1343" s="84"/>
      <c r="C1343" s="85"/>
      <c r="D1343" s="84"/>
      <c r="E1343" s="84"/>
      <c r="F1343" s="128"/>
      <c r="G1343" s="87"/>
      <c r="H1343" s="87">
        <f>F1343*G1343</f>
        <v>0</v>
      </c>
      <c r="I1343" s="87"/>
      <c r="J1343" s="87"/>
      <c r="K1343" s="87"/>
      <c r="L1343" s="87"/>
    </row>
    <row r="1344" spans="1:12" ht="12" customHeight="1" x14ac:dyDescent="0.35">
      <c r="B1344" s="84"/>
      <c r="C1344" s="88"/>
      <c r="D1344" s="79"/>
      <c r="E1344" s="79"/>
      <c r="F1344" s="89" t="s">
        <v>425</v>
      </c>
      <c r="G1344" s="101"/>
      <c r="H1344" s="87">
        <f>SUM(H1341:H1343)</f>
        <v>46481.746194000007</v>
      </c>
      <c r="I1344" s="101"/>
      <c r="J1344" s="87">
        <f>SUM(J1341)</f>
        <v>0</v>
      </c>
      <c r="K1344" s="101"/>
      <c r="L1344" s="87">
        <f>SUM(L1341)</f>
        <v>0</v>
      </c>
    </row>
    <row r="1345" spans="2:12" ht="12" customHeight="1" x14ac:dyDescent="0.35">
      <c r="B1345" s="84" t="s">
        <v>8</v>
      </c>
      <c r="C1345" s="103" t="s">
        <v>426</v>
      </c>
      <c r="D1345" s="104"/>
      <c r="E1345" s="104"/>
      <c r="F1345" s="104"/>
      <c r="G1345" s="105"/>
      <c r="H1345" s="87">
        <f>H1334+H1339+H1344</f>
        <v>50281.246194000007</v>
      </c>
      <c r="I1345" s="105"/>
      <c r="J1345" s="87">
        <f>J1334+J1339+J1344</f>
        <v>1477.68</v>
      </c>
      <c r="K1345" s="105"/>
      <c r="L1345" s="87">
        <f>L1334+L1339+L1344</f>
        <v>1477.68</v>
      </c>
    </row>
    <row r="1346" spans="2:12" ht="12" customHeight="1" x14ac:dyDescent="0.35">
      <c r="B1346" s="84" t="s">
        <v>9</v>
      </c>
      <c r="C1346" s="455" t="s">
        <v>427</v>
      </c>
      <c r="D1346" s="455"/>
      <c r="E1346" s="455"/>
      <c r="F1346" s="95">
        <f>0</f>
        <v>0</v>
      </c>
      <c r="G1346" s="85" t="s">
        <v>428</v>
      </c>
      <c r="H1346" s="87">
        <f>H1345*F1346</f>
        <v>0</v>
      </c>
      <c r="I1346" s="85" t="s">
        <v>428</v>
      </c>
      <c r="J1346" s="87">
        <f>J1345*F1346</f>
        <v>0</v>
      </c>
      <c r="K1346" s="85" t="s">
        <v>428</v>
      </c>
      <c r="L1346" s="87">
        <f>L1345*F1346</f>
        <v>0</v>
      </c>
    </row>
    <row r="1347" spans="2:12" ht="12" customHeight="1" x14ac:dyDescent="0.35">
      <c r="B1347" s="84" t="s">
        <v>10</v>
      </c>
      <c r="C1347" s="103" t="s">
        <v>429</v>
      </c>
      <c r="D1347" s="104"/>
      <c r="E1347" s="104"/>
      <c r="F1347" s="104"/>
      <c r="G1347" s="105"/>
      <c r="H1347" s="96">
        <f>H1345+H1346</f>
        <v>50281.246194000007</v>
      </c>
      <c r="I1347" s="97"/>
      <c r="J1347" s="96">
        <f>J1345+J1346</f>
        <v>1477.68</v>
      </c>
      <c r="K1347" s="97"/>
      <c r="L1347" s="96">
        <f>L1345+L1346</f>
        <v>1477.68</v>
      </c>
    </row>
    <row r="1349" spans="2:12" ht="37" customHeight="1" x14ac:dyDescent="0.35">
      <c r="B1349" s="76" t="s">
        <v>606</v>
      </c>
      <c r="C1349" s="458" t="s">
        <v>608</v>
      </c>
      <c r="D1349" s="459"/>
      <c r="E1349" s="459"/>
      <c r="F1349" s="459"/>
      <c r="G1349" s="456"/>
      <c r="H1349" s="457"/>
      <c r="I1349" s="455" t="s">
        <v>3</v>
      </c>
      <c r="J1349" s="455"/>
      <c r="K1349" s="455" t="s">
        <v>4</v>
      </c>
      <c r="L1349" s="455"/>
    </row>
    <row r="1350" spans="2:12" ht="12" customHeight="1" x14ac:dyDescent="0.35">
      <c r="B1350" s="451" t="s">
        <v>409</v>
      </c>
      <c r="C1350" s="451" t="s">
        <v>410</v>
      </c>
      <c r="D1350" s="452" t="s">
        <v>411</v>
      </c>
      <c r="E1350" s="451" t="s">
        <v>412</v>
      </c>
      <c r="F1350" s="451" t="s">
        <v>413</v>
      </c>
      <c r="G1350" s="77" t="s">
        <v>414</v>
      </c>
      <c r="H1350" s="77" t="s">
        <v>415</v>
      </c>
      <c r="I1350" s="78" t="s">
        <v>414</v>
      </c>
      <c r="J1350" s="79" t="s">
        <v>415</v>
      </c>
      <c r="K1350" s="79" t="s">
        <v>414</v>
      </c>
      <c r="L1350" s="79" t="s">
        <v>415</v>
      </c>
    </row>
    <row r="1351" spans="2:12" ht="12" customHeight="1" x14ac:dyDescent="0.35">
      <c r="B1351" s="451"/>
      <c r="C1351" s="451"/>
      <c r="D1351" s="453"/>
      <c r="E1351" s="451"/>
      <c r="F1351" s="451"/>
      <c r="G1351" s="77" t="s">
        <v>17</v>
      </c>
      <c r="H1351" s="77" t="s">
        <v>416</v>
      </c>
      <c r="I1351" s="78" t="s">
        <v>17</v>
      </c>
      <c r="J1351" s="79" t="s">
        <v>416</v>
      </c>
      <c r="K1351" s="79" t="s">
        <v>17</v>
      </c>
      <c r="L1351" s="79" t="s">
        <v>416</v>
      </c>
    </row>
    <row r="1352" spans="2:12" ht="12" customHeight="1" x14ac:dyDescent="0.35">
      <c r="B1352" s="451"/>
      <c r="C1352" s="451"/>
      <c r="D1352" s="454"/>
      <c r="E1352" s="451"/>
      <c r="F1352" s="451"/>
      <c r="G1352" s="106"/>
      <c r="H1352" s="77" t="s">
        <v>17</v>
      </c>
      <c r="I1352" s="94"/>
      <c r="J1352" s="79" t="s">
        <v>17</v>
      </c>
      <c r="K1352" s="85"/>
      <c r="L1352" s="79" t="s">
        <v>17</v>
      </c>
    </row>
    <row r="1353" spans="2:12" ht="12" customHeight="1" x14ac:dyDescent="0.35">
      <c r="B1353" s="80" t="s">
        <v>5</v>
      </c>
      <c r="C1353" s="81" t="s">
        <v>417</v>
      </c>
      <c r="D1353" s="82"/>
      <c r="E1353" s="82"/>
      <c r="F1353" s="82"/>
      <c r="G1353" s="82"/>
      <c r="H1353" s="82"/>
      <c r="I1353" s="83"/>
      <c r="J1353" s="83"/>
      <c r="K1353" s="83"/>
      <c r="L1353" s="83"/>
    </row>
    <row r="1354" spans="2:12" ht="12" customHeight="1" x14ac:dyDescent="0.35">
      <c r="B1354" s="84"/>
      <c r="C1354" s="85"/>
      <c r="D1354" s="84"/>
      <c r="E1354" s="84"/>
      <c r="F1354" s="128"/>
      <c r="G1354" s="87"/>
      <c r="H1354" s="87">
        <f>F1354*G1354</f>
        <v>0</v>
      </c>
      <c r="I1354" s="87">
        <v>91500</v>
      </c>
      <c r="J1354" s="87">
        <f>F1354*I1354</f>
        <v>0</v>
      </c>
      <c r="K1354" s="87">
        <v>91500</v>
      </c>
      <c r="L1354" s="87">
        <f>F1354*K1354</f>
        <v>0</v>
      </c>
    </row>
    <row r="1355" spans="2:12" ht="12" customHeight="1" x14ac:dyDescent="0.35">
      <c r="B1355" s="84"/>
      <c r="C1355" s="85"/>
      <c r="D1355" s="84"/>
      <c r="E1355" s="84"/>
      <c r="F1355" s="128"/>
      <c r="G1355" s="87"/>
      <c r="H1355" s="87">
        <f>F1355*G1355</f>
        <v>0</v>
      </c>
      <c r="I1355" s="87"/>
      <c r="J1355" s="87"/>
      <c r="K1355" s="87"/>
      <c r="L1355" s="87"/>
    </row>
    <row r="1356" spans="2:12" ht="12" customHeight="1" x14ac:dyDescent="0.35">
      <c r="B1356" s="84"/>
      <c r="C1356" s="85"/>
      <c r="D1356" s="84"/>
      <c r="E1356" s="84"/>
      <c r="F1356" s="128"/>
      <c r="G1356" s="87"/>
      <c r="H1356" s="87">
        <f>F1356*G1356</f>
        <v>0</v>
      </c>
      <c r="I1356" s="87">
        <v>78600</v>
      </c>
      <c r="J1356" s="87">
        <f>F1356*I1356</f>
        <v>0</v>
      </c>
      <c r="K1356" s="87">
        <v>78600</v>
      </c>
      <c r="L1356" s="87">
        <f>F1356*K1356</f>
        <v>0</v>
      </c>
    </row>
    <row r="1357" spans="2:12" ht="12" customHeight="1" x14ac:dyDescent="0.35">
      <c r="B1357" s="84"/>
      <c r="C1357" s="85"/>
      <c r="D1357" s="84"/>
      <c r="E1357" s="84"/>
      <c r="F1357" s="86"/>
      <c r="G1357" s="87"/>
      <c r="H1357" s="87">
        <f>F1357*G1357</f>
        <v>0</v>
      </c>
      <c r="I1357" s="87">
        <v>92500</v>
      </c>
      <c r="J1357" s="87">
        <f>F1357*I1357</f>
        <v>0</v>
      </c>
      <c r="K1357" s="87">
        <v>92500</v>
      </c>
      <c r="L1357" s="87">
        <f>F1357*K1357</f>
        <v>0</v>
      </c>
    </row>
    <row r="1358" spans="2:12" ht="12" customHeight="1" x14ac:dyDescent="0.35">
      <c r="B1358" s="84"/>
      <c r="C1358" s="85"/>
      <c r="D1358" s="84"/>
      <c r="E1358" s="84"/>
      <c r="F1358" s="86"/>
      <c r="G1358" s="87"/>
      <c r="H1358" s="87"/>
      <c r="I1358" s="87"/>
      <c r="J1358" s="87"/>
      <c r="K1358" s="87"/>
      <c r="L1358" s="87"/>
    </row>
    <row r="1359" spans="2:12" ht="12" customHeight="1" x14ac:dyDescent="0.35">
      <c r="B1359" s="84"/>
      <c r="C1359" s="88"/>
      <c r="D1359" s="79"/>
      <c r="E1359" s="79"/>
      <c r="F1359" s="89" t="s">
        <v>421</v>
      </c>
      <c r="G1359" s="101"/>
      <c r="H1359" s="87">
        <f>SUM(H1354:H1358)</f>
        <v>0</v>
      </c>
      <c r="I1359" s="101"/>
      <c r="J1359" s="87">
        <f>SUM(J1356:J1358)</f>
        <v>0</v>
      </c>
      <c r="K1359" s="101"/>
      <c r="L1359" s="87">
        <f>SUM(L1356:L1358)</f>
        <v>0</v>
      </c>
    </row>
    <row r="1360" spans="2:12" ht="12" customHeight="1" x14ac:dyDescent="0.35">
      <c r="B1360" s="84" t="s">
        <v>6</v>
      </c>
      <c r="C1360" s="88" t="s">
        <v>422</v>
      </c>
      <c r="D1360" s="79"/>
      <c r="E1360" s="79"/>
      <c r="F1360" s="90"/>
      <c r="G1360" s="84"/>
      <c r="H1360" s="87"/>
      <c r="I1360" s="84"/>
      <c r="J1360" s="87"/>
      <c r="K1360" s="84"/>
      <c r="L1360" s="87"/>
    </row>
    <row r="1361" spans="1:12" ht="12" customHeight="1" x14ac:dyDescent="0.35">
      <c r="B1361" s="84"/>
      <c r="C1361" s="85"/>
      <c r="D1361" s="84"/>
      <c r="E1361" s="84"/>
      <c r="F1361" s="128"/>
      <c r="G1361" s="87"/>
      <c r="H1361" s="87">
        <f>F1361*G1361</f>
        <v>0</v>
      </c>
      <c r="I1361" s="87">
        <v>232500</v>
      </c>
      <c r="J1361" s="87">
        <f>F1361*I1361</f>
        <v>0</v>
      </c>
      <c r="K1361" s="87">
        <v>270000</v>
      </c>
      <c r="L1361" s="87">
        <f>F1361*K1361</f>
        <v>0</v>
      </c>
    </row>
    <row r="1362" spans="1:12" ht="12" customHeight="1" x14ac:dyDescent="0.35">
      <c r="B1362" s="84"/>
      <c r="C1362" s="88"/>
      <c r="D1362" s="79"/>
      <c r="E1362" s="84"/>
      <c r="F1362" s="102"/>
      <c r="G1362" s="87"/>
      <c r="H1362" s="87">
        <f>F1362*G1362</f>
        <v>0</v>
      </c>
      <c r="I1362" s="87">
        <v>1060</v>
      </c>
      <c r="J1362" s="87">
        <f>F1362*I1362</f>
        <v>0</v>
      </c>
      <c r="K1362" s="87">
        <v>1060</v>
      </c>
      <c r="L1362" s="87">
        <f>F1362*K1362</f>
        <v>0</v>
      </c>
    </row>
    <row r="1363" spans="1:12" ht="12" customHeight="1" x14ac:dyDescent="0.35">
      <c r="B1363" s="84"/>
      <c r="C1363" s="88"/>
      <c r="D1363" s="79"/>
      <c r="E1363" s="84"/>
      <c r="F1363" s="102"/>
      <c r="G1363" s="87"/>
      <c r="H1363" s="87">
        <f>F1363*G1363</f>
        <v>0</v>
      </c>
      <c r="I1363" s="87">
        <v>215000</v>
      </c>
      <c r="J1363" s="87">
        <f>F1363*I1363</f>
        <v>0</v>
      </c>
      <c r="K1363" s="87">
        <v>250000</v>
      </c>
      <c r="L1363" s="87">
        <f>F1363*K1363</f>
        <v>0</v>
      </c>
    </row>
    <row r="1364" spans="1:12" ht="12" customHeight="1" x14ac:dyDescent="0.35">
      <c r="B1364" s="84"/>
      <c r="C1364" s="88"/>
      <c r="D1364" s="79"/>
      <c r="E1364" s="79"/>
      <c r="F1364" s="89"/>
      <c r="G1364" s="101"/>
      <c r="H1364" s="87">
        <f>SUM(H1361:H1363)</f>
        <v>0</v>
      </c>
      <c r="I1364" s="101"/>
      <c r="J1364" s="87">
        <f>SUM(J1361:J1363)</f>
        <v>0</v>
      </c>
      <c r="K1364" s="101"/>
      <c r="L1364" s="87">
        <f>SUM(L1361:L1363)</f>
        <v>0</v>
      </c>
    </row>
    <row r="1365" spans="1:12" ht="12" customHeight="1" x14ac:dyDescent="0.35">
      <c r="B1365" s="84" t="s">
        <v>7</v>
      </c>
      <c r="C1365" s="88" t="s">
        <v>424</v>
      </c>
      <c r="D1365" s="79"/>
      <c r="E1365" s="79"/>
      <c r="F1365" s="90"/>
      <c r="G1365" s="84"/>
      <c r="H1365" s="87"/>
      <c r="I1365" s="84"/>
      <c r="J1365" s="87"/>
      <c r="K1365" s="84"/>
      <c r="L1365" s="87"/>
    </row>
    <row r="1366" spans="1:12" ht="12" customHeight="1" x14ac:dyDescent="0.35">
      <c r="A1366" s="134">
        <v>31100008</v>
      </c>
      <c r="B1366" s="84"/>
      <c r="C1366" s="85" t="s">
        <v>1836</v>
      </c>
      <c r="D1366" s="84" t="s">
        <v>418</v>
      </c>
      <c r="E1366" s="84" t="str">
        <f>VLOOKUP(C1366,HSD!B:K,2,FALSE)</f>
        <v>jam</v>
      </c>
      <c r="F1366" s="128">
        <v>3.32E-2</v>
      </c>
      <c r="G1366" s="87">
        <f>VLOOKUP(C1366,HSD!B:K,10,FALSE)</f>
        <v>1053489.6200000001</v>
      </c>
      <c r="H1366" s="87">
        <f>F1366*G1366</f>
        <v>34975.855384000002</v>
      </c>
      <c r="I1366" s="87"/>
      <c r="J1366" s="87">
        <f>H1366*I1366</f>
        <v>0</v>
      </c>
      <c r="K1366" s="87"/>
      <c r="L1366" s="87">
        <f>J1366*K1366</f>
        <v>0</v>
      </c>
    </row>
    <row r="1367" spans="1:12" ht="12" customHeight="1" x14ac:dyDescent="0.35">
      <c r="A1367" s="134" t="s">
        <v>572</v>
      </c>
      <c r="B1367" s="84"/>
      <c r="C1367" s="85" t="s">
        <v>573</v>
      </c>
      <c r="D1367" s="84" t="s">
        <v>418</v>
      </c>
      <c r="E1367" s="84" t="str">
        <f>VLOOKUP(C1367,HSD!B:K,2,FALSE)</f>
        <v>jam</v>
      </c>
      <c r="F1367" s="128">
        <v>3.32E-2</v>
      </c>
      <c r="G1367" s="87">
        <f>VLOOKUP(C1367,HSD!B:K,10,FALSE)</f>
        <v>932909.79</v>
      </c>
      <c r="H1367" s="87">
        <f>F1367*G1367</f>
        <v>30972.605028000002</v>
      </c>
      <c r="I1367" s="87"/>
      <c r="J1367" s="87"/>
      <c r="K1367" s="87"/>
      <c r="L1367" s="87"/>
    </row>
    <row r="1368" spans="1:12" ht="12" customHeight="1" x14ac:dyDescent="0.35">
      <c r="B1368" s="84"/>
      <c r="C1368" s="85"/>
      <c r="D1368" s="84"/>
      <c r="E1368" s="84"/>
      <c r="F1368" s="128"/>
      <c r="G1368" s="87"/>
      <c r="H1368" s="87">
        <f>F1368*G1368</f>
        <v>0</v>
      </c>
      <c r="I1368" s="87"/>
      <c r="J1368" s="87"/>
      <c r="K1368" s="87"/>
      <c r="L1368" s="87"/>
    </row>
    <row r="1369" spans="1:12" ht="12" customHeight="1" x14ac:dyDescent="0.35">
      <c r="B1369" s="84"/>
      <c r="C1369" s="88"/>
      <c r="D1369" s="79"/>
      <c r="E1369" s="79"/>
      <c r="F1369" s="89" t="s">
        <v>425</v>
      </c>
      <c r="G1369" s="101"/>
      <c r="H1369" s="87">
        <f>SUM(H1366:H1368)</f>
        <v>65948.460412</v>
      </c>
      <c r="I1369" s="101"/>
      <c r="J1369" s="87">
        <f>SUM(J1366)</f>
        <v>0</v>
      </c>
      <c r="K1369" s="101"/>
      <c r="L1369" s="87">
        <f>SUM(L1366)</f>
        <v>0</v>
      </c>
    </row>
    <row r="1370" spans="1:12" ht="12" customHeight="1" x14ac:dyDescent="0.35">
      <c r="B1370" s="84" t="s">
        <v>8</v>
      </c>
      <c r="C1370" s="103" t="s">
        <v>426</v>
      </c>
      <c r="D1370" s="104"/>
      <c r="E1370" s="104"/>
      <c r="F1370" s="104"/>
      <c r="G1370" s="105"/>
      <c r="H1370" s="87">
        <f>H1359+H1364+H1369</f>
        <v>65948.460412</v>
      </c>
      <c r="I1370" s="105"/>
      <c r="J1370" s="87">
        <f>J1359+J1364+J1369</f>
        <v>0</v>
      </c>
      <c r="K1370" s="105"/>
      <c r="L1370" s="87">
        <f>L1359+L1364+L1369</f>
        <v>0</v>
      </c>
    </row>
    <row r="1371" spans="1:12" ht="12" customHeight="1" x14ac:dyDescent="0.35">
      <c r="B1371" s="84" t="s">
        <v>9</v>
      </c>
      <c r="C1371" s="455" t="s">
        <v>427</v>
      </c>
      <c r="D1371" s="455"/>
      <c r="E1371" s="455"/>
      <c r="F1371" s="95">
        <f>0</f>
        <v>0</v>
      </c>
      <c r="G1371" s="85" t="s">
        <v>428</v>
      </c>
      <c r="H1371" s="87">
        <f>H1370*F1371</f>
        <v>0</v>
      </c>
      <c r="I1371" s="85" t="s">
        <v>428</v>
      </c>
      <c r="J1371" s="87">
        <f>J1370*F1371</f>
        <v>0</v>
      </c>
      <c r="K1371" s="85" t="s">
        <v>428</v>
      </c>
      <c r="L1371" s="87">
        <f>L1370*F1371</f>
        <v>0</v>
      </c>
    </row>
    <row r="1372" spans="1:12" ht="12" customHeight="1" x14ac:dyDescent="0.35">
      <c r="B1372" s="84" t="s">
        <v>10</v>
      </c>
      <c r="C1372" s="103" t="s">
        <v>429</v>
      </c>
      <c r="D1372" s="104"/>
      <c r="E1372" s="104"/>
      <c r="F1372" s="104"/>
      <c r="G1372" s="105"/>
      <c r="H1372" s="96">
        <f>H1370+H1371</f>
        <v>65948.460412</v>
      </c>
      <c r="I1372" s="97"/>
      <c r="J1372" s="96">
        <f>J1370+J1371</f>
        <v>0</v>
      </c>
      <c r="K1372" s="97"/>
      <c r="L1372" s="96">
        <f>L1370+L1371</f>
        <v>0</v>
      </c>
    </row>
    <row r="1374" spans="1:12" ht="37" customHeight="1" x14ac:dyDescent="0.35">
      <c r="B1374" s="76" t="s">
        <v>609</v>
      </c>
      <c r="C1374" s="458" t="s">
        <v>610</v>
      </c>
      <c r="D1374" s="459"/>
      <c r="E1374" s="459"/>
      <c r="F1374" s="459"/>
      <c r="G1374" s="456"/>
      <c r="H1374" s="457"/>
      <c r="I1374" s="455" t="s">
        <v>3</v>
      </c>
      <c r="J1374" s="455"/>
      <c r="K1374" s="455" t="s">
        <v>4</v>
      </c>
      <c r="L1374" s="455"/>
    </row>
    <row r="1375" spans="1:12" ht="12" customHeight="1" x14ac:dyDescent="0.35">
      <c r="B1375" s="451" t="s">
        <v>409</v>
      </c>
      <c r="C1375" s="451" t="s">
        <v>410</v>
      </c>
      <c r="D1375" s="452" t="s">
        <v>411</v>
      </c>
      <c r="E1375" s="451" t="s">
        <v>412</v>
      </c>
      <c r="F1375" s="451" t="s">
        <v>413</v>
      </c>
      <c r="G1375" s="77" t="s">
        <v>414</v>
      </c>
      <c r="H1375" s="77" t="s">
        <v>415</v>
      </c>
      <c r="I1375" s="78" t="s">
        <v>414</v>
      </c>
      <c r="J1375" s="79" t="s">
        <v>415</v>
      </c>
      <c r="K1375" s="79" t="s">
        <v>414</v>
      </c>
      <c r="L1375" s="79" t="s">
        <v>415</v>
      </c>
    </row>
    <row r="1376" spans="1:12" ht="12" customHeight="1" x14ac:dyDescent="0.35">
      <c r="B1376" s="451"/>
      <c r="C1376" s="451"/>
      <c r="D1376" s="453"/>
      <c r="E1376" s="451"/>
      <c r="F1376" s="451"/>
      <c r="G1376" s="77" t="s">
        <v>17</v>
      </c>
      <c r="H1376" s="77" t="s">
        <v>416</v>
      </c>
      <c r="I1376" s="78" t="s">
        <v>17</v>
      </c>
      <c r="J1376" s="79" t="s">
        <v>416</v>
      </c>
      <c r="K1376" s="79" t="s">
        <v>17</v>
      </c>
      <c r="L1376" s="79" t="s">
        <v>416</v>
      </c>
    </row>
    <row r="1377" spans="1:12" ht="12" customHeight="1" x14ac:dyDescent="0.35">
      <c r="B1377" s="451"/>
      <c r="C1377" s="451"/>
      <c r="D1377" s="454"/>
      <c r="E1377" s="451"/>
      <c r="F1377" s="451"/>
      <c r="G1377" s="106"/>
      <c r="H1377" s="77" t="s">
        <v>17</v>
      </c>
      <c r="I1377" s="94"/>
      <c r="J1377" s="79" t="s">
        <v>17</v>
      </c>
      <c r="K1377" s="85"/>
      <c r="L1377" s="79" t="s">
        <v>17</v>
      </c>
    </row>
    <row r="1378" spans="1:12" ht="12" customHeight="1" x14ac:dyDescent="0.35">
      <c r="B1378" s="80" t="s">
        <v>5</v>
      </c>
      <c r="C1378" s="81" t="s">
        <v>417</v>
      </c>
      <c r="D1378" s="82"/>
      <c r="E1378" s="82"/>
      <c r="F1378" s="82"/>
      <c r="G1378" s="82"/>
      <c r="H1378" s="82"/>
      <c r="I1378" s="83"/>
      <c r="J1378" s="83"/>
      <c r="K1378" s="83"/>
      <c r="L1378" s="83"/>
    </row>
    <row r="1379" spans="1:12" ht="12" customHeight="1" x14ac:dyDescent="0.35">
      <c r="B1379" s="84"/>
      <c r="C1379" s="85"/>
      <c r="D1379" s="84"/>
      <c r="E1379" s="84"/>
      <c r="F1379" s="128"/>
      <c r="G1379" s="87"/>
      <c r="H1379" s="87">
        <f>F1379*G1379</f>
        <v>0</v>
      </c>
      <c r="I1379" s="87">
        <v>91500</v>
      </c>
      <c r="J1379" s="87">
        <f>F1379*I1379</f>
        <v>0</v>
      </c>
      <c r="K1379" s="87">
        <v>91500</v>
      </c>
      <c r="L1379" s="87">
        <f>F1379*K1379</f>
        <v>0</v>
      </c>
    </row>
    <row r="1380" spans="1:12" ht="12" customHeight="1" x14ac:dyDescent="0.35">
      <c r="B1380" s="84"/>
      <c r="C1380" s="85"/>
      <c r="D1380" s="84"/>
      <c r="E1380" s="84"/>
      <c r="F1380" s="128"/>
      <c r="G1380" s="87"/>
      <c r="H1380" s="87">
        <f>F1380*G1380</f>
        <v>0</v>
      </c>
      <c r="I1380" s="87"/>
      <c r="J1380" s="87"/>
      <c r="K1380" s="87"/>
      <c r="L1380" s="87"/>
    </row>
    <row r="1381" spans="1:12" ht="12" customHeight="1" x14ac:dyDescent="0.35">
      <c r="B1381" s="84"/>
      <c r="C1381" s="85"/>
      <c r="D1381" s="84"/>
      <c r="E1381" s="84"/>
      <c r="F1381" s="128"/>
      <c r="G1381" s="87"/>
      <c r="H1381" s="87">
        <f>F1381*G1381</f>
        <v>0</v>
      </c>
      <c r="I1381" s="87">
        <v>78600</v>
      </c>
      <c r="J1381" s="87">
        <f>F1381*I1381</f>
        <v>0</v>
      </c>
      <c r="K1381" s="87">
        <v>78600</v>
      </c>
      <c r="L1381" s="87">
        <f>F1381*K1381</f>
        <v>0</v>
      </c>
    </row>
    <row r="1382" spans="1:12" ht="12" customHeight="1" x14ac:dyDescent="0.35">
      <c r="B1382" s="84"/>
      <c r="C1382" s="85"/>
      <c r="D1382" s="84"/>
      <c r="E1382" s="84"/>
      <c r="F1382" s="86"/>
      <c r="G1382" s="87"/>
      <c r="H1382" s="87">
        <f>F1382*G1382</f>
        <v>0</v>
      </c>
      <c r="I1382" s="87">
        <v>92500</v>
      </c>
      <c r="J1382" s="87">
        <f>F1382*I1382</f>
        <v>0</v>
      </c>
      <c r="K1382" s="87">
        <v>92500</v>
      </c>
      <c r="L1382" s="87">
        <f>F1382*K1382</f>
        <v>0</v>
      </c>
    </row>
    <row r="1383" spans="1:12" ht="12" customHeight="1" x14ac:dyDescent="0.35">
      <c r="B1383" s="84"/>
      <c r="C1383" s="85"/>
      <c r="D1383" s="84"/>
      <c r="E1383" s="84"/>
      <c r="F1383" s="86"/>
      <c r="G1383" s="87"/>
      <c r="H1383" s="87"/>
      <c r="I1383" s="87"/>
      <c r="J1383" s="87"/>
      <c r="K1383" s="87"/>
      <c r="L1383" s="87"/>
    </row>
    <row r="1384" spans="1:12" ht="12" customHeight="1" x14ac:dyDescent="0.35">
      <c r="B1384" s="84"/>
      <c r="C1384" s="88"/>
      <c r="D1384" s="79"/>
      <c r="E1384" s="79"/>
      <c r="F1384" s="89" t="s">
        <v>421</v>
      </c>
      <c r="G1384" s="101"/>
      <c r="H1384" s="87">
        <f>SUM(H1379:H1383)</f>
        <v>0</v>
      </c>
      <c r="I1384" s="101"/>
      <c r="J1384" s="87">
        <f>SUM(J1381:J1383)</f>
        <v>0</v>
      </c>
      <c r="K1384" s="101"/>
      <c r="L1384" s="87">
        <f>SUM(L1381:L1383)</f>
        <v>0</v>
      </c>
    </row>
    <row r="1385" spans="1:12" ht="12" customHeight="1" x14ac:dyDescent="0.35">
      <c r="B1385" s="84" t="s">
        <v>6</v>
      </c>
      <c r="C1385" s="88" t="s">
        <v>422</v>
      </c>
      <c r="D1385" s="79"/>
      <c r="E1385" s="79"/>
      <c r="F1385" s="90"/>
      <c r="G1385" s="84"/>
      <c r="H1385" s="87"/>
      <c r="I1385" s="84"/>
      <c r="J1385" s="87"/>
      <c r="K1385" s="84"/>
      <c r="L1385" s="87"/>
    </row>
    <row r="1386" spans="1:12" ht="12" customHeight="1" x14ac:dyDescent="0.35">
      <c r="B1386" s="84"/>
      <c r="C1386" s="85"/>
      <c r="D1386" s="84"/>
      <c r="E1386" s="84"/>
      <c r="F1386" s="128"/>
      <c r="G1386" s="87"/>
      <c r="H1386" s="87">
        <f>F1386*G1386</f>
        <v>0</v>
      </c>
      <c r="I1386" s="87">
        <v>232500</v>
      </c>
      <c r="J1386" s="87">
        <f>F1386*I1386</f>
        <v>0</v>
      </c>
      <c r="K1386" s="87">
        <v>270000</v>
      </c>
      <c r="L1386" s="87">
        <f>F1386*K1386</f>
        <v>0</v>
      </c>
    </row>
    <row r="1387" spans="1:12" ht="12" customHeight="1" x14ac:dyDescent="0.35">
      <c r="B1387" s="84"/>
      <c r="C1387" s="88"/>
      <c r="D1387" s="79"/>
      <c r="E1387" s="84"/>
      <c r="F1387" s="102"/>
      <c r="G1387" s="87"/>
      <c r="H1387" s="87">
        <f>F1387*G1387</f>
        <v>0</v>
      </c>
      <c r="I1387" s="87">
        <v>1060</v>
      </c>
      <c r="J1387" s="87">
        <f>F1387*I1387</f>
        <v>0</v>
      </c>
      <c r="K1387" s="87">
        <v>1060</v>
      </c>
      <c r="L1387" s="87">
        <f>F1387*K1387</f>
        <v>0</v>
      </c>
    </row>
    <row r="1388" spans="1:12" ht="12" customHeight="1" x14ac:dyDescent="0.35">
      <c r="B1388" s="84"/>
      <c r="C1388" s="88"/>
      <c r="D1388" s="79"/>
      <c r="E1388" s="84"/>
      <c r="F1388" s="102"/>
      <c r="G1388" s="87"/>
      <c r="H1388" s="87">
        <f>F1388*G1388</f>
        <v>0</v>
      </c>
      <c r="I1388" s="87">
        <v>215000</v>
      </c>
      <c r="J1388" s="87">
        <f>F1388*I1388</f>
        <v>0</v>
      </c>
      <c r="K1388" s="87">
        <v>250000</v>
      </c>
      <c r="L1388" s="87">
        <f>F1388*K1388</f>
        <v>0</v>
      </c>
    </row>
    <row r="1389" spans="1:12" ht="12" customHeight="1" x14ac:dyDescent="0.35">
      <c r="B1389" s="84"/>
      <c r="C1389" s="88"/>
      <c r="D1389" s="79"/>
      <c r="E1389" s="79"/>
      <c r="F1389" s="89"/>
      <c r="G1389" s="101"/>
      <c r="H1389" s="87">
        <f>SUM(H1386:H1388)</f>
        <v>0</v>
      </c>
      <c r="I1389" s="101"/>
      <c r="J1389" s="87">
        <f>SUM(J1386:J1388)</f>
        <v>0</v>
      </c>
      <c r="K1389" s="101"/>
      <c r="L1389" s="87">
        <f>SUM(L1386:L1388)</f>
        <v>0</v>
      </c>
    </row>
    <row r="1390" spans="1:12" ht="12" customHeight="1" x14ac:dyDescent="0.35">
      <c r="B1390" s="84" t="s">
        <v>7</v>
      </c>
      <c r="C1390" s="88" t="s">
        <v>424</v>
      </c>
      <c r="D1390" s="79"/>
      <c r="E1390" s="79"/>
      <c r="F1390" s="90"/>
      <c r="G1390" s="84"/>
      <c r="H1390" s="87"/>
      <c r="I1390" s="84"/>
      <c r="J1390" s="87"/>
      <c r="K1390" s="84"/>
      <c r="L1390" s="87"/>
    </row>
    <row r="1391" spans="1:12" ht="12" customHeight="1" x14ac:dyDescent="0.35">
      <c r="A1391" s="134">
        <v>31100008</v>
      </c>
      <c r="B1391" s="84"/>
      <c r="C1391" s="85" t="s">
        <v>1836</v>
      </c>
      <c r="D1391" s="84" t="s">
        <v>418</v>
      </c>
      <c r="E1391" s="84" t="str">
        <f>VLOOKUP(C1391,HSD!B:K,2,FALSE)</f>
        <v>jam</v>
      </c>
      <c r="F1391" s="128">
        <v>6.3E-3</v>
      </c>
      <c r="G1391" s="87">
        <f>VLOOKUP(C1391,HSD!B:K,10,FALSE)</f>
        <v>1053489.6200000001</v>
      </c>
      <c r="H1391" s="87">
        <f>F1391*G1391</f>
        <v>6636.9846060000009</v>
      </c>
      <c r="I1391" s="87"/>
      <c r="J1391" s="87">
        <f>H1391*I1391</f>
        <v>0</v>
      </c>
      <c r="K1391" s="87"/>
      <c r="L1391" s="87">
        <f>J1391*K1391</f>
        <v>0</v>
      </c>
    </row>
    <row r="1392" spans="1:12" ht="12" customHeight="1" x14ac:dyDescent="0.35">
      <c r="B1392" s="84"/>
      <c r="C1392" s="85"/>
      <c r="D1392" s="84"/>
      <c r="E1392" s="84"/>
      <c r="F1392" s="128"/>
      <c r="G1392" s="87"/>
      <c r="H1392" s="87">
        <f>F1392*G1392</f>
        <v>0</v>
      </c>
      <c r="I1392" s="87"/>
      <c r="J1392" s="87"/>
      <c r="K1392" s="87"/>
      <c r="L1392" s="87"/>
    </row>
    <row r="1393" spans="1:12" ht="12" customHeight="1" x14ac:dyDescent="0.35">
      <c r="B1393" s="84"/>
      <c r="C1393" s="85"/>
      <c r="D1393" s="84"/>
      <c r="E1393" s="84"/>
      <c r="F1393" s="128"/>
      <c r="G1393" s="87"/>
      <c r="H1393" s="87">
        <f>F1393*G1393</f>
        <v>0</v>
      </c>
      <c r="I1393" s="87"/>
      <c r="J1393" s="87"/>
      <c r="K1393" s="87"/>
      <c r="L1393" s="87"/>
    </row>
    <row r="1394" spans="1:12" ht="12" customHeight="1" x14ac:dyDescent="0.35">
      <c r="B1394" s="84"/>
      <c r="C1394" s="88"/>
      <c r="D1394" s="79"/>
      <c r="E1394" s="79"/>
      <c r="F1394" s="89" t="s">
        <v>425</v>
      </c>
      <c r="G1394" s="101"/>
      <c r="H1394" s="87">
        <f>SUM(H1391:H1393)</f>
        <v>6636.9846060000009</v>
      </c>
      <c r="I1394" s="101"/>
      <c r="J1394" s="87">
        <f>SUM(J1391)</f>
        <v>0</v>
      </c>
      <c r="K1394" s="101"/>
      <c r="L1394" s="87">
        <f>SUM(L1391)</f>
        <v>0</v>
      </c>
    </row>
    <row r="1395" spans="1:12" ht="12" customHeight="1" x14ac:dyDescent="0.35">
      <c r="B1395" s="84" t="s">
        <v>8</v>
      </c>
      <c r="C1395" s="103" t="s">
        <v>426</v>
      </c>
      <c r="D1395" s="104"/>
      <c r="E1395" s="104"/>
      <c r="F1395" s="104"/>
      <c r="G1395" s="105"/>
      <c r="H1395" s="87">
        <f>H1384+H1389+H1394</f>
        <v>6636.9846060000009</v>
      </c>
      <c r="I1395" s="105"/>
      <c r="J1395" s="87">
        <f>J1384+J1389+J1394</f>
        <v>0</v>
      </c>
      <c r="K1395" s="105"/>
      <c r="L1395" s="87">
        <f>L1384+L1389+L1394</f>
        <v>0</v>
      </c>
    </row>
    <row r="1396" spans="1:12" ht="12" customHeight="1" x14ac:dyDescent="0.35">
      <c r="B1396" s="84" t="s">
        <v>9</v>
      </c>
      <c r="C1396" s="455" t="s">
        <v>427</v>
      </c>
      <c r="D1396" s="455"/>
      <c r="E1396" s="455"/>
      <c r="F1396" s="95">
        <f>0</f>
        <v>0</v>
      </c>
      <c r="G1396" s="85" t="s">
        <v>428</v>
      </c>
      <c r="H1396" s="87">
        <f>H1395*F1396</f>
        <v>0</v>
      </c>
      <c r="I1396" s="85" t="s">
        <v>428</v>
      </c>
      <c r="J1396" s="87">
        <f>J1395*F1396</f>
        <v>0</v>
      </c>
      <c r="K1396" s="85" t="s">
        <v>428</v>
      </c>
      <c r="L1396" s="87">
        <f>L1395*F1396</f>
        <v>0</v>
      </c>
    </row>
    <row r="1397" spans="1:12" ht="12" customHeight="1" x14ac:dyDescent="0.35">
      <c r="B1397" s="84" t="s">
        <v>10</v>
      </c>
      <c r="C1397" s="103" t="s">
        <v>429</v>
      </c>
      <c r="D1397" s="104"/>
      <c r="E1397" s="104"/>
      <c r="F1397" s="104"/>
      <c r="G1397" s="105"/>
      <c r="H1397" s="96">
        <f>H1395+H1396</f>
        <v>6636.9846060000009</v>
      </c>
      <c r="I1397" s="97"/>
      <c r="J1397" s="96">
        <f>J1395+J1396</f>
        <v>0</v>
      </c>
      <c r="K1397" s="97"/>
      <c r="L1397" s="96">
        <f>L1395+L1396</f>
        <v>0</v>
      </c>
    </row>
    <row r="1399" spans="1:12" ht="37" customHeight="1" x14ac:dyDescent="0.35">
      <c r="B1399" s="76" t="s">
        <v>1958</v>
      </c>
      <c r="C1399" s="458" t="s">
        <v>613</v>
      </c>
      <c r="D1399" s="459"/>
      <c r="E1399" s="459"/>
      <c r="F1399" s="459"/>
      <c r="G1399" s="456"/>
      <c r="H1399" s="457"/>
      <c r="I1399" s="455" t="s">
        <v>3</v>
      </c>
      <c r="J1399" s="455"/>
      <c r="K1399" s="455" t="s">
        <v>4</v>
      </c>
      <c r="L1399" s="455"/>
    </row>
    <row r="1400" spans="1:12" ht="12" customHeight="1" x14ac:dyDescent="0.35">
      <c r="B1400" s="451" t="s">
        <v>409</v>
      </c>
      <c r="C1400" s="451" t="s">
        <v>410</v>
      </c>
      <c r="D1400" s="452" t="s">
        <v>411</v>
      </c>
      <c r="E1400" s="451" t="s">
        <v>412</v>
      </c>
      <c r="F1400" s="451" t="s">
        <v>413</v>
      </c>
      <c r="G1400" s="77" t="s">
        <v>414</v>
      </c>
      <c r="H1400" s="77" t="s">
        <v>415</v>
      </c>
      <c r="I1400" s="78" t="s">
        <v>414</v>
      </c>
      <c r="J1400" s="79" t="s">
        <v>415</v>
      </c>
      <c r="K1400" s="79" t="s">
        <v>414</v>
      </c>
      <c r="L1400" s="79" t="s">
        <v>415</v>
      </c>
    </row>
    <row r="1401" spans="1:12" ht="12" customHeight="1" x14ac:dyDescent="0.35">
      <c r="B1401" s="451"/>
      <c r="C1401" s="451"/>
      <c r="D1401" s="453"/>
      <c r="E1401" s="451"/>
      <c r="F1401" s="451"/>
      <c r="G1401" s="77" t="s">
        <v>17</v>
      </c>
      <c r="H1401" s="77" t="s">
        <v>416</v>
      </c>
      <c r="I1401" s="78" t="s">
        <v>17</v>
      </c>
      <c r="J1401" s="79" t="s">
        <v>416</v>
      </c>
      <c r="K1401" s="79" t="s">
        <v>17</v>
      </c>
      <c r="L1401" s="79" t="s">
        <v>416</v>
      </c>
    </row>
    <row r="1402" spans="1:12" ht="12" customHeight="1" x14ac:dyDescent="0.35">
      <c r="B1402" s="451"/>
      <c r="C1402" s="451"/>
      <c r="D1402" s="454"/>
      <c r="E1402" s="451"/>
      <c r="F1402" s="451"/>
      <c r="G1402" s="106"/>
      <c r="H1402" s="77" t="s">
        <v>17</v>
      </c>
      <c r="I1402" s="94"/>
      <c r="J1402" s="79" t="s">
        <v>17</v>
      </c>
      <c r="K1402" s="85"/>
      <c r="L1402" s="79" t="s">
        <v>17</v>
      </c>
    </row>
    <row r="1403" spans="1:12" ht="12" customHeight="1" x14ac:dyDescent="0.35">
      <c r="B1403" s="80" t="s">
        <v>5</v>
      </c>
      <c r="C1403" s="81" t="s">
        <v>417</v>
      </c>
      <c r="D1403" s="82"/>
      <c r="E1403" s="82"/>
      <c r="F1403" s="82"/>
      <c r="G1403" s="82"/>
      <c r="H1403" s="82"/>
      <c r="I1403" s="83"/>
      <c r="J1403" s="83"/>
      <c r="K1403" s="83"/>
      <c r="L1403" s="83"/>
    </row>
    <row r="1404" spans="1:12" ht="12" customHeight="1" x14ac:dyDescent="0.35">
      <c r="A1404" s="134">
        <v>10131000</v>
      </c>
      <c r="B1404" s="84"/>
      <c r="C1404" s="85" t="s">
        <v>1888</v>
      </c>
      <c r="D1404" s="84" t="s">
        <v>418</v>
      </c>
      <c r="E1404" s="84" t="str">
        <f>VLOOKUP(C1404,HSD!B:K,2,FALSE)</f>
        <v>OJ</v>
      </c>
      <c r="F1404" s="128">
        <v>5.2699999999999997E-2</v>
      </c>
      <c r="G1404" s="87">
        <f>VLOOKUP(C1404,HSD!B:K,10,FALSE)</f>
        <v>15000</v>
      </c>
      <c r="H1404" s="87">
        <f>F1404*G1404</f>
        <v>790.5</v>
      </c>
      <c r="I1404" s="87">
        <v>91500</v>
      </c>
      <c r="J1404" s="87">
        <f>F1404*I1404</f>
        <v>4822.0499999999993</v>
      </c>
      <c r="K1404" s="87">
        <v>91500</v>
      </c>
      <c r="L1404" s="87">
        <f>F1404*K1404</f>
        <v>4822.0499999999993</v>
      </c>
    </row>
    <row r="1405" spans="1:12" ht="12" customHeight="1" x14ac:dyDescent="0.35">
      <c r="A1405" s="134">
        <v>10111000</v>
      </c>
      <c r="B1405" s="84"/>
      <c r="C1405" s="85" t="s">
        <v>1885</v>
      </c>
      <c r="D1405" s="84" t="s">
        <v>418</v>
      </c>
      <c r="E1405" s="84" t="str">
        <f>VLOOKUP(C1405,HSD!B:K,2,FALSE)</f>
        <v>OJ</v>
      </c>
      <c r="F1405" s="128">
        <f>F1404/10</f>
        <v>5.2699999999999995E-3</v>
      </c>
      <c r="G1405" s="87">
        <f>VLOOKUP(C1405,HSD!B:K,10,FALSE)</f>
        <v>18750</v>
      </c>
      <c r="H1405" s="87">
        <f>F1405*G1405</f>
        <v>98.812499999999986</v>
      </c>
      <c r="I1405" s="87"/>
      <c r="J1405" s="87"/>
      <c r="K1405" s="87"/>
      <c r="L1405" s="87"/>
    </row>
    <row r="1406" spans="1:12" ht="12" customHeight="1" x14ac:dyDescent="0.35">
      <c r="B1406" s="84"/>
      <c r="C1406" s="85"/>
      <c r="D1406" s="84"/>
      <c r="E1406" s="84"/>
      <c r="F1406" s="128"/>
      <c r="G1406" s="87"/>
      <c r="H1406" s="87">
        <f>F1406*G1406</f>
        <v>0</v>
      </c>
      <c r="I1406" s="87">
        <v>78600</v>
      </c>
      <c r="J1406" s="87">
        <f>F1406*I1406</f>
        <v>0</v>
      </c>
      <c r="K1406" s="87">
        <v>78600</v>
      </c>
      <c r="L1406" s="87">
        <f>F1406*K1406</f>
        <v>0</v>
      </c>
    </row>
    <row r="1407" spans="1:12" ht="12" customHeight="1" x14ac:dyDescent="0.35">
      <c r="B1407" s="84"/>
      <c r="C1407" s="85"/>
      <c r="D1407" s="84"/>
      <c r="E1407" s="84"/>
      <c r="F1407" s="86"/>
      <c r="G1407" s="87"/>
      <c r="H1407" s="87">
        <f>F1407*G1407</f>
        <v>0</v>
      </c>
      <c r="I1407" s="87">
        <v>92500</v>
      </c>
      <c r="J1407" s="87">
        <f>F1407*I1407</f>
        <v>0</v>
      </c>
      <c r="K1407" s="87">
        <v>92500</v>
      </c>
      <c r="L1407" s="87">
        <f>F1407*K1407</f>
        <v>0</v>
      </c>
    </row>
    <row r="1408" spans="1:12" ht="12" customHeight="1" x14ac:dyDescent="0.35">
      <c r="B1408" s="84"/>
      <c r="C1408" s="85"/>
      <c r="D1408" s="84"/>
      <c r="E1408" s="84"/>
      <c r="F1408" s="86"/>
      <c r="G1408" s="87"/>
      <c r="H1408" s="87"/>
      <c r="I1408" s="87"/>
      <c r="J1408" s="87"/>
      <c r="K1408" s="87"/>
      <c r="L1408" s="87"/>
    </row>
    <row r="1409" spans="1:12" ht="12" customHeight="1" x14ac:dyDescent="0.35">
      <c r="B1409" s="84"/>
      <c r="C1409" s="88"/>
      <c r="D1409" s="79"/>
      <c r="E1409" s="79"/>
      <c r="F1409" s="89" t="s">
        <v>421</v>
      </c>
      <c r="G1409" s="101"/>
      <c r="H1409" s="87">
        <f>SUM(H1404:H1408)</f>
        <v>889.3125</v>
      </c>
      <c r="I1409" s="101"/>
      <c r="J1409" s="87">
        <f>SUM(J1406:J1408)</f>
        <v>0</v>
      </c>
      <c r="K1409" s="101"/>
      <c r="L1409" s="87">
        <f>SUM(L1406:L1408)</f>
        <v>0</v>
      </c>
    </row>
    <row r="1410" spans="1:12" ht="12" customHeight="1" x14ac:dyDescent="0.35">
      <c r="B1410" s="84" t="s">
        <v>6</v>
      </c>
      <c r="C1410" s="88" t="s">
        <v>422</v>
      </c>
      <c r="D1410" s="79"/>
      <c r="E1410" s="79"/>
      <c r="F1410" s="90"/>
      <c r="G1410" s="84"/>
      <c r="H1410" s="87"/>
      <c r="I1410" s="84"/>
      <c r="J1410" s="87"/>
      <c r="K1410" s="84"/>
      <c r="L1410" s="87"/>
    </row>
    <row r="1411" spans="1:12" ht="12" customHeight="1" x14ac:dyDescent="0.35">
      <c r="B1411" s="84"/>
      <c r="C1411" s="85"/>
      <c r="D1411" s="84"/>
      <c r="E1411" s="84"/>
      <c r="F1411" s="128"/>
      <c r="G1411" s="87"/>
      <c r="H1411" s="87">
        <f>F1411*G1411</f>
        <v>0</v>
      </c>
      <c r="I1411" s="87">
        <v>232500</v>
      </c>
      <c r="J1411" s="87">
        <f>F1411*I1411</f>
        <v>0</v>
      </c>
      <c r="K1411" s="87">
        <v>270000</v>
      </c>
      <c r="L1411" s="87">
        <f>F1411*K1411</f>
        <v>0</v>
      </c>
    </row>
    <row r="1412" spans="1:12" ht="12" customHeight="1" x14ac:dyDescent="0.35">
      <c r="B1412" s="84"/>
      <c r="C1412" s="88"/>
      <c r="D1412" s="79"/>
      <c r="E1412" s="84"/>
      <c r="F1412" s="102"/>
      <c r="G1412" s="87"/>
      <c r="H1412" s="87">
        <f>F1412*G1412</f>
        <v>0</v>
      </c>
      <c r="I1412" s="87">
        <v>1060</v>
      </c>
      <c r="J1412" s="87">
        <f>F1412*I1412</f>
        <v>0</v>
      </c>
      <c r="K1412" s="87">
        <v>1060</v>
      </c>
      <c r="L1412" s="87">
        <f>F1412*K1412</f>
        <v>0</v>
      </c>
    </row>
    <row r="1413" spans="1:12" ht="12" customHeight="1" x14ac:dyDescent="0.35">
      <c r="B1413" s="84"/>
      <c r="C1413" s="88"/>
      <c r="D1413" s="79"/>
      <c r="E1413" s="84"/>
      <c r="F1413" s="102"/>
      <c r="G1413" s="87"/>
      <c r="H1413" s="87">
        <f>F1413*G1413</f>
        <v>0</v>
      </c>
      <c r="I1413" s="87">
        <v>215000</v>
      </c>
      <c r="J1413" s="87">
        <f>F1413*I1413</f>
        <v>0</v>
      </c>
      <c r="K1413" s="87">
        <v>250000</v>
      </c>
      <c r="L1413" s="87">
        <f>F1413*K1413</f>
        <v>0</v>
      </c>
    </row>
    <row r="1414" spans="1:12" ht="12" customHeight="1" x14ac:dyDescent="0.35">
      <c r="B1414" s="84"/>
      <c r="C1414" s="88"/>
      <c r="D1414" s="79"/>
      <c r="E1414" s="79"/>
      <c r="F1414" s="89"/>
      <c r="G1414" s="101"/>
      <c r="H1414" s="87">
        <f>SUM(H1411:H1413)</f>
        <v>0</v>
      </c>
      <c r="I1414" s="101"/>
      <c r="J1414" s="87">
        <f>SUM(J1411:J1413)</f>
        <v>0</v>
      </c>
      <c r="K1414" s="101"/>
      <c r="L1414" s="87">
        <f>SUM(L1411:L1413)</f>
        <v>0</v>
      </c>
    </row>
    <row r="1415" spans="1:12" ht="12" customHeight="1" x14ac:dyDescent="0.35">
      <c r="B1415" s="84" t="s">
        <v>7</v>
      </c>
      <c r="C1415" s="88" t="s">
        <v>424</v>
      </c>
      <c r="D1415" s="79"/>
      <c r="E1415" s="79"/>
      <c r="F1415" s="90"/>
      <c r="G1415" s="84"/>
      <c r="H1415" s="87"/>
      <c r="I1415" s="84"/>
      <c r="J1415" s="87"/>
      <c r="K1415" s="84"/>
      <c r="L1415" s="87"/>
    </row>
    <row r="1416" spans="1:12" ht="12" customHeight="1" x14ac:dyDescent="0.35">
      <c r="A1416" s="134" t="s">
        <v>572</v>
      </c>
      <c r="B1416" s="84"/>
      <c r="C1416" s="85" t="s">
        <v>573</v>
      </c>
      <c r="D1416" s="84" t="s">
        <v>418</v>
      </c>
      <c r="E1416" s="84" t="str">
        <f>VLOOKUP(C1416,HSD!B:K,2,FALSE)</f>
        <v>jam</v>
      </c>
      <c r="F1416" s="128">
        <v>5.2699999999999997E-2</v>
      </c>
      <c r="G1416" s="87">
        <f>VLOOKUP(C1416,HSD!B:K,10,FALSE)</f>
        <v>932909.79</v>
      </c>
      <c r="H1416" s="87">
        <f>F1416*G1416</f>
        <v>49164.345932999997</v>
      </c>
      <c r="I1416" s="87"/>
      <c r="J1416" s="87">
        <f>H1416*I1416</f>
        <v>0</v>
      </c>
      <c r="K1416" s="87"/>
      <c r="L1416" s="87">
        <f>J1416*K1416</f>
        <v>0</v>
      </c>
    </row>
    <row r="1417" spans="1:12" ht="12" customHeight="1" x14ac:dyDescent="0.35">
      <c r="B1417" s="84"/>
      <c r="C1417" s="85"/>
      <c r="D1417" s="84"/>
      <c r="E1417" s="84"/>
      <c r="F1417" s="128"/>
      <c r="G1417" s="87"/>
      <c r="H1417" s="87">
        <f>F1417*G1417</f>
        <v>0</v>
      </c>
      <c r="I1417" s="87"/>
      <c r="J1417" s="87"/>
      <c r="K1417" s="87"/>
      <c r="L1417" s="87"/>
    </row>
    <row r="1418" spans="1:12" ht="12" customHeight="1" x14ac:dyDescent="0.35">
      <c r="B1418" s="84"/>
      <c r="C1418" s="85"/>
      <c r="D1418" s="84"/>
      <c r="E1418" s="84"/>
      <c r="F1418" s="128"/>
      <c r="G1418" s="87"/>
      <c r="H1418" s="87">
        <f>F1418*G1418</f>
        <v>0</v>
      </c>
      <c r="I1418" s="87"/>
      <c r="J1418" s="87"/>
      <c r="K1418" s="87"/>
      <c r="L1418" s="87"/>
    </row>
    <row r="1419" spans="1:12" ht="12" customHeight="1" x14ac:dyDescent="0.35">
      <c r="B1419" s="84"/>
      <c r="C1419" s="88"/>
      <c r="D1419" s="79"/>
      <c r="E1419" s="79"/>
      <c r="F1419" s="89" t="s">
        <v>425</v>
      </c>
      <c r="G1419" s="101"/>
      <c r="H1419" s="87">
        <f>SUM(H1416:H1418)</f>
        <v>49164.345932999997</v>
      </c>
      <c r="I1419" s="101"/>
      <c r="J1419" s="87">
        <f>SUM(J1416)</f>
        <v>0</v>
      </c>
      <c r="K1419" s="101"/>
      <c r="L1419" s="87">
        <f>SUM(L1416)</f>
        <v>0</v>
      </c>
    </row>
    <row r="1420" spans="1:12" ht="12" customHeight="1" x14ac:dyDescent="0.35">
      <c r="B1420" s="84" t="s">
        <v>8</v>
      </c>
      <c r="C1420" s="103" t="s">
        <v>426</v>
      </c>
      <c r="D1420" s="104"/>
      <c r="E1420" s="104"/>
      <c r="F1420" s="104"/>
      <c r="G1420" s="105"/>
      <c r="H1420" s="87">
        <f>H1409+H1414+H1419</f>
        <v>50053.658432999997</v>
      </c>
      <c r="I1420" s="105"/>
      <c r="J1420" s="87">
        <f>J1409+J1414+J1419</f>
        <v>0</v>
      </c>
      <c r="K1420" s="105"/>
      <c r="L1420" s="87">
        <f>L1409+L1414+L1419</f>
        <v>0</v>
      </c>
    </row>
    <row r="1421" spans="1:12" ht="12" customHeight="1" x14ac:dyDescent="0.35">
      <c r="B1421" s="84" t="s">
        <v>9</v>
      </c>
      <c r="C1421" s="455" t="s">
        <v>427</v>
      </c>
      <c r="D1421" s="455"/>
      <c r="E1421" s="455"/>
      <c r="F1421" s="95">
        <f>0</f>
        <v>0</v>
      </c>
      <c r="G1421" s="85" t="s">
        <v>428</v>
      </c>
      <c r="H1421" s="87">
        <f>H1420*F1421</f>
        <v>0</v>
      </c>
      <c r="I1421" s="85" t="s">
        <v>428</v>
      </c>
      <c r="J1421" s="87">
        <f>J1420*F1421</f>
        <v>0</v>
      </c>
      <c r="K1421" s="85" t="s">
        <v>428</v>
      </c>
      <c r="L1421" s="87">
        <f>L1420*F1421</f>
        <v>0</v>
      </c>
    </row>
    <row r="1422" spans="1:12" ht="12" customHeight="1" x14ac:dyDescent="0.35">
      <c r="B1422" s="84" t="s">
        <v>10</v>
      </c>
      <c r="C1422" s="103" t="s">
        <v>429</v>
      </c>
      <c r="D1422" s="104"/>
      <c r="E1422" s="104"/>
      <c r="F1422" s="104"/>
      <c r="G1422" s="105"/>
      <c r="H1422" s="96">
        <f>H1420+H1421</f>
        <v>50053.658432999997</v>
      </c>
      <c r="I1422" s="97"/>
      <c r="J1422" s="96">
        <f>J1420+J1421</f>
        <v>0</v>
      </c>
      <c r="K1422" s="97"/>
      <c r="L1422" s="96">
        <f>L1420+L1421</f>
        <v>0</v>
      </c>
    </row>
    <row r="1424" spans="1:12" ht="37" customHeight="1" x14ac:dyDescent="0.35">
      <c r="B1424" s="76" t="s">
        <v>614</v>
      </c>
      <c r="C1424" s="458" t="s">
        <v>615</v>
      </c>
      <c r="D1424" s="459"/>
      <c r="E1424" s="459"/>
      <c r="F1424" s="459"/>
      <c r="G1424" s="456"/>
      <c r="H1424" s="457"/>
      <c r="I1424" s="455" t="s">
        <v>3</v>
      </c>
      <c r="J1424" s="455"/>
      <c r="K1424" s="455" t="s">
        <v>4</v>
      </c>
      <c r="L1424" s="455"/>
    </row>
    <row r="1425" spans="1:12" ht="12" customHeight="1" x14ac:dyDescent="0.35">
      <c r="B1425" s="451" t="s">
        <v>409</v>
      </c>
      <c r="C1425" s="451" t="s">
        <v>410</v>
      </c>
      <c r="D1425" s="452" t="s">
        <v>411</v>
      </c>
      <c r="E1425" s="451" t="s">
        <v>412</v>
      </c>
      <c r="F1425" s="451" t="s">
        <v>413</v>
      </c>
      <c r="G1425" s="77" t="s">
        <v>414</v>
      </c>
      <c r="H1425" s="77" t="s">
        <v>415</v>
      </c>
      <c r="I1425" s="78" t="s">
        <v>414</v>
      </c>
      <c r="J1425" s="79" t="s">
        <v>415</v>
      </c>
      <c r="K1425" s="79" t="s">
        <v>414</v>
      </c>
      <c r="L1425" s="79" t="s">
        <v>415</v>
      </c>
    </row>
    <row r="1426" spans="1:12" ht="12" customHeight="1" x14ac:dyDescent="0.35">
      <c r="B1426" s="451"/>
      <c r="C1426" s="451"/>
      <c r="D1426" s="453"/>
      <c r="E1426" s="451"/>
      <c r="F1426" s="451"/>
      <c r="G1426" s="77" t="s">
        <v>17</v>
      </c>
      <c r="H1426" s="77" t="s">
        <v>416</v>
      </c>
      <c r="I1426" s="78" t="s">
        <v>17</v>
      </c>
      <c r="J1426" s="79" t="s">
        <v>416</v>
      </c>
      <c r="K1426" s="79" t="s">
        <v>17</v>
      </c>
      <c r="L1426" s="79" t="s">
        <v>416</v>
      </c>
    </row>
    <row r="1427" spans="1:12" ht="12" customHeight="1" x14ac:dyDescent="0.35">
      <c r="B1427" s="451"/>
      <c r="C1427" s="451"/>
      <c r="D1427" s="454"/>
      <c r="E1427" s="451"/>
      <c r="F1427" s="451"/>
      <c r="G1427" s="106"/>
      <c r="H1427" s="77" t="s">
        <v>17</v>
      </c>
      <c r="I1427" s="94"/>
      <c r="J1427" s="79" t="s">
        <v>17</v>
      </c>
      <c r="K1427" s="85"/>
      <c r="L1427" s="79" t="s">
        <v>17</v>
      </c>
    </row>
    <row r="1428" spans="1:12" ht="12" customHeight="1" x14ac:dyDescent="0.35">
      <c r="B1428" s="80" t="s">
        <v>5</v>
      </c>
      <c r="C1428" s="81" t="s">
        <v>417</v>
      </c>
      <c r="D1428" s="82"/>
      <c r="E1428" s="82"/>
      <c r="F1428" s="82"/>
      <c r="G1428" s="82"/>
      <c r="H1428" s="82"/>
      <c r="I1428" s="83"/>
      <c r="J1428" s="83"/>
      <c r="K1428" s="83"/>
      <c r="L1428" s="83"/>
    </row>
    <row r="1429" spans="1:12" ht="12" customHeight="1" x14ac:dyDescent="0.35">
      <c r="A1429" s="134">
        <v>10131000</v>
      </c>
      <c r="B1429" s="84"/>
      <c r="C1429" s="85" t="s">
        <v>1888</v>
      </c>
      <c r="D1429" s="84" t="s">
        <v>418</v>
      </c>
      <c r="E1429" s="84" t="str">
        <f>VLOOKUP(C1429,HSD!B:K,2,FALSE)</f>
        <v>OJ</v>
      </c>
      <c r="F1429" s="128">
        <v>2.7099999999999999E-2</v>
      </c>
      <c r="G1429" s="87">
        <f>VLOOKUP(C1429,HSD!B:K,10,FALSE)</f>
        <v>15000</v>
      </c>
      <c r="H1429" s="87">
        <f>F1429*G1429</f>
        <v>406.5</v>
      </c>
      <c r="I1429" s="87">
        <v>91500</v>
      </c>
      <c r="J1429" s="87">
        <f>F1429*I1429</f>
        <v>2479.65</v>
      </c>
      <c r="K1429" s="87">
        <v>91500</v>
      </c>
      <c r="L1429" s="87">
        <f>F1429*K1429</f>
        <v>2479.65</v>
      </c>
    </row>
    <row r="1430" spans="1:12" ht="12" customHeight="1" x14ac:dyDescent="0.35">
      <c r="A1430" s="134">
        <v>10111000</v>
      </c>
      <c r="B1430" s="84"/>
      <c r="C1430" s="85" t="s">
        <v>1885</v>
      </c>
      <c r="D1430" s="84" t="s">
        <v>418</v>
      </c>
      <c r="E1430" s="84" t="str">
        <f>VLOOKUP(C1430,HSD!B:K,2,FALSE)</f>
        <v>OJ</v>
      </c>
      <c r="F1430" s="128">
        <f>F1429/10</f>
        <v>2.7099999999999997E-3</v>
      </c>
      <c r="G1430" s="87">
        <f>VLOOKUP(C1430,HSD!B:K,10,FALSE)</f>
        <v>18750</v>
      </c>
      <c r="H1430" s="87">
        <f>F1430*G1430</f>
        <v>50.812499999999993</v>
      </c>
      <c r="I1430" s="87"/>
      <c r="J1430" s="87"/>
      <c r="K1430" s="87"/>
      <c r="L1430" s="87"/>
    </row>
    <row r="1431" spans="1:12" ht="12" customHeight="1" x14ac:dyDescent="0.35">
      <c r="B1431" s="84"/>
      <c r="C1431" s="85"/>
      <c r="D1431" s="84"/>
      <c r="E1431" s="84"/>
      <c r="F1431" s="128"/>
      <c r="G1431" s="87"/>
      <c r="H1431" s="87">
        <f>F1431*G1431</f>
        <v>0</v>
      </c>
      <c r="I1431" s="87">
        <v>78600</v>
      </c>
      <c r="J1431" s="87">
        <f>F1431*I1431</f>
        <v>0</v>
      </c>
      <c r="K1431" s="87">
        <v>78600</v>
      </c>
      <c r="L1431" s="87">
        <f>F1431*K1431</f>
        <v>0</v>
      </c>
    </row>
    <row r="1432" spans="1:12" ht="12" customHeight="1" x14ac:dyDescent="0.35">
      <c r="B1432" s="84"/>
      <c r="C1432" s="85"/>
      <c r="D1432" s="84"/>
      <c r="E1432" s="84"/>
      <c r="F1432" s="86"/>
      <c r="G1432" s="87"/>
      <c r="H1432" s="87">
        <f>F1432*G1432</f>
        <v>0</v>
      </c>
      <c r="I1432" s="87">
        <v>92500</v>
      </c>
      <c r="J1432" s="87">
        <f>F1432*I1432</f>
        <v>0</v>
      </c>
      <c r="K1432" s="87">
        <v>92500</v>
      </c>
      <c r="L1432" s="87">
        <f>F1432*K1432</f>
        <v>0</v>
      </c>
    </row>
    <row r="1433" spans="1:12" ht="12" customHeight="1" x14ac:dyDescent="0.35">
      <c r="B1433" s="84"/>
      <c r="C1433" s="85"/>
      <c r="D1433" s="84"/>
      <c r="E1433" s="84"/>
      <c r="F1433" s="86"/>
      <c r="G1433" s="87"/>
      <c r="H1433" s="87"/>
      <c r="I1433" s="87"/>
      <c r="J1433" s="87"/>
      <c r="K1433" s="87"/>
      <c r="L1433" s="87"/>
    </row>
    <row r="1434" spans="1:12" ht="12" customHeight="1" x14ac:dyDescent="0.35">
      <c r="B1434" s="84"/>
      <c r="C1434" s="88"/>
      <c r="D1434" s="79"/>
      <c r="E1434" s="79"/>
      <c r="F1434" s="89" t="s">
        <v>421</v>
      </c>
      <c r="G1434" s="101"/>
      <c r="H1434" s="87">
        <f>SUM(H1429:H1433)</f>
        <v>457.3125</v>
      </c>
      <c r="I1434" s="101"/>
      <c r="J1434" s="87">
        <f>SUM(J1431:J1433)</f>
        <v>0</v>
      </c>
      <c r="K1434" s="101"/>
      <c r="L1434" s="87">
        <f>SUM(L1431:L1433)</f>
        <v>0</v>
      </c>
    </row>
    <row r="1435" spans="1:12" ht="12" customHeight="1" x14ac:dyDescent="0.35">
      <c r="B1435" s="84" t="s">
        <v>6</v>
      </c>
      <c r="C1435" s="88" t="s">
        <v>422</v>
      </c>
      <c r="D1435" s="79"/>
      <c r="E1435" s="79"/>
      <c r="F1435" s="90"/>
      <c r="G1435" s="84"/>
      <c r="H1435" s="87"/>
      <c r="I1435" s="84"/>
      <c r="J1435" s="87"/>
      <c r="K1435" s="84"/>
      <c r="L1435" s="87"/>
    </row>
    <row r="1436" spans="1:12" ht="12" customHeight="1" x14ac:dyDescent="0.35">
      <c r="B1436" s="84"/>
      <c r="C1436" s="85"/>
      <c r="D1436" s="84"/>
      <c r="E1436" s="84"/>
      <c r="F1436" s="128"/>
      <c r="G1436" s="87"/>
      <c r="H1436" s="87">
        <f>F1436*G1436</f>
        <v>0</v>
      </c>
      <c r="I1436" s="87">
        <v>232500</v>
      </c>
      <c r="J1436" s="87">
        <f>F1436*I1436</f>
        <v>0</v>
      </c>
      <c r="K1436" s="87">
        <v>270000</v>
      </c>
      <c r="L1436" s="87">
        <f>F1436*K1436</f>
        <v>0</v>
      </c>
    </row>
    <row r="1437" spans="1:12" ht="12" customHeight="1" x14ac:dyDescent="0.35">
      <c r="B1437" s="84"/>
      <c r="C1437" s="88"/>
      <c r="D1437" s="79"/>
      <c r="E1437" s="84"/>
      <c r="F1437" s="102"/>
      <c r="G1437" s="87"/>
      <c r="H1437" s="87">
        <f>F1437*G1437</f>
        <v>0</v>
      </c>
      <c r="I1437" s="87">
        <v>1060</v>
      </c>
      <c r="J1437" s="87">
        <f>F1437*I1437</f>
        <v>0</v>
      </c>
      <c r="K1437" s="87">
        <v>1060</v>
      </c>
      <c r="L1437" s="87">
        <f>F1437*K1437</f>
        <v>0</v>
      </c>
    </row>
    <row r="1438" spans="1:12" ht="12" customHeight="1" x14ac:dyDescent="0.35">
      <c r="B1438" s="84"/>
      <c r="C1438" s="88"/>
      <c r="D1438" s="79"/>
      <c r="E1438" s="84"/>
      <c r="F1438" s="102"/>
      <c r="G1438" s="87"/>
      <c r="H1438" s="87">
        <f>F1438*G1438</f>
        <v>0</v>
      </c>
      <c r="I1438" s="87">
        <v>215000</v>
      </c>
      <c r="J1438" s="87">
        <f>F1438*I1438</f>
        <v>0</v>
      </c>
      <c r="K1438" s="87">
        <v>250000</v>
      </c>
      <c r="L1438" s="87">
        <f>F1438*K1438</f>
        <v>0</v>
      </c>
    </row>
    <row r="1439" spans="1:12" ht="12" customHeight="1" x14ac:dyDescent="0.35">
      <c r="B1439" s="84"/>
      <c r="C1439" s="88"/>
      <c r="D1439" s="79"/>
      <c r="E1439" s="79"/>
      <c r="F1439" s="89"/>
      <c r="G1439" s="101"/>
      <c r="H1439" s="87">
        <f>SUM(H1436:H1438)</f>
        <v>0</v>
      </c>
      <c r="I1439" s="101"/>
      <c r="J1439" s="87">
        <f>SUM(J1436:J1438)</f>
        <v>0</v>
      </c>
      <c r="K1439" s="101"/>
      <c r="L1439" s="87">
        <f>SUM(L1436:L1438)</f>
        <v>0</v>
      </c>
    </row>
    <row r="1440" spans="1:12" ht="12" customHeight="1" x14ac:dyDescent="0.35">
      <c r="B1440" s="84" t="s">
        <v>7</v>
      </c>
      <c r="C1440" s="88" t="s">
        <v>424</v>
      </c>
      <c r="D1440" s="79"/>
      <c r="E1440" s="79"/>
      <c r="F1440" s="90"/>
      <c r="G1440" s="84"/>
      <c r="H1440" s="87"/>
      <c r="I1440" s="84"/>
      <c r="J1440" s="87"/>
      <c r="K1440" s="84"/>
      <c r="L1440" s="87"/>
    </row>
    <row r="1441" spans="1:12" ht="12" customHeight="1" x14ac:dyDescent="0.35">
      <c r="A1441" s="134">
        <v>31100008</v>
      </c>
      <c r="B1441" s="84"/>
      <c r="C1441" s="85" t="s">
        <v>1836</v>
      </c>
      <c r="D1441" s="84" t="s">
        <v>418</v>
      </c>
      <c r="E1441" s="84" t="str">
        <f>VLOOKUP(C1441,HSD!B:K,2,FALSE)</f>
        <v>jam</v>
      </c>
      <c r="F1441" s="128">
        <v>1.3599999999999999E-2</v>
      </c>
      <c r="G1441" s="87">
        <f>VLOOKUP(C1441,HSD!B:K,10,FALSE)</f>
        <v>1053489.6200000001</v>
      </c>
      <c r="H1441" s="87">
        <f>F1441*G1441</f>
        <v>14327.458832</v>
      </c>
      <c r="I1441" s="87"/>
      <c r="J1441" s="87">
        <f>H1441*I1441</f>
        <v>0</v>
      </c>
      <c r="K1441" s="87"/>
      <c r="L1441" s="87">
        <f>J1441*K1441</f>
        <v>0</v>
      </c>
    </row>
    <row r="1442" spans="1:12" ht="12" customHeight="1" x14ac:dyDescent="0.35">
      <c r="B1442" s="84"/>
      <c r="C1442" s="85"/>
      <c r="D1442" s="84"/>
      <c r="E1442" s="84"/>
      <c r="F1442" s="128"/>
      <c r="G1442" s="87"/>
      <c r="H1442" s="87">
        <f>F1442*G1442</f>
        <v>0</v>
      </c>
      <c r="I1442" s="87"/>
      <c r="J1442" s="87"/>
      <c r="K1442" s="87"/>
      <c r="L1442" s="87"/>
    </row>
    <row r="1443" spans="1:12" ht="12" customHeight="1" x14ac:dyDescent="0.35">
      <c r="B1443" s="84"/>
      <c r="C1443" s="85"/>
      <c r="D1443" s="84"/>
      <c r="E1443" s="84"/>
      <c r="F1443" s="128"/>
      <c r="G1443" s="87"/>
      <c r="H1443" s="87">
        <f>F1443*G1443</f>
        <v>0</v>
      </c>
      <c r="I1443" s="87"/>
      <c r="J1443" s="87"/>
      <c r="K1443" s="87"/>
      <c r="L1443" s="87"/>
    </row>
    <row r="1444" spans="1:12" ht="12" customHeight="1" x14ac:dyDescent="0.35">
      <c r="B1444" s="84"/>
      <c r="C1444" s="88"/>
      <c r="D1444" s="79"/>
      <c r="E1444" s="79"/>
      <c r="F1444" s="89" t="s">
        <v>425</v>
      </c>
      <c r="G1444" s="101"/>
      <c r="H1444" s="87">
        <f>SUM(H1441:H1443)</f>
        <v>14327.458832</v>
      </c>
      <c r="I1444" s="101"/>
      <c r="J1444" s="87">
        <f>SUM(J1441)</f>
        <v>0</v>
      </c>
      <c r="K1444" s="101"/>
      <c r="L1444" s="87">
        <f>SUM(L1441)</f>
        <v>0</v>
      </c>
    </row>
    <row r="1445" spans="1:12" ht="12" customHeight="1" x14ac:dyDescent="0.35">
      <c r="B1445" s="84" t="s">
        <v>8</v>
      </c>
      <c r="C1445" s="103" t="s">
        <v>426</v>
      </c>
      <c r="D1445" s="104"/>
      <c r="E1445" s="104"/>
      <c r="F1445" s="104"/>
      <c r="G1445" s="105"/>
      <c r="H1445" s="87">
        <f>H1434+H1439+H1444</f>
        <v>14784.771332</v>
      </c>
      <c r="I1445" s="105"/>
      <c r="J1445" s="87">
        <f>J1434+J1439+J1444</f>
        <v>0</v>
      </c>
      <c r="K1445" s="105"/>
      <c r="L1445" s="87">
        <f>L1434+L1439+L1444</f>
        <v>0</v>
      </c>
    </row>
    <row r="1446" spans="1:12" ht="12" customHeight="1" x14ac:dyDescent="0.35">
      <c r="B1446" s="84" t="s">
        <v>9</v>
      </c>
      <c r="C1446" s="455" t="s">
        <v>427</v>
      </c>
      <c r="D1446" s="455"/>
      <c r="E1446" s="455"/>
      <c r="F1446" s="95">
        <f>0</f>
        <v>0</v>
      </c>
      <c r="G1446" s="85" t="s">
        <v>428</v>
      </c>
      <c r="H1446" s="87">
        <f>H1445*F1446</f>
        <v>0</v>
      </c>
      <c r="I1446" s="85" t="s">
        <v>428</v>
      </c>
      <c r="J1446" s="87">
        <f>J1445*F1446</f>
        <v>0</v>
      </c>
      <c r="K1446" s="85" t="s">
        <v>428</v>
      </c>
      <c r="L1446" s="87">
        <f>L1445*F1446</f>
        <v>0</v>
      </c>
    </row>
    <row r="1447" spans="1:12" ht="12" customHeight="1" x14ac:dyDescent="0.35">
      <c r="B1447" s="84" t="s">
        <v>10</v>
      </c>
      <c r="C1447" s="103" t="s">
        <v>429</v>
      </c>
      <c r="D1447" s="104"/>
      <c r="E1447" s="104"/>
      <c r="F1447" s="104"/>
      <c r="G1447" s="105"/>
      <c r="H1447" s="96">
        <f>H1445+H1446</f>
        <v>14784.771332</v>
      </c>
      <c r="I1447" s="97"/>
      <c r="J1447" s="96">
        <f>J1445+J1446</f>
        <v>0</v>
      </c>
      <c r="K1447" s="97"/>
      <c r="L1447" s="96">
        <f>L1445+L1446</f>
        <v>0</v>
      </c>
    </row>
    <row r="1449" spans="1:12" ht="37" customHeight="1" x14ac:dyDescent="0.35">
      <c r="B1449" s="76" t="s">
        <v>617</v>
      </c>
      <c r="C1449" s="458" t="s">
        <v>616</v>
      </c>
      <c r="D1449" s="459"/>
      <c r="E1449" s="459"/>
      <c r="F1449" s="459"/>
      <c r="G1449" s="456"/>
      <c r="H1449" s="457"/>
      <c r="I1449" s="455" t="s">
        <v>3</v>
      </c>
      <c r="J1449" s="455"/>
      <c r="K1449" s="455" t="s">
        <v>4</v>
      </c>
      <c r="L1449" s="455"/>
    </row>
    <row r="1450" spans="1:12" ht="12" customHeight="1" x14ac:dyDescent="0.35">
      <c r="B1450" s="451" t="s">
        <v>409</v>
      </c>
      <c r="C1450" s="451" t="s">
        <v>410</v>
      </c>
      <c r="D1450" s="452" t="s">
        <v>411</v>
      </c>
      <c r="E1450" s="451" t="s">
        <v>412</v>
      </c>
      <c r="F1450" s="451" t="s">
        <v>413</v>
      </c>
      <c r="G1450" s="77" t="s">
        <v>414</v>
      </c>
      <c r="H1450" s="77" t="s">
        <v>415</v>
      </c>
      <c r="I1450" s="78" t="s">
        <v>414</v>
      </c>
      <c r="J1450" s="79" t="s">
        <v>415</v>
      </c>
      <c r="K1450" s="79" t="s">
        <v>414</v>
      </c>
      <c r="L1450" s="79" t="s">
        <v>415</v>
      </c>
    </row>
    <row r="1451" spans="1:12" ht="12" customHeight="1" x14ac:dyDescent="0.35">
      <c r="B1451" s="451"/>
      <c r="C1451" s="451"/>
      <c r="D1451" s="453"/>
      <c r="E1451" s="451"/>
      <c r="F1451" s="451"/>
      <c r="G1451" s="77" t="s">
        <v>17</v>
      </c>
      <c r="H1451" s="77" t="s">
        <v>416</v>
      </c>
      <c r="I1451" s="78" t="s">
        <v>17</v>
      </c>
      <c r="J1451" s="79" t="s">
        <v>416</v>
      </c>
      <c r="K1451" s="79" t="s">
        <v>17</v>
      </c>
      <c r="L1451" s="79" t="s">
        <v>416</v>
      </c>
    </row>
    <row r="1452" spans="1:12" ht="12" customHeight="1" x14ac:dyDescent="0.35">
      <c r="B1452" s="451"/>
      <c r="C1452" s="451"/>
      <c r="D1452" s="454"/>
      <c r="E1452" s="451"/>
      <c r="F1452" s="451"/>
      <c r="G1452" s="106"/>
      <c r="H1452" s="77" t="s">
        <v>17</v>
      </c>
      <c r="I1452" s="94"/>
      <c r="J1452" s="79" t="s">
        <v>17</v>
      </c>
      <c r="K1452" s="85"/>
      <c r="L1452" s="79" t="s">
        <v>17</v>
      </c>
    </row>
    <row r="1453" spans="1:12" ht="12" customHeight="1" x14ac:dyDescent="0.35">
      <c r="B1453" s="80" t="s">
        <v>5</v>
      </c>
      <c r="C1453" s="81" t="s">
        <v>417</v>
      </c>
      <c r="D1453" s="82"/>
      <c r="E1453" s="82"/>
      <c r="F1453" s="82"/>
      <c r="G1453" s="82"/>
      <c r="H1453" s="82"/>
      <c r="I1453" s="83"/>
      <c r="J1453" s="83"/>
      <c r="K1453" s="83"/>
      <c r="L1453" s="83"/>
    </row>
    <row r="1454" spans="1:12" ht="12" customHeight="1" x14ac:dyDescent="0.35">
      <c r="A1454" s="134">
        <v>10131000</v>
      </c>
      <c r="B1454" s="84"/>
      <c r="C1454" s="85" t="s">
        <v>1888</v>
      </c>
      <c r="D1454" s="84" t="s">
        <v>418</v>
      </c>
      <c r="E1454" s="84" t="str">
        <f>VLOOKUP(C1454,HSD!B:K,2,FALSE)</f>
        <v>OJ</v>
      </c>
      <c r="F1454" s="128">
        <v>4.07E-2</v>
      </c>
      <c r="G1454" s="87">
        <f>VLOOKUP(C1454,HSD!B:K,10,FALSE)</f>
        <v>15000</v>
      </c>
      <c r="H1454" s="87">
        <f>F1454*G1454</f>
        <v>610.5</v>
      </c>
      <c r="I1454" s="87">
        <v>91500</v>
      </c>
      <c r="J1454" s="87">
        <f>F1454*I1454</f>
        <v>3724.05</v>
      </c>
      <c r="K1454" s="87">
        <v>91500</v>
      </c>
      <c r="L1454" s="87">
        <f>F1454*K1454</f>
        <v>3724.05</v>
      </c>
    </row>
    <row r="1455" spans="1:12" ht="12" customHeight="1" x14ac:dyDescent="0.35">
      <c r="A1455" s="134">
        <v>10111000</v>
      </c>
      <c r="B1455" s="84"/>
      <c r="C1455" s="85" t="s">
        <v>1885</v>
      </c>
      <c r="D1455" s="84" t="s">
        <v>418</v>
      </c>
      <c r="E1455" s="84" t="str">
        <f>VLOOKUP(C1455,HSD!B:K,2,FALSE)</f>
        <v>OJ</v>
      </c>
      <c r="F1455" s="128">
        <f>F1454/10</f>
        <v>4.0699999999999998E-3</v>
      </c>
      <c r="G1455" s="87">
        <f>VLOOKUP(C1455,HSD!B:K,10,FALSE)</f>
        <v>18750</v>
      </c>
      <c r="H1455" s="87">
        <f>F1455*G1455</f>
        <v>76.3125</v>
      </c>
      <c r="I1455" s="87"/>
      <c r="J1455" s="87"/>
      <c r="K1455" s="87"/>
      <c r="L1455" s="87"/>
    </row>
    <row r="1456" spans="1:12" ht="12" customHeight="1" x14ac:dyDescent="0.35">
      <c r="B1456" s="84"/>
      <c r="C1456" s="85"/>
      <c r="D1456" s="84"/>
      <c r="E1456" s="84"/>
      <c r="F1456" s="128"/>
      <c r="G1456" s="87"/>
      <c r="H1456" s="87">
        <f>F1456*G1456</f>
        <v>0</v>
      </c>
      <c r="I1456" s="87">
        <v>78600</v>
      </c>
      <c r="J1456" s="87">
        <f>F1456*I1456</f>
        <v>0</v>
      </c>
      <c r="K1456" s="87">
        <v>78600</v>
      </c>
      <c r="L1456" s="87">
        <f>F1456*K1456</f>
        <v>0</v>
      </c>
    </row>
    <row r="1457" spans="1:12" ht="12" customHeight="1" x14ac:dyDescent="0.35">
      <c r="B1457" s="84"/>
      <c r="C1457" s="85"/>
      <c r="D1457" s="84"/>
      <c r="E1457" s="84"/>
      <c r="F1457" s="86"/>
      <c r="G1457" s="87"/>
      <c r="H1457" s="87">
        <f>F1457*G1457</f>
        <v>0</v>
      </c>
      <c r="I1457" s="87">
        <v>92500</v>
      </c>
      <c r="J1457" s="87">
        <f>F1457*I1457</f>
        <v>0</v>
      </c>
      <c r="K1457" s="87">
        <v>92500</v>
      </c>
      <c r="L1457" s="87">
        <f>F1457*K1457</f>
        <v>0</v>
      </c>
    </row>
    <row r="1458" spans="1:12" ht="12" customHeight="1" x14ac:dyDescent="0.35">
      <c r="B1458" s="84"/>
      <c r="C1458" s="85"/>
      <c r="D1458" s="84"/>
      <c r="E1458" s="84"/>
      <c r="F1458" s="86"/>
      <c r="G1458" s="87"/>
      <c r="H1458" s="87"/>
      <c r="I1458" s="87"/>
      <c r="J1458" s="87"/>
      <c r="K1458" s="87"/>
      <c r="L1458" s="87"/>
    </row>
    <row r="1459" spans="1:12" ht="12" customHeight="1" x14ac:dyDescent="0.35">
      <c r="B1459" s="84"/>
      <c r="C1459" s="88"/>
      <c r="D1459" s="79"/>
      <c r="E1459" s="79"/>
      <c r="F1459" s="89" t="s">
        <v>421</v>
      </c>
      <c r="G1459" s="101"/>
      <c r="H1459" s="87">
        <f>SUM(H1454:H1458)</f>
        <v>686.8125</v>
      </c>
      <c r="I1459" s="101"/>
      <c r="J1459" s="87">
        <f>SUM(J1456:J1458)</f>
        <v>0</v>
      </c>
      <c r="K1459" s="101"/>
      <c r="L1459" s="87">
        <f>SUM(L1456:L1458)</f>
        <v>0</v>
      </c>
    </row>
    <row r="1460" spans="1:12" ht="12" customHeight="1" x14ac:dyDescent="0.35">
      <c r="B1460" s="84" t="s">
        <v>6</v>
      </c>
      <c r="C1460" s="88" t="s">
        <v>422</v>
      </c>
      <c r="D1460" s="79"/>
      <c r="E1460" s="79"/>
      <c r="F1460" s="90"/>
      <c r="G1460" s="84"/>
      <c r="H1460" s="87"/>
      <c r="I1460" s="84"/>
      <c r="J1460" s="87"/>
      <c r="K1460" s="84"/>
      <c r="L1460" s="87"/>
    </row>
    <row r="1461" spans="1:12" ht="12" customHeight="1" x14ac:dyDescent="0.35">
      <c r="B1461" s="84"/>
      <c r="C1461" s="85"/>
      <c r="D1461" s="84"/>
      <c r="E1461" s="84"/>
      <c r="F1461" s="128"/>
      <c r="G1461" s="87"/>
      <c r="H1461" s="87">
        <f>F1461*G1461</f>
        <v>0</v>
      </c>
      <c r="I1461" s="87">
        <v>232500</v>
      </c>
      <c r="J1461" s="87">
        <f>F1461*I1461</f>
        <v>0</v>
      </c>
      <c r="K1461" s="87">
        <v>270000</v>
      </c>
      <c r="L1461" s="87">
        <f>F1461*K1461</f>
        <v>0</v>
      </c>
    </row>
    <row r="1462" spans="1:12" ht="12" customHeight="1" x14ac:dyDescent="0.35">
      <c r="B1462" s="84"/>
      <c r="C1462" s="88"/>
      <c r="D1462" s="79"/>
      <c r="E1462" s="84"/>
      <c r="F1462" s="102"/>
      <c r="G1462" s="87"/>
      <c r="H1462" s="87">
        <f>F1462*G1462</f>
        <v>0</v>
      </c>
      <c r="I1462" s="87">
        <v>1060</v>
      </c>
      <c r="J1462" s="87">
        <f>F1462*I1462</f>
        <v>0</v>
      </c>
      <c r="K1462" s="87">
        <v>1060</v>
      </c>
      <c r="L1462" s="87">
        <f>F1462*K1462</f>
        <v>0</v>
      </c>
    </row>
    <row r="1463" spans="1:12" ht="12" customHeight="1" x14ac:dyDescent="0.35">
      <c r="B1463" s="84"/>
      <c r="C1463" s="88"/>
      <c r="D1463" s="79"/>
      <c r="E1463" s="84"/>
      <c r="F1463" s="102"/>
      <c r="G1463" s="87"/>
      <c r="H1463" s="87">
        <f>F1463*G1463</f>
        <v>0</v>
      </c>
      <c r="I1463" s="87">
        <v>215000</v>
      </c>
      <c r="J1463" s="87">
        <f>F1463*I1463</f>
        <v>0</v>
      </c>
      <c r="K1463" s="87">
        <v>250000</v>
      </c>
      <c r="L1463" s="87">
        <f>F1463*K1463</f>
        <v>0</v>
      </c>
    </row>
    <row r="1464" spans="1:12" ht="12" customHeight="1" x14ac:dyDescent="0.35">
      <c r="B1464" s="84"/>
      <c r="C1464" s="88"/>
      <c r="D1464" s="79"/>
      <c r="E1464" s="79"/>
      <c r="F1464" s="89"/>
      <c r="G1464" s="101"/>
      <c r="H1464" s="87">
        <f>SUM(H1461:H1463)</f>
        <v>0</v>
      </c>
      <c r="I1464" s="101"/>
      <c r="J1464" s="87">
        <f>SUM(J1461:J1463)</f>
        <v>0</v>
      </c>
      <c r="K1464" s="101"/>
      <c r="L1464" s="87">
        <f>SUM(L1461:L1463)</f>
        <v>0</v>
      </c>
    </row>
    <row r="1465" spans="1:12" ht="12" customHeight="1" x14ac:dyDescent="0.35">
      <c r="B1465" s="84" t="s">
        <v>7</v>
      </c>
      <c r="C1465" s="88" t="s">
        <v>424</v>
      </c>
      <c r="D1465" s="79"/>
      <c r="E1465" s="79"/>
      <c r="F1465" s="90"/>
      <c r="G1465" s="84"/>
      <c r="H1465" s="87"/>
      <c r="I1465" s="84"/>
      <c r="J1465" s="87"/>
      <c r="K1465" s="84"/>
      <c r="L1465" s="87"/>
    </row>
    <row r="1466" spans="1:12" ht="12" customHeight="1" x14ac:dyDescent="0.35">
      <c r="A1466" s="134">
        <v>31100008</v>
      </c>
      <c r="B1466" s="84"/>
      <c r="C1466" s="85" t="s">
        <v>1836</v>
      </c>
      <c r="D1466" s="84" t="s">
        <v>418</v>
      </c>
      <c r="E1466" s="84" t="str">
        <f>VLOOKUP(C1466,HSD!B:K,2,FALSE)</f>
        <v>jam</v>
      </c>
      <c r="F1466" s="128">
        <v>2.0400000000000001E-2</v>
      </c>
      <c r="G1466" s="87">
        <f>VLOOKUP(C1466,HSD!B:K,10,FALSE)</f>
        <v>1053489.6200000001</v>
      </c>
      <c r="H1466" s="87">
        <f>F1466*G1466</f>
        <v>21491.188248000002</v>
      </c>
      <c r="I1466" s="87"/>
      <c r="J1466" s="87">
        <f>H1466*I1466</f>
        <v>0</v>
      </c>
      <c r="K1466" s="87"/>
      <c r="L1466" s="87">
        <f>J1466*K1466</f>
        <v>0</v>
      </c>
    </row>
    <row r="1467" spans="1:12" ht="12" customHeight="1" x14ac:dyDescent="0.35">
      <c r="B1467" s="84"/>
      <c r="C1467" s="85"/>
      <c r="D1467" s="84"/>
      <c r="E1467" s="84"/>
      <c r="F1467" s="128"/>
      <c r="G1467" s="87"/>
      <c r="H1467" s="87">
        <f>F1467*G1467</f>
        <v>0</v>
      </c>
      <c r="I1467" s="87"/>
      <c r="J1467" s="87"/>
      <c r="K1467" s="87"/>
      <c r="L1467" s="87"/>
    </row>
    <row r="1468" spans="1:12" ht="12" customHeight="1" x14ac:dyDescent="0.35">
      <c r="B1468" s="84"/>
      <c r="C1468" s="85"/>
      <c r="D1468" s="84"/>
      <c r="E1468" s="84"/>
      <c r="F1468" s="128"/>
      <c r="G1468" s="87"/>
      <c r="H1468" s="87">
        <f>F1468*G1468</f>
        <v>0</v>
      </c>
      <c r="I1468" s="87"/>
      <c r="J1468" s="87"/>
      <c r="K1468" s="87"/>
      <c r="L1468" s="87"/>
    </row>
    <row r="1469" spans="1:12" ht="12" customHeight="1" x14ac:dyDescent="0.35">
      <c r="B1469" s="84"/>
      <c r="C1469" s="88"/>
      <c r="D1469" s="79"/>
      <c r="E1469" s="79"/>
      <c r="F1469" s="89" t="s">
        <v>425</v>
      </c>
      <c r="G1469" s="101"/>
      <c r="H1469" s="87">
        <f>SUM(H1466:H1468)</f>
        <v>21491.188248000002</v>
      </c>
      <c r="I1469" s="101"/>
      <c r="J1469" s="87">
        <f>SUM(J1466)</f>
        <v>0</v>
      </c>
      <c r="K1469" s="101"/>
      <c r="L1469" s="87">
        <f>SUM(L1466)</f>
        <v>0</v>
      </c>
    </row>
    <row r="1470" spans="1:12" ht="12" customHeight="1" x14ac:dyDescent="0.35">
      <c r="B1470" s="84" t="s">
        <v>8</v>
      </c>
      <c r="C1470" s="103" t="s">
        <v>426</v>
      </c>
      <c r="D1470" s="104"/>
      <c r="E1470" s="104"/>
      <c r="F1470" s="104"/>
      <c r="G1470" s="105"/>
      <c r="H1470" s="87">
        <f>H1459+H1464+H1469</f>
        <v>22178.000748000002</v>
      </c>
      <c r="I1470" s="105"/>
      <c r="J1470" s="87">
        <f>J1459+J1464+J1469</f>
        <v>0</v>
      </c>
      <c r="K1470" s="105"/>
      <c r="L1470" s="87">
        <f>L1459+L1464+L1469</f>
        <v>0</v>
      </c>
    </row>
    <row r="1471" spans="1:12" ht="12" customHeight="1" x14ac:dyDescent="0.35">
      <c r="B1471" s="84" t="s">
        <v>9</v>
      </c>
      <c r="C1471" s="455" t="s">
        <v>427</v>
      </c>
      <c r="D1471" s="455"/>
      <c r="E1471" s="455"/>
      <c r="F1471" s="95">
        <f>0</f>
        <v>0</v>
      </c>
      <c r="G1471" s="85" t="s">
        <v>428</v>
      </c>
      <c r="H1471" s="87">
        <f>H1470*F1471</f>
        <v>0</v>
      </c>
      <c r="I1471" s="85" t="s">
        <v>428</v>
      </c>
      <c r="J1471" s="87">
        <f>J1470*F1471</f>
        <v>0</v>
      </c>
      <c r="K1471" s="85" t="s">
        <v>428</v>
      </c>
      <c r="L1471" s="87">
        <f>L1470*F1471</f>
        <v>0</v>
      </c>
    </row>
    <row r="1472" spans="1:12" ht="12" customHeight="1" x14ac:dyDescent="0.35">
      <c r="B1472" s="84" t="s">
        <v>10</v>
      </c>
      <c r="C1472" s="103" t="s">
        <v>429</v>
      </c>
      <c r="D1472" s="104"/>
      <c r="E1472" s="104"/>
      <c r="F1472" s="104"/>
      <c r="G1472" s="105"/>
      <c r="H1472" s="96">
        <f>H1470+H1471</f>
        <v>22178.000748000002</v>
      </c>
      <c r="I1472" s="97"/>
      <c r="J1472" s="96">
        <f>J1470+J1471</f>
        <v>0</v>
      </c>
      <c r="K1472" s="97"/>
      <c r="L1472" s="96">
        <f>L1470+L1471</f>
        <v>0</v>
      </c>
    </row>
    <row r="1474" spans="1:12" ht="37" customHeight="1" x14ac:dyDescent="0.35">
      <c r="B1474" s="76" t="s">
        <v>618</v>
      </c>
      <c r="C1474" s="458" t="s">
        <v>619</v>
      </c>
      <c r="D1474" s="459"/>
      <c r="E1474" s="459"/>
      <c r="F1474" s="459"/>
      <c r="G1474" s="456"/>
      <c r="H1474" s="457"/>
      <c r="I1474" s="455" t="s">
        <v>3</v>
      </c>
      <c r="J1474" s="455"/>
      <c r="K1474" s="455" t="s">
        <v>4</v>
      </c>
      <c r="L1474" s="455"/>
    </row>
    <row r="1475" spans="1:12" ht="12" customHeight="1" x14ac:dyDescent="0.35">
      <c r="B1475" s="451" t="s">
        <v>409</v>
      </c>
      <c r="C1475" s="451" t="s">
        <v>410</v>
      </c>
      <c r="D1475" s="452" t="s">
        <v>411</v>
      </c>
      <c r="E1475" s="451" t="s">
        <v>412</v>
      </c>
      <c r="F1475" s="451" t="s">
        <v>413</v>
      </c>
      <c r="G1475" s="77" t="s">
        <v>414</v>
      </c>
      <c r="H1475" s="77" t="s">
        <v>415</v>
      </c>
      <c r="I1475" s="78" t="s">
        <v>414</v>
      </c>
      <c r="J1475" s="79" t="s">
        <v>415</v>
      </c>
      <c r="K1475" s="79" t="s">
        <v>414</v>
      </c>
      <c r="L1475" s="79" t="s">
        <v>415</v>
      </c>
    </row>
    <row r="1476" spans="1:12" ht="12" customHeight="1" x14ac:dyDescent="0.35">
      <c r="B1476" s="451"/>
      <c r="C1476" s="451"/>
      <c r="D1476" s="453"/>
      <c r="E1476" s="451"/>
      <c r="F1476" s="451"/>
      <c r="G1476" s="77" t="s">
        <v>17</v>
      </c>
      <c r="H1476" s="77" t="s">
        <v>416</v>
      </c>
      <c r="I1476" s="78" t="s">
        <v>17</v>
      </c>
      <c r="J1476" s="79" t="s">
        <v>416</v>
      </c>
      <c r="K1476" s="79" t="s">
        <v>17</v>
      </c>
      <c r="L1476" s="79" t="s">
        <v>416</v>
      </c>
    </row>
    <row r="1477" spans="1:12" ht="12" customHeight="1" x14ac:dyDescent="0.35">
      <c r="B1477" s="451"/>
      <c r="C1477" s="451"/>
      <c r="D1477" s="454"/>
      <c r="E1477" s="451"/>
      <c r="F1477" s="451"/>
      <c r="G1477" s="106"/>
      <c r="H1477" s="77" t="s">
        <v>17</v>
      </c>
      <c r="I1477" s="94"/>
      <c r="J1477" s="79" t="s">
        <v>17</v>
      </c>
      <c r="K1477" s="85"/>
      <c r="L1477" s="79" t="s">
        <v>17</v>
      </c>
    </row>
    <row r="1478" spans="1:12" ht="12" customHeight="1" x14ac:dyDescent="0.35">
      <c r="B1478" s="80" t="s">
        <v>5</v>
      </c>
      <c r="C1478" s="81" t="s">
        <v>417</v>
      </c>
      <c r="D1478" s="82"/>
      <c r="E1478" s="82"/>
      <c r="F1478" s="82"/>
      <c r="G1478" s="82"/>
      <c r="H1478" s="82"/>
      <c r="I1478" s="83"/>
      <c r="J1478" s="83"/>
      <c r="K1478" s="83"/>
      <c r="L1478" s="83"/>
    </row>
    <row r="1479" spans="1:12" ht="12" customHeight="1" x14ac:dyDescent="0.35">
      <c r="A1479" s="134">
        <v>10131000</v>
      </c>
      <c r="B1479" s="84"/>
      <c r="C1479" s="85" t="s">
        <v>1888</v>
      </c>
      <c r="D1479" s="84" t="s">
        <v>418</v>
      </c>
      <c r="E1479" s="84" t="str">
        <f>VLOOKUP(C1479,HSD!B:K,2,FALSE)</f>
        <v>OJ</v>
      </c>
      <c r="F1479" s="128">
        <v>0.16</v>
      </c>
      <c r="G1479" s="87">
        <f>VLOOKUP(C1479,HSD!B:K,10,FALSE)</f>
        <v>15000</v>
      </c>
      <c r="H1479" s="87">
        <f>F1479*G1479</f>
        <v>2400</v>
      </c>
      <c r="I1479" s="87">
        <v>91500</v>
      </c>
      <c r="J1479" s="87">
        <f>F1479*I1479</f>
        <v>14640</v>
      </c>
      <c r="K1479" s="87">
        <v>91500</v>
      </c>
      <c r="L1479" s="87">
        <f>F1479*K1479</f>
        <v>14640</v>
      </c>
    </row>
    <row r="1480" spans="1:12" ht="12" customHeight="1" x14ac:dyDescent="0.35">
      <c r="A1480" s="134">
        <v>10121110</v>
      </c>
      <c r="B1480" s="84"/>
      <c r="C1480" s="85" t="s">
        <v>1887</v>
      </c>
      <c r="D1480" s="84" t="s">
        <v>418</v>
      </c>
      <c r="E1480" s="84" t="str">
        <f>VLOOKUP(C1480,HSD!B:K,2,FALSE)</f>
        <v>OJ</v>
      </c>
      <c r="F1480" s="128">
        <v>0.04</v>
      </c>
      <c r="G1480" s="87">
        <f>VLOOKUP(C1480,HSD!B:K,10,FALSE)</f>
        <v>16250</v>
      </c>
      <c r="H1480" s="87">
        <f>F1480*G1480</f>
        <v>650</v>
      </c>
      <c r="I1480" s="87"/>
      <c r="J1480" s="87"/>
      <c r="K1480" s="87"/>
      <c r="L1480" s="87"/>
    </row>
    <row r="1481" spans="1:12" ht="12" customHeight="1" x14ac:dyDescent="0.35">
      <c r="A1481" s="134">
        <v>10111000</v>
      </c>
      <c r="B1481" s="84"/>
      <c r="C1481" s="85" t="s">
        <v>1885</v>
      </c>
      <c r="D1481" s="84" t="s">
        <v>418</v>
      </c>
      <c r="E1481" s="84" t="str">
        <f>VLOOKUP(C1481,HSD!B:K,2,FALSE)</f>
        <v>OJ</v>
      </c>
      <c r="F1481" s="128">
        <f>F1480/10</f>
        <v>4.0000000000000001E-3</v>
      </c>
      <c r="G1481" s="87">
        <f>VLOOKUP(C1481,HSD!B:K,10,FALSE)</f>
        <v>18750</v>
      </c>
      <c r="H1481" s="87">
        <f>F1481*G1481</f>
        <v>75</v>
      </c>
      <c r="I1481" s="87">
        <v>78600</v>
      </c>
      <c r="J1481" s="87">
        <f>F1481*I1481</f>
        <v>314.40000000000003</v>
      </c>
      <c r="K1481" s="87">
        <v>78600</v>
      </c>
      <c r="L1481" s="87">
        <f>F1481*K1481</f>
        <v>314.40000000000003</v>
      </c>
    </row>
    <row r="1482" spans="1:12" ht="12" customHeight="1" x14ac:dyDescent="0.35">
      <c r="B1482" s="84"/>
      <c r="C1482" s="85"/>
      <c r="D1482" s="84"/>
      <c r="E1482" s="84"/>
      <c r="F1482" s="86"/>
      <c r="G1482" s="87"/>
      <c r="H1482" s="87">
        <f>F1482*G1482</f>
        <v>0</v>
      </c>
      <c r="I1482" s="87">
        <v>92500</v>
      </c>
      <c r="J1482" s="87">
        <f>F1482*I1482</f>
        <v>0</v>
      </c>
      <c r="K1482" s="87">
        <v>92500</v>
      </c>
      <c r="L1482" s="87">
        <f>F1482*K1482</f>
        <v>0</v>
      </c>
    </row>
    <row r="1483" spans="1:12" ht="12" customHeight="1" x14ac:dyDescent="0.35">
      <c r="B1483" s="84"/>
      <c r="C1483" s="85"/>
      <c r="D1483" s="84"/>
      <c r="E1483" s="84"/>
      <c r="F1483" s="86"/>
      <c r="G1483" s="87"/>
      <c r="H1483" s="87"/>
      <c r="I1483" s="87"/>
      <c r="J1483" s="87"/>
      <c r="K1483" s="87"/>
      <c r="L1483" s="87"/>
    </row>
    <row r="1484" spans="1:12" ht="12" customHeight="1" x14ac:dyDescent="0.35">
      <c r="B1484" s="84"/>
      <c r="C1484" s="88"/>
      <c r="D1484" s="79"/>
      <c r="E1484" s="79"/>
      <c r="F1484" s="89" t="s">
        <v>421</v>
      </c>
      <c r="G1484" s="101"/>
      <c r="H1484" s="87">
        <f>SUM(H1479:H1483)</f>
        <v>3125</v>
      </c>
      <c r="I1484" s="101"/>
      <c r="J1484" s="87">
        <f>SUM(J1481:J1483)</f>
        <v>314.40000000000003</v>
      </c>
      <c r="K1484" s="101"/>
      <c r="L1484" s="87">
        <f>SUM(L1481:L1483)</f>
        <v>314.40000000000003</v>
      </c>
    </row>
    <row r="1485" spans="1:12" ht="12" customHeight="1" x14ac:dyDescent="0.35">
      <c r="B1485" s="84" t="s">
        <v>6</v>
      </c>
      <c r="C1485" s="88" t="s">
        <v>422</v>
      </c>
      <c r="D1485" s="79"/>
      <c r="E1485" s="79"/>
      <c r="F1485" s="90"/>
      <c r="G1485" s="84"/>
      <c r="H1485" s="87"/>
      <c r="I1485" s="84"/>
      <c r="J1485" s="87"/>
      <c r="K1485" s="84"/>
      <c r="L1485" s="87"/>
    </row>
    <row r="1486" spans="1:12" ht="12" customHeight="1" x14ac:dyDescent="0.35">
      <c r="A1486" s="134">
        <v>211100114</v>
      </c>
      <c r="B1486" s="84"/>
      <c r="C1486" s="85" t="s">
        <v>50</v>
      </c>
      <c r="D1486" s="84" t="s">
        <v>418</v>
      </c>
      <c r="E1486" s="84" t="str">
        <f>VLOOKUP(C1486,HSD!B:K,2,FALSE)</f>
        <v>m3</v>
      </c>
      <c r="F1486" s="128">
        <v>0.25</v>
      </c>
      <c r="G1486" s="87">
        <f>VLOOKUP(C1486,HSD!B:K,10,FALSE)</f>
        <v>341049</v>
      </c>
      <c r="H1486" s="87">
        <f t="shared" ref="H1486:H1491" si="0">F1486*G1486</f>
        <v>85262.25</v>
      </c>
      <c r="I1486" s="87">
        <v>232500</v>
      </c>
      <c r="J1486" s="87">
        <f t="shared" ref="J1486:J1491" si="1">F1486*I1486</f>
        <v>58125</v>
      </c>
      <c r="K1486" s="87">
        <v>270000</v>
      </c>
      <c r="L1486" s="87">
        <f t="shared" ref="L1486:L1491" si="2">F1486*K1486</f>
        <v>67500</v>
      </c>
    </row>
    <row r="1487" spans="1:12" ht="12" customHeight="1" x14ac:dyDescent="0.35">
      <c r="A1487" s="134">
        <v>211100111</v>
      </c>
      <c r="B1487" s="84"/>
      <c r="C1487" s="85" t="s">
        <v>1793</v>
      </c>
      <c r="D1487" s="84" t="s">
        <v>418</v>
      </c>
      <c r="E1487" s="84" t="str">
        <f>VLOOKUP(C1487,HSD!B:K,2,FALSE)</f>
        <v>bh</v>
      </c>
      <c r="F1487" s="128">
        <v>100</v>
      </c>
      <c r="G1487" s="87">
        <f>VLOOKUP(C1487,HSD!B:K,10,FALSE)</f>
        <v>1332</v>
      </c>
      <c r="H1487" s="87">
        <f t="shared" si="0"/>
        <v>133200</v>
      </c>
      <c r="I1487" s="87">
        <v>1060</v>
      </c>
      <c r="J1487" s="87">
        <f t="shared" si="1"/>
        <v>106000</v>
      </c>
      <c r="K1487" s="87">
        <v>1060</v>
      </c>
      <c r="L1487" s="87">
        <f t="shared" si="2"/>
        <v>106000</v>
      </c>
    </row>
    <row r="1488" spans="1:12" ht="12" customHeight="1" x14ac:dyDescent="0.35">
      <c r="A1488" s="134">
        <v>211100102</v>
      </c>
      <c r="B1488" s="84"/>
      <c r="C1488" s="85" t="s">
        <v>1794</v>
      </c>
      <c r="D1488" s="84" t="s">
        <v>418</v>
      </c>
      <c r="E1488" s="84" t="str">
        <f>VLOOKUP(C1488,HSD!B:K,2,FALSE)</f>
        <v>m3</v>
      </c>
      <c r="F1488" s="128">
        <v>0.8</v>
      </c>
      <c r="G1488" s="87">
        <f>VLOOKUP(C1488,HSD!B:K,10,FALSE)</f>
        <v>525030</v>
      </c>
      <c r="H1488" s="87">
        <f t="shared" si="0"/>
        <v>420024</v>
      </c>
      <c r="I1488" s="87">
        <v>215000</v>
      </c>
      <c r="J1488" s="87">
        <f t="shared" si="1"/>
        <v>172000</v>
      </c>
      <c r="K1488" s="87">
        <v>250000</v>
      </c>
      <c r="L1488" s="87">
        <f t="shared" si="2"/>
        <v>200000</v>
      </c>
    </row>
    <row r="1489" spans="1:12" ht="12" customHeight="1" x14ac:dyDescent="0.35">
      <c r="A1489" s="134">
        <v>21905001</v>
      </c>
      <c r="B1489" s="84"/>
      <c r="C1489" s="85" t="s">
        <v>1861</v>
      </c>
      <c r="D1489" s="84" t="s">
        <v>418</v>
      </c>
      <c r="E1489" s="84" t="str">
        <f>VLOOKUP(C1489,HSD!B:K,2,FALSE)</f>
        <v>lbr</v>
      </c>
      <c r="F1489" s="128">
        <f t="shared" ref="F1489" si="3">F1488/10</f>
        <v>0.08</v>
      </c>
      <c r="G1489" s="87">
        <f>VLOOKUP(C1489,HSD!B:K,10,FALSE)</f>
        <v>0</v>
      </c>
      <c r="H1489" s="87">
        <f t="shared" si="0"/>
        <v>0</v>
      </c>
      <c r="I1489" s="87">
        <v>232500</v>
      </c>
      <c r="J1489" s="87">
        <f t="shared" si="1"/>
        <v>18600</v>
      </c>
      <c r="K1489" s="87">
        <v>270000</v>
      </c>
      <c r="L1489" s="87">
        <f t="shared" si="2"/>
        <v>21600</v>
      </c>
    </row>
    <row r="1490" spans="1:12" ht="12" customHeight="1" x14ac:dyDescent="0.35">
      <c r="A1490" s="134">
        <v>21301000</v>
      </c>
      <c r="B1490" s="84"/>
      <c r="C1490" s="85" t="s">
        <v>60</v>
      </c>
      <c r="D1490" s="84" t="s">
        <v>418</v>
      </c>
      <c r="E1490" s="84" t="str">
        <f>VLOOKUP(C1490,HSD!B:K,2,FALSE)</f>
        <v>kg</v>
      </c>
      <c r="F1490" s="128">
        <v>500</v>
      </c>
      <c r="G1490" s="87">
        <f>VLOOKUP(C1490,HSD!B:K,10,FALSE)</f>
        <v>2331</v>
      </c>
      <c r="H1490" s="87">
        <f t="shared" si="0"/>
        <v>1165500</v>
      </c>
      <c r="I1490" s="87">
        <v>1060</v>
      </c>
      <c r="J1490" s="87">
        <f t="shared" si="1"/>
        <v>530000</v>
      </c>
      <c r="K1490" s="87">
        <v>1060</v>
      </c>
      <c r="L1490" s="87">
        <f t="shared" si="2"/>
        <v>530000</v>
      </c>
    </row>
    <row r="1491" spans="1:12" ht="12" customHeight="1" x14ac:dyDescent="0.35">
      <c r="A1491" s="134">
        <v>21981018</v>
      </c>
      <c r="B1491" s="84"/>
      <c r="C1491" s="85" t="s">
        <v>1879</v>
      </c>
      <c r="D1491" s="84" t="s">
        <v>418</v>
      </c>
      <c r="E1491" s="84" t="str">
        <f>VLOOKUP(C1491,HSD!B:K,2,FALSE)</f>
        <v>btg</v>
      </c>
      <c r="F1491" s="128">
        <v>1</v>
      </c>
      <c r="G1491" s="87">
        <f>VLOOKUP(C1491,HSD!B:K,10,FALSE)</f>
        <v>288600</v>
      </c>
      <c r="H1491" s="87">
        <f t="shared" si="0"/>
        <v>288600</v>
      </c>
      <c r="I1491" s="87">
        <v>215000</v>
      </c>
      <c r="J1491" s="87">
        <f t="shared" si="1"/>
        <v>215000</v>
      </c>
      <c r="K1491" s="87">
        <v>250000</v>
      </c>
      <c r="L1491" s="87">
        <f t="shared" si="2"/>
        <v>250000</v>
      </c>
    </row>
    <row r="1492" spans="1:12" ht="12" customHeight="1" x14ac:dyDescent="0.35">
      <c r="A1492" s="134">
        <v>21981010</v>
      </c>
      <c r="B1492" s="84"/>
      <c r="C1492" s="85" t="s">
        <v>1880</v>
      </c>
      <c r="D1492" s="84" t="s">
        <v>418</v>
      </c>
      <c r="E1492" s="84" t="str">
        <f>VLOOKUP(C1492,HSD!B:K,2,FALSE)</f>
        <v>btg</v>
      </c>
      <c r="F1492" s="128">
        <v>0.2</v>
      </c>
      <c r="G1492" s="87">
        <f>VLOOKUP(C1492,HSD!B:K,10,FALSE)</f>
        <v>37300</v>
      </c>
      <c r="H1492" s="87"/>
      <c r="I1492" s="87"/>
      <c r="J1492" s="87"/>
      <c r="K1492" s="87"/>
      <c r="L1492" s="87"/>
    </row>
    <row r="1493" spans="1:12" ht="12" customHeight="1" x14ac:dyDescent="0.35">
      <c r="B1493" s="84"/>
      <c r="C1493" s="88"/>
      <c r="D1493" s="79"/>
      <c r="E1493" s="79"/>
      <c r="F1493" s="129" t="s">
        <v>423</v>
      </c>
      <c r="G1493" s="129"/>
      <c r="H1493" s="87">
        <f>SUM(H1486:H1492)</f>
        <v>2092586.25</v>
      </c>
      <c r="I1493" s="101"/>
      <c r="J1493" s="87">
        <f>SUM(J1489:J1491)</f>
        <v>763600</v>
      </c>
      <c r="K1493" s="101"/>
      <c r="L1493" s="87">
        <f>SUM(L1489:L1491)</f>
        <v>801600</v>
      </c>
    </row>
    <row r="1494" spans="1:12" ht="12" customHeight="1" x14ac:dyDescent="0.35">
      <c r="B1494" s="84" t="s">
        <v>7</v>
      </c>
      <c r="C1494" s="88" t="s">
        <v>424</v>
      </c>
      <c r="D1494" s="79"/>
      <c r="E1494" s="79"/>
      <c r="F1494" s="90"/>
      <c r="G1494" s="84"/>
      <c r="H1494" s="87"/>
      <c r="I1494" s="84"/>
      <c r="J1494" s="87"/>
      <c r="K1494" s="84"/>
      <c r="L1494" s="87"/>
    </row>
    <row r="1495" spans="1:12" ht="12" customHeight="1" x14ac:dyDescent="0.35">
      <c r="A1495" s="134">
        <v>31100008</v>
      </c>
      <c r="B1495" s="84"/>
      <c r="C1495" s="85" t="s">
        <v>1836</v>
      </c>
      <c r="D1495" s="84" t="s">
        <v>418</v>
      </c>
      <c r="E1495" s="84" t="str">
        <f>VLOOKUP(C1495,HSD!B:K,2,FALSE)</f>
        <v>jam</v>
      </c>
      <c r="F1495" s="128">
        <v>2.0400000000000001E-2</v>
      </c>
      <c r="G1495" s="87">
        <f>VLOOKUP(C1495,HSD!B:K,10,FALSE)</f>
        <v>1053489.6200000001</v>
      </c>
      <c r="H1495" s="87">
        <f>F1495*G1495</f>
        <v>21491.188248000002</v>
      </c>
      <c r="I1495" s="87"/>
      <c r="J1495" s="87">
        <f>H1495*I1495</f>
        <v>0</v>
      </c>
      <c r="K1495" s="87"/>
      <c r="L1495" s="87">
        <f>J1495*K1495</f>
        <v>0</v>
      </c>
    </row>
    <row r="1496" spans="1:12" ht="12" customHeight="1" x14ac:dyDescent="0.35">
      <c r="B1496" s="84"/>
      <c r="C1496" s="85"/>
      <c r="D1496" s="84"/>
      <c r="E1496" s="84"/>
      <c r="F1496" s="128"/>
      <c r="G1496" s="87"/>
      <c r="H1496" s="87">
        <f>F1496*G1496</f>
        <v>0</v>
      </c>
      <c r="I1496" s="87"/>
      <c r="J1496" s="87"/>
      <c r="K1496" s="87"/>
      <c r="L1496" s="87"/>
    </row>
    <row r="1497" spans="1:12" ht="12" customHeight="1" x14ac:dyDescent="0.35">
      <c r="B1497" s="84"/>
      <c r="C1497" s="85"/>
      <c r="D1497" s="84"/>
      <c r="E1497" s="84"/>
      <c r="F1497" s="128"/>
      <c r="G1497" s="87"/>
      <c r="H1497" s="87">
        <f>F1497*G1497</f>
        <v>0</v>
      </c>
      <c r="I1497" s="87"/>
      <c r="J1497" s="87"/>
      <c r="K1497" s="87"/>
      <c r="L1497" s="87"/>
    </row>
    <row r="1498" spans="1:12" ht="12" customHeight="1" x14ac:dyDescent="0.35">
      <c r="B1498" s="84"/>
      <c r="C1498" s="88"/>
      <c r="D1498" s="79"/>
      <c r="E1498" s="79"/>
      <c r="F1498" s="89" t="s">
        <v>425</v>
      </c>
      <c r="G1498" s="101"/>
      <c r="H1498" s="87">
        <f>SUM(H1495:H1497)</f>
        <v>21491.188248000002</v>
      </c>
      <c r="I1498" s="101"/>
      <c r="J1498" s="87">
        <f>SUM(J1495)</f>
        <v>0</v>
      </c>
      <c r="K1498" s="101"/>
      <c r="L1498" s="87">
        <f>SUM(L1495)</f>
        <v>0</v>
      </c>
    </row>
    <row r="1499" spans="1:12" ht="12" customHeight="1" x14ac:dyDescent="0.35">
      <c r="B1499" s="84" t="s">
        <v>8</v>
      </c>
      <c r="C1499" s="103" t="s">
        <v>426</v>
      </c>
      <c r="D1499" s="104"/>
      <c r="E1499" s="104"/>
      <c r="F1499" s="104"/>
      <c r="G1499" s="105"/>
      <c r="H1499" s="87">
        <f>H1484+H1493+H1498</f>
        <v>2117202.4382480001</v>
      </c>
      <c r="I1499" s="105"/>
      <c r="J1499" s="87">
        <f>J1484+J1493+J1498</f>
        <v>763914.4</v>
      </c>
      <c r="K1499" s="105"/>
      <c r="L1499" s="87">
        <f>L1484+L1493+L1498</f>
        <v>801914.4</v>
      </c>
    </row>
    <row r="1500" spans="1:12" ht="12" customHeight="1" x14ac:dyDescent="0.35">
      <c r="B1500" s="84" t="s">
        <v>9</v>
      </c>
      <c r="C1500" s="455" t="s">
        <v>427</v>
      </c>
      <c r="D1500" s="455"/>
      <c r="E1500" s="455"/>
      <c r="F1500" s="95">
        <f>0</f>
        <v>0</v>
      </c>
      <c r="G1500" s="85" t="s">
        <v>428</v>
      </c>
      <c r="H1500" s="87">
        <f>H1499*F1500</f>
        <v>0</v>
      </c>
      <c r="I1500" s="85" t="s">
        <v>428</v>
      </c>
      <c r="J1500" s="87">
        <f>J1499*F1500</f>
        <v>0</v>
      </c>
      <c r="K1500" s="85" t="s">
        <v>428</v>
      </c>
      <c r="L1500" s="87">
        <f>L1499*F1500</f>
        <v>0</v>
      </c>
    </row>
    <row r="1501" spans="1:12" ht="12" customHeight="1" x14ac:dyDescent="0.35">
      <c r="B1501" s="84" t="s">
        <v>10</v>
      </c>
      <c r="C1501" s="103" t="s">
        <v>429</v>
      </c>
      <c r="D1501" s="104"/>
      <c r="E1501" s="104"/>
      <c r="F1501" s="104"/>
      <c r="G1501" s="105"/>
      <c r="H1501" s="96">
        <f>H1499+H1500</f>
        <v>2117202.4382480001</v>
      </c>
      <c r="I1501" s="97"/>
      <c r="J1501" s="96">
        <f>J1499+J1500</f>
        <v>763914.4</v>
      </c>
      <c r="K1501" s="97"/>
      <c r="L1501" s="96">
        <f>L1499+L1500</f>
        <v>801914.4</v>
      </c>
    </row>
    <row r="1503" spans="1:12" ht="37" customHeight="1" x14ac:dyDescent="0.35">
      <c r="B1503" s="76" t="s">
        <v>623</v>
      </c>
      <c r="C1503" s="458" t="s">
        <v>624</v>
      </c>
      <c r="D1503" s="459"/>
      <c r="E1503" s="459"/>
      <c r="F1503" s="459"/>
      <c r="G1503" s="456"/>
      <c r="H1503" s="457"/>
      <c r="I1503" s="455" t="s">
        <v>3</v>
      </c>
      <c r="J1503" s="455"/>
      <c r="K1503" s="455" t="s">
        <v>4</v>
      </c>
      <c r="L1503" s="455"/>
    </row>
    <row r="1504" spans="1:12" ht="12" customHeight="1" x14ac:dyDescent="0.35">
      <c r="B1504" s="451" t="s">
        <v>409</v>
      </c>
      <c r="C1504" s="451" t="s">
        <v>410</v>
      </c>
      <c r="D1504" s="452" t="s">
        <v>411</v>
      </c>
      <c r="E1504" s="451" t="s">
        <v>412</v>
      </c>
      <c r="F1504" s="451" t="s">
        <v>413</v>
      </c>
      <c r="G1504" s="77" t="s">
        <v>414</v>
      </c>
      <c r="H1504" s="77" t="s">
        <v>415</v>
      </c>
      <c r="I1504" s="78" t="s">
        <v>414</v>
      </c>
      <c r="J1504" s="79" t="s">
        <v>415</v>
      </c>
      <c r="K1504" s="79" t="s">
        <v>414</v>
      </c>
      <c r="L1504" s="79" t="s">
        <v>415</v>
      </c>
    </row>
    <row r="1505" spans="1:12" ht="12" customHeight="1" x14ac:dyDescent="0.35">
      <c r="B1505" s="451"/>
      <c r="C1505" s="451"/>
      <c r="D1505" s="453"/>
      <c r="E1505" s="451"/>
      <c r="F1505" s="451"/>
      <c r="G1505" s="77" t="s">
        <v>17</v>
      </c>
      <c r="H1505" s="77" t="s">
        <v>416</v>
      </c>
      <c r="I1505" s="78" t="s">
        <v>17</v>
      </c>
      <c r="J1505" s="79" t="s">
        <v>416</v>
      </c>
      <c r="K1505" s="79" t="s">
        <v>17</v>
      </c>
      <c r="L1505" s="79" t="s">
        <v>416</v>
      </c>
    </row>
    <row r="1506" spans="1:12" ht="12" customHeight="1" x14ac:dyDescent="0.35">
      <c r="B1506" s="451"/>
      <c r="C1506" s="451"/>
      <c r="D1506" s="454"/>
      <c r="E1506" s="451"/>
      <c r="F1506" s="451"/>
      <c r="G1506" s="106"/>
      <c r="H1506" s="77" t="s">
        <v>17</v>
      </c>
      <c r="I1506" s="94"/>
      <c r="J1506" s="79" t="s">
        <v>17</v>
      </c>
      <c r="K1506" s="85"/>
      <c r="L1506" s="79" t="s">
        <v>17</v>
      </c>
    </row>
    <row r="1507" spans="1:12" ht="12" customHeight="1" x14ac:dyDescent="0.35">
      <c r="B1507" s="80" t="s">
        <v>5</v>
      </c>
      <c r="C1507" s="81" t="s">
        <v>417</v>
      </c>
      <c r="D1507" s="82"/>
      <c r="E1507" s="82"/>
      <c r="F1507" s="82"/>
      <c r="G1507" s="82"/>
      <c r="H1507" s="82"/>
      <c r="I1507" s="83"/>
      <c r="J1507" s="83"/>
      <c r="K1507" s="83"/>
      <c r="L1507" s="83"/>
    </row>
    <row r="1508" spans="1:12" ht="12" customHeight="1" x14ac:dyDescent="0.35">
      <c r="A1508" s="134">
        <v>10131000</v>
      </c>
      <c r="B1508" s="84"/>
      <c r="C1508" s="85" t="s">
        <v>1888</v>
      </c>
      <c r="D1508" s="84" t="s">
        <v>418</v>
      </c>
      <c r="E1508" s="84" t="str">
        <f>VLOOKUP(C1508,HSD!B:K,2,FALSE)</f>
        <v>OJ</v>
      </c>
      <c r="F1508" s="128">
        <v>0.16</v>
      </c>
      <c r="G1508" s="87">
        <f>VLOOKUP(C1508,HSD!B:K,10,FALSE)</f>
        <v>15000</v>
      </c>
      <c r="H1508" s="87">
        <f>F1508*G1508</f>
        <v>2400</v>
      </c>
      <c r="I1508" s="87">
        <v>91500</v>
      </c>
      <c r="J1508" s="87">
        <f>F1508*I1508</f>
        <v>14640</v>
      </c>
      <c r="K1508" s="87">
        <v>91500</v>
      </c>
      <c r="L1508" s="87">
        <f>F1508*K1508</f>
        <v>14640</v>
      </c>
    </row>
    <row r="1509" spans="1:12" ht="12" customHeight="1" x14ac:dyDescent="0.35">
      <c r="A1509" s="134">
        <v>10111000</v>
      </c>
      <c r="B1509" s="84"/>
      <c r="C1509" s="85" t="s">
        <v>1885</v>
      </c>
      <c r="D1509" s="84" t="s">
        <v>418</v>
      </c>
      <c r="E1509" s="84" t="str">
        <f>VLOOKUP(C1509,HSD!B:K,2,FALSE)</f>
        <v>OJ</v>
      </c>
      <c r="F1509" s="128">
        <f>F1508/10</f>
        <v>1.6E-2</v>
      </c>
      <c r="G1509" s="87">
        <f>VLOOKUP(C1509,HSD!B:K,10,FALSE)</f>
        <v>18750</v>
      </c>
      <c r="H1509" s="87">
        <f>F1509*G1509</f>
        <v>300</v>
      </c>
      <c r="I1509" s="87">
        <v>78600</v>
      </c>
      <c r="J1509" s="87">
        <f>F1509*I1509</f>
        <v>1257.6000000000001</v>
      </c>
      <c r="K1509" s="87">
        <v>78600</v>
      </c>
      <c r="L1509" s="87">
        <f>F1509*K1509</f>
        <v>1257.6000000000001</v>
      </c>
    </row>
    <row r="1510" spans="1:12" ht="12" customHeight="1" x14ac:dyDescent="0.35">
      <c r="B1510" s="84"/>
      <c r="C1510" s="85"/>
      <c r="D1510" s="84"/>
      <c r="E1510" s="84"/>
      <c r="F1510" s="86"/>
      <c r="G1510" s="87"/>
      <c r="H1510" s="87">
        <f>F1510*G1510</f>
        <v>0</v>
      </c>
      <c r="I1510" s="87">
        <v>92500</v>
      </c>
      <c r="J1510" s="87">
        <f>F1510*I1510</f>
        <v>0</v>
      </c>
      <c r="K1510" s="87">
        <v>92500</v>
      </c>
      <c r="L1510" s="87">
        <f>F1510*K1510</f>
        <v>0</v>
      </c>
    </row>
    <row r="1511" spans="1:12" ht="12" customHeight="1" x14ac:dyDescent="0.35">
      <c r="B1511" s="84"/>
      <c r="C1511" s="85"/>
      <c r="D1511" s="84"/>
      <c r="E1511" s="84"/>
      <c r="F1511" s="86"/>
      <c r="G1511" s="87"/>
      <c r="H1511" s="87"/>
      <c r="I1511" s="87"/>
      <c r="J1511" s="87"/>
      <c r="K1511" s="87"/>
      <c r="L1511" s="87"/>
    </row>
    <row r="1512" spans="1:12" ht="12" customHeight="1" x14ac:dyDescent="0.35">
      <c r="B1512" s="84"/>
      <c r="C1512" s="88"/>
      <c r="D1512" s="79"/>
      <c r="E1512" s="79"/>
      <c r="F1512" s="89" t="s">
        <v>421</v>
      </c>
      <c r="G1512" s="101"/>
      <c r="H1512" s="87">
        <f>SUM(H1508:H1511)</f>
        <v>2700</v>
      </c>
      <c r="I1512" s="101"/>
      <c r="J1512" s="87">
        <f>SUM(J1509:J1511)</f>
        <v>1257.6000000000001</v>
      </c>
      <c r="K1512" s="101"/>
      <c r="L1512" s="87">
        <f>SUM(L1509:L1511)</f>
        <v>1257.6000000000001</v>
      </c>
    </row>
    <row r="1513" spans="1:12" ht="12" customHeight="1" x14ac:dyDescent="0.35">
      <c r="B1513" s="84" t="s">
        <v>6</v>
      </c>
      <c r="C1513" s="88" t="s">
        <v>422</v>
      </c>
      <c r="D1513" s="79"/>
      <c r="E1513" s="79"/>
      <c r="F1513" s="90"/>
      <c r="G1513" s="84"/>
      <c r="H1513" s="87"/>
      <c r="I1513" s="84"/>
      <c r="J1513" s="87"/>
      <c r="K1513" s="84"/>
      <c r="L1513" s="87"/>
    </row>
    <row r="1514" spans="1:12" ht="12" customHeight="1" x14ac:dyDescent="0.35">
      <c r="B1514" s="84"/>
      <c r="C1514" s="85"/>
      <c r="D1514" s="84"/>
      <c r="E1514" s="84"/>
      <c r="F1514" s="128"/>
      <c r="G1514" s="87"/>
      <c r="H1514" s="87">
        <f>F1514*G1514</f>
        <v>0</v>
      </c>
      <c r="I1514" s="87">
        <v>232500</v>
      </c>
      <c r="J1514" s="87">
        <f>F1514*I1514</f>
        <v>0</v>
      </c>
      <c r="K1514" s="87">
        <v>270000</v>
      </c>
      <c r="L1514" s="87">
        <f>F1514*K1514</f>
        <v>0</v>
      </c>
    </row>
    <row r="1515" spans="1:12" ht="12" customHeight="1" x14ac:dyDescent="0.35">
      <c r="B1515" s="84"/>
      <c r="C1515" s="85"/>
      <c r="D1515" s="84"/>
      <c r="E1515" s="84"/>
      <c r="F1515" s="128"/>
      <c r="G1515" s="87"/>
      <c r="H1515" s="87">
        <f>F1515*G1515</f>
        <v>0</v>
      </c>
      <c r="I1515" s="87">
        <v>1060</v>
      </c>
      <c r="J1515" s="87">
        <f>F1515*I1515</f>
        <v>0</v>
      </c>
      <c r="K1515" s="87">
        <v>1060</v>
      </c>
      <c r="L1515" s="87">
        <f>F1515*K1515</f>
        <v>0</v>
      </c>
    </row>
    <row r="1516" spans="1:12" ht="12" customHeight="1" x14ac:dyDescent="0.35">
      <c r="B1516" s="84"/>
      <c r="C1516" s="85"/>
      <c r="D1516" s="84"/>
      <c r="E1516" s="84"/>
      <c r="F1516" s="128"/>
      <c r="G1516" s="87"/>
      <c r="H1516" s="87">
        <f>F1516*G1516</f>
        <v>0</v>
      </c>
      <c r="I1516" s="87">
        <v>215000</v>
      </c>
      <c r="J1516" s="87">
        <f>F1516*I1516</f>
        <v>0</v>
      </c>
      <c r="K1516" s="87">
        <v>250000</v>
      </c>
      <c r="L1516" s="87">
        <f>F1516*K1516</f>
        <v>0</v>
      </c>
    </row>
    <row r="1517" spans="1:12" ht="12" customHeight="1" x14ac:dyDescent="0.35">
      <c r="B1517" s="84"/>
      <c r="C1517" s="85"/>
      <c r="D1517" s="84"/>
      <c r="E1517" s="84"/>
      <c r="F1517" s="128"/>
      <c r="G1517" s="87"/>
      <c r="H1517" s="87"/>
      <c r="I1517" s="87"/>
      <c r="J1517" s="87"/>
      <c r="K1517" s="87"/>
      <c r="L1517" s="87"/>
    </row>
    <row r="1518" spans="1:12" ht="12" customHeight="1" x14ac:dyDescent="0.35">
      <c r="B1518" s="84"/>
      <c r="C1518" s="88"/>
      <c r="D1518" s="79"/>
      <c r="E1518" s="79"/>
      <c r="F1518" s="129" t="s">
        <v>423</v>
      </c>
      <c r="G1518" s="129"/>
      <c r="H1518" s="87">
        <f>SUM(H1514:H1517)</f>
        <v>0</v>
      </c>
      <c r="I1518" s="101"/>
      <c r="J1518" s="87" t="e">
        <f>SUM(#REF!)</f>
        <v>#REF!</v>
      </c>
      <c r="K1518" s="101"/>
      <c r="L1518" s="87" t="e">
        <f>SUM(#REF!)</f>
        <v>#REF!</v>
      </c>
    </row>
    <row r="1519" spans="1:12" ht="12" customHeight="1" x14ac:dyDescent="0.35">
      <c r="B1519" s="84" t="s">
        <v>7</v>
      </c>
      <c r="C1519" s="88" t="s">
        <v>424</v>
      </c>
      <c r="D1519" s="79"/>
      <c r="E1519" s="79"/>
      <c r="F1519" s="90"/>
      <c r="G1519" s="84"/>
      <c r="H1519" s="87"/>
      <c r="I1519" s="84"/>
      <c r="J1519" s="87"/>
      <c r="K1519" s="84"/>
      <c r="L1519" s="87"/>
    </row>
    <row r="1520" spans="1:12" ht="12" customHeight="1" x14ac:dyDescent="0.35">
      <c r="A1520" s="134">
        <v>31110029</v>
      </c>
      <c r="B1520" s="84"/>
      <c r="C1520" s="85" t="s">
        <v>625</v>
      </c>
      <c r="D1520" s="84" t="s">
        <v>418</v>
      </c>
      <c r="E1520" s="84" t="str">
        <f>VLOOKUP(C1520,HSD!B:K,2,FALSE)</f>
        <v>jam</v>
      </c>
      <c r="F1520" s="128">
        <v>0.14019999999999999</v>
      </c>
      <c r="G1520" s="87">
        <f>VLOOKUP(C1520,HSD!B:K,10,FALSE)</f>
        <v>692640</v>
      </c>
      <c r="H1520" s="87">
        <f>F1520*G1520</f>
        <v>97108.127999999997</v>
      </c>
      <c r="I1520" s="87"/>
      <c r="J1520" s="87">
        <f>H1520*I1520</f>
        <v>0</v>
      </c>
      <c r="K1520" s="87"/>
      <c r="L1520" s="87">
        <f>J1520*K1520</f>
        <v>0</v>
      </c>
    </row>
    <row r="1521" spans="1:12" ht="12" customHeight="1" x14ac:dyDescent="0.35">
      <c r="A1521" s="134">
        <v>31100008</v>
      </c>
      <c r="B1521" s="84"/>
      <c r="C1521" s="85" t="s">
        <v>1836</v>
      </c>
      <c r="D1521" s="84" t="s">
        <v>418</v>
      </c>
      <c r="E1521" s="84" t="str">
        <f>VLOOKUP(C1521,HSD!B:K,2,FALSE)</f>
        <v>jam</v>
      </c>
      <c r="F1521" s="128">
        <f>F1520</f>
        <v>0.14019999999999999</v>
      </c>
      <c r="G1521" s="87">
        <f>VLOOKUP(C1521,HSD!B:K,10,FALSE)</f>
        <v>1053489.6200000001</v>
      </c>
      <c r="H1521" s="87">
        <f t="shared" ref="H1521:H1522" si="4">F1521*G1521</f>
        <v>147699.24472400002</v>
      </c>
      <c r="I1521" s="87"/>
      <c r="J1521" s="87"/>
      <c r="K1521" s="87"/>
      <c r="L1521" s="87"/>
    </row>
    <row r="1522" spans="1:12" ht="12" customHeight="1" x14ac:dyDescent="0.35">
      <c r="A1522" s="134" t="s">
        <v>572</v>
      </c>
      <c r="B1522" s="84"/>
      <c r="C1522" s="85" t="s">
        <v>573</v>
      </c>
      <c r="D1522" s="84" t="s">
        <v>418</v>
      </c>
      <c r="E1522" s="84" t="str">
        <f>VLOOKUP(C1522,HSD!B:K,2,FALSE)</f>
        <v>jam</v>
      </c>
      <c r="F1522" s="128">
        <v>7.0099999999999996E-2</v>
      </c>
      <c r="G1522" s="87">
        <f>VLOOKUP(C1522,HSD!B:K,10,FALSE)</f>
        <v>932909.79</v>
      </c>
      <c r="H1522" s="87">
        <f t="shared" si="4"/>
        <v>65396.976278999995</v>
      </c>
      <c r="I1522" s="87"/>
      <c r="J1522" s="87"/>
      <c r="K1522" s="87"/>
      <c r="L1522" s="87"/>
    </row>
    <row r="1523" spans="1:12" ht="12" customHeight="1" x14ac:dyDescent="0.35">
      <c r="B1523" s="84"/>
      <c r="C1523" s="85"/>
      <c r="D1523" s="84"/>
      <c r="E1523" s="84"/>
      <c r="F1523" s="128"/>
      <c r="G1523" s="87"/>
      <c r="H1523" s="87">
        <f>F1523*G1523</f>
        <v>0</v>
      </c>
      <c r="I1523" s="87"/>
      <c r="J1523" s="87"/>
      <c r="K1523" s="87"/>
      <c r="L1523" s="87"/>
    </row>
    <row r="1524" spans="1:12" ht="12" customHeight="1" x14ac:dyDescent="0.35">
      <c r="B1524" s="84"/>
      <c r="C1524" s="88"/>
      <c r="D1524" s="79"/>
      <c r="E1524" s="79"/>
      <c r="F1524" s="89" t="s">
        <v>425</v>
      </c>
      <c r="G1524" s="101"/>
      <c r="H1524" s="87">
        <f>SUM(H1520:H1523)</f>
        <v>310204.34900300001</v>
      </c>
      <c r="I1524" s="101"/>
      <c r="J1524" s="87">
        <f>SUM(J1520)</f>
        <v>0</v>
      </c>
      <c r="K1524" s="101"/>
      <c r="L1524" s="87">
        <f>SUM(L1520)</f>
        <v>0</v>
      </c>
    </row>
    <row r="1525" spans="1:12" ht="12" customHeight="1" x14ac:dyDescent="0.35">
      <c r="B1525" s="84" t="s">
        <v>8</v>
      </c>
      <c r="C1525" s="103" t="s">
        <v>426</v>
      </c>
      <c r="D1525" s="104"/>
      <c r="E1525" s="104"/>
      <c r="F1525" s="104"/>
      <c r="G1525" s="105"/>
      <c r="H1525" s="87">
        <f>H1512+H1518+H1524</f>
        <v>312904.34900300001</v>
      </c>
      <c r="I1525" s="105"/>
      <c r="J1525" s="87" t="e">
        <f>J1512+J1518+J1524</f>
        <v>#REF!</v>
      </c>
      <c r="K1525" s="105"/>
      <c r="L1525" s="87" t="e">
        <f>L1512+L1518+L1524</f>
        <v>#REF!</v>
      </c>
    </row>
    <row r="1526" spans="1:12" ht="12" customHeight="1" x14ac:dyDescent="0.35">
      <c r="B1526" s="84" t="s">
        <v>9</v>
      </c>
      <c r="C1526" s="455" t="s">
        <v>427</v>
      </c>
      <c r="D1526" s="455"/>
      <c r="E1526" s="455"/>
      <c r="F1526" s="95">
        <f>0</f>
        <v>0</v>
      </c>
      <c r="G1526" s="85" t="s">
        <v>428</v>
      </c>
      <c r="H1526" s="87">
        <f>H1525*F1526</f>
        <v>0</v>
      </c>
      <c r="I1526" s="85" t="s">
        <v>428</v>
      </c>
      <c r="J1526" s="87" t="e">
        <f>J1525*F1526</f>
        <v>#REF!</v>
      </c>
      <c r="K1526" s="85" t="s">
        <v>428</v>
      </c>
      <c r="L1526" s="87" t="e">
        <f>L1525*F1526</f>
        <v>#REF!</v>
      </c>
    </row>
    <row r="1527" spans="1:12" ht="12" customHeight="1" x14ac:dyDescent="0.35">
      <c r="B1527" s="84" t="s">
        <v>10</v>
      </c>
      <c r="C1527" s="103" t="s">
        <v>429</v>
      </c>
      <c r="D1527" s="104"/>
      <c r="E1527" s="104"/>
      <c r="F1527" s="104"/>
      <c r="G1527" s="105"/>
      <c r="H1527" s="96">
        <f>H1525+H1526</f>
        <v>312904.34900300001</v>
      </c>
      <c r="I1527" s="97"/>
      <c r="J1527" s="96" t="e">
        <f>J1525+J1526</f>
        <v>#REF!</v>
      </c>
      <c r="K1527" s="97"/>
      <c r="L1527" s="96" t="e">
        <f>L1525+L1526</f>
        <v>#REF!</v>
      </c>
    </row>
    <row r="1529" spans="1:12" ht="37" customHeight="1" x14ac:dyDescent="0.35">
      <c r="B1529" s="76" t="s">
        <v>628</v>
      </c>
      <c r="C1529" s="458" t="s">
        <v>644</v>
      </c>
      <c r="D1529" s="459"/>
      <c r="E1529" s="459"/>
      <c r="F1529" s="459"/>
      <c r="G1529" s="456"/>
      <c r="H1529" s="457"/>
      <c r="I1529" s="455" t="s">
        <v>3</v>
      </c>
      <c r="J1529" s="455"/>
      <c r="K1529" s="455" t="s">
        <v>4</v>
      </c>
      <c r="L1529" s="455"/>
    </row>
    <row r="1530" spans="1:12" ht="12" customHeight="1" x14ac:dyDescent="0.35">
      <c r="B1530" s="451" t="s">
        <v>409</v>
      </c>
      <c r="C1530" s="451" t="s">
        <v>410</v>
      </c>
      <c r="D1530" s="452" t="s">
        <v>411</v>
      </c>
      <c r="E1530" s="451" t="s">
        <v>412</v>
      </c>
      <c r="F1530" s="451" t="s">
        <v>413</v>
      </c>
      <c r="G1530" s="77" t="s">
        <v>414</v>
      </c>
      <c r="H1530" s="77" t="s">
        <v>415</v>
      </c>
      <c r="I1530" s="78" t="s">
        <v>414</v>
      </c>
      <c r="J1530" s="79" t="s">
        <v>415</v>
      </c>
      <c r="K1530" s="79" t="s">
        <v>414</v>
      </c>
      <c r="L1530" s="79" t="s">
        <v>415</v>
      </c>
    </row>
    <row r="1531" spans="1:12" ht="12" customHeight="1" x14ac:dyDescent="0.35">
      <c r="B1531" s="451"/>
      <c r="C1531" s="451"/>
      <c r="D1531" s="453"/>
      <c r="E1531" s="451"/>
      <c r="F1531" s="451"/>
      <c r="G1531" s="77" t="s">
        <v>17</v>
      </c>
      <c r="H1531" s="77" t="s">
        <v>416</v>
      </c>
      <c r="I1531" s="78" t="s">
        <v>17</v>
      </c>
      <c r="J1531" s="79" t="s">
        <v>416</v>
      </c>
      <c r="K1531" s="79" t="s">
        <v>17</v>
      </c>
      <c r="L1531" s="79" t="s">
        <v>416</v>
      </c>
    </row>
    <row r="1532" spans="1:12" ht="12" customHeight="1" x14ac:dyDescent="0.35">
      <c r="B1532" s="451"/>
      <c r="C1532" s="451"/>
      <c r="D1532" s="454"/>
      <c r="E1532" s="451"/>
      <c r="F1532" s="451"/>
      <c r="G1532" s="106"/>
      <c r="H1532" s="77" t="s">
        <v>17</v>
      </c>
      <c r="I1532" s="94"/>
      <c r="J1532" s="79" t="s">
        <v>17</v>
      </c>
      <c r="K1532" s="85"/>
      <c r="L1532" s="79" t="s">
        <v>17</v>
      </c>
    </row>
    <row r="1533" spans="1:12" ht="12" customHeight="1" x14ac:dyDescent="0.35">
      <c r="B1533" s="80" t="s">
        <v>5</v>
      </c>
      <c r="C1533" s="81" t="s">
        <v>417</v>
      </c>
      <c r="D1533" s="82"/>
      <c r="E1533" s="82"/>
      <c r="F1533" s="82"/>
      <c r="G1533" s="82"/>
      <c r="H1533" s="82"/>
      <c r="I1533" s="83"/>
      <c r="J1533" s="83"/>
      <c r="K1533" s="83"/>
      <c r="L1533" s="83"/>
    </row>
    <row r="1534" spans="1:12" ht="12" customHeight="1" x14ac:dyDescent="0.35">
      <c r="A1534" s="134">
        <v>10130000</v>
      </c>
      <c r="B1534" s="84"/>
      <c r="C1534" s="85" t="s">
        <v>28</v>
      </c>
      <c r="D1534" s="84" t="s">
        <v>418</v>
      </c>
      <c r="E1534" s="84" t="str">
        <f>VLOOKUP(C1534,HSD!B:K,2,FALSE)</f>
        <v>OH</v>
      </c>
      <c r="F1534" s="128">
        <v>1.5</v>
      </c>
      <c r="G1534" s="87">
        <f>VLOOKUP(C1534,HSD!B:K,10,FALSE)</f>
        <v>120000</v>
      </c>
      <c r="H1534" s="87">
        <f>F1534*G1534</f>
        <v>180000</v>
      </c>
      <c r="I1534" s="87">
        <v>91500</v>
      </c>
      <c r="J1534" s="87">
        <f>F1534*I1534</f>
        <v>137250</v>
      </c>
      <c r="K1534" s="87">
        <v>91500</v>
      </c>
      <c r="L1534" s="87">
        <f>F1534*K1534</f>
        <v>137250</v>
      </c>
    </row>
    <row r="1535" spans="1:12" ht="12" customHeight="1" x14ac:dyDescent="0.35">
      <c r="A1535" s="134">
        <v>10143000</v>
      </c>
      <c r="B1535" s="84"/>
      <c r="C1535" s="85" t="s">
        <v>435</v>
      </c>
      <c r="D1535" s="84" t="s">
        <v>418</v>
      </c>
      <c r="E1535" s="84" t="str">
        <f>VLOOKUP(C1535,HSD!B:K,2,FALSE)</f>
        <v>OH</v>
      </c>
      <c r="F1535" s="128">
        <v>0.5</v>
      </c>
      <c r="G1535" s="87">
        <f>VLOOKUP(C1535,HSD!B:K,10,FALSE)</f>
        <v>250000</v>
      </c>
      <c r="H1535" s="87">
        <f>F1535*G1535</f>
        <v>125000</v>
      </c>
      <c r="I1535" s="87"/>
      <c r="J1535" s="87"/>
      <c r="K1535" s="87"/>
      <c r="L1535" s="87"/>
    </row>
    <row r="1536" spans="1:12" ht="12" customHeight="1" x14ac:dyDescent="0.35">
      <c r="A1536" s="134">
        <v>10110000</v>
      </c>
      <c r="B1536" s="84"/>
      <c r="C1536" s="85" t="s">
        <v>30</v>
      </c>
      <c r="D1536" s="84" t="s">
        <v>418</v>
      </c>
      <c r="E1536" s="84" t="str">
        <f>VLOOKUP(C1536,HSD!B:K,2,FALSE)</f>
        <v>OH</v>
      </c>
      <c r="F1536" s="128">
        <v>0.15</v>
      </c>
      <c r="G1536" s="87">
        <f>VLOOKUP(C1536,HSD!B:K,10,FALSE)</f>
        <v>150000</v>
      </c>
      <c r="H1536" s="87">
        <f>F1536*G1536</f>
        <v>22500</v>
      </c>
      <c r="I1536" s="87">
        <v>78600</v>
      </c>
      <c r="J1536" s="87">
        <f>F1536*I1536</f>
        <v>11790</v>
      </c>
      <c r="K1536" s="87">
        <v>78600</v>
      </c>
      <c r="L1536" s="87">
        <f>F1536*K1536</f>
        <v>11790</v>
      </c>
    </row>
    <row r="1537" spans="1:12" ht="12" customHeight="1" x14ac:dyDescent="0.35">
      <c r="B1537" s="84"/>
      <c r="C1537" s="85"/>
      <c r="D1537" s="84"/>
      <c r="E1537" s="84"/>
      <c r="F1537" s="86"/>
      <c r="G1537" s="87"/>
      <c r="H1537" s="87">
        <f>F1537*G1537</f>
        <v>0</v>
      </c>
      <c r="I1537" s="87">
        <v>92500</v>
      </c>
      <c r="J1537" s="87">
        <f>F1537*I1537</f>
        <v>0</v>
      </c>
      <c r="K1537" s="87">
        <v>92500</v>
      </c>
      <c r="L1537" s="87">
        <f>F1537*K1537</f>
        <v>0</v>
      </c>
    </row>
    <row r="1538" spans="1:12" ht="12" customHeight="1" x14ac:dyDescent="0.35">
      <c r="B1538" s="84"/>
      <c r="C1538" s="85"/>
      <c r="D1538" s="84"/>
      <c r="E1538" s="84"/>
      <c r="F1538" s="86"/>
      <c r="G1538" s="87"/>
      <c r="H1538" s="87"/>
      <c r="I1538" s="87"/>
      <c r="J1538" s="87"/>
      <c r="K1538" s="87"/>
      <c r="L1538" s="87"/>
    </row>
    <row r="1539" spans="1:12" ht="12" customHeight="1" x14ac:dyDescent="0.35">
      <c r="B1539" s="84"/>
      <c r="C1539" s="88"/>
      <c r="D1539" s="79"/>
      <c r="E1539" s="79"/>
      <c r="F1539" s="89" t="s">
        <v>421</v>
      </c>
      <c r="G1539" s="101"/>
      <c r="H1539" s="87">
        <f>SUM(H1534:H1538)</f>
        <v>327500</v>
      </c>
      <c r="I1539" s="101"/>
      <c r="J1539" s="87">
        <f>SUM(J1536:J1538)</f>
        <v>11790</v>
      </c>
      <c r="K1539" s="101"/>
      <c r="L1539" s="87">
        <f>SUM(L1536:L1538)</f>
        <v>11790</v>
      </c>
    </row>
    <row r="1540" spans="1:12" ht="12" customHeight="1" x14ac:dyDescent="0.35">
      <c r="B1540" s="84" t="s">
        <v>6</v>
      </c>
      <c r="C1540" s="88" t="s">
        <v>422</v>
      </c>
      <c r="D1540" s="79"/>
      <c r="E1540" s="79"/>
      <c r="F1540" s="90"/>
      <c r="G1540" s="84"/>
      <c r="H1540" s="87"/>
      <c r="I1540" s="84"/>
      <c r="J1540" s="87"/>
      <c r="K1540" s="84"/>
      <c r="L1540" s="87"/>
    </row>
    <row r="1541" spans="1:12" ht="12" customHeight="1" x14ac:dyDescent="0.35">
      <c r="A1541" s="134">
        <v>211100102</v>
      </c>
      <c r="B1541" s="84"/>
      <c r="C1541" s="85" t="s">
        <v>1794</v>
      </c>
      <c r="D1541" s="84" t="s">
        <v>418</v>
      </c>
      <c r="E1541" s="84" t="str">
        <f>VLOOKUP(C1541,HSD!B:K,2,FALSE)</f>
        <v>m3</v>
      </c>
      <c r="F1541" s="128">
        <v>1.2</v>
      </c>
      <c r="G1541" s="87">
        <f>VLOOKUP(C1541,HSD!B:K,10,FALSE)</f>
        <v>525030</v>
      </c>
      <c r="H1541" s="87">
        <f>F1541*G1541</f>
        <v>630036</v>
      </c>
      <c r="I1541" s="87">
        <v>232500</v>
      </c>
      <c r="J1541" s="87">
        <f>F1541*I1541</f>
        <v>279000</v>
      </c>
      <c r="K1541" s="87">
        <v>270000</v>
      </c>
      <c r="L1541" s="87">
        <f>F1541*K1541</f>
        <v>324000</v>
      </c>
    </row>
    <row r="1542" spans="1:12" ht="12" customHeight="1" x14ac:dyDescent="0.35">
      <c r="A1542" s="134">
        <v>211100113</v>
      </c>
      <c r="B1542" s="84"/>
      <c r="C1542" s="85" t="s">
        <v>49</v>
      </c>
      <c r="D1542" s="84" t="s">
        <v>418</v>
      </c>
      <c r="E1542" s="84" t="str">
        <f>VLOOKUP(C1542,HSD!B:K,2,FALSE)</f>
        <v>m3</v>
      </c>
      <c r="F1542" s="128">
        <v>0.44</v>
      </c>
      <c r="G1542" s="87">
        <f>VLOOKUP(C1542,HSD!B:K,10,FALSE)</f>
        <v>230880</v>
      </c>
      <c r="H1542" s="87">
        <f>F1542*G1542</f>
        <v>101587.2</v>
      </c>
      <c r="I1542" s="87">
        <v>1060</v>
      </c>
      <c r="J1542" s="87">
        <f>F1542*I1542</f>
        <v>466.4</v>
      </c>
      <c r="K1542" s="87">
        <v>1060</v>
      </c>
      <c r="L1542" s="87">
        <f>F1542*K1542</f>
        <v>466.4</v>
      </c>
    </row>
    <row r="1543" spans="1:12" ht="12" customHeight="1" x14ac:dyDescent="0.35">
      <c r="A1543" s="134">
        <v>21301000</v>
      </c>
      <c r="B1543" s="84"/>
      <c r="C1543" s="85" t="s">
        <v>60</v>
      </c>
      <c r="D1543" s="84" t="s">
        <v>418</v>
      </c>
      <c r="E1543" s="84" t="str">
        <f>VLOOKUP(C1543,HSD!B:K,2,FALSE)</f>
        <v>kg</v>
      </c>
      <c r="F1543" s="128">
        <v>252</v>
      </c>
      <c r="G1543" s="87">
        <f>VLOOKUP(C1543,HSD!B:K,10,FALSE)</f>
        <v>2331</v>
      </c>
      <c r="H1543" s="87">
        <f>F1543*G1543</f>
        <v>587412</v>
      </c>
      <c r="I1543" s="87">
        <v>215000</v>
      </c>
      <c r="J1543" s="87">
        <f>F1543*I1543</f>
        <v>54180000</v>
      </c>
      <c r="K1543" s="87">
        <v>250000</v>
      </c>
      <c r="L1543" s="87">
        <f>F1543*K1543</f>
        <v>63000000</v>
      </c>
    </row>
    <row r="1544" spans="1:12" ht="12" customHeight="1" x14ac:dyDescent="0.35">
      <c r="B1544" s="84"/>
      <c r="C1544" s="85"/>
      <c r="D1544" s="84"/>
      <c r="E1544" s="84"/>
      <c r="F1544" s="128"/>
      <c r="G1544" s="87"/>
      <c r="H1544" s="87"/>
      <c r="I1544" s="87"/>
      <c r="J1544" s="87"/>
      <c r="K1544" s="87"/>
      <c r="L1544" s="87"/>
    </row>
    <row r="1545" spans="1:12" ht="12" customHeight="1" x14ac:dyDescent="0.35">
      <c r="B1545" s="84"/>
      <c r="C1545" s="88"/>
      <c r="D1545" s="79"/>
      <c r="E1545" s="79"/>
      <c r="F1545" s="129" t="s">
        <v>423</v>
      </c>
      <c r="G1545" s="129"/>
      <c r="H1545" s="87">
        <f>SUM(H1541:H1544)</f>
        <v>1319035.2</v>
      </c>
      <c r="I1545" s="101"/>
      <c r="J1545" s="87" t="e">
        <f>SUM(#REF!)</f>
        <v>#REF!</v>
      </c>
      <c r="K1545" s="101"/>
      <c r="L1545" s="87" t="e">
        <f>SUM(#REF!)</f>
        <v>#REF!</v>
      </c>
    </row>
    <row r="1546" spans="1:12" ht="12" customHeight="1" x14ac:dyDescent="0.35">
      <c r="B1546" s="84" t="s">
        <v>7</v>
      </c>
      <c r="C1546" s="88" t="s">
        <v>424</v>
      </c>
      <c r="D1546" s="79"/>
      <c r="E1546" s="79"/>
      <c r="F1546" s="90"/>
      <c r="G1546" s="84"/>
      <c r="H1546" s="87"/>
      <c r="I1546" s="84"/>
      <c r="J1546" s="87"/>
      <c r="K1546" s="84"/>
      <c r="L1546" s="87"/>
    </row>
    <row r="1547" spans="1:12" ht="12" customHeight="1" x14ac:dyDescent="0.35">
      <c r="B1547" s="84"/>
      <c r="C1547" s="85"/>
      <c r="D1547" s="84"/>
      <c r="E1547" s="84"/>
      <c r="F1547" s="128"/>
      <c r="G1547" s="87"/>
      <c r="H1547" s="87">
        <f>F1547*G1547</f>
        <v>0</v>
      </c>
      <c r="I1547" s="87"/>
      <c r="J1547" s="87">
        <f>H1547*I1547</f>
        <v>0</v>
      </c>
      <c r="K1547" s="87"/>
      <c r="L1547" s="87">
        <f>J1547*K1547</f>
        <v>0</v>
      </c>
    </row>
    <row r="1548" spans="1:12" ht="12" customHeight="1" x14ac:dyDescent="0.35">
      <c r="B1548" s="84"/>
      <c r="C1548" s="85"/>
      <c r="D1548" s="84"/>
      <c r="E1548" s="84"/>
      <c r="F1548" s="128"/>
      <c r="G1548" s="87"/>
      <c r="H1548" s="87">
        <f>F1548*G1548</f>
        <v>0</v>
      </c>
      <c r="I1548" s="87"/>
      <c r="J1548" s="87"/>
      <c r="K1548" s="87"/>
      <c r="L1548" s="87"/>
    </row>
    <row r="1549" spans="1:12" ht="12" customHeight="1" x14ac:dyDescent="0.35">
      <c r="B1549" s="84"/>
      <c r="C1549" s="88"/>
      <c r="D1549" s="79"/>
      <c r="E1549" s="79"/>
      <c r="F1549" s="89" t="s">
        <v>425</v>
      </c>
      <c r="G1549" s="101"/>
      <c r="H1549" s="87">
        <f>SUM(H1547:H1548)</f>
        <v>0</v>
      </c>
      <c r="I1549" s="101"/>
      <c r="J1549" s="87">
        <f>SUM(J1547)</f>
        <v>0</v>
      </c>
      <c r="K1549" s="101"/>
      <c r="L1549" s="87">
        <f>SUM(L1547)</f>
        <v>0</v>
      </c>
    </row>
    <row r="1550" spans="1:12" ht="12" customHeight="1" x14ac:dyDescent="0.35">
      <c r="B1550" s="84" t="s">
        <v>8</v>
      </c>
      <c r="C1550" s="103" t="s">
        <v>426</v>
      </c>
      <c r="D1550" s="104"/>
      <c r="E1550" s="104"/>
      <c r="F1550" s="104"/>
      <c r="G1550" s="105"/>
      <c r="H1550" s="87">
        <f>H1539+H1545+H1549</f>
        <v>1646535.2</v>
      </c>
      <c r="I1550" s="105"/>
      <c r="J1550" s="87" t="e">
        <f>J1539+J1545+J1549</f>
        <v>#REF!</v>
      </c>
      <c r="K1550" s="105"/>
      <c r="L1550" s="87" t="e">
        <f>L1539+L1545+L1549</f>
        <v>#REF!</v>
      </c>
    </row>
    <row r="1551" spans="1:12" ht="12" customHeight="1" x14ac:dyDescent="0.35">
      <c r="B1551" s="84" t="s">
        <v>9</v>
      </c>
      <c r="C1551" s="455" t="s">
        <v>427</v>
      </c>
      <c r="D1551" s="455"/>
      <c r="E1551" s="455"/>
      <c r="F1551" s="95">
        <f>0</f>
        <v>0</v>
      </c>
      <c r="G1551" s="85" t="s">
        <v>428</v>
      </c>
      <c r="H1551" s="87">
        <f>H1550*F1551</f>
        <v>0</v>
      </c>
      <c r="I1551" s="85" t="s">
        <v>428</v>
      </c>
      <c r="J1551" s="87" t="e">
        <f>J1550*F1551</f>
        <v>#REF!</v>
      </c>
      <c r="K1551" s="85" t="s">
        <v>428</v>
      </c>
      <c r="L1551" s="87" t="e">
        <f>L1550*F1551</f>
        <v>#REF!</v>
      </c>
    </row>
    <row r="1552" spans="1:12" ht="12" customHeight="1" x14ac:dyDescent="0.35">
      <c r="B1552" s="84" t="s">
        <v>10</v>
      </c>
      <c r="C1552" s="103" t="s">
        <v>429</v>
      </c>
      <c r="D1552" s="104"/>
      <c r="E1552" s="104"/>
      <c r="F1552" s="104"/>
      <c r="G1552" s="105"/>
      <c r="H1552" s="96">
        <f>H1550+H1551</f>
        <v>1646535.2</v>
      </c>
      <c r="I1552" s="97"/>
      <c r="J1552" s="96" t="e">
        <f>J1550+J1551</f>
        <v>#REF!</v>
      </c>
      <c r="K1552" s="97"/>
      <c r="L1552" s="96" t="e">
        <f>L1550+L1551</f>
        <v>#REF!</v>
      </c>
    </row>
    <row r="1554" spans="1:12" ht="37" customHeight="1" x14ac:dyDescent="0.35">
      <c r="B1554" s="76" t="s">
        <v>631</v>
      </c>
      <c r="C1554" s="458" t="s">
        <v>645</v>
      </c>
      <c r="D1554" s="459"/>
      <c r="E1554" s="459"/>
      <c r="F1554" s="459"/>
      <c r="G1554" s="456"/>
      <c r="H1554" s="457"/>
      <c r="I1554" s="455" t="s">
        <v>3</v>
      </c>
      <c r="J1554" s="455"/>
      <c r="K1554" s="455" t="s">
        <v>4</v>
      </c>
      <c r="L1554" s="455"/>
    </row>
    <row r="1555" spans="1:12" ht="12" customHeight="1" x14ac:dyDescent="0.35">
      <c r="B1555" s="451" t="s">
        <v>409</v>
      </c>
      <c r="C1555" s="451" t="s">
        <v>410</v>
      </c>
      <c r="D1555" s="452" t="s">
        <v>411</v>
      </c>
      <c r="E1555" s="451" t="s">
        <v>412</v>
      </c>
      <c r="F1555" s="451" t="s">
        <v>413</v>
      </c>
      <c r="G1555" s="77" t="s">
        <v>414</v>
      </c>
      <c r="H1555" s="77" t="s">
        <v>415</v>
      </c>
      <c r="I1555" s="78" t="s">
        <v>414</v>
      </c>
      <c r="J1555" s="79" t="s">
        <v>415</v>
      </c>
      <c r="K1555" s="79" t="s">
        <v>414</v>
      </c>
      <c r="L1555" s="79" t="s">
        <v>415</v>
      </c>
    </row>
    <row r="1556" spans="1:12" ht="12" customHeight="1" x14ac:dyDescent="0.35">
      <c r="B1556" s="451"/>
      <c r="C1556" s="451"/>
      <c r="D1556" s="453"/>
      <c r="E1556" s="451"/>
      <c r="F1556" s="451"/>
      <c r="G1556" s="77" t="s">
        <v>17</v>
      </c>
      <c r="H1556" s="77" t="s">
        <v>416</v>
      </c>
      <c r="I1556" s="78" t="s">
        <v>17</v>
      </c>
      <c r="J1556" s="79" t="s">
        <v>416</v>
      </c>
      <c r="K1556" s="79" t="s">
        <v>17</v>
      </c>
      <c r="L1556" s="79" t="s">
        <v>416</v>
      </c>
    </row>
    <row r="1557" spans="1:12" ht="12" customHeight="1" x14ac:dyDescent="0.35">
      <c r="B1557" s="451"/>
      <c r="C1557" s="451"/>
      <c r="D1557" s="454"/>
      <c r="E1557" s="451"/>
      <c r="F1557" s="451"/>
      <c r="G1557" s="106"/>
      <c r="H1557" s="77" t="s">
        <v>17</v>
      </c>
      <c r="I1557" s="94"/>
      <c r="J1557" s="79" t="s">
        <v>17</v>
      </c>
      <c r="K1557" s="85"/>
      <c r="L1557" s="79" t="s">
        <v>17</v>
      </c>
    </row>
    <row r="1558" spans="1:12" ht="12" customHeight="1" x14ac:dyDescent="0.35">
      <c r="B1558" s="80" t="s">
        <v>5</v>
      </c>
      <c r="C1558" s="81" t="s">
        <v>417</v>
      </c>
      <c r="D1558" s="82"/>
      <c r="E1558" s="82"/>
      <c r="F1558" s="82"/>
      <c r="G1558" s="82"/>
      <c r="H1558" s="82"/>
      <c r="I1558" s="83"/>
      <c r="J1558" s="83"/>
      <c r="K1558" s="83"/>
      <c r="L1558" s="83"/>
    </row>
    <row r="1559" spans="1:12" ht="12" customHeight="1" x14ac:dyDescent="0.35">
      <c r="A1559" s="134">
        <v>10130000</v>
      </c>
      <c r="B1559" s="84"/>
      <c r="C1559" s="85" t="s">
        <v>28</v>
      </c>
      <c r="D1559" s="84" t="s">
        <v>418</v>
      </c>
      <c r="E1559" s="84" t="str">
        <f>VLOOKUP(C1559,HSD!B:K,2,FALSE)</f>
        <v>OH</v>
      </c>
      <c r="F1559" s="128">
        <v>2.5874000000000001</v>
      </c>
      <c r="G1559" s="87">
        <f>VLOOKUP(C1559,HSD!B:K,10,FALSE)</f>
        <v>120000</v>
      </c>
      <c r="H1559" s="87">
        <f>F1559*G1559</f>
        <v>310488</v>
      </c>
      <c r="I1559" s="87">
        <v>91500</v>
      </c>
      <c r="J1559" s="87">
        <f>F1559*I1559</f>
        <v>236747.1</v>
      </c>
      <c r="K1559" s="87">
        <v>91500</v>
      </c>
      <c r="L1559" s="87">
        <f>F1559*K1559</f>
        <v>236747.1</v>
      </c>
    </row>
    <row r="1560" spans="1:12" ht="12" customHeight="1" x14ac:dyDescent="0.35">
      <c r="A1560" s="134">
        <v>10143000</v>
      </c>
      <c r="B1560" s="84"/>
      <c r="C1560" s="85" t="s">
        <v>435</v>
      </c>
      <c r="D1560" s="84" t="s">
        <v>418</v>
      </c>
      <c r="E1560" s="84" t="str">
        <f>VLOOKUP(C1560,HSD!B:K,2,FALSE)</f>
        <v>OH</v>
      </c>
      <c r="F1560" s="128">
        <v>0.86240000000000006</v>
      </c>
      <c r="G1560" s="87">
        <f>VLOOKUP(C1560,HSD!B:K,10,FALSE)</f>
        <v>250000</v>
      </c>
      <c r="H1560" s="87">
        <f>F1560*G1560</f>
        <v>215600</v>
      </c>
      <c r="I1560" s="87"/>
      <c r="J1560" s="87"/>
      <c r="K1560" s="87"/>
      <c r="L1560" s="87"/>
    </row>
    <row r="1561" spans="1:12" ht="12" customHeight="1" x14ac:dyDescent="0.35">
      <c r="A1561" s="134">
        <v>10110000</v>
      </c>
      <c r="B1561" s="84"/>
      <c r="C1561" s="85" t="s">
        <v>30</v>
      </c>
      <c r="D1561" s="84" t="s">
        <v>418</v>
      </c>
      <c r="E1561" s="84" t="str">
        <f>VLOOKUP(C1561,HSD!B:K,2,FALSE)</f>
        <v>OH</v>
      </c>
      <c r="F1561" s="128">
        <v>0.25869999999999999</v>
      </c>
      <c r="G1561" s="87">
        <f>VLOOKUP(C1561,HSD!B:K,10,FALSE)</f>
        <v>150000</v>
      </c>
      <c r="H1561" s="87">
        <f>F1561*G1561</f>
        <v>38805</v>
      </c>
      <c r="I1561" s="87">
        <v>78600</v>
      </c>
      <c r="J1561" s="87">
        <f>F1561*I1561</f>
        <v>20333.82</v>
      </c>
      <c r="K1561" s="87">
        <v>78600</v>
      </c>
      <c r="L1561" s="87">
        <f>F1561*K1561</f>
        <v>20333.82</v>
      </c>
    </row>
    <row r="1562" spans="1:12" ht="12" customHeight="1" x14ac:dyDescent="0.35">
      <c r="B1562" s="84"/>
      <c r="C1562" s="85"/>
      <c r="D1562" s="84"/>
      <c r="E1562" s="84"/>
      <c r="F1562" s="86"/>
      <c r="G1562" s="87"/>
      <c r="H1562" s="87">
        <f>F1562*G1562</f>
        <v>0</v>
      </c>
      <c r="I1562" s="87">
        <v>92500</v>
      </c>
      <c r="J1562" s="87">
        <f>F1562*I1562</f>
        <v>0</v>
      </c>
      <c r="K1562" s="87">
        <v>92500</v>
      </c>
      <c r="L1562" s="87">
        <f>F1562*K1562</f>
        <v>0</v>
      </c>
    </row>
    <row r="1563" spans="1:12" ht="12" customHeight="1" x14ac:dyDescent="0.35">
      <c r="B1563" s="84"/>
      <c r="C1563" s="85"/>
      <c r="D1563" s="84"/>
      <c r="E1563" s="84"/>
      <c r="F1563" s="86"/>
      <c r="G1563" s="87"/>
      <c r="H1563" s="87"/>
      <c r="I1563" s="87"/>
      <c r="J1563" s="87"/>
      <c r="K1563" s="87"/>
      <c r="L1563" s="87"/>
    </row>
    <row r="1564" spans="1:12" ht="12" customHeight="1" x14ac:dyDescent="0.35">
      <c r="B1564" s="84"/>
      <c r="C1564" s="88"/>
      <c r="D1564" s="79"/>
      <c r="E1564" s="79"/>
      <c r="F1564" s="89" t="s">
        <v>421</v>
      </c>
      <c r="G1564" s="101"/>
      <c r="H1564" s="87">
        <f>SUM(H1559:H1563)</f>
        <v>564893</v>
      </c>
      <c r="I1564" s="101"/>
      <c r="J1564" s="87">
        <f>SUM(J1561:J1563)</f>
        <v>20333.82</v>
      </c>
      <c r="K1564" s="101"/>
      <c r="L1564" s="87">
        <f>SUM(L1561:L1563)</f>
        <v>20333.82</v>
      </c>
    </row>
    <row r="1565" spans="1:12" ht="12" customHeight="1" x14ac:dyDescent="0.35">
      <c r="B1565" s="84" t="s">
        <v>6</v>
      </c>
      <c r="C1565" s="88" t="s">
        <v>422</v>
      </c>
      <c r="D1565" s="79"/>
      <c r="E1565" s="79"/>
      <c r="F1565" s="90"/>
      <c r="G1565" s="84"/>
      <c r="H1565" s="87"/>
      <c r="I1565" s="84"/>
      <c r="J1565" s="87"/>
      <c r="K1565" s="84"/>
      <c r="L1565" s="87"/>
    </row>
    <row r="1566" spans="1:12" ht="12" customHeight="1" x14ac:dyDescent="0.35">
      <c r="A1566" s="134">
        <v>211100102</v>
      </c>
      <c r="B1566" s="84"/>
      <c r="C1566" s="85" t="s">
        <v>1794</v>
      </c>
      <c r="D1566" s="84" t="s">
        <v>418</v>
      </c>
      <c r="E1566" s="84" t="str">
        <f>VLOOKUP(C1566,HSD!B:K,2,FALSE)</f>
        <v>m3</v>
      </c>
      <c r="F1566" s="128">
        <v>1.2</v>
      </c>
      <c r="G1566" s="87">
        <f>VLOOKUP(C1566,HSD!B:K,10,FALSE)</f>
        <v>525030</v>
      </c>
      <c r="H1566" s="87">
        <f>F1566*G1566</f>
        <v>630036</v>
      </c>
      <c r="I1566" s="87">
        <v>232500</v>
      </c>
      <c r="J1566" s="87">
        <f>F1566*I1566</f>
        <v>279000</v>
      </c>
      <c r="K1566" s="87">
        <v>270000</v>
      </c>
      <c r="L1566" s="87">
        <f>F1566*K1566</f>
        <v>324000</v>
      </c>
    </row>
    <row r="1567" spans="1:12" ht="12" customHeight="1" x14ac:dyDescent="0.35">
      <c r="A1567" s="134">
        <v>211100113</v>
      </c>
      <c r="B1567" s="84"/>
      <c r="C1567" s="85" t="s">
        <v>49</v>
      </c>
      <c r="D1567" s="84" t="s">
        <v>418</v>
      </c>
      <c r="E1567" s="84" t="str">
        <f>VLOOKUP(C1567,HSD!B:K,2,FALSE)</f>
        <v>m3</v>
      </c>
      <c r="F1567" s="128">
        <v>0.44</v>
      </c>
      <c r="G1567" s="87">
        <f>VLOOKUP(C1567,HSD!B:K,10,FALSE)</f>
        <v>230880</v>
      </c>
      <c r="H1567" s="87">
        <f>F1567*G1567</f>
        <v>101587.2</v>
      </c>
      <c r="I1567" s="87">
        <v>1060</v>
      </c>
      <c r="J1567" s="87">
        <f>F1567*I1567</f>
        <v>466.4</v>
      </c>
      <c r="K1567" s="87">
        <v>1060</v>
      </c>
      <c r="L1567" s="87">
        <f>F1567*K1567</f>
        <v>466.4</v>
      </c>
    </row>
    <row r="1568" spans="1:12" ht="12" customHeight="1" x14ac:dyDescent="0.35">
      <c r="A1568" s="134">
        <v>21301000</v>
      </c>
      <c r="B1568" s="84"/>
      <c r="C1568" s="85" t="s">
        <v>60</v>
      </c>
      <c r="D1568" s="84" t="s">
        <v>418</v>
      </c>
      <c r="E1568" s="84" t="str">
        <f>VLOOKUP(C1568,HSD!B:K,2,FALSE)</f>
        <v>kg</v>
      </c>
      <c r="F1568" s="128">
        <v>252</v>
      </c>
      <c r="G1568" s="87">
        <f>VLOOKUP(C1568,HSD!B:K,10,FALSE)</f>
        <v>2331</v>
      </c>
      <c r="H1568" s="87">
        <f>F1568*G1568</f>
        <v>587412</v>
      </c>
      <c r="I1568" s="87">
        <v>215000</v>
      </c>
      <c r="J1568" s="87">
        <f>F1568*I1568</f>
        <v>54180000</v>
      </c>
      <c r="K1568" s="87">
        <v>250000</v>
      </c>
      <c r="L1568" s="87">
        <f>F1568*K1568</f>
        <v>63000000</v>
      </c>
    </row>
    <row r="1569" spans="1:12" ht="12" customHeight="1" x14ac:dyDescent="0.35">
      <c r="B1569" s="84"/>
      <c r="C1569" s="85"/>
      <c r="D1569" s="84"/>
      <c r="E1569" s="84"/>
      <c r="F1569" s="128"/>
      <c r="G1569" s="87"/>
      <c r="H1569" s="87"/>
      <c r="I1569" s="87"/>
      <c r="J1569" s="87"/>
      <c r="K1569" s="87"/>
      <c r="L1569" s="87"/>
    </row>
    <row r="1570" spans="1:12" ht="12" customHeight="1" x14ac:dyDescent="0.35">
      <c r="B1570" s="84"/>
      <c r="C1570" s="88"/>
      <c r="D1570" s="79"/>
      <c r="E1570" s="79"/>
      <c r="F1570" s="129" t="s">
        <v>423</v>
      </c>
      <c r="G1570" s="129"/>
      <c r="H1570" s="87">
        <f>SUM(H1566:H1569)</f>
        <v>1319035.2</v>
      </c>
      <c r="I1570" s="101"/>
      <c r="J1570" s="87" t="e">
        <f>SUM(#REF!)</f>
        <v>#REF!</v>
      </c>
      <c r="K1570" s="101"/>
      <c r="L1570" s="87" t="e">
        <f>SUM(#REF!)</f>
        <v>#REF!</v>
      </c>
    </row>
    <row r="1571" spans="1:12" ht="12" customHeight="1" x14ac:dyDescent="0.35">
      <c r="B1571" s="84" t="s">
        <v>7</v>
      </c>
      <c r="C1571" s="88" t="s">
        <v>424</v>
      </c>
      <c r="D1571" s="79"/>
      <c r="E1571" s="79"/>
      <c r="F1571" s="90"/>
      <c r="G1571" s="84"/>
      <c r="H1571" s="87"/>
      <c r="I1571" s="84"/>
      <c r="J1571" s="87"/>
      <c r="K1571" s="84"/>
      <c r="L1571" s="87"/>
    </row>
    <row r="1572" spans="1:12" ht="12" customHeight="1" x14ac:dyDescent="0.35">
      <c r="B1572" s="84"/>
      <c r="C1572" s="85"/>
      <c r="D1572" s="84"/>
      <c r="E1572" s="84"/>
      <c r="F1572" s="128"/>
      <c r="G1572" s="87"/>
      <c r="H1572" s="87">
        <f>F1572*G1572</f>
        <v>0</v>
      </c>
      <c r="I1572" s="87"/>
      <c r="J1572" s="87">
        <f>H1572*I1572</f>
        <v>0</v>
      </c>
      <c r="K1572" s="87"/>
      <c r="L1572" s="87">
        <f>J1572*K1572</f>
        <v>0</v>
      </c>
    </row>
    <row r="1573" spans="1:12" ht="12" customHeight="1" x14ac:dyDescent="0.35">
      <c r="B1573" s="84"/>
      <c r="C1573" s="85"/>
      <c r="D1573" s="84"/>
      <c r="E1573" s="84"/>
      <c r="F1573" s="128"/>
      <c r="G1573" s="87"/>
      <c r="H1573" s="87">
        <f>F1573*G1573</f>
        <v>0</v>
      </c>
      <c r="I1573" s="87"/>
      <c r="J1573" s="87"/>
      <c r="K1573" s="87"/>
      <c r="L1573" s="87"/>
    </row>
    <row r="1574" spans="1:12" ht="12" customHeight="1" x14ac:dyDescent="0.35">
      <c r="B1574" s="84"/>
      <c r="C1574" s="88"/>
      <c r="D1574" s="79"/>
      <c r="E1574" s="79"/>
      <c r="F1574" s="89" t="s">
        <v>425</v>
      </c>
      <c r="G1574" s="101"/>
      <c r="H1574" s="87">
        <f>SUM(H1572:H1573)</f>
        <v>0</v>
      </c>
      <c r="I1574" s="101"/>
      <c r="J1574" s="87">
        <f>SUM(J1572)</f>
        <v>0</v>
      </c>
      <c r="K1574" s="101"/>
      <c r="L1574" s="87">
        <f>SUM(L1572)</f>
        <v>0</v>
      </c>
    </row>
    <row r="1575" spans="1:12" ht="12" customHeight="1" x14ac:dyDescent="0.35">
      <c r="B1575" s="84" t="s">
        <v>8</v>
      </c>
      <c r="C1575" s="103" t="s">
        <v>426</v>
      </c>
      <c r="D1575" s="104"/>
      <c r="E1575" s="104"/>
      <c r="F1575" s="104"/>
      <c r="G1575" s="105"/>
      <c r="H1575" s="87">
        <f>H1564+H1570+H1574</f>
        <v>1883928.2</v>
      </c>
      <c r="I1575" s="105"/>
      <c r="J1575" s="87" t="e">
        <f>J1564+J1570+J1574</f>
        <v>#REF!</v>
      </c>
      <c r="K1575" s="105"/>
      <c r="L1575" s="87" t="e">
        <f>L1564+L1570+L1574</f>
        <v>#REF!</v>
      </c>
    </row>
    <row r="1576" spans="1:12" ht="12" customHeight="1" x14ac:dyDescent="0.35">
      <c r="B1576" s="84" t="s">
        <v>9</v>
      </c>
      <c r="C1576" s="455" t="s">
        <v>427</v>
      </c>
      <c r="D1576" s="455"/>
      <c r="E1576" s="455"/>
      <c r="F1576" s="95">
        <f>0</f>
        <v>0</v>
      </c>
      <c r="G1576" s="85" t="s">
        <v>428</v>
      </c>
      <c r="H1576" s="87">
        <f>H1575*F1576</f>
        <v>0</v>
      </c>
      <c r="I1576" s="85" t="s">
        <v>428</v>
      </c>
      <c r="J1576" s="87" t="e">
        <f>J1575*F1576</f>
        <v>#REF!</v>
      </c>
      <c r="K1576" s="85" t="s">
        <v>428</v>
      </c>
      <c r="L1576" s="87" t="e">
        <f>L1575*F1576</f>
        <v>#REF!</v>
      </c>
    </row>
    <row r="1577" spans="1:12" ht="12" customHeight="1" x14ac:dyDescent="0.35">
      <c r="B1577" s="84" t="s">
        <v>10</v>
      </c>
      <c r="C1577" s="103" t="s">
        <v>429</v>
      </c>
      <c r="D1577" s="104"/>
      <c r="E1577" s="104"/>
      <c r="F1577" s="104"/>
      <c r="G1577" s="105"/>
      <c r="H1577" s="96">
        <f>H1575+H1576</f>
        <v>1883928.2</v>
      </c>
      <c r="I1577" s="97"/>
      <c r="J1577" s="96" t="e">
        <f>J1575+J1576</f>
        <v>#REF!</v>
      </c>
      <c r="K1577" s="97"/>
      <c r="L1577" s="96" t="e">
        <f>L1575+L1576</f>
        <v>#REF!</v>
      </c>
    </row>
    <row r="1579" spans="1:12" ht="37" customHeight="1" x14ac:dyDescent="0.35">
      <c r="B1579" s="76" t="s">
        <v>632</v>
      </c>
      <c r="C1579" s="458" t="s">
        <v>646</v>
      </c>
      <c r="D1579" s="459"/>
      <c r="E1579" s="459"/>
      <c r="F1579" s="459"/>
      <c r="G1579" s="456"/>
      <c r="H1579" s="457"/>
      <c r="I1579" s="455" t="s">
        <v>3</v>
      </c>
      <c r="J1579" s="455"/>
      <c r="K1579" s="455" t="s">
        <v>4</v>
      </c>
      <c r="L1579" s="455"/>
    </row>
    <row r="1580" spans="1:12" ht="12" customHeight="1" x14ac:dyDescent="0.35">
      <c r="B1580" s="451" t="s">
        <v>409</v>
      </c>
      <c r="C1580" s="451" t="s">
        <v>410</v>
      </c>
      <c r="D1580" s="452" t="s">
        <v>411</v>
      </c>
      <c r="E1580" s="451" t="s">
        <v>412</v>
      </c>
      <c r="F1580" s="451" t="s">
        <v>413</v>
      </c>
      <c r="G1580" s="77" t="s">
        <v>414</v>
      </c>
      <c r="H1580" s="77" t="s">
        <v>415</v>
      </c>
      <c r="I1580" s="78" t="s">
        <v>414</v>
      </c>
      <c r="J1580" s="79" t="s">
        <v>415</v>
      </c>
      <c r="K1580" s="79" t="s">
        <v>414</v>
      </c>
      <c r="L1580" s="79" t="s">
        <v>415</v>
      </c>
    </row>
    <row r="1581" spans="1:12" ht="12" customHeight="1" x14ac:dyDescent="0.35">
      <c r="B1581" s="451"/>
      <c r="C1581" s="451"/>
      <c r="D1581" s="453"/>
      <c r="E1581" s="451"/>
      <c r="F1581" s="451"/>
      <c r="G1581" s="77" t="s">
        <v>17</v>
      </c>
      <c r="H1581" s="77" t="s">
        <v>416</v>
      </c>
      <c r="I1581" s="78" t="s">
        <v>17</v>
      </c>
      <c r="J1581" s="79" t="s">
        <v>416</v>
      </c>
      <c r="K1581" s="79" t="s">
        <v>17</v>
      </c>
      <c r="L1581" s="79" t="s">
        <v>416</v>
      </c>
    </row>
    <row r="1582" spans="1:12" ht="12" customHeight="1" x14ac:dyDescent="0.35">
      <c r="B1582" s="451"/>
      <c r="C1582" s="451"/>
      <c r="D1582" s="454"/>
      <c r="E1582" s="451"/>
      <c r="F1582" s="451"/>
      <c r="G1582" s="106"/>
      <c r="H1582" s="77" t="s">
        <v>17</v>
      </c>
      <c r="I1582" s="94"/>
      <c r="J1582" s="79" t="s">
        <v>17</v>
      </c>
      <c r="K1582" s="85"/>
      <c r="L1582" s="79" t="s">
        <v>17</v>
      </c>
    </row>
    <row r="1583" spans="1:12" ht="12" customHeight="1" x14ac:dyDescent="0.35">
      <c r="B1583" s="80" t="s">
        <v>5</v>
      </c>
      <c r="C1583" s="81" t="s">
        <v>417</v>
      </c>
      <c r="D1583" s="82"/>
      <c r="E1583" s="82"/>
      <c r="F1583" s="82"/>
      <c r="G1583" s="82"/>
      <c r="H1583" s="82"/>
      <c r="I1583" s="83"/>
      <c r="J1583" s="83"/>
      <c r="K1583" s="83"/>
      <c r="L1583" s="83"/>
    </row>
    <row r="1584" spans="1:12" ht="12" customHeight="1" x14ac:dyDescent="0.35">
      <c r="A1584" s="134">
        <v>10130000</v>
      </c>
      <c r="B1584" s="84"/>
      <c r="C1584" s="85" t="s">
        <v>28</v>
      </c>
      <c r="D1584" s="84" t="s">
        <v>418</v>
      </c>
      <c r="E1584" s="84" t="str">
        <f>VLOOKUP(C1584,HSD!B:K,2,FALSE)</f>
        <v>OH</v>
      </c>
      <c r="F1584" s="128">
        <v>1</v>
      </c>
      <c r="G1584" s="87">
        <f>VLOOKUP(C1584,HSD!B:K,10,FALSE)</f>
        <v>120000</v>
      </c>
      <c r="H1584" s="87">
        <f>F1584*G1584</f>
        <v>120000</v>
      </c>
      <c r="I1584" s="87">
        <v>91500</v>
      </c>
      <c r="J1584" s="87">
        <f>F1584*I1584</f>
        <v>91500</v>
      </c>
      <c r="K1584" s="87">
        <v>91500</v>
      </c>
      <c r="L1584" s="87">
        <f>F1584*K1584</f>
        <v>91500</v>
      </c>
    </row>
    <row r="1585" spans="1:12" ht="12" customHeight="1" x14ac:dyDescent="0.35">
      <c r="A1585" s="134">
        <v>10143000</v>
      </c>
      <c r="B1585" s="84"/>
      <c r="C1585" s="85" t="s">
        <v>435</v>
      </c>
      <c r="D1585" s="84" t="s">
        <v>418</v>
      </c>
      <c r="E1585" s="84" t="str">
        <f>VLOOKUP(C1585,HSD!B:K,2,FALSE)</f>
        <v>OH</v>
      </c>
      <c r="F1585" s="128">
        <v>0.5</v>
      </c>
      <c r="G1585" s="87">
        <f>VLOOKUP(C1585,HSD!B:K,10,FALSE)</f>
        <v>250000</v>
      </c>
      <c r="H1585" s="87">
        <f>F1585*G1585</f>
        <v>125000</v>
      </c>
      <c r="I1585" s="87"/>
      <c r="J1585" s="87"/>
      <c r="K1585" s="87"/>
      <c r="L1585" s="87"/>
    </row>
    <row r="1586" spans="1:12" ht="12" customHeight="1" x14ac:dyDescent="0.35">
      <c r="A1586" s="134">
        <v>10110000</v>
      </c>
      <c r="B1586" s="84"/>
      <c r="C1586" s="85" t="s">
        <v>30</v>
      </c>
      <c r="D1586" s="84" t="s">
        <v>418</v>
      </c>
      <c r="E1586" s="84" t="str">
        <f>VLOOKUP(C1586,HSD!B:K,2,FALSE)</f>
        <v>OH</v>
      </c>
      <c r="F1586" s="128">
        <v>0.1</v>
      </c>
      <c r="G1586" s="87">
        <f>VLOOKUP(C1586,HSD!B:K,10,FALSE)</f>
        <v>150000</v>
      </c>
      <c r="H1586" s="87">
        <f>F1586*G1586</f>
        <v>15000</v>
      </c>
      <c r="I1586" s="87">
        <v>78600</v>
      </c>
      <c r="J1586" s="87">
        <f>F1586*I1586</f>
        <v>7860</v>
      </c>
      <c r="K1586" s="87">
        <v>78600</v>
      </c>
      <c r="L1586" s="87">
        <f>F1586*K1586</f>
        <v>7860</v>
      </c>
    </row>
    <row r="1587" spans="1:12" ht="12" customHeight="1" x14ac:dyDescent="0.35">
      <c r="B1587" s="84"/>
      <c r="C1587" s="85"/>
      <c r="D1587" s="84"/>
      <c r="E1587" s="84"/>
      <c r="F1587" s="86"/>
      <c r="G1587" s="87"/>
      <c r="H1587" s="87">
        <f>F1587*G1587</f>
        <v>0</v>
      </c>
      <c r="I1587" s="87">
        <v>92500</v>
      </c>
      <c r="J1587" s="87">
        <f>F1587*I1587</f>
        <v>0</v>
      </c>
      <c r="K1587" s="87">
        <v>92500</v>
      </c>
      <c r="L1587" s="87">
        <f>F1587*K1587</f>
        <v>0</v>
      </c>
    </row>
    <row r="1588" spans="1:12" ht="12" customHeight="1" x14ac:dyDescent="0.35">
      <c r="B1588" s="84"/>
      <c r="C1588" s="85"/>
      <c r="D1588" s="84"/>
      <c r="E1588" s="84"/>
      <c r="F1588" s="86"/>
      <c r="G1588" s="87"/>
      <c r="H1588" s="87"/>
      <c r="I1588" s="87"/>
      <c r="J1588" s="87"/>
      <c r="K1588" s="87"/>
      <c r="L1588" s="87"/>
    </row>
    <row r="1589" spans="1:12" ht="12" customHeight="1" x14ac:dyDescent="0.35">
      <c r="B1589" s="84"/>
      <c r="C1589" s="88"/>
      <c r="D1589" s="79"/>
      <c r="E1589" s="79"/>
      <c r="F1589" s="89" t="s">
        <v>421</v>
      </c>
      <c r="G1589" s="101"/>
      <c r="H1589" s="87">
        <f>SUM(H1584:H1588)</f>
        <v>260000</v>
      </c>
      <c r="I1589" s="101"/>
      <c r="J1589" s="87">
        <f>SUM(J1586:J1588)</f>
        <v>7860</v>
      </c>
      <c r="K1589" s="101"/>
      <c r="L1589" s="87">
        <f>SUM(L1586:L1588)</f>
        <v>7860</v>
      </c>
    </row>
    <row r="1590" spans="1:12" ht="12" customHeight="1" x14ac:dyDescent="0.35">
      <c r="B1590" s="84" t="s">
        <v>6</v>
      </c>
      <c r="C1590" s="88" t="s">
        <v>422</v>
      </c>
      <c r="D1590" s="79"/>
      <c r="E1590" s="79"/>
      <c r="F1590" s="90"/>
      <c r="G1590" s="84"/>
      <c r="H1590" s="87"/>
      <c r="I1590" s="84"/>
      <c r="J1590" s="87"/>
      <c r="K1590" s="84"/>
      <c r="L1590" s="87"/>
    </row>
    <row r="1591" spans="1:12" ht="12" customHeight="1" x14ac:dyDescent="0.35">
      <c r="A1591" s="134">
        <v>211100102</v>
      </c>
      <c r="B1591" s="84"/>
      <c r="C1591" s="85" t="s">
        <v>1794</v>
      </c>
      <c r="D1591" s="84" t="s">
        <v>418</v>
      </c>
      <c r="E1591" s="84" t="str">
        <f>VLOOKUP(C1591,HSD!B:K,2,FALSE)</f>
        <v>m3</v>
      </c>
      <c r="F1591" s="128">
        <v>1.2</v>
      </c>
      <c r="G1591" s="87">
        <f>VLOOKUP(C1591,HSD!B:K,10,FALSE)</f>
        <v>525030</v>
      </c>
      <c r="H1591" s="87">
        <f>F1591*G1591</f>
        <v>630036</v>
      </c>
      <c r="I1591" s="87">
        <v>232500</v>
      </c>
      <c r="J1591" s="87">
        <f>F1591*I1591</f>
        <v>279000</v>
      </c>
      <c r="K1591" s="87">
        <v>270000</v>
      </c>
      <c r="L1591" s="87">
        <f>F1591*K1591</f>
        <v>324000</v>
      </c>
    </row>
    <row r="1592" spans="1:12" ht="12" customHeight="1" x14ac:dyDescent="0.35">
      <c r="A1592" s="134">
        <v>211100113</v>
      </c>
      <c r="B1592" s="84"/>
      <c r="C1592" s="85" t="s">
        <v>49</v>
      </c>
      <c r="D1592" s="84" t="s">
        <v>418</v>
      </c>
      <c r="E1592" s="84" t="str">
        <f>VLOOKUP(C1592,HSD!B:K,2,FALSE)</f>
        <v>m3</v>
      </c>
      <c r="F1592" s="128">
        <v>0.44</v>
      </c>
      <c r="G1592" s="87">
        <f>VLOOKUP(C1592,HSD!B:K,10,FALSE)</f>
        <v>230880</v>
      </c>
      <c r="H1592" s="87">
        <f>F1592*G1592</f>
        <v>101587.2</v>
      </c>
      <c r="I1592" s="87">
        <v>1060</v>
      </c>
      <c r="J1592" s="87">
        <f>F1592*I1592</f>
        <v>466.4</v>
      </c>
      <c r="K1592" s="87">
        <v>1060</v>
      </c>
      <c r="L1592" s="87">
        <f>F1592*K1592</f>
        <v>466.4</v>
      </c>
    </row>
    <row r="1593" spans="1:12" ht="12" customHeight="1" x14ac:dyDescent="0.35">
      <c r="A1593" s="134">
        <v>21301000</v>
      </c>
      <c r="B1593" s="84"/>
      <c r="C1593" s="85" t="s">
        <v>60</v>
      </c>
      <c r="D1593" s="84" t="s">
        <v>418</v>
      </c>
      <c r="E1593" s="84" t="str">
        <f>VLOOKUP(C1593,HSD!B:K,2,FALSE)</f>
        <v>kg</v>
      </c>
      <c r="F1593" s="128">
        <v>252</v>
      </c>
      <c r="G1593" s="87">
        <f>VLOOKUP(C1593,HSD!B:K,10,FALSE)</f>
        <v>2331</v>
      </c>
      <c r="H1593" s="87">
        <f>F1593*G1593</f>
        <v>587412</v>
      </c>
      <c r="I1593" s="87">
        <v>215000</v>
      </c>
      <c r="J1593" s="87">
        <f>F1593*I1593</f>
        <v>54180000</v>
      </c>
      <c r="K1593" s="87">
        <v>250000</v>
      </c>
      <c r="L1593" s="87">
        <f>F1593*K1593</f>
        <v>63000000</v>
      </c>
    </row>
    <row r="1594" spans="1:12" ht="12" customHeight="1" x14ac:dyDescent="0.35">
      <c r="B1594" s="84"/>
      <c r="C1594" s="85"/>
      <c r="D1594" s="84"/>
      <c r="E1594" s="84"/>
      <c r="F1594" s="128"/>
      <c r="G1594" s="87"/>
      <c r="H1594" s="87"/>
      <c r="I1594" s="87"/>
      <c r="J1594" s="87"/>
      <c r="K1594" s="87"/>
      <c r="L1594" s="87"/>
    </row>
    <row r="1595" spans="1:12" ht="12" customHeight="1" x14ac:dyDescent="0.35">
      <c r="B1595" s="84"/>
      <c r="C1595" s="88"/>
      <c r="D1595" s="79"/>
      <c r="E1595" s="79"/>
      <c r="F1595" s="129" t="s">
        <v>423</v>
      </c>
      <c r="G1595" s="129"/>
      <c r="H1595" s="87">
        <f>SUM(H1591:H1594)</f>
        <v>1319035.2</v>
      </c>
      <c r="I1595" s="101"/>
      <c r="J1595" s="87" t="e">
        <f>SUM(#REF!)</f>
        <v>#REF!</v>
      </c>
      <c r="K1595" s="101"/>
      <c r="L1595" s="87" t="e">
        <f>SUM(#REF!)</f>
        <v>#REF!</v>
      </c>
    </row>
    <row r="1596" spans="1:12" ht="12" customHeight="1" x14ac:dyDescent="0.35">
      <c r="B1596" s="84" t="s">
        <v>7</v>
      </c>
      <c r="C1596" s="88" t="s">
        <v>424</v>
      </c>
      <c r="D1596" s="79"/>
      <c r="E1596" s="79"/>
      <c r="F1596" s="90"/>
      <c r="G1596" s="84"/>
      <c r="H1596" s="87"/>
      <c r="I1596" s="84"/>
      <c r="J1596" s="87"/>
      <c r="K1596" s="84"/>
      <c r="L1596" s="87"/>
    </row>
    <row r="1597" spans="1:12" ht="12" customHeight="1" x14ac:dyDescent="0.35">
      <c r="A1597" s="134">
        <v>31100004</v>
      </c>
      <c r="B1597" s="84"/>
      <c r="C1597" s="85" t="s">
        <v>1829</v>
      </c>
      <c r="D1597" s="84" t="s">
        <v>418</v>
      </c>
      <c r="E1597" s="84" t="s">
        <v>473</v>
      </c>
      <c r="F1597" s="128">
        <v>4.4299999999999999E-2</v>
      </c>
      <c r="G1597" s="87">
        <f>VLOOKUP(C1597,HSD!B:K,10,FALSE)</f>
        <v>126984</v>
      </c>
      <c r="H1597" s="87">
        <f>F1597*G1597</f>
        <v>5625.3912</v>
      </c>
      <c r="I1597" s="87"/>
      <c r="J1597" s="87">
        <f>H1597*I1597</f>
        <v>0</v>
      </c>
      <c r="K1597" s="87"/>
      <c r="L1597" s="87">
        <f>J1597*K1597</f>
        <v>0</v>
      </c>
    </row>
    <row r="1598" spans="1:12" ht="12" customHeight="1" x14ac:dyDescent="0.35">
      <c r="B1598" s="84"/>
      <c r="C1598" s="85"/>
      <c r="D1598" s="84"/>
      <c r="E1598" s="84"/>
      <c r="F1598" s="128"/>
      <c r="G1598" s="87"/>
      <c r="H1598" s="87">
        <f>F1598*G1598</f>
        <v>0</v>
      </c>
      <c r="I1598" s="87"/>
      <c r="J1598" s="87"/>
      <c r="K1598" s="87"/>
      <c r="L1598" s="87"/>
    </row>
    <row r="1599" spans="1:12" ht="12" customHeight="1" x14ac:dyDescent="0.35">
      <c r="B1599" s="84"/>
      <c r="C1599" s="88"/>
      <c r="D1599" s="79"/>
      <c r="E1599" s="79"/>
      <c r="F1599" s="89" t="s">
        <v>425</v>
      </c>
      <c r="G1599" s="101"/>
      <c r="H1599" s="87">
        <f>SUM(H1597:H1598)</f>
        <v>5625.3912</v>
      </c>
      <c r="I1599" s="101"/>
      <c r="J1599" s="87">
        <f>SUM(J1597)</f>
        <v>0</v>
      </c>
      <c r="K1599" s="101"/>
      <c r="L1599" s="87">
        <f>SUM(L1597)</f>
        <v>0</v>
      </c>
    </row>
    <row r="1600" spans="1:12" ht="12" customHeight="1" x14ac:dyDescent="0.35">
      <c r="B1600" s="84" t="s">
        <v>8</v>
      </c>
      <c r="C1600" s="103" t="s">
        <v>426</v>
      </c>
      <c r="D1600" s="104"/>
      <c r="E1600" s="104"/>
      <c r="F1600" s="104"/>
      <c r="G1600" s="105"/>
      <c r="H1600" s="87">
        <f>H1589+H1595+H1599</f>
        <v>1584660.5911999999</v>
      </c>
      <c r="I1600" s="105"/>
      <c r="J1600" s="87" t="e">
        <f>J1589+J1595+J1599</f>
        <v>#REF!</v>
      </c>
      <c r="K1600" s="105"/>
      <c r="L1600" s="87" t="e">
        <f>L1589+L1595+L1599</f>
        <v>#REF!</v>
      </c>
    </row>
    <row r="1601" spans="1:12" ht="12" customHeight="1" x14ac:dyDescent="0.35">
      <c r="B1601" s="84" t="s">
        <v>9</v>
      </c>
      <c r="C1601" s="455" t="s">
        <v>427</v>
      </c>
      <c r="D1601" s="455"/>
      <c r="E1601" s="455"/>
      <c r="F1601" s="95">
        <f>0</f>
        <v>0</v>
      </c>
      <c r="G1601" s="85" t="s">
        <v>428</v>
      </c>
      <c r="H1601" s="87">
        <f>H1600*F1601</f>
        <v>0</v>
      </c>
      <c r="I1601" s="85" t="s">
        <v>428</v>
      </c>
      <c r="J1601" s="87" t="e">
        <f>J1600*F1601</f>
        <v>#REF!</v>
      </c>
      <c r="K1601" s="85" t="s">
        <v>428</v>
      </c>
      <c r="L1601" s="87" t="e">
        <f>L1600*F1601</f>
        <v>#REF!</v>
      </c>
    </row>
    <row r="1602" spans="1:12" ht="12" customHeight="1" x14ac:dyDescent="0.35">
      <c r="B1602" s="84" t="s">
        <v>10</v>
      </c>
      <c r="C1602" s="103" t="s">
        <v>429</v>
      </c>
      <c r="D1602" s="104"/>
      <c r="E1602" s="104"/>
      <c r="F1602" s="104"/>
      <c r="G1602" s="105"/>
      <c r="H1602" s="96">
        <f>H1600+H1601</f>
        <v>1584660.5911999999</v>
      </c>
      <c r="I1602" s="97"/>
      <c r="J1602" s="96" t="e">
        <f>J1600+J1601</f>
        <v>#REF!</v>
      </c>
      <c r="K1602" s="97"/>
      <c r="L1602" s="96" t="e">
        <f>L1600+L1601</f>
        <v>#REF!</v>
      </c>
    </row>
    <row r="1604" spans="1:12" ht="37" customHeight="1" x14ac:dyDescent="0.35">
      <c r="B1604" s="76" t="s">
        <v>633</v>
      </c>
      <c r="C1604" s="458" t="s">
        <v>647</v>
      </c>
      <c r="D1604" s="459"/>
      <c r="E1604" s="459"/>
      <c r="F1604" s="459"/>
      <c r="G1604" s="456"/>
      <c r="H1604" s="457"/>
      <c r="I1604" s="455" t="s">
        <v>3</v>
      </c>
      <c r="J1604" s="455"/>
      <c r="K1604" s="455" t="s">
        <v>4</v>
      </c>
      <c r="L1604" s="455"/>
    </row>
    <row r="1605" spans="1:12" ht="12" customHeight="1" x14ac:dyDescent="0.35">
      <c r="B1605" s="451" t="s">
        <v>409</v>
      </c>
      <c r="C1605" s="451" t="s">
        <v>410</v>
      </c>
      <c r="D1605" s="452" t="s">
        <v>411</v>
      </c>
      <c r="E1605" s="451" t="s">
        <v>412</v>
      </c>
      <c r="F1605" s="451" t="s">
        <v>413</v>
      </c>
      <c r="G1605" s="77" t="s">
        <v>414</v>
      </c>
      <c r="H1605" s="77" t="s">
        <v>415</v>
      </c>
      <c r="I1605" s="78" t="s">
        <v>414</v>
      </c>
      <c r="J1605" s="79" t="s">
        <v>415</v>
      </c>
      <c r="K1605" s="79" t="s">
        <v>414</v>
      </c>
      <c r="L1605" s="79" t="s">
        <v>415</v>
      </c>
    </row>
    <row r="1606" spans="1:12" ht="12" customHeight="1" x14ac:dyDescent="0.35">
      <c r="B1606" s="451"/>
      <c r="C1606" s="451"/>
      <c r="D1606" s="453"/>
      <c r="E1606" s="451"/>
      <c r="F1606" s="451"/>
      <c r="G1606" s="77" t="s">
        <v>17</v>
      </c>
      <c r="H1606" s="77" t="s">
        <v>416</v>
      </c>
      <c r="I1606" s="78" t="s">
        <v>17</v>
      </c>
      <c r="J1606" s="79" t="s">
        <v>416</v>
      </c>
      <c r="K1606" s="79" t="s">
        <v>17</v>
      </c>
      <c r="L1606" s="79" t="s">
        <v>416</v>
      </c>
    </row>
    <row r="1607" spans="1:12" ht="12" customHeight="1" x14ac:dyDescent="0.35">
      <c r="B1607" s="451"/>
      <c r="C1607" s="451"/>
      <c r="D1607" s="454"/>
      <c r="E1607" s="451"/>
      <c r="F1607" s="451"/>
      <c r="G1607" s="106"/>
      <c r="H1607" s="77" t="s">
        <v>17</v>
      </c>
      <c r="I1607" s="94"/>
      <c r="J1607" s="79" t="s">
        <v>17</v>
      </c>
      <c r="K1607" s="85"/>
      <c r="L1607" s="79" t="s">
        <v>17</v>
      </c>
    </row>
    <row r="1608" spans="1:12" ht="12" customHeight="1" x14ac:dyDescent="0.35">
      <c r="B1608" s="80" t="s">
        <v>5</v>
      </c>
      <c r="C1608" s="81" t="s">
        <v>417</v>
      </c>
      <c r="D1608" s="82"/>
      <c r="E1608" s="82"/>
      <c r="F1608" s="82"/>
      <c r="G1608" s="82"/>
      <c r="H1608" s="82"/>
      <c r="I1608" s="83"/>
      <c r="J1608" s="83"/>
      <c r="K1608" s="83"/>
      <c r="L1608" s="83"/>
    </row>
    <row r="1609" spans="1:12" ht="12" customHeight="1" x14ac:dyDescent="0.35">
      <c r="A1609" s="134">
        <v>10130000</v>
      </c>
      <c r="B1609" s="84"/>
      <c r="C1609" s="85" t="s">
        <v>28</v>
      </c>
      <c r="D1609" s="84" t="s">
        <v>418</v>
      </c>
      <c r="E1609" s="84" t="str">
        <f>VLOOKUP(C1609,HSD!B:K,2,FALSE)</f>
        <v>OH</v>
      </c>
      <c r="F1609" s="128">
        <v>2.0874000000000001</v>
      </c>
      <c r="G1609" s="87">
        <f>VLOOKUP(C1609,HSD!B:K,10,FALSE)</f>
        <v>120000</v>
      </c>
      <c r="H1609" s="87">
        <f>F1609*G1609</f>
        <v>250488.00000000003</v>
      </c>
      <c r="I1609" s="87">
        <v>91500</v>
      </c>
      <c r="J1609" s="87">
        <f>F1609*I1609</f>
        <v>190997.1</v>
      </c>
      <c r="K1609" s="87">
        <v>91500</v>
      </c>
      <c r="L1609" s="87">
        <f>F1609*K1609</f>
        <v>190997.1</v>
      </c>
    </row>
    <row r="1610" spans="1:12" ht="12" customHeight="1" x14ac:dyDescent="0.35">
      <c r="A1610" s="134">
        <v>10143000</v>
      </c>
      <c r="B1610" s="84"/>
      <c r="C1610" s="85" t="s">
        <v>435</v>
      </c>
      <c r="D1610" s="84" t="s">
        <v>418</v>
      </c>
      <c r="E1610" s="84" t="str">
        <f>VLOOKUP(C1610,HSD!B:K,2,FALSE)</f>
        <v>OH</v>
      </c>
      <c r="F1610" s="128">
        <v>1.0437000000000001</v>
      </c>
      <c r="G1610" s="87">
        <f>VLOOKUP(C1610,HSD!B:K,10,FALSE)</f>
        <v>250000</v>
      </c>
      <c r="H1610" s="87">
        <f>F1610*G1610</f>
        <v>260925.00000000003</v>
      </c>
      <c r="I1610" s="87"/>
      <c r="J1610" s="87"/>
      <c r="K1610" s="87"/>
      <c r="L1610" s="87"/>
    </row>
    <row r="1611" spans="1:12" ht="12" customHeight="1" x14ac:dyDescent="0.35">
      <c r="A1611" s="134">
        <v>10110000</v>
      </c>
      <c r="B1611" s="84"/>
      <c r="C1611" s="85" t="s">
        <v>30</v>
      </c>
      <c r="D1611" s="84" t="s">
        <v>418</v>
      </c>
      <c r="E1611" s="84" t="str">
        <f>VLOOKUP(C1611,HSD!B:K,2,FALSE)</f>
        <v>OH</v>
      </c>
      <c r="F1611" s="128">
        <f>F1609/10</f>
        <v>0.20874000000000001</v>
      </c>
      <c r="G1611" s="87">
        <f>VLOOKUP(C1611,HSD!B:K,10,FALSE)</f>
        <v>150000</v>
      </c>
      <c r="H1611" s="87">
        <f>F1611*G1611</f>
        <v>31311</v>
      </c>
      <c r="I1611" s="87">
        <v>78600</v>
      </c>
      <c r="J1611" s="87">
        <f>F1611*I1611</f>
        <v>16406.964</v>
      </c>
      <c r="K1611" s="87">
        <v>78600</v>
      </c>
      <c r="L1611" s="87">
        <f>F1611*K1611</f>
        <v>16406.964</v>
      </c>
    </row>
    <row r="1612" spans="1:12" ht="12" customHeight="1" x14ac:dyDescent="0.35">
      <c r="B1612" s="84"/>
      <c r="C1612" s="85"/>
      <c r="D1612" s="84"/>
      <c r="E1612" s="84"/>
      <c r="F1612" s="86"/>
      <c r="G1612" s="87"/>
      <c r="H1612" s="87">
        <f>F1612*G1612</f>
        <v>0</v>
      </c>
      <c r="I1612" s="87">
        <v>92500</v>
      </c>
      <c r="J1612" s="87">
        <f>F1612*I1612</f>
        <v>0</v>
      </c>
      <c r="K1612" s="87">
        <v>92500</v>
      </c>
      <c r="L1612" s="87">
        <f>F1612*K1612</f>
        <v>0</v>
      </c>
    </row>
    <row r="1613" spans="1:12" ht="12" customHeight="1" x14ac:dyDescent="0.35">
      <c r="B1613" s="84"/>
      <c r="C1613" s="85"/>
      <c r="D1613" s="84"/>
      <c r="E1613" s="84"/>
      <c r="F1613" s="86"/>
      <c r="G1613" s="87"/>
      <c r="H1613" s="87"/>
      <c r="I1613" s="87"/>
      <c r="J1613" s="87"/>
      <c r="K1613" s="87"/>
      <c r="L1613" s="87"/>
    </row>
    <row r="1614" spans="1:12" ht="12" customHeight="1" x14ac:dyDescent="0.35">
      <c r="B1614" s="84"/>
      <c r="C1614" s="88"/>
      <c r="D1614" s="79"/>
      <c r="E1614" s="79"/>
      <c r="F1614" s="89" t="s">
        <v>421</v>
      </c>
      <c r="G1614" s="101"/>
      <c r="H1614" s="87">
        <f>SUM(H1609:H1613)</f>
        <v>542724</v>
      </c>
      <c r="I1614" s="101"/>
      <c r="J1614" s="87">
        <f>SUM(J1611:J1613)</f>
        <v>16406.964</v>
      </c>
      <c r="K1614" s="101"/>
      <c r="L1614" s="87">
        <f>SUM(L1611:L1613)</f>
        <v>16406.964</v>
      </c>
    </row>
    <row r="1615" spans="1:12" ht="12" customHeight="1" x14ac:dyDescent="0.35">
      <c r="B1615" s="84" t="s">
        <v>6</v>
      </c>
      <c r="C1615" s="88" t="s">
        <v>422</v>
      </c>
      <c r="D1615" s="79"/>
      <c r="E1615" s="79"/>
      <c r="F1615" s="90"/>
      <c r="G1615" s="84"/>
      <c r="H1615" s="87"/>
      <c r="I1615" s="84"/>
      <c r="J1615" s="87"/>
      <c r="K1615" s="84"/>
      <c r="L1615" s="87"/>
    </row>
    <row r="1616" spans="1:12" ht="12" customHeight="1" x14ac:dyDescent="0.35">
      <c r="A1616" s="134">
        <v>211100102</v>
      </c>
      <c r="B1616" s="84"/>
      <c r="C1616" s="85" t="s">
        <v>1794</v>
      </c>
      <c r="D1616" s="84" t="s">
        <v>418</v>
      </c>
      <c r="E1616" s="84" t="str">
        <f>VLOOKUP(C1616,HSD!B:K,2,FALSE)</f>
        <v>m3</v>
      </c>
      <c r="F1616" s="128">
        <v>1.2</v>
      </c>
      <c r="G1616" s="87">
        <f>VLOOKUP(C1616,HSD!B:K,10,FALSE)</f>
        <v>525030</v>
      </c>
      <c r="H1616" s="87">
        <f>F1616*G1616</f>
        <v>630036</v>
      </c>
      <c r="I1616" s="87">
        <v>232500</v>
      </c>
      <c r="J1616" s="87">
        <f>F1616*I1616</f>
        <v>279000</v>
      </c>
      <c r="K1616" s="87">
        <v>270000</v>
      </c>
      <c r="L1616" s="87">
        <f>F1616*K1616</f>
        <v>324000</v>
      </c>
    </row>
    <row r="1617" spans="1:12" ht="12" customHeight="1" x14ac:dyDescent="0.35">
      <c r="A1617" s="134">
        <v>211100113</v>
      </c>
      <c r="B1617" s="84"/>
      <c r="C1617" s="85" t="s">
        <v>49</v>
      </c>
      <c r="D1617" s="84" t="s">
        <v>418</v>
      </c>
      <c r="E1617" s="84" t="str">
        <f>VLOOKUP(C1617,HSD!B:K,2,FALSE)</f>
        <v>m3</v>
      </c>
      <c r="F1617" s="128">
        <v>0.44</v>
      </c>
      <c r="G1617" s="87">
        <f>VLOOKUP(C1617,HSD!B:K,10,FALSE)</f>
        <v>230880</v>
      </c>
      <c r="H1617" s="87">
        <f>F1617*G1617</f>
        <v>101587.2</v>
      </c>
      <c r="I1617" s="87">
        <v>1060</v>
      </c>
      <c r="J1617" s="87">
        <f>F1617*I1617</f>
        <v>466.4</v>
      </c>
      <c r="K1617" s="87">
        <v>1060</v>
      </c>
      <c r="L1617" s="87">
        <f>F1617*K1617</f>
        <v>466.4</v>
      </c>
    </row>
    <row r="1618" spans="1:12" ht="12" customHeight="1" x14ac:dyDescent="0.35">
      <c r="A1618" s="134">
        <v>21301000</v>
      </c>
      <c r="B1618" s="84"/>
      <c r="C1618" s="85" t="s">
        <v>60</v>
      </c>
      <c r="D1618" s="84" t="s">
        <v>418</v>
      </c>
      <c r="E1618" s="84" t="str">
        <f>VLOOKUP(C1618,HSD!B:K,2,FALSE)</f>
        <v>kg</v>
      </c>
      <c r="F1618" s="128">
        <v>252</v>
      </c>
      <c r="G1618" s="87">
        <f>VLOOKUP(C1618,HSD!B:K,10,FALSE)</f>
        <v>2331</v>
      </c>
      <c r="H1618" s="87">
        <f>F1618*G1618</f>
        <v>587412</v>
      </c>
      <c r="I1618" s="87">
        <v>215000</v>
      </c>
      <c r="J1618" s="87">
        <f>F1618*I1618</f>
        <v>54180000</v>
      </c>
      <c r="K1618" s="87">
        <v>250000</v>
      </c>
      <c r="L1618" s="87">
        <f>F1618*K1618</f>
        <v>63000000</v>
      </c>
    </row>
    <row r="1619" spans="1:12" ht="12" customHeight="1" x14ac:dyDescent="0.35">
      <c r="B1619" s="84"/>
      <c r="C1619" s="85"/>
      <c r="D1619" s="84"/>
      <c r="E1619" s="84"/>
      <c r="F1619" s="128"/>
      <c r="G1619" s="87"/>
      <c r="H1619" s="87"/>
      <c r="I1619" s="87"/>
      <c r="J1619" s="87"/>
      <c r="K1619" s="87"/>
      <c r="L1619" s="87"/>
    </row>
    <row r="1620" spans="1:12" ht="12" customHeight="1" x14ac:dyDescent="0.35">
      <c r="B1620" s="84"/>
      <c r="C1620" s="88"/>
      <c r="D1620" s="79"/>
      <c r="E1620" s="79"/>
      <c r="F1620" s="129" t="s">
        <v>423</v>
      </c>
      <c r="G1620" s="129"/>
      <c r="H1620" s="87">
        <f>SUM(H1616:H1619)</f>
        <v>1319035.2</v>
      </c>
      <c r="I1620" s="101"/>
      <c r="J1620" s="87" t="e">
        <f>SUM(#REF!)</f>
        <v>#REF!</v>
      </c>
      <c r="K1620" s="101"/>
      <c r="L1620" s="87" t="e">
        <f>SUM(#REF!)</f>
        <v>#REF!</v>
      </c>
    </row>
    <row r="1621" spans="1:12" ht="12" customHeight="1" x14ac:dyDescent="0.35">
      <c r="B1621" s="84" t="s">
        <v>7</v>
      </c>
      <c r="C1621" s="88" t="s">
        <v>424</v>
      </c>
      <c r="D1621" s="79"/>
      <c r="E1621" s="79"/>
      <c r="F1621" s="90"/>
      <c r="G1621" s="84"/>
      <c r="H1621" s="87"/>
      <c r="I1621" s="84"/>
      <c r="J1621" s="87"/>
      <c r="K1621" s="84"/>
      <c r="L1621" s="87"/>
    </row>
    <row r="1622" spans="1:12" ht="12" customHeight="1" x14ac:dyDescent="0.35">
      <c r="A1622" s="134">
        <v>31100004</v>
      </c>
      <c r="B1622" s="84"/>
      <c r="C1622" s="85" t="s">
        <v>1829</v>
      </c>
      <c r="D1622" s="84" t="s">
        <v>418</v>
      </c>
      <c r="E1622" s="84" t="str">
        <f>VLOOKUP(C1622,HSD!B:K,2,FALSE)</f>
        <v>Sewa-hari</v>
      </c>
      <c r="F1622" s="128">
        <v>4.4299999999999999E-2</v>
      </c>
      <c r="G1622" s="87">
        <f>VLOOKUP(C1622,HSD!B:K,10,FALSE)</f>
        <v>126984</v>
      </c>
      <c r="H1622" s="87">
        <f>F1622*G1622</f>
        <v>5625.3912</v>
      </c>
      <c r="I1622" s="87"/>
      <c r="J1622" s="87">
        <f>H1622*I1622</f>
        <v>0</v>
      </c>
      <c r="K1622" s="87"/>
      <c r="L1622" s="87">
        <f>J1622*K1622</f>
        <v>0</v>
      </c>
    </row>
    <row r="1623" spans="1:12" ht="12" customHeight="1" x14ac:dyDescent="0.35">
      <c r="B1623" s="84"/>
      <c r="C1623" s="85"/>
      <c r="D1623" s="84"/>
      <c r="E1623" s="84"/>
      <c r="F1623" s="128"/>
      <c r="G1623" s="87"/>
      <c r="H1623" s="87">
        <f>F1623*G1623</f>
        <v>0</v>
      </c>
      <c r="I1623" s="87"/>
      <c r="J1623" s="87"/>
      <c r="K1623" s="87"/>
      <c r="L1623" s="87"/>
    </row>
    <row r="1624" spans="1:12" ht="12" customHeight="1" x14ac:dyDescent="0.35">
      <c r="B1624" s="84"/>
      <c r="C1624" s="88"/>
      <c r="D1624" s="79"/>
      <c r="E1624" s="79"/>
      <c r="F1624" s="89" t="s">
        <v>425</v>
      </c>
      <c r="G1624" s="101"/>
      <c r="H1624" s="87">
        <f>SUM(H1622:H1623)</f>
        <v>5625.3912</v>
      </c>
      <c r="I1624" s="101"/>
      <c r="J1624" s="87">
        <f>SUM(J1622)</f>
        <v>0</v>
      </c>
      <c r="K1624" s="101"/>
      <c r="L1624" s="87">
        <f>SUM(L1622)</f>
        <v>0</v>
      </c>
    </row>
    <row r="1625" spans="1:12" ht="12" customHeight="1" x14ac:dyDescent="0.35">
      <c r="B1625" s="84" t="s">
        <v>8</v>
      </c>
      <c r="C1625" s="103" t="s">
        <v>426</v>
      </c>
      <c r="D1625" s="104"/>
      <c r="E1625" s="104"/>
      <c r="F1625" s="104"/>
      <c r="G1625" s="105"/>
      <c r="H1625" s="87">
        <f>H1614+H1620+H1624</f>
        <v>1867384.5911999999</v>
      </c>
      <c r="I1625" s="105"/>
      <c r="J1625" s="87" t="e">
        <f>J1614+J1620+J1624</f>
        <v>#REF!</v>
      </c>
      <c r="K1625" s="105"/>
      <c r="L1625" s="87" t="e">
        <f>L1614+L1620+L1624</f>
        <v>#REF!</v>
      </c>
    </row>
    <row r="1626" spans="1:12" ht="12" customHeight="1" x14ac:dyDescent="0.35">
      <c r="B1626" s="84" t="s">
        <v>9</v>
      </c>
      <c r="C1626" s="455" t="s">
        <v>427</v>
      </c>
      <c r="D1626" s="455"/>
      <c r="E1626" s="455"/>
      <c r="F1626" s="95">
        <f>0</f>
        <v>0</v>
      </c>
      <c r="G1626" s="85" t="s">
        <v>428</v>
      </c>
      <c r="H1626" s="87">
        <f>H1625*F1626</f>
        <v>0</v>
      </c>
      <c r="I1626" s="85" t="s">
        <v>428</v>
      </c>
      <c r="J1626" s="87" t="e">
        <f>J1625*F1626</f>
        <v>#REF!</v>
      </c>
      <c r="K1626" s="85" t="s">
        <v>428</v>
      </c>
      <c r="L1626" s="87" t="e">
        <f>L1625*F1626</f>
        <v>#REF!</v>
      </c>
    </row>
    <row r="1627" spans="1:12" ht="12" customHeight="1" x14ac:dyDescent="0.35">
      <c r="B1627" s="84" t="s">
        <v>10</v>
      </c>
      <c r="C1627" s="103" t="s">
        <v>429</v>
      </c>
      <c r="D1627" s="104"/>
      <c r="E1627" s="104"/>
      <c r="F1627" s="104"/>
      <c r="G1627" s="105"/>
      <c r="H1627" s="96">
        <f>H1625+H1626</f>
        <v>1867384.5911999999</v>
      </c>
      <c r="I1627" s="97"/>
      <c r="J1627" s="96" t="e">
        <f>J1625+J1626</f>
        <v>#REF!</v>
      </c>
      <c r="K1627" s="97"/>
      <c r="L1627" s="96" t="e">
        <f>L1625+L1626</f>
        <v>#REF!</v>
      </c>
    </row>
    <row r="1629" spans="1:12" ht="37" customHeight="1" x14ac:dyDescent="0.35">
      <c r="B1629" s="76" t="s">
        <v>634</v>
      </c>
      <c r="C1629" s="458" t="s">
        <v>649</v>
      </c>
      <c r="D1629" s="459"/>
      <c r="E1629" s="459"/>
      <c r="F1629" s="459"/>
      <c r="G1629" s="456"/>
      <c r="H1629" s="457"/>
      <c r="I1629" s="455" t="s">
        <v>3</v>
      </c>
      <c r="J1629" s="455"/>
      <c r="K1629" s="455" t="s">
        <v>4</v>
      </c>
      <c r="L1629" s="455"/>
    </row>
    <row r="1630" spans="1:12" ht="12" customHeight="1" x14ac:dyDescent="0.35">
      <c r="B1630" s="451" t="s">
        <v>409</v>
      </c>
      <c r="C1630" s="451" t="s">
        <v>410</v>
      </c>
      <c r="D1630" s="452" t="s">
        <v>411</v>
      </c>
      <c r="E1630" s="451" t="s">
        <v>412</v>
      </c>
      <c r="F1630" s="451" t="s">
        <v>413</v>
      </c>
      <c r="G1630" s="77" t="s">
        <v>414</v>
      </c>
      <c r="H1630" s="77" t="s">
        <v>415</v>
      </c>
      <c r="I1630" s="78" t="s">
        <v>414</v>
      </c>
      <c r="J1630" s="79" t="s">
        <v>415</v>
      </c>
      <c r="K1630" s="79" t="s">
        <v>414</v>
      </c>
      <c r="L1630" s="79" t="s">
        <v>415</v>
      </c>
    </row>
    <row r="1631" spans="1:12" ht="12" customHeight="1" x14ac:dyDescent="0.35">
      <c r="B1631" s="451"/>
      <c r="C1631" s="451"/>
      <c r="D1631" s="453"/>
      <c r="E1631" s="451"/>
      <c r="F1631" s="451"/>
      <c r="G1631" s="77" t="s">
        <v>17</v>
      </c>
      <c r="H1631" s="77" t="s">
        <v>416</v>
      </c>
      <c r="I1631" s="78" t="s">
        <v>17</v>
      </c>
      <c r="J1631" s="79" t="s">
        <v>416</v>
      </c>
      <c r="K1631" s="79" t="s">
        <v>17</v>
      </c>
      <c r="L1631" s="79" t="s">
        <v>416</v>
      </c>
    </row>
    <row r="1632" spans="1:12" ht="12" customHeight="1" x14ac:dyDescent="0.35">
      <c r="B1632" s="451"/>
      <c r="C1632" s="451"/>
      <c r="D1632" s="454"/>
      <c r="E1632" s="451"/>
      <c r="F1632" s="451"/>
      <c r="G1632" s="106"/>
      <c r="H1632" s="77" t="s">
        <v>17</v>
      </c>
      <c r="I1632" s="94"/>
      <c r="J1632" s="79" t="s">
        <v>17</v>
      </c>
      <c r="K1632" s="85"/>
      <c r="L1632" s="79" t="s">
        <v>17</v>
      </c>
    </row>
    <row r="1633" spans="1:12" ht="12" customHeight="1" x14ac:dyDescent="0.35">
      <c r="B1633" s="80" t="s">
        <v>5</v>
      </c>
      <c r="C1633" s="81" t="s">
        <v>417</v>
      </c>
      <c r="D1633" s="82"/>
      <c r="E1633" s="82"/>
      <c r="F1633" s="82"/>
      <c r="G1633" s="82"/>
      <c r="H1633" s="82"/>
      <c r="I1633" s="83"/>
      <c r="J1633" s="83"/>
      <c r="K1633" s="83"/>
      <c r="L1633" s="83"/>
    </row>
    <row r="1634" spans="1:12" ht="12" customHeight="1" x14ac:dyDescent="0.35">
      <c r="A1634" s="134">
        <v>10130000</v>
      </c>
      <c r="B1634" s="84"/>
      <c r="C1634" s="85" t="s">
        <v>28</v>
      </c>
      <c r="D1634" s="84" t="s">
        <v>418</v>
      </c>
      <c r="E1634" s="84" t="str">
        <f>VLOOKUP(C1634,HSD!B:K,2,FALSE)</f>
        <v>OH</v>
      </c>
      <c r="F1634" s="128">
        <v>1.5</v>
      </c>
      <c r="G1634" s="87">
        <f>VLOOKUP(C1634,HSD!B:K,10,FALSE)</f>
        <v>120000</v>
      </c>
      <c r="H1634" s="87">
        <f>F1634*G1634</f>
        <v>180000</v>
      </c>
      <c r="I1634" s="87">
        <v>91500</v>
      </c>
      <c r="J1634" s="87">
        <f>F1634*I1634</f>
        <v>137250</v>
      </c>
      <c r="K1634" s="87">
        <v>91500</v>
      </c>
      <c r="L1634" s="87">
        <f>F1634*K1634</f>
        <v>137250</v>
      </c>
    </row>
    <row r="1635" spans="1:12" ht="12" customHeight="1" x14ac:dyDescent="0.35">
      <c r="A1635" s="134">
        <v>10143000</v>
      </c>
      <c r="B1635" s="84"/>
      <c r="C1635" s="85" t="s">
        <v>435</v>
      </c>
      <c r="D1635" s="84" t="s">
        <v>418</v>
      </c>
      <c r="E1635" s="84" t="str">
        <f>VLOOKUP(C1635,HSD!B:K,2,FALSE)</f>
        <v>OH</v>
      </c>
      <c r="F1635" s="128">
        <v>0.5</v>
      </c>
      <c r="G1635" s="87">
        <f>VLOOKUP(C1635,HSD!B:K,10,FALSE)</f>
        <v>250000</v>
      </c>
      <c r="H1635" s="87">
        <f>F1635*G1635</f>
        <v>125000</v>
      </c>
      <c r="I1635" s="87"/>
      <c r="J1635" s="87"/>
      <c r="K1635" s="87"/>
      <c r="L1635" s="87"/>
    </row>
    <row r="1636" spans="1:12" ht="12" customHeight="1" x14ac:dyDescent="0.35">
      <c r="A1636" s="134">
        <v>10110000</v>
      </c>
      <c r="B1636" s="84"/>
      <c r="C1636" s="85" t="s">
        <v>30</v>
      </c>
      <c r="D1636" s="84" t="s">
        <v>418</v>
      </c>
      <c r="E1636" s="84" t="str">
        <f>VLOOKUP(C1636,HSD!B:K,2,FALSE)</f>
        <v>OH</v>
      </c>
      <c r="F1636" s="128">
        <v>0.15</v>
      </c>
      <c r="G1636" s="87">
        <f>VLOOKUP(C1636,HSD!B:K,10,FALSE)</f>
        <v>150000</v>
      </c>
      <c r="H1636" s="87">
        <f>F1636*G1636</f>
        <v>22500</v>
      </c>
      <c r="I1636" s="87">
        <v>78600</v>
      </c>
      <c r="J1636" s="87">
        <f>F1636*I1636</f>
        <v>11790</v>
      </c>
      <c r="K1636" s="87">
        <v>78600</v>
      </c>
      <c r="L1636" s="87">
        <f>F1636*K1636</f>
        <v>11790</v>
      </c>
    </row>
    <row r="1637" spans="1:12" ht="12" customHeight="1" x14ac:dyDescent="0.35">
      <c r="B1637" s="84"/>
      <c r="C1637" s="85"/>
      <c r="D1637" s="84"/>
      <c r="E1637" s="84"/>
      <c r="F1637" s="86"/>
      <c r="G1637" s="87"/>
      <c r="H1637" s="87">
        <f>F1637*G1637</f>
        <v>0</v>
      </c>
      <c r="I1637" s="87">
        <v>92500</v>
      </c>
      <c r="J1637" s="87">
        <f>F1637*I1637</f>
        <v>0</v>
      </c>
      <c r="K1637" s="87">
        <v>92500</v>
      </c>
      <c r="L1637" s="87">
        <f>F1637*K1637</f>
        <v>0</v>
      </c>
    </row>
    <row r="1638" spans="1:12" ht="12" customHeight="1" x14ac:dyDescent="0.35">
      <c r="B1638" s="84"/>
      <c r="C1638" s="85"/>
      <c r="D1638" s="84"/>
      <c r="E1638" s="84"/>
      <c r="F1638" s="86"/>
      <c r="G1638" s="87"/>
      <c r="H1638" s="87"/>
      <c r="I1638" s="87"/>
      <c r="J1638" s="87"/>
      <c r="K1638" s="87"/>
      <c r="L1638" s="87"/>
    </row>
    <row r="1639" spans="1:12" ht="12" customHeight="1" x14ac:dyDescent="0.35">
      <c r="B1639" s="84"/>
      <c r="C1639" s="88"/>
      <c r="D1639" s="79"/>
      <c r="E1639" s="79"/>
      <c r="F1639" s="89" t="s">
        <v>421</v>
      </c>
      <c r="G1639" s="101"/>
      <c r="H1639" s="87">
        <f>SUM(H1634:H1638)</f>
        <v>327500</v>
      </c>
      <c r="I1639" s="101"/>
      <c r="J1639" s="87">
        <f>SUM(J1636:J1638)</f>
        <v>11790</v>
      </c>
      <c r="K1639" s="101"/>
      <c r="L1639" s="87">
        <f>SUM(L1636:L1638)</f>
        <v>11790</v>
      </c>
    </row>
    <row r="1640" spans="1:12" ht="12" customHeight="1" x14ac:dyDescent="0.35">
      <c r="B1640" s="84" t="s">
        <v>6</v>
      </c>
      <c r="C1640" s="88" t="s">
        <v>422</v>
      </c>
      <c r="D1640" s="79"/>
      <c r="E1640" s="79"/>
      <c r="F1640" s="90"/>
      <c r="G1640" s="84"/>
      <c r="H1640" s="87"/>
      <c r="I1640" s="84"/>
      <c r="J1640" s="87"/>
      <c r="K1640" s="84"/>
      <c r="L1640" s="87"/>
    </row>
    <row r="1641" spans="1:12" ht="12" customHeight="1" x14ac:dyDescent="0.35">
      <c r="A1641" s="134">
        <v>211100102</v>
      </c>
      <c r="B1641" s="84"/>
      <c r="C1641" s="85" t="s">
        <v>1794</v>
      </c>
      <c r="D1641" s="84" t="s">
        <v>418</v>
      </c>
      <c r="E1641" s="84" t="str">
        <f>VLOOKUP(C1641,HSD!B:K,2,FALSE)</f>
        <v>m3</v>
      </c>
      <c r="F1641" s="128">
        <v>1.2</v>
      </c>
      <c r="G1641" s="87">
        <f>VLOOKUP(C1641,HSD!B:K,10,FALSE)</f>
        <v>525030</v>
      </c>
      <c r="H1641" s="87">
        <f>F1641*G1641</f>
        <v>630036</v>
      </c>
      <c r="I1641" s="87">
        <v>232500</v>
      </c>
      <c r="J1641" s="87">
        <f>F1641*I1641</f>
        <v>279000</v>
      </c>
      <c r="K1641" s="87">
        <v>270000</v>
      </c>
      <c r="L1641" s="87">
        <f>F1641*K1641</f>
        <v>324000</v>
      </c>
    </row>
    <row r="1642" spans="1:12" ht="12" customHeight="1" x14ac:dyDescent="0.35">
      <c r="A1642" s="134">
        <v>211100113</v>
      </c>
      <c r="B1642" s="84"/>
      <c r="C1642" s="85" t="s">
        <v>49</v>
      </c>
      <c r="D1642" s="84" t="s">
        <v>418</v>
      </c>
      <c r="E1642" s="84" t="str">
        <f>VLOOKUP(C1642,HSD!B:K,2,FALSE)</f>
        <v>m3</v>
      </c>
      <c r="F1642" s="128">
        <v>0.48499999999999999</v>
      </c>
      <c r="G1642" s="87">
        <f>VLOOKUP(C1642,HSD!B:K,10,FALSE)</f>
        <v>230880</v>
      </c>
      <c r="H1642" s="87">
        <f>F1642*G1642</f>
        <v>111976.8</v>
      </c>
      <c r="I1642" s="87">
        <v>1060</v>
      </c>
      <c r="J1642" s="87">
        <f>F1642*I1642</f>
        <v>514.1</v>
      </c>
      <c r="K1642" s="87">
        <v>1060</v>
      </c>
      <c r="L1642" s="87">
        <f>F1642*K1642</f>
        <v>514.1</v>
      </c>
    </row>
    <row r="1643" spans="1:12" ht="12" customHeight="1" x14ac:dyDescent="0.35">
      <c r="A1643" s="134">
        <v>21301000</v>
      </c>
      <c r="B1643" s="84"/>
      <c r="C1643" s="85" t="s">
        <v>60</v>
      </c>
      <c r="D1643" s="84" t="s">
        <v>418</v>
      </c>
      <c r="E1643" s="84" t="str">
        <f>VLOOKUP(C1643,HSD!B:K,2,FALSE)</f>
        <v>kg</v>
      </c>
      <c r="F1643" s="128">
        <v>202</v>
      </c>
      <c r="G1643" s="87">
        <f>VLOOKUP(C1643,HSD!B:K,10,FALSE)</f>
        <v>2331</v>
      </c>
      <c r="H1643" s="87">
        <f>F1643*G1643</f>
        <v>470862</v>
      </c>
      <c r="I1643" s="87">
        <v>215000</v>
      </c>
      <c r="J1643" s="87">
        <f>F1643*I1643</f>
        <v>43430000</v>
      </c>
      <c r="K1643" s="87">
        <v>250000</v>
      </c>
      <c r="L1643" s="87">
        <f>F1643*K1643</f>
        <v>50500000</v>
      </c>
    </row>
    <row r="1644" spans="1:12" ht="12" customHeight="1" x14ac:dyDescent="0.35">
      <c r="B1644" s="84"/>
      <c r="C1644" s="85"/>
      <c r="D1644" s="84"/>
      <c r="E1644" s="84"/>
      <c r="F1644" s="128"/>
      <c r="G1644" s="87"/>
      <c r="H1644" s="87"/>
      <c r="I1644" s="87"/>
      <c r="J1644" s="87"/>
      <c r="K1644" s="87"/>
      <c r="L1644" s="87"/>
    </row>
    <row r="1645" spans="1:12" ht="12" customHeight="1" x14ac:dyDescent="0.35">
      <c r="B1645" s="84"/>
      <c r="C1645" s="88"/>
      <c r="D1645" s="79"/>
      <c r="E1645" s="79"/>
      <c r="F1645" s="129" t="s">
        <v>423</v>
      </c>
      <c r="G1645" s="129"/>
      <c r="H1645" s="87">
        <f>SUM(H1641:H1644)</f>
        <v>1212874.8</v>
      </c>
      <c r="I1645" s="101"/>
      <c r="J1645" s="87" t="e">
        <f>SUM(#REF!)</f>
        <v>#REF!</v>
      </c>
      <c r="K1645" s="101"/>
      <c r="L1645" s="87" t="e">
        <f>SUM(#REF!)</f>
        <v>#REF!</v>
      </c>
    </row>
    <row r="1646" spans="1:12" ht="12" customHeight="1" x14ac:dyDescent="0.35">
      <c r="B1646" s="84" t="s">
        <v>7</v>
      </c>
      <c r="C1646" s="88" t="s">
        <v>424</v>
      </c>
      <c r="D1646" s="79"/>
      <c r="E1646" s="79"/>
      <c r="F1646" s="90"/>
      <c r="G1646" s="84"/>
      <c r="H1646" s="87"/>
      <c r="I1646" s="84"/>
      <c r="J1646" s="87"/>
      <c r="K1646" s="84"/>
      <c r="L1646" s="87"/>
    </row>
    <row r="1647" spans="1:12" ht="12" customHeight="1" x14ac:dyDescent="0.35">
      <c r="B1647" s="84"/>
      <c r="C1647" s="85"/>
      <c r="D1647" s="84"/>
      <c r="E1647" s="84"/>
      <c r="F1647" s="128"/>
      <c r="G1647" s="87"/>
      <c r="H1647" s="87">
        <f>F1647*G1647</f>
        <v>0</v>
      </c>
      <c r="I1647" s="87"/>
      <c r="J1647" s="87">
        <f>H1647*I1647</f>
        <v>0</v>
      </c>
      <c r="K1647" s="87"/>
      <c r="L1647" s="87">
        <f>J1647*K1647</f>
        <v>0</v>
      </c>
    </row>
    <row r="1648" spans="1:12" ht="12" customHeight="1" x14ac:dyDescent="0.35">
      <c r="B1648" s="84"/>
      <c r="C1648" s="85"/>
      <c r="D1648" s="84"/>
      <c r="E1648" s="84"/>
      <c r="F1648" s="128"/>
      <c r="G1648" s="87"/>
      <c r="H1648" s="87">
        <f>F1648*G1648</f>
        <v>0</v>
      </c>
      <c r="I1648" s="87"/>
      <c r="J1648" s="87"/>
      <c r="K1648" s="87"/>
      <c r="L1648" s="87"/>
    </row>
    <row r="1649" spans="1:12" ht="12" customHeight="1" x14ac:dyDescent="0.35">
      <c r="B1649" s="84"/>
      <c r="C1649" s="88"/>
      <c r="D1649" s="79"/>
      <c r="E1649" s="79"/>
      <c r="F1649" s="89" t="s">
        <v>425</v>
      </c>
      <c r="G1649" s="101"/>
      <c r="H1649" s="87">
        <f>SUM(H1647:H1648)</f>
        <v>0</v>
      </c>
      <c r="I1649" s="101"/>
      <c r="J1649" s="87">
        <f>SUM(J1647)</f>
        <v>0</v>
      </c>
      <c r="K1649" s="101"/>
      <c r="L1649" s="87">
        <f>SUM(L1647)</f>
        <v>0</v>
      </c>
    </row>
    <row r="1650" spans="1:12" ht="12" customHeight="1" x14ac:dyDescent="0.35">
      <c r="B1650" s="84" t="s">
        <v>8</v>
      </c>
      <c r="C1650" s="103" t="s">
        <v>426</v>
      </c>
      <c r="D1650" s="104"/>
      <c r="E1650" s="104"/>
      <c r="F1650" s="104"/>
      <c r="G1650" s="105"/>
      <c r="H1650" s="87">
        <f>H1639+H1645+H1649</f>
        <v>1540374.8</v>
      </c>
      <c r="I1650" s="105"/>
      <c r="J1650" s="87" t="e">
        <f>J1639+J1645+J1649</f>
        <v>#REF!</v>
      </c>
      <c r="K1650" s="105"/>
      <c r="L1650" s="87" t="e">
        <f>L1639+L1645+L1649</f>
        <v>#REF!</v>
      </c>
    </row>
    <row r="1651" spans="1:12" ht="12" customHeight="1" x14ac:dyDescent="0.35">
      <c r="B1651" s="84" t="s">
        <v>9</v>
      </c>
      <c r="C1651" s="455" t="s">
        <v>427</v>
      </c>
      <c r="D1651" s="455"/>
      <c r="E1651" s="455"/>
      <c r="F1651" s="95">
        <f>0</f>
        <v>0</v>
      </c>
      <c r="G1651" s="85" t="s">
        <v>428</v>
      </c>
      <c r="H1651" s="87">
        <f>H1650*F1651</f>
        <v>0</v>
      </c>
      <c r="I1651" s="85" t="s">
        <v>428</v>
      </c>
      <c r="J1651" s="87" t="e">
        <f>J1650*F1651</f>
        <v>#REF!</v>
      </c>
      <c r="K1651" s="85" t="s">
        <v>428</v>
      </c>
      <c r="L1651" s="87" t="e">
        <f>L1650*F1651</f>
        <v>#REF!</v>
      </c>
    </row>
    <row r="1652" spans="1:12" ht="12" customHeight="1" x14ac:dyDescent="0.35">
      <c r="B1652" s="84" t="s">
        <v>10</v>
      </c>
      <c r="C1652" s="103" t="s">
        <v>429</v>
      </c>
      <c r="D1652" s="104"/>
      <c r="E1652" s="104"/>
      <c r="F1652" s="104"/>
      <c r="G1652" s="105"/>
      <c r="H1652" s="96">
        <f>H1650+H1651</f>
        <v>1540374.8</v>
      </c>
      <c r="I1652" s="97"/>
      <c r="J1652" s="96" t="e">
        <f>J1650+J1651</f>
        <v>#REF!</v>
      </c>
      <c r="K1652" s="97"/>
      <c r="L1652" s="96" t="e">
        <f>L1650+L1651</f>
        <v>#REF!</v>
      </c>
    </row>
    <row r="1654" spans="1:12" ht="37" customHeight="1" x14ac:dyDescent="0.35">
      <c r="B1654" s="76" t="s">
        <v>635</v>
      </c>
      <c r="C1654" s="458" t="s">
        <v>650</v>
      </c>
      <c r="D1654" s="459"/>
      <c r="E1654" s="459"/>
      <c r="F1654" s="459"/>
      <c r="G1654" s="456"/>
      <c r="H1654" s="457"/>
      <c r="I1654" s="455" t="s">
        <v>3</v>
      </c>
      <c r="J1654" s="455"/>
      <c r="K1654" s="455" t="s">
        <v>4</v>
      </c>
      <c r="L1654" s="455"/>
    </row>
    <row r="1655" spans="1:12" ht="12" customHeight="1" x14ac:dyDescent="0.35">
      <c r="B1655" s="451" t="s">
        <v>409</v>
      </c>
      <c r="C1655" s="451" t="s">
        <v>410</v>
      </c>
      <c r="D1655" s="452" t="s">
        <v>411</v>
      </c>
      <c r="E1655" s="451" t="s">
        <v>412</v>
      </c>
      <c r="F1655" s="451" t="s">
        <v>413</v>
      </c>
      <c r="G1655" s="77" t="s">
        <v>414</v>
      </c>
      <c r="H1655" s="77" t="s">
        <v>415</v>
      </c>
      <c r="I1655" s="78" t="s">
        <v>414</v>
      </c>
      <c r="J1655" s="79" t="s">
        <v>415</v>
      </c>
      <c r="K1655" s="79" t="s">
        <v>414</v>
      </c>
      <c r="L1655" s="79" t="s">
        <v>415</v>
      </c>
    </row>
    <row r="1656" spans="1:12" ht="12" customHeight="1" x14ac:dyDescent="0.35">
      <c r="B1656" s="451"/>
      <c r="C1656" s="451"/>
      <c r="D1656" s="453"/>
      <c r="E1656" s="451"/>
      <c r="F1656" s="451"/>
      <c r="G1656" s="77" t="s">
        <v>17</v>
      </c>
      <c r="H1656" s="77" t="s">
        <v>416</v>
      </c>
      <c r="I1656" s="78" t="s">
        <v>17</v>
      </c>
      <c r="J1656" s="79" t="s">
        <v>416</v>
      </c>
      <c r="K1656" s="79" t="s">
        <v>17</v>
      </c>
      <c r="L1656" s="79" t="s">
        <v>416</v>
      </c>
    </row>
    <row r="1657" spans="1:12" ht="12" customHeight="1" x14ac:dyDescent="0.35">
      <c r="B1657" s="451"/>
      <c r="C1657" s="451"/>
      <c r="D1657" s="454"/>
      <c r="E1657" s="451"/>
      <c r="F1657" s="451"/>
      <c r="G1657" s="106"/>
      <c r="H1657" s="77" t="s">
        <v>17</v>
      </c>
      <c r="I1657" s="94"/>
      <c r="J1657" s="79" t="s">
        <v>17</v>
      </c>
      <c r="K1657" s="85"/>
      <c r="L1657" s="79" t="s">
        <v>17</v>
      </c>
    </row>
    <row r="1658" spans="1:12" ht="12" customHeight="1" x14ac:dyDescent="0.35">
      <c r="B1658" s="80" t="s">
        <v>5</v>
      </c>
      <c r="C1658" s="81" t="s">
        <v>417</v>
      </c>
      <c r="D1658" s="82"/>
      <c r="E1658" s="82"/>
      <c r="F1658" s="82"/>
      <c r="G1658" s="82"/>
      <c r="H1658" s="82"/>
      <c r="I1658" s="83"/>
      <c r="J1658" s="83"/>
      <c r="K1658" s="83"/>
      <c r="L1658" s="83"/>
    </row>
    <row r="1659" spans="1:12" ht="12" customHeight="1" x14ac:dyDescent="0.35">
      <c r="A1659" s="134">
        <v>10130000</v>
      </c>
      <c r="B1659" s="84"/>
      <c r="C1659" s="85" t="s">
        <v>28</v>
      </c>
      <c r="D1659" s="84" t="s">
        <v>418</v>
      </c>
      <c r="E1659" s="84" t="str">
        <f>VLOOKUP(C1659,HSD!B:K,2,FALSE)</f>
        <v>OH</v>
      </c>
      <c r="F1659" s="128">
        <v>2.5874000000000001</v>
      </c>
      <c r="G1659" s="87">
        <f>VLOOKUP(C1659,HSD!B:K,10,FALSE)</f>
        <v>120000</v>
      </c>
      <c r="H1659" s="87">
        <f>F1659*G1659</f>
        <v>310488</v>
      </c>
      <c r="I1659" s="87">
        <v>91500</v>
      </c>
      <c r="J1659" s="87">
        <f>F1659*I1659</f>
        <v>236747.1</v>
      </c>
      <c r="K1659" s="87">
        <v>91500</v>
      </c>
      <c r="L1659" s="87">
        <f>F1659*K1659</f>
        <v>236747.1</v>
      </c>
    </row>
    <row r="1660" spans="1:12" ht="12" customHeight="1" x14ac:dyDescent="0.35">
      <c r="A1660" s="134">
        <v>10143000</v>
      </c>
      <c r="B1660" s="84"/>
      <c r="C1660" s="85" t="s">
        <v>435</v>
      </c>
      <c r="D1660" s="84" t="s">
        <v>418</v>
      </c>
      <c r="E1660" s="84" t="str">
        <f>VLOOKUP(C1660,HSD!B:K,2,FALSE)</f>
        <v>OH</v>
      </c>
      <c r="F1660" s="128">
        <v>0.86240000000000006</v>
      </c>
      <c r="G1660" s="87">
        <f>VLOOKUP(C1660,HSD!B:K,10,FALSE)</f>
        <v>250000</v>
      </c>
      <c r="H1660" s="87">
        <f>F1660*G1660</f>
        <v>215600</v>
      </c>
      <c r="I1660" s="87"/>
      <c r="J1660" s="87"/>
      <c r="K1660" s="87"/>
      <c r="L1660" s="87"/>
    </row>
    <row r="1661" spans="1:12" ht="12" customHeight="1" x14ac:dyDescent="0.35">
      <c r="A1661" s="134">
        <v>10110000</v>
      </c>
      <c r="B1661" s="84"/>
      <c r="C1661" s="85" t="s">
        <v>30</v>
      </c>
      <c r="D1661" s="84" t="s">
        <v>418</v>
      </c>
      <c r="E1661" s="84" t="str">
        <f>VLOOKUP(C1661,HSD!B:K,2,FALSE)</f>
        <v>OH</v>
      </c>
      <c r="F1661" s="128">
        <v>0.25869999999999999</v>
      </c>
      <c r="G1661" s="87">
        <f>VLOOKUP(C1661,HSD!B:K,10,FALSE)</f>
        <v>150000</v>
      </c>
      <c r="H1661" s="87">
        <f>F1661*G1661</f>
        <v>38805</v>
      </c>
      <c r="I1661" s="87">
        <v>78600</v>
      </c>
      <c r="J1661" s="87">
        <f>F1661*I1661</f>
        <v>20333.82</v>
      </c>
      <c r="K1661" s="87">
        <v>78600</v>
      </c>
      <c r="L1661" s="87">
        <f>F1661*K1661</f>
        <v>20333.82</v>
      </c>
    </row>
    <row r="1662" spans="1:12" ht="12" customHeight="1" x14ac:dyDescent="0.35">
      <c r="B1662" s="84"/>
      <c r="C1662" s="85"/>
      <c r="D1662" s="84"/>
      <c r="E1662" s="84"/>
      <c r="F1662" s="86"/>
      <c r="G1662" s="87"/>
      <c r="H1662" s="87">
        <f>F1662*G1662</f>
        <v>0</v>
      </c>
      <c r="I1662" s="87">
        <v>92500</v>
      </c>
      <c r="J1662" s="87">
        <f>F1662*I1662</f>
        <v>0</v>
      </c>
      <c r="K1662" s="87">
        <v>92500</v>
      </c>
      <c r="L1662" s="87">
        <f>F1662*K1662</f>
        <v>0</v>
      </c>
    </row>
    <row r="1663" spans="1:12" ht="12" customHeight="1" x14ac:dyDescent="0.35">
      <c r="B1663" s="84"/>
      <c r="C1663" s="85"/>
      <c r="D1663" s="84"/>
      <c r="E1663" s="84"/>
      <c r="F1663" s="86"/>
      <c r="G1663" s="87"/>
      <c r="H1663" s="87"/>
      <c r="I1663" s="87"/>
      <c r="J1663" s="87"/>
      <c r="K1663" s="87"/>
      <c r="L1663" s="87"/>
    </row>
    <row r="1664" spans="1:12" ht="12" customHeight="1" x14ac:dyDescent="0.35">
      <c r="B1664" s="84"/>
      <c r="C1664" s="88"/>
      <c r="D1664" s="79"/>
      <c r="E1664" s="79"/>
      <c r="F1664" s="89" t="s">
        <v>421</v>
      </c>
      <c r="G1664" s="101"/>
      <c r="H1664" s="87">
        <f>SUM(H1659:H1663)</f>
        <v>564893</v>
      </c>
      <c r="I1664" s="101"/>
      <c r="J1664" s="87">
        <f>SUM(J1661:J1663)</f>
        <v>20333.82</v>
      </c>
      <c r="K1664" s="101"/>
      <c r="L1664" s="87">
        <f>SUM(L1661:L1663)</f>
        <v>20333.82</v>
      </c>
    </row>
    <row r="1665" spans="1:12" ht="12" customHeight="1" x14ac:dyDescent="0.35">
      <c r="B1665" s="84" t="s">
        <v>6</v>
      </c>
      <c r="C1665" s="88" t="s">
        <v>422</v>
      </c>
      <c r="D1665" s="79"/>
      <c r="E1665" s="79"/>
      <c r="F1665" s="90"/>
      <c r="G1665" s="84"/>
      <c r="H1665" s="87"/>
      <c r="I1665" s="84"/>
      <c r="J1665" s="87"/>
      <c r="K1665" s="84"/>
      <c r="L1665" s="87"/>
    </row>
    <row r="1666" spans="1:12" ht="12" customHeight="1" x14ac:dyDescent="0.35">
      <c r="A1666" s="134">
        <v>211100102</v>
      </c>
      <c r="B1666" s="84"/>
      <c r="C1666" s="85" t="s">
        <v>1794</v>
      </c>
      <c r="D1666" s="84" t="s">
        <v>418</v>
      </c>
      <c r="E1666" s="84" t="str">
        <f>VLOOKUP(C1666,HSD!B:K,2,FALSE)</f>
        <v>m3</v>
      </c>
      <c r="F1666" s="128">
        <v>1.2</v>
      </c>
      <c r="G1666" s="87">
        <f>VLOOKUP(C1666,HSD!B:K,10,FALSE)</f>
        <v>525030</v>
      </c>
      <c r="H1666" s="87">
        <f>F1666*G1666</f>
        <v>630036</v>
      </c>
      <c r="I1666" s="87">
        <v>232500</v>
      </c>
      <c r="J1666" s="87">
        <f>F1666*I1666</f>
        <v>279000</v>
      </c>
      <c r="K1666" s="87">
        <v>270000</v>
      </c>
      <c r="L1666" s="87">
        <f>F1666*K1666</f>
        <v>324000</v>
      </c>
    </row>
    <row r="1667" spans="1:12" ht="12" customHeight="1" x14ac:dyDescent="0.35">
      <c r="A1667" s="134">
        <v>211100113</v>
      </c>
      <c r="B1667" s="84"/>
      <c r="C1667" s="85" t="s">
        <v>49</v>
      </c>
      <c r="D1667" s="84" t="s">
        <v>418</v>
      </c>
      <c r="E1667" s="84" t="str">
        <f>VLOOKUP(C1667,HSD!B:K,2,FALSE)</f>
        <v>m3</v>
      </c>
      <c r="F1667" s="128">
        <v>0.48499999999999999</v>
      </c>
      <c r="G1667" s="87">
        <f>VLOOKUP(C1667,HSD!B:K,10,FALSE)</f>
        <v>230880</v>
      </c>
      <c r="H1667" s="87">
        <f>F1667*G1667</f>
        <v>111976.8</v>
      </c>
      <c r="I1667" s="87">
        <v>1060</v>
      </c>
      <c r="J1667" s="87">
        <f>F1667*I1667</f>
        <v>514.1</v>
      </c>
      <c r="K1667" s="87">
        <v>1060</v>
      </c>
      <c r="L1667" s="87">
        <f>F1667*K1667</f>
        <v>514.1</v>
      </c>
    </row>
    <row r="1668" spans="1:12" ht="12" customHeight="1" x14ac:dyDescent="0.35">
      <c r="A1668" s="134">
        <v>21301000</v>
      </c>
      <c r="B1668" s="84"/>
      <c r="C1668" s="85" t="s">
        <v>60</v>
      </c>
      <c r="D1668" s="84" t="s">
        <v>418</v>
      </c>
      <c r="E1668" s="84" t="str">
        <f>VLOOKUP(C1668,HSD!B:K,2,FALSE)</f>
        <v>kg</v>
      </c>
      <c r="F1668" s="128">
        <v>202</v>
      </c>
      <c r="G1668" s="87">
        <f>VLOOKUP(C1668,HSD!B:K,10,FALSE)</f>
        <v>2331</v>
      </c>
      <c r="H1668" s="87">
        <f>F1668*G1668</f>
        <v>470862</v>
      </c>
      <c r="I1668" s="87">
        <v>215000</v>
      </c>
      <c r="J1668" s="87">
        <f>F1668*I1668</f>
        <v>43430000</v>
      </c>
      <c r="K1668" s="87">
        <v>250000</v>
      </c>
      <c r="L1668" s="87">
        <f>F1668*K1668</f>
        <v>50500000</v>
      </c>
    </row>
    <row r="1669" spans="1:12" ht="12" customHeight="1" x14ac:dyDescent="0.35">
      <c r="B1669" s="84"/>
      <c r="C1669" s="85"/>
      <c r="D1669" s="84"/>
      <c r="E1669" s="84"/>
      <c r="F1669" s="128"/>
      <c r="G1669" s="87"/>
      <c r="H1669" s="87"/>
      <c r="I1669" s="87"/>
      <c r="J1669" s="87"/>
      <c r="K1669" s="87"/>
      <c r="L1669" s="87"/>
    </row>
    <row r="1670" spans="1:12" ht="12" customHeight="1" x14ac:dyDescent="0.35">
      <c r="B1670" s="84"/>
      <c r="C1670" s="88"/>
      <c r="D1670" s="79"/>
      <c r="E1670" s="79"/>
      <c r="F1670" s="129" t="s">
        <v>423</v>
      </c>
      <c r="G1670" s="129"/>
      <c r="H1670" s="87">
        <f>SUM(H1666:H1669)</f>
        <v>1212874.8</v>
      </c>
      <c r="I1670" s="101"/>
      <c r="J1670" s="87" t="e">
        <f>SUM(#REF!)</f>
        <v>#REF!</v>
      </c>
      <c r="K1670" s="101"/>
      <c r="L1670" s="87" t="e">
        <f>SUM(#REF!)</f>
        <v>#REF!</v>
      </c>
    </row>
    <row r="1671" spans="1:12" ht="12" customHeight="1" x14ac:dyDescent="0.35">
      <c r="B1671" s="84" t="s">
        <v>7</v>
      </c>
      <c r="C1671" s="88" t="s">
        <v>424</v>
      </c>
      <c r="D1671" s="79"/>
      <c r="E1671" s="79"/>
      <c r="F1671" s="90"/>
      <c r="G1671" s="84"/>
      <c r="H1671" s="87"/>
      <c r="I1671" s="84"/>
      <c r="J1671" s="87"/>
      <c r="K1671" s="84"/>
      <c r="L1671" s="87"/>
    </row>
    <row r="1672" spans="1:12" ht="12" customHeight="1" x14ac:dyDescent="0.35">
      <c r="B1672" s="84"/>
      <c r="C1672" s="85"/>
      <c r="D1672" s="84"/>
      <c r="E1672" s="84"/>
      <c r="F1672" s="128"/>
      <c r="G1672" s="87"/>
      <c r="H1672" s="87">
        <f>F1672*G1672</f>
        <v>0</v>
      </c>
      <c r="I1672" s="87"/>
      <c r="J1672" s="87">
        <f>H1672*I1672</f>
        <v>0</v>
      </c>
      <c r="K1672" s="87"/>
      <c r="L1672" s="87">
        <f>J1672*K1672</f>
        <v>0</v>
      </c>
    </row>
    <row r="1673" spans="1:12" ht="12" customHeight="1" x14ac:dyDescent="0.35">
      <c r="B1673" s="84"/>
      <c r="C1673" s="85"/>
      <c r="D1673" s="84"/>
      <c r="E1673" s="84"/>
      <c r="F1673" s="128"/>
      <c r="G1673" s="87"/>
      <c r="H1673" s="87">
        <f>F1673*G1673</f>
        <v>0</v>
      </c>
      <c r="I1673" s="87"/>
      <c r="J1673" s="87"/>
      <c r="K1673" s="87"/>
      <c r="L1673" s="87"/>
    </row>
    <row r="1674" spans="1:12" ht="12" customHeight="1" x14ac:dyDescent="0.35">
      <c r="B1674" s="84"/>
      <c r="C1674" s="88"/>
      <c r="D1674" s="79"/>
      <c r="E1674" s="79"/>
      <c r="F1674" s="89" t="s">
        <v>425</v>
      </c>
      <c r="G1674" s="101"/>
      <c r="H1674" s="87">
        <f>SUM(H1672:H1673)</f>
        <v>0</v>
      </c>
      <c r="I1674" s="101"/>
      <c r="J1674" s="87">
        <f>SUM(J1672)</f>
        <v>0</v>
      </c>
      <c r="K1674" s="101"/>
      <c r="L1674" s="87">
        <f>SUM(L1672)</f>
        <v>0</v>
      </c>
    </row>
    <row r="1675" spans="1:12" ht="12" customHeight="1" x14ac:dyDescent="0.35">
      <c r="B1675" s="84" t="s">
        <v>8</v>
      </c>
      <c r="C1675" s="103" t="s">
        <v>426</v>
      </c>
      <c r="D1675" s="104"/>
      <c r="E1675" s="104"/>
      <c r="F1675" s="104"/>
      <c r="G1675" s="105"/>
      <c r="H1675" s="87">
        <f>H1664+H1670+H1674</f>
        <v>1777767.8</v>
      </c>
      <c r="I1675" s="105"/>
      <c r="J1675" s="87" t="e">
        <f>J1664+J1670+J1674</f>
        <v>#REF!</v>
      </c>
      <c r="K1675" s="105"/>
      <c r="L1675" s="87" t="e">
        <f>L1664+L1670+L1674</f>
        <v>#REF!</v>
      </c>
    </row>
    <row r="1676" spans="1:12" ht="12" customHeight="1" x14ac:dyDescent="0.35">
      <c r="B1676" s="84" t="s">
        <v>9</v>
      </c>
      <c r="C1676" s="455" t="s">
        <v>427</v>
      </c>
      <c r="D1676" s="455"/>
      <c r="E1676" s="455"/>
      <c r="F1676" s="95">
        <f>0</f>
        <v>0</v>
      </c>
      <c r="G1676" s="85" t="s">
        <v>428</v>
      </c>
      <c r="H1676" s="87">
        <f>H1675*F1676</f>
        <v>0</v>
      </c>
      <c r="I1676" s="85" t="s">
        <v>428</v>
      </c>
      <c r="J1676" s="87" t="e">
        <f>J1675*F1676</f>
        <v>#REF!</v>
      </c>
      <c r="K1676" s="85" t="s">
        <v>428</v>
      </c>
      <c r="L1676" s="87" t="e">
        <f>L1675*F1676</f>
        <v>#REF!</v>
      </c>
    </row>
    <row r="1677" spans="1:12" ht="12" customHeight="1" x14ac:dyDescent="0.35">
      <c r="B1677" s="84" t="s">
        <v>10</v>
      </c>
      <c r="C1677" s="103" t="s">
        <v>429</v>
      </c>
      <c r="D1677" s="104"/>
      <c r="E1677" s="104"/>
      <c r="F1677" s="104"/>
      <c r="G1677" s="105"/>
      <c r="H1677" s="96">
        <f>H1675+H1676</f>
        <v>1777767.8</v>
      </c>
      <c r="I1677" s="97"/>
      <c r="J1677" s="96" t="e">
        <f>J1675+J1676</f>
        <v>#REF!</v>
      </c>
      <c r="K1677" s="97"/>
      <c r="L1677" s="96" t="e">
        <f>L1675+L1676</f>
        <v>#REF!</v>
      </c>
    </row>
    <row r="1679" spans="1:12" ht="37" customHeight="1" x14ac:dyDescent="0.35">
      <c r="B1679" s="76" t="s">
        <v>636</v>
      </c>
      <c r="C1679" s="458" t="s">
        <v>651</v>
      </c>
      <c r="D1679" s="459"/>
      <c r="E1679" s="459"/>
      <c r="F1679" s="459"/>
      <c r="G1679" s="456"/>
      <c r="H1679" s="457"/>
      <c r="I1679" s="455" t="s">
        <v>3</v>
      </c>
      <c r="J1679" s="455"/>
      <c r="K1679" s="455" t="s">
        <v>4</v>
      </c>
      <c r="L1679" s="455"/>
    </row>
    <row r="1680" spans="1:12" ht="12" customHeight="1" x14ac:dyDescent="0.35">
      <c r="B1680" s="451" t="s">
        <v>409</v>
      </c>
      <c r="C1680" s="451" t="s">
        <v>410</v>
      </c>
      <c r="D1680" s="452" t="s">
        <v>411</v>
      </c>
      <c r="E1680" s="451" t="s">
        <v>412</v>
      </c>
      <c r="F1680" s="451" t="s">
        <v>413</v>
      </c>
      <c r="G1680" s="77" t="s">
        <v>414</v>
      </c>
      <c r="H1680" s="77" t="s">
        <v>415</v>
      </c>
      <c r="I1680" s="78" t="s">
        <v>414</v>
      </c>
      <c r="J1680" s="79" t="s">
        <v>415</v>
      </c>
      <c r="K1680" s="79" t="s">
        <v>414</v>
      </c>
      <c r="L1680" s="79" t="s">
        <v>415</v>
      </c>
    </row>
    <row r="1681" spans="1:12" ht="12" customHeight="1" x14ac:dyDescent="0.35">
      <c r="B1681" s="451"/>
      <c r="C1681" s="451"/>
      <c r="D1681" s="453"/>
      <c r="E1681" s="451"/>
      <c r="F1681" s="451"/>
      <c r="G1681" s="77" t="s">
        <v>17</v>
      </c>
      <c r="H1681" s="77" t="s">
        <v>416</v>
      </c>
      <c r="I1681" s="78" t="s">
        <v>17</v>
      </c>
      <c r="J1681" s="79" t="s">
        <v>416</v>
      </c>
      <c r="K1681" s="79" t="s">
        <v>17</v>
      </c>
      <c r="L1681" s="79" t="s">
        <v>416</v>
      </c>
    </row>
    <row r="1682" spans="1:12" ht="12" customHeight="1" x14ac:dyDescent="0.35">
      <c r="B1682" s="451"/>
      <c r="C1682" s="451"/>
      <c r="D1682" s="454"/>
      <c r="E1682" s="451"/>
      <c r="F1682" s="451"/>
      <c r="G1682" s="106"/>
      <c r="H1682" s="77" t="s">
        <v>17</v>
      </c>
      <c r="I1682" s="94"/>
      <c r="J1682" s="79" t="s">
        <v>17</v>
      </c>
      <c r="K1682" s="85"/>
      <c r="L1682" s="79" t="s">
        <v>17</v>
      </c>
    </row>
    <row r="1683" spans="1:12" ht="12" customHeight="1" x14ac:dyDescent="0.35">
      <c r="B1683" s="80" t="s">
        <v>5</v>
      </c>
      <c r="C1683" s="81" t="s">
        <v>417</v>
      </c>
      <c r="D1683" s="82"/>
      <c r="E1683" s="82"/>
      <c r="F1683" s="82"/>
      <c r="G1683" s="82"/>
      <c r="H1683" s="82"/>
      <c r="I1683" s="83"/>
      <c r="J1683" s="83"/>
      <c r="K1683" s="83"/>
      <c r="L1683" s="83"/>
    </row>
    <row r="1684" spans="1:12" ht="12" customHeight="1" x14ac:dyDescent="0.35">
      <c r="A1684" s="134">
        <v>10130000</v>
      </c>
      <c r="B1684" s="84"/>
      <c r="C1684" s="85" t="s">
        <v>28</v>
      </c>
      <c r="D1684" s="84" t="s">
        <v>418</v>
      </c>
      <c r="E1684" s="84" t="str">
        <f>VLOOKUP(C1684,HSD!B:K,2,FALSE)</f>
        <v>OH</v>
      </c>
      <c r="F1684" s="128">
        <v>1</v>
      </c>
      <c r="G1684" s="87">
        <f>VLOOKUP(C1684,HSD!B:K,10,FALSE)</f>
        <v>120000</v>
      </c>
      <c r="H1684" s="87">
        <f>F1684*G1684</f>
        <v>120000</v>
      </c>
      <c r="I1684" s="87">
        <v>91500</v>
      </c>
      <c r="J1684" s="87">
        <f>F1684*I1684</f>
        <v>91500</v>
      </c>
      <c r="K1684" s="87">
        <v>91500</v>
      </c>
      <c r="L1684" s="87">
        <f>F1684*K1684</f>
        <v>91500</v>
      </c>
    </row>
    <row r="1685" spans="1:12" ht="12" customHeight="1" x14ac:dyDescent="0.35">
      <c r="A1685" s="134">
        <v>10143000</v>
      </c>
      <c r="B1685" s="84"/>
      <c r="C1685" s="85" t="s">
        <v>435</v>
      </c>
      <c r="D1685" s="84" t="s">
        <v>418</v>
      </c>
      <c r="E1685" s="84" t="str">
        <f>VLOOKUP(C1685,HSD!B:K,2,FALSE)</f>
        <v>OH</v>
      </c>
      <c r="F1685" s="128">
        <v>0.5</v>
      </c>
      <c r="G1685" s="87">
        <f>VLOOKUP(C1685,HSD!B:K,10,FALSE)</f>
        <v>250000</v>
      </c>
      <c r="H1685" s="87">
        <f>F1685*G1685</f>
        <v>125000</v>
      </c>
      <c r="I1685" s="87"/>
      <c r="J1685" s="87"/>
      <c r="K1685" s="87"/>
      <c r="L1685" s="87"/>
    </row>
    <row r="1686" spans="1:12" ht="12" customHeight="1" x14ac:dyDescent="0.35">
      <c r="A1686" s="134">
        <v>10110000</v>
      </c>
      <c r="B1686" s="84"/>
      <c r="C1686" s="85" t="s">
        <v>30</v>
      </c>
      <c r="D1686" s="84" t="s">
        <v>418</v>
      </c>
      <c r="E1686" s="84" t="str">
        <f>VLOOKUP(C1686,HSD!B:K,2,FALSE)</f>
        <v>OH</v>
      </c>
      <c r="F1686" s="128">
        <v>0.1</v>
      </c>
      <c r="G1686" s="87">
        <f>VLOOKUP(C1686,HSD!B:K,10,FALSE)</f>
        <v>150000</v>
      </c>
      <c r="H1686" s="87">
        <f>F1686*G1686</f>
        <v>15000</v>
      </c>
      <c r="I1686" s="87">
        <v>78600</v>
      </c>
      <c r="J1686" s="87">
        <f>F1686*I1686</f>
        <v>7860</v>
      </c>
      <c r="K1686" s="87">
        <v>78600</v>
      </c>
      <c r="L1686" s="87">
        <f>F1686*K1686</f>
        <v>7860</v>
      </c>
    </row>
    <row r="1687" spans="1:12" ht="12" customHeight="1" x14ac:dyDescent="0.35">
      <c r="B1687" s="84"/>
      <c r="C1687" s="85"/>
      <c r="D1687" s="84"/>
      <c r="E1687" s="84"/>
      <c r="F1687" s="86"/>
      <c r="G1687" s="87"/>
      <c r="H1687" s="87">
        <f>F1687*G1687</f>
        <v>0</v>
      </c>
      <c r="I1687" s="87">
        <v>92500</v>
      </c>
      <c r="J1687" s="87">
        <f>F1687*I1687</f>
        <v>0</v>
      </c>
      <c r="K1687" s="87">
        <v>92500</v>
      </c>
      <c r="L1687" s="87">
        <f>F1687*K1687</f>
        <v>0</v>
      </c>
    </row>
    <row r="1688" spans="1:12" ht="12" customHeight="1" x14ac:dyDescent="0.35">
      <c r="B1688" s="84"/>
      <c r="C1688" s="85"/>
      <c r="D1688" s="84"/>
      <c r="E1688" s="84"/>
      <c r="F1688" s="86"/>
      <c r="G1688" s="87"/>
      <c r="H1688" s="87"/>
      <c r="I1688" s="87"/>
      <c r="J1688" s="87"/>
      <c r="K1688" s="87"/>
      <c r="L1688" s="87"/>
    </row>
    <row r="1689" spans="1:12" ht="12" customHeight="1" x14ac:dyDescent="0.35">
      <c r="B1689" s="84"/>
      <c r="C1689" s="88"/>
      <c r="D1689" s="79"/>
      <c r="E1689" s="79"/>
      <c r="F1689" s="89" t="s">
        <v>421</v>
      </c>
      <c r="G1689" s="101"/>
      <c r="H1689" s="87">
        <f>SUM(H1684:H1688)</f>
        <v>260000</v>
      </c>
      <c r="I1689" s="101"/>
      <c r="J1689" s="87">
        <f>SUM(J1686:J1688)</f>
        <v>7860</v>
      </c>
      <c r="K1689" s="101"/>
      <c r="L1689" s="87">
        <f>SUM(L1686:L1688)</f>
        <v>7860</v>
      </c>
    </row>
    <row r="1690" spans="1:12" ht="12" customHeight="1" x14ac:dyDescent="0.35">
      <c r="B1690" s="84" t="s">
        <v>6</v>
      </c>
      <c r="C1690" s="88" t="s">
        <v>422</v>
      </c>
      <c r="D1690" s="79"/>
      <c r="E1690" s="79"/>
      <c r="F1690" s="90"/>
      <c r="G1690" s="84"/>
      <c r="H1690" s="87"/>
      <c r="I1690" s="84"/>
      <c r="J1690" s="87"/>
      <c r="K1690" s="84"/>
      <c r="L1690" s="87"/>
    </row>
    <row r="1691" spans="1:12" ht="12" customHeight="1" x14ac:dyDescent="0.35">
      <c r="A1691" s="134">
        <v>211100102</v>
      </c>
      <c r="B1691" s="84"/>
      <c r="C1691" s="85" t="s">
        <v>1794</v>
      </c>
      <c r="D1691" s="84" t="s">
        <v>418</v>
      </c>
      <c r="E1691" s="84" t="str">
        <f>VLOOKUP(C1691,HSD!B:K,2,FALSE)</f>
        <v>m3</v>
      </c>
      <c r="F1691" s="128">
        <v>1.2</v>
      </c>
      <c r="G1691" s="87">
        <f>VLOOKUP(C1691,HSD!B:K,10,FALSE)</f>
        <v>525030</v>
      </c>
      <c r="H1691" s="87">
        <f>F1691*G1691</f>
        <v>630036</v>
      </c>
      <c r="I1691" s="87">
        <v>232500</v>
      </c>
      <c r="J1691" s="87">
        <f>F1691*I1691</f>
        <v>279000</v>
      </c>
      <c r="K1691" s="87">
        <v>270000</v>
      </c>
      <c r="L1691" s="87">
        <f>F1691*K1691</f>
        <v>324000</v>
      </c>
    </row>
    <row r="1692" spans="1:12" ht="12" customHeight="1" x14ac:dyDescent="0.35">
      <c r="A1692" s="134">
        <v>211100113</v>
      </c>
      <c r="B1692" s="84"/>
      <c r="C1692" s="85" t="s">
        <v>49</v>
      </c>
      <c r="D1692" s="84" t="s">
        <v>418</v>
      </c>
      <c r="E1692" s="84" t="str">
        <f>VLOOKUP(C1692,HSD!B:K,2,FALSE)</f>
        <v>m3</v>
      </c>
      <c r="F1692" s="128">
        <v>0.48499999999999999</v>
      </c>
      <c r="G1692" s="87">
        <f>VLOOKUP(C1692,HSD!B:K,10,FALSE)</f>
        <v>230880</v>
      </c>
      <c r="H1692" s="87">
        <f>F1692*G1692</f>
        <v>111976.8</v>
      </c>
      <c r="I1692" s="87">
        <v>1060</v>
      </c>
      <c r="J1692" s="87">
        <f>F1692*I1692</f>
        <v>514.1</v>
      </c>
      <c r="K1692" s="87">
        <v>1060</v>
      </c>
      <c r="L1692" s="87">
        <f>F1692*K1692</f>
        <v>514.1</v>
      </c>
    </row>
    <row r="1693" spans="1:12" ht="12" customHeight="1" x14ac:dyDescent="0.35">
      <c r="A1693" s="134">
        <v>21301000</v>
      </c>
      <c r="B1693" s="84"/>
      <c r="C1693" s="85" t="s">
        <v>60</v>
      </c>
      <c r="D1693" s="84" t="s">
        <v>418</v>
      </c>
      <c r="E1693" s="84" t="str">
        <f>VLOOKUP(C1693,HSD!B:K,2,FALSE)</f>
        <v>kg</v>
      </c>
      <c r="F1693" s="128">
        <v>202</v>
      </c>
      <c r="G1693" s="87">
        <f>VLOOKUP(C1693,HSD!B:K,10,FALSE)</f>
        <v>2331</v>
      </c>
      <c r="H1693" s="87">
        <f>F1693*G1693</f>
        <v>470862</v>
      </c>
      <c r="I1693" s="87">
        <v>215000</v>
      </c>
      <c r="J1693" s="87">
        <f>F1693*I1693</f>
        <v>43430000</v>
      </c>
      <c r="K1693" s="87">
        <v>250000</v>
      </c>
      <c r="L1693" s="87">
        <f>F1693*K1693</f>
        <v>50500000</v>
      </c>
    </row>
    <row r="1694" spans="1:12" ht="12" customHeight="1" x14ac:dyDescent="0.35">
      <c r="B1694" s="84"/>
      <c r="C1694" s="85"/>
      <c r="D1694" s="84"/>
      <c r="E1694" s="84"/>
      <c r="F1694" s="128"/>
      <c r="G1694" s="87"/>
      <c r="H1694" s="87"/>
      <c r="I1694" s="87"/>
      <c r="J1694" s="87"/>
      <c r="K1694" s="87"/>
      <c r="L1694" s="87"/>
    </row>
    <row r="1695" spans="1:12" ht="12" customHeight="1" x14ac:dyDescent="0.35">
      <c r="B1695" s="84"/>
      <c r="C1695" s="88"/>
      <c r="D1695" s="79"/>
      <c r="E1695" s="79"/>
      <c r="F1695" s="129" t="s">
        <v>423</v>
      </c>
      <c r="G1695" s="129"/>
      <c r="H1695" s="87">
        <f>SUM(H1691:H1694)</f>
        <v>1212874.8</v>
      </c>
      <c r="I1695" s="101"/>
      <c r="J1695" s="87" t="e">
        <f>SUM(#REF!)</f>
        <v>#REF!</v>
      </c>
      <c r="K1695" s="101"/>
      <c r="L1695" s="87" t="e">
        <f>SUM(#REF!)</f>
        <v>#REF!</v>
      </c>
    </row>
    <row r="1696" spans="1:12" ht="12" customHeight="1" x14ac:dyDescent="0.35">
      <c r="B1696" s="84" t="s">
        <v>7</v>
      </c>
      <c r="C1696" s="88" t="s">
        <v>424</v>
      </c>
      <c r="D1696" s="79"/>
      <c r="E1696" s="79"/>
      <c r="F1696" s="90"/>
      <c r="G1696" s="84"/>
      <c r="H1696" s="87"/>
      <c r="I1696" s="84"/>
      <c r="J1696" s="87"/>
      <c r="K1696" s="84"/>
      <c r="L1696" s="87"/>
    </row>
    <row r="1697" spans="1:12" ht="12" customHeight="1" x14ac:dyDescent="0.35">
      <c r="A1697" s="134">
        <v>31100004</v>
      </c>
      <c r="B1697" s="84"/>
      <c r="C1697" s="85" t="s">
        <v>1829</v>
      </c>
      <c r="D1697" s="84" t="s">
        <v>418</v>
      </c>
      <c r="E1697" s="84" t="str">
        <f>VLOOKUP(C1697,HSD!B:K,2,FALSE)</f>
        <v>Sewa-hari</v>
      </c>
      <c r="F1697" s="128">
        <v>4.4299999999999999E-2</v>
      </c>
      <c r="G1697" s="87">
        <f>VLOOKUP(C1697,HSD!B:K,10,FALSE)</f>
        <v>126984</v>
      </c>
      <c r="H1697" s="87">
        <f>F1697*G1697</f>
        <v>5625.3912</v>
      </c>
      <c r="I1697" s="87"/>
      <c r="J1697" s="87">
        <f>H1697*I1697</f>
        <v>0</v>
      </c>
      <c r="K1697" s="87"/>
      <c r="L1697" s="87">
        <f>J1697*K1697</f>
        <v>0</v>
      </c>
    </row>
    <row r="1698" spans="1:12" ht="12" customHeight="1" x14ac:dyDescent="0.35">
      <c r="B1698" s="84"/>
      <c r="C1698" s="85"/>
      <c r="D1698" s="84"/>
      <c r="E1698" s="84"/>
      <c r="F1698" s="128"/>
      <c r="G1698" s="87"/>
      <c r="H1698" s="87">
        <f>F1698*G1698</f>
        <v>0</v>
      </c>
      <c r="I1698" s="87"/>
      <c r="J1698" s="87"/>
      <c r="K1698" s="87"/>
      <c r="L1698" s="87"/>
    </row>
    <row r="1699" spans="1:12" ht="12" customHeight="1" x14ac:dyDescent="0.35">
      <c r="B1699" s="84"/>
      <c r="C1699" s="88"/>
      <c r="D1699" s="79"/>
      <c r="E1699" s="79"/>
      <c r="F1699" s="89" t="s">
        <v>425</v>
      </c>
      <c r="G1699" s="101"/>
      <c r="H1699" s="87">
        <f>SUM(H1697:H1698)</f>
        <v>5625.3912</v>
      </c>
      <c r="I1699" s="101"/>
      <c r="J1699" s="87">
        <f>SUM(J1697)</f>
        <v>0</v>
      </c>
      <c r="K1699" s="101"/>
      <c r="L1699" s="87">
        <f>SUM(L1697)</f>
        <v>0</v>
      </c>
    </row>
    <row r="1700" spans="1:12" ht="12" customHeight="1" x14ac:dyDescent="0.35">
      <c r="B1700" s="84" t="s">
        <v>8</v>
      </c>
      <c r="C1700" s="103" t="s">
        <v>426</v>
      </c>
      <c r="D1700" s="104"/>
      <c r="E1700" s="104"/>
      <c r="F1700" s="104"/>
      <c r="G1700" s="105"/>
      <c r="H1700" s="87">
        <f>H1689+H1695+H1699</f>
        <v>1478500.1912</v>
      </c>
      <c r="I1700" s="105"/>
      <c r="J1700" s="87" t="e">
        <f>J1689+J1695+J1699</f>
        <v>#REF!</v>
      </c>
      <c r="K1700" s="105"/>
      <c r="L1700" s="87" t="e">
        <f>L1689+L1695+L1699</f>
        <v>#REF!</v>
      </c>
    </row>
    <row r="1701" spans="1:12" ht="12" customHeight="1" x14ac:dyDescent="0.35">
      <c r="B1701" s="84" t="s">
        <v>9</v>
      </c>
      <c r="C1701" s="455" t="s">
        <v>427</v>
      </c>
      <c r="D1701" s="455"/>
      <c r="E1701" s="455"/>
      <c r="F1701" s="95">
        <f>0</f>
        <v>0</v>
      </c>
      <c r="G1701" s="85" t="s">
        <v>428</v>
      </c>
      <c r="H1701" s="87">
        <f>H1700*F1701</f>
        <v>0</v>
      </c>
      <c r="I1701" s="85" t="s">
        <v>428</v>
      </c>
      <c r="J1701" s="87" t="e">
        <f>J1700*F1701</f>
        <v>#REF!</v>
      </c>
      <c r="K1701" s="85" t="s">
        <v>428</v>
      </c>
      <c r="L1701" s="87" t="e">
        <f>L1700*F1701</f>
        <v>#REF!</v>
      </c>
    </row>
    <row r="1702" spans="1:12" ht="12" customHeight="1" x14ac:dyDescent="0.35">
      <c r="B1702" s="84" t="s">
        <v>10</v>
      </c>
      <c r="C1702" s="103" t="s">
        <v>429</v>
      </c>
      <c r="D1702" s="104"/>
      <c r="E1702" s="104"/>
      <c r="F1702" s="104"/>
      <c r="G1702" s="105"/>
      <c r="H1702" s="96">
        <f>H1700+H1701</f>
        <v>1478500.1912</v>
      </c>
      <c r="I1702" s="97"/>
      <c r="J1702" s="96" t="e">
        <f>J1700+J1701</f>
        <v>#REF!</v>
      </c>
      <c r="K1702" s="97"/>
      <c r="L1702" s="96" t="e">
        <f>L1700+L1701</f>
        <v>#REF!</v>
      </c>
    </row>
    <row r="1704" spans="1:12" ht="37" customHeight="1" x14ac:dyDescent="0.35">
      <c r="B1704" s="76" t="s">
        <v>637</v>
      </c>
      <c r="C1704" s="458" t="s">
        <v>652</v>
      </c>
      <c r="D1704" s="459"/>
      <c r="E1704" s="459"/>
      <c r="F1704" s="459"/>
      <c r="G1704" s="456"/>
      <c r="H1704" s="457"/>
      <c r="I1704" s="455" t="s">
        <v>3</v>
      </c>
      <c r="J1704" s="455"/>
      <c r="K1704" s="455" t="s">
        <v>4</v>
      </c>
      <c r="L1704" s="455"/>
    </row>
    <row r="1705" spans="1:12" ht="12" customHeight="1" x14ac:dyDescent="0.35">
      <c r="B1705" s="451" t="s">
        <v>409</v>
      </c>
      <c r="C1705" s="451" t="s">
        <v>410</v>
      </c>
      <c r="D1705" s="452" t="s">
        <v>411</v>
      </c>
      <c r="E1705" s="451" t="s">
        <v>412</v>
      </c>
      <c r="F1705" s="451" t="s">
        <v>413</v>
      </c>
      <c r="G1705" s="77" t="s">
        <v>414</v>
      </c>
      <c r="H1705" s="77" t="s">
        <v>415</v>
      </c>
      <c r="I1705" s="78" t="s">
        <v>414</v>
      </c>
      <c r="J1705" s="79" t="s">
        <v>415</v>
      </c>
      <c r="K1705" s="79" t="s">
        <v>414</v>
      </c>
      <c r="L1705" s="79" t="s">
        <v>415</v>
      </c>
    </row>
    <row r="1706" spans="1:12" ht="12" customHeight="1" x14ac:dyDescent="0.35">
      <c r="B1706" s="451"/>
      <c r="C1706" s="451"/>
      <c r="D1706" s="453"/>
      <c r="E1706" s="451"/>
      <c r="F1706" s="451"/>
      <c r="G1706" s="77" t="s">
        <v>17</v>
      </c>
      <c r="H1706" s="77" t="s">
        <v>416</v>
      </c>
      <c r="I1706" s="78" t="s">
        <v>17</v>
      </c>
      <c r="J1706" s="79" t="s">
        <v>416</v>
      </c>
      <c r="K1706" s="79" t="s">
        <v>17</v>
      </c>
      <c r="L1706" s="79" t="s">
        <v>416</v>
      </c>
    </row>
    <row r="1707" spans="1:12" ht="12" customHeight="1" x14ac:dyDescent="0.35">
      <c r="B1707" s="451"/>
      <c r="C1707" s="451"/>
      <c r="D1707" s="454"/>
      <c r="E1707" s="451"/>
      <c r="F1707" s="451"/>
      <c r="G1707" s="106"/>
      <c r="H1707" s="77" t="s">
        <v>17</v>
      </c>
      <c r="I1707" s="94"/>
      <c r="J1707" s="79" t="s">
        <v>17</v>
      </c>
      <c r="K1707" s="85"/>
      <c r="L1707" s="79" t="s">
        <v>17</v>
      </c>
    </row>
    <row r="1708" spans="1:12" ht="12" customHeight="1" x14ac:dyDescent="0.35">
      <c r="B1708" s="80" t="s">
        <v>5</v>
      </c>
      <c r="C1708" s="81" t="s">
        <v>417</v>
      </c>
      <c r="D1708" s="82"/>
      <c r="E1708" s="82"/>
      <c r="F1708" s="82"/>
      <c r="G1708" s="82"/>
      <c r="H1708" s="82"/>
      <c r="I1708" s="83"/>
      <c r="J1708" s="83"/>
      <c r="K1708" s="83"/>
      <c r="L1708" s="83"/>
    </row>
    <row r="1709" spans="1:12" ht="12" customHeight="1" x14ac:dyDescent="0.35">
      <c r="A1709" s="134">
        <v>10130000</v>
      </c>
      <c r="B1709" s="84"/>
      <c r="C1709" s="85" t="s">
        <v>28</v>
      </c>
      <c r="D1709" s="84" t="s">
        <v>418</v>
      </c>
      <c r="E1709" s="84" t="str">
        <f>VLOOKUP(C1709,HSD!B:K,2,FALSE)</f>
        <v>OH</v>
      </c>
      <c r="F1709" s="128">
        <v>2.0874000000000001</v>
      </c>
      <c r="G1709" s="87">
        <f>VLOOKUP(C1709,HSD!B:K,10,FALSE)</f>
        <v>120000</v>
      </c>
      <c r="H1709" s="87">
        <f>F1709*G1709</f>
        <v>250488.00000000003</v>
      </c>
      <c r="I1709" s="87">
        <v>91500</v>
      </c>
      <c r="J1709" s="87">
        <f>F1709*I1709</f>
        <v>190997.1</v>
      </c>
      <c r="K1709" s="87">
        <v>91500</v>
      </c>
      <c r="L1709" s="87">
        <f>F1709*K1709</f>
        <v>190997.1</v>
      </c>
    </row>
    <row r="1710" spans="1:12" ht="12" customHeight="1" x14ac:dyDescent="0.35">
      <c r="A1710" s="134">
        <v>10143000</v>
      </c>
      <c r="B1710" s="84"/>
      <c r="C1710" s="85" t="s">
        <v>435</v>
      </c>
      <c r="D1710" s="84" t="s">
        <v>418</v>
      </c>
      <c r="E1710" s="84" t="str">
        <f>VLOOKUP(C1710,HSD!B:K,2,FALSE)</f>
        <v>OH</v>
      </c>
      <c r="F1710" s="128">
        <v>1.0437000000000001</v>
      </c>
      <c r="G1710" s="87">
        <f>VLOOKUP(C1710,HSD!B:K,10,FALSE)</f>
        <v>250000</v>
      </c>
      <c r="H1710" s="87">
        <f>F1710*G1710</f>
        <v>260925.00000000003</v>
      </c>
      <c r="I1710" s="87"/>
      <c r="J1710" s="87"/>
      <c r="K1710" s="87"/>
      <c r="L1710" s="87"/>
    </row>
    <row r="1711" spans="1:12" ht="12" customHeight="1" x14ac:dyDescent="0.35">
      <c r="A1711" s="134">
        <v>10110000</v>
      </c>
      <c r="B1711" s="84"/>
      <c r="C1711" s="85" t="s">
        <v>30</v>
      </c>
      <c r="D1711" s="84" t="s">
        <v>418</v>
      </c>
      <c r="E1711" s="84" t="str">
        <f>VLOOKUP(C1711,HSD!B:K,2,FALSE)</f>
        <v>OH</v>
      </c>
      <c r="F1711" s="128">
        <f>F1709/10</f>
        <v>0.20874000000000001</v>
      </c>
      <c r="G1711" s="87">
        <f>VLOOKUP(C1711,HSD!B:K,10,FALSE)</f>
        <v>150000</v>
      </c>
      <c r="H1711" s="87">
        <f>F1711*G1711</f>
        <v>31311</v>
      </c>
      <c r="I1711" s="87">
        <v>78600</v>
      </c>
      <c r="J1711" s="87">
        <f>F1711*I1711</f>
        <v>16406.964</v>
      </c>
      <c r="K1711" s="87">
        <v>78600</v>
      </c>
      <c r="L1711" s="87">
        <f>F1711*K1711</f>
        <v>16406.964</v>
      </c>
    </row>
    <row r="1712" spans="1:12" ht="12" customHeight="1" x14ac:dyDescent="0.35">
      <c r="B1712" s="84"/>
      <c r="C1712" s="85"/>
      <c r="D1712" s="84"/>
      <c r="E1712" s="84"/>
      <c r="F1712" s="86"/>
      <c r="G1712" s="87"/>
      <c r="H1712" s="87">
        <f>F1712*G1712</f>
        <v>0</v>
      </c>
      <c r="I1712" s="87">
        <v>92500</v>
      </c>
      <c r="J1712" s="87">
        <f>F1712*I1712</f>
        <v>0</v>
      </c>
      <c r="K1712" s="87">
        <v>92500</v>
      </c>
      <c r="L1712" s="87">
        <f>F1712*K1712</f>
        <v>0</v>
      </c>
    </row>
    <row r="1713" spans="1:12" ht="12" customHeight="1" x14ac:dyDescent="0.35">
      <c r="B1713" s="84"/>
      <c r="C1713" s="85"/>
      <c r="D1713" s="84"/>
      <c r="E1713" s="84"/>
      <c r="F1713" s="86"/>
      <c r="G1713" s="87"/>
      <c r="H1713" s="87"/>
      <c r="I1713" s="87"/>
      <c r="J1713" s="87"/>
      <c r="K1713" s="87"/>
      <c r="L1713" s="87"/>
    </row>
    <row r="1714" spans="1:12" ht="12" customHeight="1" x14ac:dyDescent="0.35">
      <c r="B1714" s="84"/>
      <c r="C1714" s="88"/>
      <c r="D1714" s="79"/>
      <c r="E1714" s="79"/>
      <c r="F1714" s="89" t="s">
        <v>421</v>
      </c>
      <c r="G1714" s="101"/>
      <c r="H1714" s="87">
        <f>SUM(H1709:H1713)</f>
        <v>542724</v>
      </c>
      <c r="I1714" s="101"/>
      <c r="J1714" s="87">
        <f>SUM(J1711:J1713)</f>
        <v>16406.964</v>
      </c>
      <c r="K1714" s="101"/>
      <c r="L1714" s="87">
        <f>SUM(L1711:L1713)</f>
        <v>16406.964</v>
      </c>
    </row>
    <row r="1715" spans="1:12" ht="12" customHeight="1" x14ac:dyDescent="0.35">
      <c r="B1715" s="84" t="s">
        <v>6</v>
      </c>
      <c r="C1715" s="88" t="s">
        <v>422</v>
      </c>
      <c r="D1715" s="79"/>
      <c r="E1715" s="79"/>
      <c r="F1715" s="90"/>
      <c r="G1715" s="84"/>
      <c r="H1715" s="87"/>
      <c r="I1715" s="84"/>
      <c r="J1715" s="87"/>
      <c r="K1715" s="84"/>
      <c r="L1715" s="87"/>
    </row>
    <row r="1716" spans="1:12" ht="12" customHeight="1" x14ac:dyDescent="0.35">
      <c r="A1716" s="134">
        <v>211100102</v>
      </c>
      <c r="B1716" s="84"/>
      <c r="C1716" s="85" t="s">
        <v>1794</v>
      </c>
      <c r="D1716" s="84" t="s">
        <v>418</v>
      </c>
      <c r="E1716" s="84" t="str">
        <f>VLOOKUP(C1716,HSD!B:K,2,FALSE)</f>
        <v>m3</v>
      </c>
      <c r="F1716" s="128">
        <v>1.2</v>
      </c>
      <c r="G1716" s="87">
        <f>VLOOKUP(C1716,HSD!B:K,10,FALSE)</f>
        <v>525030</v>
      </c>
      <c r="H1716" s="87">
        <f>F1716*G1716</f>
        <v>630036</v>
      </c>
      <c r="I1716" s="87">
        <v>232500</v>
      </c>
      <c r="J1716" s="87">
        <f>F1716*I1716</f>
        <v>279000</v>
      </c>
      <c r="K1716" s="87">
        <v>270000</v>
      </c>
      <c r="L1716" s="87">
        <f>F1716*K1716</f>
        <v>324000</v>
      </c>
    </row>
    <row r="1717" spans="1:12" ht="12" customHeight="1" x14ac:dyDescent="0.35">
      <c r="A1717" s="134">
        <v>211100113</v>
      </c>
      <c r="B1717" s="84"/>
      <c r="C1717" s="85" t="s">
        <v>49</v>
      </c>
      <c r="D1717" s="84" t="s">
        <v>418</v>
      </c>
      <c r="E1717" s="84" t="str">
        <f>VLOOKUP(C1717,HSD!B:K,2,FALSE)</f>
        <v>m3</v>
      </c>
      <c r="F1717" s="128">
        <v>0.48499999999999999</v>
      </c>
      <c r="G1717" s="87">
        <f>VLOOKUP(C1717,HSD!B:K,10,FALSE)</f>
        <v>230880</v>
      </c>
      <c r="H1717" s="87">
        <f>F1717*G1717</f>
        <v>111976.8</v>
      </c>
      <c r="I1717" s="87">
        <v>1060</v>
      </c>
      <c r="J1717" s="87">
        <f>F1717*I1717</f>
        <v>514.1</v>
      </c>
      <c r="K1717" s="87">
        <v>1060</v>
      </c>
      <c r="L1717" s="87">
        <f>F1717*K1717</f>
        <v>514.1</v>
      </c>
    </row>
    <row r="1718" spans="1:12" ht="12" customHeight="1" x14ac:dyDescent="0.35">
      <c r="A1718" s="134">
        <v>21301000</v>
      </c>
      <c r="B1718" s="84"/>
      <c r="C1718" s="85" t="s">
        <v>60</v>
      </c>
      <c r="D1718" s="84" t="s">
        <v>418</v>
      </c>
      <c r="E1718" s="84" t="str">
        <f>VLOOKUP(C1718,HSD!B:K,2,FALSE)</f>
        <v>kg</v>
      </c>
      <c r="F1718" s="128">
        <v>202</v>
      </c>
      <c r="G1718" s="87">
        <f>VLOOKUP(C1718,HSD!B:K,10,FALSE)</f>
        <v>2331</v>
      </c>
      <c r="H1718" s="87">
        <f>F1718*G1718</f>
        <v>470862</v>
      </c>
      <c r="I1718" s="87">
        <v>215000</v>
      </c>
      <c r="J1718" s="87">
        <f>F1718*I1718</f>
        <v>43430000</v>
      </c>
      <c r="K1718" s="87">
        <v>250000</v>
      </c>
      <c r="L1718" s="87">
        <f>F1718*K1718</f>
        <v>50500000</v>
      </c>
    </row>
    <row r="1719" spans="1:12" ht="12" customHeight="1" x14ac:dyDescent="0.35">
      <c r="B1719" s="84"/>
      <c r="C1719" s="85"/>
      <c r="D1719" s="84"/>
      <c r="E1719" s="84"/>
      <c r="F1719" s="128"/>
      <c r="G1719" s="87"/>
      <c r="H1719" s="87"/>
      <c r="I1719" s="87"/>
      <c r="J1719" s="87"/>
      <c r="K1719" s="87"/>
      <c r="L1719" s="87"/>
    </row>
    <row r="1720" spans="1:12" ht="12" customHeight="1" x14ac:dyDescent="0.35">
      <c r="B1720" s="84"/>
      <c r="C1720" s="88"/>
      <c r="D1720" s="79"/>
      <c r="E1720" s="79"/>
      <c r="F1720" s="129" t="s">
        <v>423</v>
      </c>
      <c r="G1720" s="129"/>
      <c r="H1720" s="87">
        <f>SUM(H1716:H1719)</f>
        <v>1212874.8</v>
      </c>
      <c r="I1720" s="101"/>
      <c r="J1720" s="87" t="e">
        <f>SUM(#REF!)</f>
        <v>#REF!</v>
      </c>
      <c r="K1720" s="101"/>
      <c r="L1720" s="87" t="e">
        <f>SUM(#REF!)</f>
        <v>#REF!</v>
      </c>
    </row>
    <row r="1721" spans="1:12" ht="12" customHeight="1" x14ac:dyDescent="0.35">
      <c r="B1721" s="84" t="s">
        <v>7</v>
      </c>
      <c r="C1721" s="88" t="s">
        <v>424</v>
      </c>
      <c r="D1721" s="79"/>
      <c r="E1721" s="79"/>
      <c r="F1721" s="90"/>
      <c r="G1721" s="84"/>
      <c r="H1721" s="87"/>
      <c r="I1721" s="84"/>
      <c r="J1721" s="87"/>
      <c r="K1721" s="84"/>
      <c r="L1721" s="87"/>
    </row>
    <row r="1722" spans="1:12" ht="12" customHeight="1" x14ac:dyDescent="0.35">
      <c r="A1722" s="134">
        <v>31100004</v>
      </c>
      <c r="B1722" s="84"/>
      <c r="C1722" s="85" t="s">
        <v>1829</v>
      </c>
      <c r="D1722" s="84" t="s">
        <v>418</v>
      </c>
      <c r="E1722" s="84" t="str">
        <f>VLOOKUP(C1722,HSD!B:K,2,FALSE)</f>
        <v>Sewa-hari</v>
      </c>
      <c r="F1722" s="128">
        <v>4.4299999999999999E-2</v>
      </c>
      <c r="G1722" s="87">
        <f>VLOOKUP(C1722,HSD!B:K,10,FALSE)</f>
        <v>126984</v>
      </c>
      <c r="H1722" s="87">
        <f>F1722*G1722</f>
        <v>5625.3912</v>
      </c>
      <c r="I1722" s="87"/>
      <c r="J1722" s="87">
        <f>H1722*I1722</f>
        <v>0</v>
      </c>
      <c r="K1722" s="87"/>
      <c r="L1722" s="87">
        <f>J1722*K1722</f>
        <v>0</v>
      </c>
    </row>
    <row r="1723" spans="1:12" ht="12" customHeight="1" x14ac:dyDescent="0.35">
      <c r="B1723" s="84"/>
      <c r="C1723" s="85"/>
      <c r="D1723" s="84"/>
      <c r="E1723" s="84"/>
      <c r="F1723" s="128"/>
      <c r="G1723" s="87"/>
      <c r="H1723" s="87">
        <f>F1723*G1723</f>
        <v>0</v>
      </c>
      <c r="I1723" s="87"/>
      <c r="J1723" s="87"/>
      <c r="K1723" s="87"/>
      <c r="L1723" s="87"/>
    </row>
    <row r="1724" spans="1:12" ht="12" customHeight="1" x14ac:dyDescent="0.35">
      <c r="B1724" s="84"/>
      <c r="C1724" s="88"/>
      <c r="D1724" s="79"/>
      <c r="E1724" s="79"/>
      <c r="F1724" s="89" t="s">
        <v>425</v>
      </c>
      <c r="G1724" s="101"/>
      <c r="H1724" s="87">
        <f>SUM(H1722:H1723)</f>
        <v>5625.3912</v>
      </c>
      <c r="I1724" s="101"/>
      <c r="J1724" s="87">
        <f>SUM(J1722)</f>
        <v>0</v>
      </c>
      <c r="K1724" s="101"/>
      <c r="L1724" s="87">
        <f>SUM(L1722)</f>
        <v>0</v>
      </c>
    </row>
    <row r="1725" spans="1:12" ht="12" customHeight="1" x14ac:dyDescent="0.35">
      <c r="B1725" s="84" t="s">
        <v>8</v>
      </c>
      <c r="C1725" s="103" t="s">
        <v>426</v>
      </c>
      <c r="D1725" s="104"/>
      <c r="E1725" s="104"/>
      <c r="F1725" s="104"/>
      <c r="G1725" s="105"/>
      <c r="H1725" s="87">
        <f>H1714+H1720+H1724</f>
        <v>1761224.1912</v>
      </c>
      <c r="I1725" s="105"/>
      <c r="J1725" s="87" t="e">
        <f>J1714+J1720+J1724</f>
        <v>#REF!</v>
      </c>
      <c r="K1725" s="105"/>
      <c r="L1725" s="87" t="e">
        <f>L1714+L1720+L1724</f>
        <v>#REF!</v>
      </c>
    </row>
    <row r="1726" spans="1:12" ht="12" customHeight="1" x14ac:dyDescent="0.35">
      <c r="B1726" s="84" t="s">
        <v>9</v>
      </c>
      <c r="C1726" s="455" t="s">
        <v>427</v>
      </c>
      <c r="D1726" s="455"/>
      <c r="E1726" s="455"/>
      <c r="F1726" s="95">
        <f>0</f>
        <v>0</v>
      </c>
      <c r="G1726" s="85" t="s">
        <v>428</v>
      </c>
      <c r="H1726" s="87">
        <f>H1725*F1726</f>
        <v>0</v>
      </c>
      <c r="I1726" s="85" t="s">
        <v>428</v>
      </c>
      <c r="J1726" s="87" t="e">
        <f>J1725*F1726</f>
        <v>#REF!</v>
      </c>
      <c r="K1726" s="85" t="s">
        <v>428</v>
      </c>
      <c r="L1726" s="87" t="e">
        <f>L1725*F1726</f>
        <v>#REF!</v>
      </c>
    </row>
    <row r="1727" spans="1:12" ht="12" customHeight="1" x14ac:dyDescent="0.35">
      <c r="B1727" s="84" t="s">
        <v>10</v>
      </c>
      <c r="C1727" s="103" t="s">
        <v>429</v>
      </c>
      <c r="D1727" s="104"/>
      <c r="E1727" s="104"/>
      <c r="F1727" s="104"/>
      <c r="G1727" s="105"/>
      <c r="H1727" s="96">
        <f>H1725+H1726</f>
        <v>1761224.1912</v>
      </c>
      <c r="I1727" s="97"/>
      <c r="J1727" s="96" t="e">
        <f>J1725+J1726</f>
        <v>#REF!</v>
      </c>
      <c r="K1727" s="97"/>
      <c r="L1727" s="96" t="e">
        <f>L1725+L1726</f>
        <v>#REF!</v>
      </c>
    </row>
    <row r="1729" spans="1:12" ht="37" customHeight="1" x14ac:dyDescent="0.35">
      <c r="B1729" s="76" t="s">
        <v>663</v>
      </c>
      <c r="C1729" s="458" t="s">
        <v>664</v>
      </c>
      <c r="D1729" s="459"/>
      <c r="E1729" s="459"/>
      <c r="F1729" s="459"/>
      <c r="G1729" s="456"/>
      <c r="H1729" s="457"/>
      <c r="I1729" s="455" t="s">
        <v>3</v>
      </c>
      <c r="J1729" s="455"/>
      <c r="K1729" s="455" t="s">
        <v>4</v>
      </c>
      <c r="L1729" s="455"/>
    </row>
    <row r="1730" spans="1:12" ht="12" customHeight="1" x14ac:dyDescent="0.35">
      <c r="B1730" s="451" t="s">
        <v>409</v>
      </c>
      <c r="C1730" s="451" t="s">
        <v>410</v>
      </c>
      <c r="D1730" s="452" t="s">
        <v>411</v>
      </c>
      <c r="E1730" s="451" t="s">
        <v>412</v>
      </c>
      <c r="F1730" s="451" t="s">
        <v>413</v>
      </c>
      <c r="G1730" s="77" t="s">
        <v>414</v>
      </c>
      <c r="H1730" s="77" t="s">
        <v>415</v>
      </c>
      <c r="I1730" s="78" t="s">
        <v>414</v>
      </c>
      <c r="J1730" s="79" t="s">
        <v>415</v>
      </c>
      <c r="K1730" s="79" t="s">
        <v>414</v>
      </c>
      <c r="L1730" s="79" t="s">
        <v>415</v>
      </c>
    </row>
    <row r="1731" spans="1:12" ht="12" customHeight="1" x14ac:dyDescent="0.35">
      <c r="B1731" s="451"/>
      <c r="C1731" s="451"/>
      <c r="D1731" s="453"/>
      <c r="E1731" s="451"/>
      <c r="F1731" s="451"/>
      <c r="G1731" s="77" t="s">
        <v>17</v>
      </c>
      <c r="H1731" s="77" t="s">
        <v>416</v>
      </c>
      <c r="I1731" s="78" t="s">
        <v>17</v>
      </c>
      <c r="J1731" s="79" t="s">
        <v>416</v>
      </c>
      <c r="K1731" s="79" t="s">
        <v>17</v>
      </c>
      <c r="L1731" s="79" t="s">
        <v>416</v>
      </c>
    </row>
    <row r="1732" spans="1:12" ht="12" customHeight="1" x14ac:dyDescent="0.35">
      <c r="B1732" s="451"/>
      <c r="C1732" s="451"/>
      <c r="D1732" s="454"/>
      <c r="E1732" s="451"/>
      <c r="F1732" s="451"/>
      <c r="G1732" s="106"/>
      <c r="H1732" s="77" t="s">
        <v>17</v>
      </c>
      <c r="I1732" s="94"/>
      <c r="J1732" s="79" t="s">
        <v>17</v>
      </c>
      <c r="K1732" s="85"/>
      <c r="L1732" s="79" t="s">
        <v>17</v>
      </c>
    </row>
    <row r="1733" spans="1:12" ht="12" customHeight="1" x14ac:dyDescent="0.35">
      <c r="B1733" s="80" t="s">
        <v>5</v>
      </c>
      <c r="C1733" s="81" t="s">
        <v>417</v>
      </c>
      <c r="D1733" s="82"/>
      <c r="E1733" s="82"/>
      <c r="F1733" s="82"/>
      <c r="G1733" s="82"/>
      <c r="H1733" s="82"/>
      <c r="I1733" s="83"/>
      <c r="J1733" s="83"/>
      <c r="K1733" s="83"/>
      <c r="L1733" s="83"/>
    </row>
    <row r="1734" spans="1:12" ht="12" customHeight="1" x14ac:dyDescent="0.35">
      <c r="A1734" s="134">
        <v>10130000</v>
      </c>
      <c r="B1734" s="84"/>
      <c r="C1734" s="85" t="s">
        <v>28</v>
      </c>
      <c r="D1734" s="84" t="s">
        <v>418</v>
      </c>
      <c r="E1734" s="84" t="str">
        <f>VLOOKUP(C1734,HSD!B:K,2,FALSE)</f>
        <v>OH</v>
      </c>
      <c r="F1734" s="128">
        <v>1.5</v>
      </c>
      <c r="G1734" s="87">
        <f>VLOOKUP(C1734,HSD!B:K,10,FALSE)</f>
        <v>120000</v>
      </c>
      <c r="H1734" s="87">
        <f>F1734*G1734</f>
        <v>180000</v>
      </c>
      <c r="I1734" s="87">
        <v>91500</v>
      </c>
      <c r="J1734" s="87">
        <f>F1734*I1734</f>
        <v>137250</v>
      </c>
      <c r="K1734" s="87">
        <v>91500</v>
      </c>
      <c r="L1734" s="87">
        <f>F1734*K1734</f>
        <v>137250</v>
      </c>
    </row>
    <row r="1735" spans="1:12" ht="12" customHeight="1" x14ac:dyDescent="0.35">
      <c r="A1735" s="134">
        <v>10143000</v>
      </c>
      <c r="B1735" s="84"/>
      <c r="C1735" s="85" t="s">
        <v>435</v>
      </c>
      <c r="D1735" s="84" t="s">
        <v>418</v>
      </c>
      <c r="E1735" s="84" t="str">
        <f>VLOOKUP(C1735,HSD!B:K,2,FALSE)</f>
        <v>OH</v>
      </c>
      <c r="F1735" s="128">
        <v>0.5</v>
      </c>
      <c r="G1735" s="87">
        <f>VLOOKUP(C1735,HSD!B:K,10,FALSE)</f>
        <v>250000</v>
      </c>
      <c r="H1735" s="87">
        <f>F1735*G1735</f>
        <v>125000</v>
      </c>
      <c r="I1735" s="87"/>
      <c r="J1735" s="87"/>
      <c r="K1735" s="87"/>
      <c r="L1735" s="87"/>
    </row>
    <row r="1736" spans="1:12" ht="12" customHeight="1" x14ac:dyDescent="0.35">
      <c r="A1736" s="134">
        <v>10110000</v>
      </c>
      <c r="B1736" s="84"/>
      <c r="C1736" s="85" t="s">
        <v>30</v>
      </c>
      <c r="D1736" s="84" t="s">
        <v>418</v>
      </c>
      <c r="E1736" s="84" t="str">
        <f>VLOOKUP(C1736,HSD!B:K,2,FALSE)</f>
        <v>OH</v>
      </c>
      <c r="F1736" s="128">
        <f>F1734/10</f>
        <v>0.15</v>
      </c>
      <c r="G1736" s="87">
        <f>VLOOKUP(C1736,HSD!B:K,10,FALSE)</f>
        <v>150000</v>
      </c>
      <c r="H1736" s="87">
        <f>F1736*G1736</f>
        <v>22500</v>
      </c>
      <c r="I1736" s="87">
        <v>78600</v>
      </c>
      <c r="J1736" s="87">
        <f>F1736*I1736</f>
        <v>11790</v>
      </c>
      <c r="K1736" s="87">
        <v>78600</v>
      </c>
      <c r="L1736" s="87">
        <f>F1736*K1736</f>
        <v>11790</v>
      </c>
    </row>
    <row r="1737" spans="1:12" ht="12" customHeight="1" x14ac:dyDescent="0.35">
      <c r="B1737" s="84"/>
      <c r="C1737" s="85"/>
      <c r="D1737" s="84"/>
      <c r="E1737" s="84"/>
      <c r="F1737" s="86"/>
      <c r="G1737" s="87"/>
      <c r="H1737" s="87">
        <f>F1737*G1737</f>
        <v>0</v>
      </c>
      <c r="I1737" s="87">
        <v>92500</v>
      </c>
      <c r="J1737" s="87">
        <f>F1737*I1737</f>
        <v>0</v>
      </c>
      <c r="K1737" s="87">
        <v>92500</v>
      </c>
      <c r="L1737" s="87">
        <f>F1737*K1737</f>
        <v>0</v>
      </c>
    </row>
    <row r="1738" spans="1:12" ht="12" customHeight="1" x14ac:dyDescent="0.35">
      <c r="B1738" s="84"/>
      <c r="C1738" s="85"/>
      <c r="D1738" s="84"/>
      <c r="E1738" s="84"/>
      <c r="F1738" s="86"/>
      <c r="G1738" s="87"/>
      <c r="H1738" s="87"/>
      <c r="I1738" s="87"/>
      <c r="J1738" s="87"/>
      <c r="K1738" s="87"/>
      <c r="L1738" s="87"/>
    </row>
    <row r="1739" spans="1:12" ht="12" customHeight="1" x14ac:dyDescent="0.35">
      <c r="B1739" s="84"/>
      <c r="C1739" s="88"/>
      <c r="D1739" s="79"/>
      <c r="E1739" s="79"/>
      <c r="F1739" s="89" t="s">
        <v>421</v>
      </c>
      <c r="G1739" s="101"/>
      <c r="H1739" s="87">
        <f>SUM(H1734:H1738)</f>
        <v>327500</v>
      </c>
      <c r="I1739" s="101"/>
      <c r="J1739" s="87">
        <f>SUM(J1736:J1738)</f>
        <v>11790</v>
      </c>
      <c r="K1739" s="101"/>
      <c r="L1739" s="87">
        <f>SUM(L1736:L1738)</f>
        <v>11790</v>
      </c>
    </row>
    <row r="1740" spans="1:12" ht="12" customHeight="1" x14ac:dyDescent="0.35">
      <c r="B1740" s="84" t="s">
        <v>6</v>
      </c>
      <c r="C1740" s="88" t="s">
        <v>422</v>
      </c>
      <c r="D1740" s="79"/>
      <c r="E1740" s="79"/>
      <c r="F1740" s="90"/>
      <c r="G1740" s="84"/>
      <c r="H1740" s="87"/>
      <c r="I1740" s="84"/>
      <c r="J1740" s="87"/>
      <c r="K1740" s="84"/>
      <c r="L1740" s="87"/>
    </row>
    <row r="1741" spans="1:12" ht="12" customHeight="1" x14ac:dyDescent="0.35">
      <c r="A1741" s="134">
        <v>211100102</v>
      </c>
      <c r="B1741" s="84"/>
      <c r="C1741" s="85" t="s">
        <v>1794</v>
      </c>
      <c r="D1741" s="84" t="s">
        <v>418</v>
      </c>
      <c r="E1741" s="84" t="str">
        <f>VLOOKUP(C1741,HSD!B:K,2,FALSE)</f>
        <v>m3</v>
      </c>
      <c r="F1741" s="128">
        <v>1.2</v>
      </c>
      <c r="G1741" s="87">
        <f>VLOOKUP(C1741,HSD!B:K,10,FALSE)</f>
        <v>525030</v>
      </c>
      <c r="H1741" s="87">
        <f>F1741*G1741</f>
        <v>630036</v>
      </c>
      <c r="I1741" s="87">
        <v>232500</v>
      </c>
      <c r="J1741" s="87">
        <f>F1741*I1741</f>
        <v>279000</v>
      </c>
      <c r="K1741" s="87">
        <v>270000</v>
      </c>
      <c r="L1741" s="87">
        <f>F1741*K1741</f>
        <v>324000</v>
      </c>
    </row>
    <row r="1742" spans="1:12" ht="12" customHeight="1" x14ac:dyDescent="0.35">
      <c r="A1742" s="134">
        <v>211100113</v>
      </c>
      <c r="B1742" s="84"/>
      <c r="C1742" s="85" t="s">
        <v>49</v>
      </c>
      <c r="D1742" s="84" t="s">
        <v>418</v>
      </c>
      <c r="E1742" s="84" t="str">
        <f>VLOOKUP(C1742,HSD!B:K,2,FALSE)</f>
        <v>m3</v>
      </c>
      <c r="F1742" s="128">
        <v>0.52</v>
      </c>
      <c r="G1742" s="87">
        <f>VLOOKUP(C1742,HSD!B:K,10,FALSE)</f>
        <v>230880</v>
      </c>
      <c r="H1742" s="87">
        <f>F1742*G1742</f>
        <v>120057.60000000001</v>
      </c>
      <c r="I1742" s="87">
        <v>1060</v>
      </c>
      <c r="J1742" s="87">
        <f>F1742*I1742</f>
        <v>551.20000000000005</v>
      </c>
      <c r="K1742" s="87">
        <v>1060</v>
      </c>
      <c r="L1742" s="87">
        <f>F1742*K1742</f>
        <v>551.20000000000005</v>
      </c>
    </row>
    <row r="1743" spans="1:12" ht="12" customHeight="1" x14ac:dyDescent="0.35">
      <c r="A1743" s="134">
        <v>21301000</v>
      </c>
      <c r="B1743" s="84"/>
      <c r="C1743" s="85" t="s">
        <v>60</v>
      </c>
      <c r="D1743" s="84" t="s">
        <v>418</v>
      </c>
      <c r="E1743" s="84" t="str">
        <f>VLOOKUP(C1743,HSD!B:K,2,FALSE)</f>
        <v>kg</v>
      </c>
      <c r="F1743" s="128">
        <v>163</v>
      </c>
      <c r="G1743" s="87">
        <f>VLOOKUP(C1743,HSD!B:K,10,FALSE)</f>
        <v>2331</v>
      </c>
      <c r="H1743" s="87">
        <f>F1743*G1743</f>
        <v>379953</v>
      </c>
      <c r="I1743" s="87">
        <v>215000</v>
      </c>
      <c r="J1743" s="87">
        <f>F1743*I1743</f>
        <v>35045000</v>
      </c>
      <c r="K1743" s="87">
        <v>250000</v>
      </c>
      <c r="L1743" s="87">
        <f>F1743*K1743</f>
        <v>40750000</v>
      </c>
    </row>
    <row r="1744" spans="1:12" ht="12" customHeight="1" x14ac:dyDescent="0.35">
      <c r="B1744" s="84"/>
      <c r="C1744" s="85"/>
      <c r="D1744" s="84"/>
      <c r="E1744" s="84"/>
      <c r="F1744" s="128"/>
      <c r="G1744" s="87"/>
      <c r="H1744" s="87"/>
      <c r="I1744" s="87"/>
      <c r="J1744" s="87"/>
      <c r="K1744" s="87"/>
      <c r="L1744" s="87"/>
    </row>
    <row r="1745" spans="1:12" ht="12" customHeight="1" x14ac:dyDescent="0.35">
      <c r="B1745" s="84"/>
      <c r="C1745" s="88"/>
      <c r="D1745" s="79"/>
      <c r="E1745" s="79"/>
      <c r="F1745" s="129" t="s">
        <v>423</v>
      </c>
      <c r="G1745" s="129"/>
      <c r="H1745" s="87">
        <f>SUM(H1741:H1744)</f>
        <v>1130046.6000000001</v>
      </c>
      <c r="I1745" s="101"/>
      <c r="J1745" s="87" t="e">
        <f>SUM(#REF!)</f>
        <v>#REF!</v>
      </c>
      <c r="K1745" s="101"/>
      <c r="L1745" s="87" t="e">
        <f>SUM(#REF!)</f>
        <v>#REF!</v>
      </c>
    </row>
    <row r="1746" spans="1:12" ht="12" customHeight="1" x14ac:dyDescent="0.35">
      <c r="B1746" s="84" t="s">
        <v>7</v>
      </c>
      <c r="C1746" s="88" t="s">
        <v>424</v>
      </c>
      <c r="D1746" s="79"/>
      <c r="E1746" s="79"/>
      <c r="F1746" s="90"/>
      <c r="G1746" s="84"/>
      <c r="H1746" s="87"/>
      <c r="I1746" s="84"/>
      <c r="J1746" s="87"/>
      <c r="K1746" s="84"/>
      <c r="L1746" s="87"/>
    </row>
    <row r="1747" spans="1:12" ht="12" customHeight="1" x14ac:dyDescent="0.35">
      <c r="B1747" s="84"/>
      <c r="C1747" s="85"/>
      <c r="D1747" s="84"/>
      <c r="E1747" s="84"/>
      <c r="F1747" s="128"/>
      <c r="G1747" s="87"/>
      <c r="H1747" s="87">
        <f>F1747*G1747</f>
        <v>0</v>
      </c>
      <c r="I1747" s="87"/>
      <c r="J1747" s="87">
        <f>H1747*I1747</f>
        <v>0</v>
      </c>
      <c r="K1747" s="87"/>
      <c r="L1747" s="87">
        <f>J1747*K1747</f>
        <v>0</v>
      </c>
    </row>
    <row r="1748" spans="1:12" ht="12" customHeight="1" x14ac:dyDescent="0.35">
      <c r="B1748" s="84"/>
      <c r="C1748" s="85"/>
      <c r="D1748" s="84"/>
      <c r="E1748" s="84"/>
      <c r="F1748" s="128"/>
      <c r="G1748" s="87"/>
      <c r="H1748" s="87">
        <f>F1748*G1748</f>
        <v>0</v>
      </c>
      <c r="I1748" s="87"/>
      <c r="J1748" s="87"/>
      <c r="K1748" s="87"/>
      <c r="L1748" s="87"/>
    </row>
    <row r="1749" spans="1:12" ht="12" customHeight="1" x14ac:dyDescent="0.35">
      <c r="B1749" s="84"/>
      <c r="C1749" s="88"/>
      <c r="D1749" s="79"/>
      <c r="E1749" s="79"/>
      <c r="F1749" s="89" t="s">
        <v>425</v>
      </c>
      <c r="G1749" s="101"/>
      <c r="H1749" s="87">
        <f>SUM(H1747:H1748)</f>
        <v>0</v>
      </c>
      <c r="I1749" s="101"/>
      <c r="J1749" s="87">
        <f>SUM(J1747)</f>
        <v>0</v>
      </c>
      <c r="K1749" s="101"/>
      <c r="L1749" s="87">
        <f>SUM(L1747)</f>
        <v>0</v>
      </c>
    </row>
    <row r="1750" spans="1:12" ht="12" customHeight="1" x14ac:dyDescent="0.35">
      <c r="B1750" s="84" t="s">
        <v>8</v>
      </c>
      <c r="C1750" s="103" t="s">
        <v>426</v>
      </c>
      <c r="D1750" s="104"/>
      <c r="E1750" s="104"/>
      <c r="F1750" s="104"/>
      <c r="G1750" s="105"/>
      <c r="H1750" s="87">
        <f>H1739+H1745+H1749</f>
        <v>1457546.6</v>
      </c>
      <c r="I1750" s="105"/>
      <c r="J1750" s="87" t="e">
        <f>J1739+J1745+J1749</f>
        <v>#REF!</v>
      </c>
      <c r="K1750" s="105"/>
      <c r="L1750" s="87" t="e">
        <f>L1739+L1745+L1749</f>
        <v>#REF!</v>
      </c>
    </row>
    <row r="1751" spans="1:12" ht="12" customHeight="1" x14ac:dyDescent="0.35">
      <c r="B1751" s="84" t="s">
        <v>9</v>
      </c>
      <c r="C1751" s="455" t="s">
        <v>427</v>
      </c>
      <c r="D1751" s="455"/>
      <c r="E1751" s="455"/>
      <c r="F1751" s="95">
        <f>0</f>
        <v>0</v>
      </c>
      <c r="G1751" s="85" t="s">
        <v>428</v>
      </c>
      <c r="H1751" s="87">
        <f>H1750*F1751</f>
        <v>0</v>
      </c>
      <c r="I1751" s="85" t="s">
        <v>428</v>
      </c>
      <c r="J1751" s="87" t="e">
        <f>J1750*F1751</f>
        <v>#REF!</v>
      </c>
      <c r="K1751" s="85" t="s">
        <v>428</v>
      </c>
      <c r="L1751" s="87" t="e">
        <f>L1750*F1751</f>
        <v>#REF!</v>
      </c>
    </row>
    <row r="1752" spans="1:12" ht="12" customHeight="1" x14ac:dyDescent="0.35">
      <c r="B1752" s="84" t="s">
        <v>10</v>
      </c>
      <c r="C1752" s="103" t="s">
        <v>429</v>
      </c>
      <c r="D1752" s="104"/>
      <c r="E1752" s="104"/>
      <c r="F1752" s="104"/>
      <c r="G1752" s="105"/>
      <c r="H1752" s="96">
        <f>H1750+H1751</f>
        <v>1457546.6</v>
      </c>
      <c r="I1752" s="97"/>
      <c r="J1752" s="96" t="e">
        <f>J1750+J1751</f>
        <v>#REF!</v>
      </c>
      <c r="K1752" s="97"/>
      <c r="L1752" s="96" t="e">
        <f>L1750+L1751</f>
        <v>#REF!</v>
      </c>
    </row>
    <row r="1754" spans="1:12" ht="37" customHeight="1" x14ac:dyDescent="0.35">
      <c r="B1754" s="76" t="s">
        <v>666</v>
      </c>
      <c r="C1754" s="458" t="s">
        <v>665</v>
      </c>
      <c r="D1754" s="459"/>
      <c r="E1754" s="459"/>
      <c r="F1754" s="459"/>
      <c r="G1754" s="456"/>
      <c r="H1754" s="457"/>
      <c r="I1754" s="455" t="s">
        <v>3</v>
      </c>
      <c r="J1754" s="455"/>
      <c r="K1754" s="455" t="s">
        <v>4</v>
      </c>
      <c r="L1754" s="455"/>
    </row>
    <row r="1755" spans="1:12" ht="12" customHeight="1" x14ac:dyDescent="0.35">
      <c r="B1755" s="451" t="s">
        <v>409</v>
      </c>
      <c r="C1755" s="451" t="s">
        <v>410</v>
      </c>
      <c r="D1755" s="452" t="s">
        <v>411</v>
      </c>
      <c r="E1755" s="451" t="s">
        <v>412</v>
      </c>
      <c r="F1755" s="451" t="s">
        <v>413</v>
      </c>
      <c r="G1755" s="77" t="s">
        <v>414</v>
      </c>
      <c r="H1755" s="77" t="s">
        <v>415</v>
      </c>
      <c r="I1755" s="78" t="s">
        <v>414</v>
      </c>
      <c r="J1755" s="79" t="s">
        <v>415</v>
      </c>
      <c r="K1755" s="79" t="s">
        <v>414</v>
      </c>
      <c r="L1755" s="79" t="s">
        <v>415</v>
      </c>
    </row>
    <row r="1756" spans="1:12" ht="12" customHeight="1" x14ac:dyDescent="0.35">
      <c r="B1756" s="451"/>
      <c r="C1756" s="451"/>
      <c r="D1756" s="453"/>
      <c r="E1756" s="451"/>
      <c r="F1756" s="451"/>
      <c r="G1756" s="77" t="s">
        <v>17</v>
      </c>
      <c r="H1756" s="77" t="s">
        <v>416</v>
      </c>
      <c r="I1756" s="78" t="s">
        <v>17</v>
      </c>
      <c r="J1756" s="79" t="s">
        <v>416</v>
      </c>
      <c r="K1756" s="79" t="s">
        <v>17</v>
      </c>
      <c r="L1756" s="79" t="s">
        <v>416</v>
      </c>
    </row>
    <row r="1757" spans="1:12" ht="12" customHeight="1" x14ac:dyDescent="0.35">
      <c r="B1757" s="451"/>
      <c r="C1757" s="451"/>
      <c r="D1757" s="454"/>
      <c r="E1757" s="451"/>
      <c r="F1757" s="451"/>
      <c r="G1757" s="106"/>
      <c r="H1757" s="77" t="s">
        <v>17</v>
      </c>
      <c r="I1757" s="94"/>
      <c r="J1757" s="79" t="s">
        <v>17</v>
      </c>
      <c r="K1757" s="85"/>
      <c r="L1757" s="79" t="s">
        <v>17</v>
      </c>
    </row>
    <row r="1758" spans="1:12" ht="12" customHeight="1" x14ac:dyDescent="0.35">
      <c r="B1758" s="80" t="s">
        <v>5</v>
      </c>
      <c r="C1758" s="81" t="s">
        <v>417</v>
      </c>
      <c r="D1758" s="82"/>
      <c r="E1758" s="82"/>
      <c r="F1758" s="82"/>
      <c r="G1758" s="82"/>
      <c r="H1758" s="82"/>
      <c r="I1758" s="83"/>
      <c r="J1758" s="83"/>
      <c r="K1758" s="83"/>
      <c r="L1758" s="83"/>
    </row>
    <row r="1759" spans="1:12" ht="12" customHeight="1" x14ac:dyDescent="0.35">
      <c r="A1759" s="134">
        <v>10130000</v>
      </c>
      <c r="B1759" s="84"/>
      <c r="C1759" s="85" t="s">
        <v>28</v>
      </c>
      <c r="D1759" s="84" t="s">
        <v>418</v>
      </c>
      <c r="E1759" s="84" t="str">
        <f>VLOOKUP(C1759,HSD!B:K,2,FALSE)</f>
        <v>OH</v>
      </c>
      <c r="F1759" s="128">
        <v>1</v>
      </c>
      <c r="G1759" s="87">
        <f>VLOOKUP(C1759,HSD!B:K,10,FALSE)</f>
        <v>120000</v>
      </c>
      <c r="H1759" s="87">
        <f>F1759*G1759</f>
        <v>120000</v>
      </c>
      <c r="I1759" s="87">
        <v>91500</v>
      </c>
      <c r="J1759" s="87">
        <f>F1759*I1759</f>
        <v>91500</v>
      </c>
      <c r="K1759" s="87">
        <v>91500</v>
      </c>
      <c r="L1759" s="87">
        <f>F1759*K1759</f>
        <v>91500</v>
      </c>
    </row>
    <row r="1760" spans="1:12" ht="12" customHeight="1" x14ac:dyDescent="0.35">
      <c r="A1760" s="134">
        <v>10143000</v>
      </c>
      <c r="B1760" s="84"/>
      <c r="C1760" s="85" t="s">
        <v>435</v>
      </c>
      <c r="D1760" s="84" t="s">
        <v>418</v>
      </c>
      <c r="E1760" s="84" t="str">
        <f>VLOOKUP(C1760,HSD!B:K,2,FALSE)</f>
        <v>OH</v>
      </c>
      <c r="F1760" s="128">
        <v>0.5</v>
      </c>
      <c r="G1760" s="87">
        <f>VLOOKUP(C1760,HSD!B:K,10,FALSE)</f>
        <v>250000</v>
      </c>
      <c r="H1760" s="87">
        <f>F1760*G1760</f>
        <v>125000</v>
      </c>
      <c r="I1760" s="87"/>
      <c r="J1760" s="87"/>
      <c r="K1760" s="87"/>
      <c r="L1760" s="87"/>
    </row>
    <row r="1761" spans="1:12" ht="12" customHeight="1" x14ac:dyDescent="0.35">
      <c r="A1761" s="134">
        <v>10110000</v>
      </c>
      <c r="B1761" s="84"/>
      <c r="C1761" s="85" t="s">
        <v>30</v>
      </c>
      <c r="D1761" s="84" t="s">
        <v>418</v>
      </c>
      <c r="E1761" s="84" t="str">
        <f>VLOOKUP(C1761,HSD!B:K,2,FALSE)</f>
        <v>OH</v>
      </c>
      <c r="F1761" s="128">
        <v>0.1</v>
      </c>
      <c r="G1761" s="87">
        <f>VLOOKUP(C1761,HSD!B:K,10,FALSE)</f>
        <v>150000</v>
      </c>
      <c r="H1761" s="87">
        <f>F1761*G1761</f>
        <v>15000</v>
      </c>
      <c r="I1761" s="87">
        <v>78600</v>
      </c>
      <c r="J1761" s="87">
        <f>F1761*I1761</f>
        <v>7860</v>
      </c>
      <c r="K1761" s="87">
        <v>78600</v>
      </c>
      <c r="L1761" s="87">
        <f>F1761*K1761</f>
        <v>7860</v>
      </c>
    </row>
    <row r="1762" spans="1:12" ht="12" customHeight="1" x14ac:dyDescent="0.35">
      <c r="B1762" s="84"/>
      <c r="C1762" s="85"/>
      <c r="D1762" s="84"/>
      <c r="E1762" s="84"/>
      <c r="F1762" s="86"/>
      <c r="G1762" s="87"/>
      <c r="H1762" s="87">
        <f>F1762*G1762</f>
        <v>0</v>
      </c>
      <c r="I1762" s="87">
        <v>92500</v>
      </c>
      <c r="J1762" s="87">
        <f>F1762*I1762</f>
        <v>0</v>
      </c>
      <c r="K1762" s="87">
        <v>92500</v>
      </c>
      <c r="L1762" s="87">
        <f>F1762*K1762</f>
        <v>0</v>
      </c>
    </row>
    <row r="1763" spans="1:12" ht="12" customHeight="1" x14ac:dyDescent="0.35">
      <c r="B1763" s="84"/>
      <c r="C1763" s="85"/>
      <c r="D1763" s="84"/>
      <c r="E1763" s="84"/>
      <c r="F1763" s="86"/>
      <c r="G1763" s="87"/>
      <c r="H1763" s="87"/>
      <c r="I1763" s="87"/>
      <c r="J1763" s="87"/>
      <c r="K1763" s="87"/>
      <c r="L1763" s="87"/>
    </row>
    <row r="1764" spans="1:12" ht="12" customHeight="1" x14ac:dyDescent="0.35">
      <c r="B1764" s="84"/>
      <c r="C1764" s="88"/>
      <c r="D1764" s="79"/>
      <c r="E1764" s="79"/>
      <c r="F1764" s="89" t="s">
        <v>421</v>
      </c>
      <c r="G1764" s="101"/>
      <c r="H1764" s="87">
        <f>SUM(H1759:H1763)</f>
        <v>260000</v>
      </c>
      <c r="I1764" s="101"/>
      <c r="J1764" s="87">
        <f>SUM(J1761:J1763)</f>
        <v>7860</v>
      </c>
      <c r="K1764" s="101"/>
      <c r="L1764" s="87">
        <f>SUM(L1761:L1763)</f>
        <v>7860</v>
      </c>
    </row>
    <row r="1765" spans="1:12" ht="12" customHeight="1" x14ac:dyDescent="0.35">
      <c r="B1765" s="84" t="s">
        <v>6</v>
      </c>
      <c r="C1765" s="88" t="s">
        <v>422</v>
      </c>
      <c r="D1765" s="79"/>
      <c r="E1765" s="79"/>
      <c r="F1765" s="90"/>
      <c r="G1765" s="84"/>
      <c r="H1765" s="87"/>
      <c r="I1765" s="84"/>
      <c r="J1765" s="87"/>
      <c r="K1765" s="84"/>
      <c r="L1765" s="87"/>
    </row>
    <row r="1766" spans="1:12" ht="12" customHeight="1" x14ac:dyDescent="0.35">
      <c r="A1766" s="134">
        <v>211100102</v>
      </c>
      <c r="B1766" s="84"/>
      <c r="C1766" s="85" t="s">
        <v>1794</v>
      </c>
      <c r="D1766" s="84" t="s">
        <v>418</v>
      </c>
      <c r="E1766" s="84" t="str">
        <f>VLOOKUP(C1766,HSD!B:K,2,FALSE)</f>
        <v>m3</v>
      </c>
      <c r="F1766" s="128">
        <v>1.2</v>
      </c>
      <c r="G1766" s="87">
        <f>VLOOKUP(C1766,HSD!B:K,10,FALSE)</f>
        <v>525030</v>
      </c>
      <c r="H1766" s="87">
        <f>F1766*G1766</f>
        <v>630036</v>
      </c>
      <c r="I1766" s="87">
        <v>232500</v>
      </c>
      <c r="J1766" s="87">
        <f>F1766*I1766</f>
        <v>279000</v>
      </c>
      <c r="K1766" s="87">
        <v>270000</v>
      </c>
      <c r="L1766" s="87">
        <f>F1766*K1766</f>
        <v>324000</v>
      </c>
    </row>
    <row r="1767" spans="1:12" ht="12" customHeight="1" x14ac:dyDescent="0.35">
      <c r="A1767" s="134">
        <v>211100113</v>
      </c>
      <c r="B1767" s="84"/>
      <c r="C1767" s="85" t="s">
        <v>49</v>
      </c>
      <c r="D1767" s="84" t="s">
        <v>418</v>
      </c>
      <c r="E1767" s="84" t="str">
        <f>VLOOKUP(C1767,HSD!B:K,2,FALSE)</f>
        <v>m3</v>
      </c>
      <c r="F1767" s="128">
        <v>0.52</v>
      </c>
      <c r="G1767" s="87">
        <f>VLOOKUP(C1767,HSD!B:K,10,FALSE)</f>
        <v>230880</v>
      </c>
      <c r="H1767" s="87">
        <f>F1767*G1767</f>
        <v>120057.60000000001</v>
      </c>
      <c r="I1767" s="87">
        <v>1060</v>
      </c>
      <c r="J1767" s="87">
        <f>F1767*I1767</f>
        <v>551.20000000000005</v>
      </c>
      <c r="K1767" s="87">
        <v>1060</v>
      </c>
      <c r="L1767" s="87">
        <f>F1767*K1767</f>
        <v>551.20000000000005</v>
      </c>
    </row>
    <row r="1768" spans="1:12" ht="12" customHeight="1" x14ac:dyDescent="0.35">
      <c r="A1768" s="134">
        <v>21301000</v>
      </c>
      <c r="B1768" s="84"/>
      <c r="C1768" s="85" t="s">
        <v>60</v>
      </c>
      <c r="D1768" s="84" t="s">
        <v>418</v>
      </c>
      <c r="E1768" s="84" t="str">
        <f>VLOOKUP(C1768,HSD!B:K,2,FALSE)</f>
        <v>kg</v>
      </c>
      <c r="F1768" s="128">
        <v>163</v>
      </c>
      <c r="G1768" s="87">
        <f>VLOOKUP(C1768,HSD!B:K,10,FALSE)</f>
        <v>2331</v>
      </c>
      <c r="H1768" s="87">
        <f>F1768*G1768</f>
        <v>379953</v>
      </c>
      <c r="I1768" s="87">
        <v>215000</v>
      </c>
      <c r="J1768" s="87">
        <f>F1768*I1768</f>
        <v>35045000</v>
      </c>
      <c r="K1768" s="87">
        <v>250000</v>
      </c>
      <c r="L1768" s="87">
        <f>F1768*K1768</f>
        <v>40750000</v>
      </c>
    </row>
    <row r="1769" spans="1:12" ht="12" customHeight="1" x14ac:dyDescent="0.35">
      <c r="B1769" s="84"/>
      <c r="C1769" s="85"/>
      <c r="D1769" s="84"/>
      <c r="E1769" s="84"/>
      <c r="F1769" s="128"/>
      <c r="G1769" s="87"/>
      <c r="H1769" s="87"/>
      <c r="I1769" s="87"/>
      <c r="J1769" s="87"/>
      <c r="K1769" s="87"/>
      <c r="L1769" s="87"/>
    </row>
    <row r="1770" spans="1:12" ht="12" customHeight="1" x14ac:dyDescent="0.35">
      <c r="B1770" s="84"/>
      <c r="C1770" s="88"/>
      <c r="D1770" s="79"/>
      <c r="E1770" s="79"/>
      <c r="F1770" s="129" t="s">
        <v>423</v>
      </c>
      <c r="G1770" s="129"/>
      <c r="H1770" s="87">
        <f>SUM(H1766:H1769)</f>
        <v>1130046.6000000001</v>
      </c>
      <c r="I1770" s="101"/>
      <c r="J1770" s="87" t="e">
        <f>SUM(#REF!)</f>
        <v>#REF!</v>
      </c>
      <c r="K1770" s="101"/>
      <c r="L1770" s="87" t="e">
        <f>SUM(#REF!)</f>
        <v>#REF!</v>
      </c>
    </row>
    <row r="1771" spans="1:12" ht="12" customHeight="1" x14ac:dyDescent="0.35">
      <c r="B1771" s="84" t="s">
        <v>7</v>
      </c>
      <c r="C1771" s="88" t="s">
        <v>424</v>
      </c>
      <c r="D1771" s="79"/>
      <c r="E1771" s="79"/>
      <c r="F1771" s="90"/>
      <c r="G1771" s="84"/>
      <c r="H1771" s="87"/>
      <c r="I1771" s="84"/>
      <c r="J1771" s="87"/>
      <c r="K1771" s="84"/>
      <c r="L1771" s="87"/>
    </row>
    <row r="1772" spans="1:12" ht="12" customHeight="1" x14ac:dyDescent="0.35">
      <c r="A1772" s="134">
        <v>31100004</v>
      </c>
      <c r="B1772" s="84"/>
      <c r="C1772" s="85" t="s">
        <v>1829</v>
      </c>
      <c r="D1772" s="84" t="s">
        <v>418</v>
      </c>
      <c r="E1772" s="84" t="str">
        <f>VLOOKUP(C1772,HSD!B:K,2,FALSE)</f>
        <v>Sewa-hari</v>
      </c>
      <c r="F1772" s="128">
        <v>4.4299999999999999E-2</v>
      </c>
      <c r="G1772" s="87">
        <f>VLOOKUP(C1772,HSD!B:K,10,FALSE)</f>
        <v>126984</v>
      </c>
      <c r="H1772" s="87">
        <f>F1772*G1772</f>
        <v>5625.3912</v>
      </c>
      <c r="I1772" s="87"/>
      <c r="J1772" s="87">
        <f>H1772*I1772</f>
        <v>0</v>
      </c>
      <c r="K1772" s="87"/>
      <c r="L1772" s="87">
        <f>J1772*K1772</f>
        <v>0</v>
      </c>
    </row>
    <row r="1773" spans="1:12" ht="12" customHeight="1" x14ac:dyDescent="0.35">
      <c r="B1773" s="84"/>
      <c r="C1773" s="85"/>
      <c r="D1773" s="84"/>
      <c r="E1773" s="84"/>
      <c r="F1773" s="128"/>
      <c r="G1773" s="87"/>
      <c r="H1773" s="87">
        <f>F1773*G1773</f>
        <v>0</v>
      </c>
      <c r="I1773" s="87"/>
      <c r="J1773" s="87"/>
      <c r="K1773" s="87"/>
      <c r="L1773" s="87"/>
    </row>
    <row r="1774" spans="1:12" ht="12" customHeight="1" x14ac:dyDescent="0.35">
      <c r="B1774" s="84"/>
      <c r="C1774" s="88"/>
      <c r="D1774" s="79"/>
      <c r="E1774" s="79"/>
      <c r="F1774" s="89" t="s">
        <v>425</v>
      </c>
      <c r="G1774" s="101"/>
      <c r="H1774" s="87">
        <f>SUM(H1772:H1773)</f>
        <v>5625.3912</v>
      </c>
      <c r="I1774" s="101"/>
      <c r="J1774" s="87">
        <f>SUM(J1772)</f>
        <v>0</v>
      </c>
      <c r="K1774" s="101"/>
      <c r="L1774" s="87">
        <f>SUM(L1772)</f>
        <v>0</v>
      </c>
    </row>
    <row r="1775" spans="1:12" ht="12" customHeight="1" x14ac:dyDescent="0.35">
      <c r="B1775" s="84" t="s">
        <v>8</v>
      </c>
      <c r="C1775" s="103" t="s">
        <v>426</v>
      </c>
      <c r="D1775" s="104"/>
      <c r="E1775" s="104"/>
      <c r="F1775" s="104"/>
      <c r="G1775" s="105"/>
      <c r="H1775" s="87">
        <f>H1764+H1770+H1774</f>
        <v>1395671.9912</v>
      </c>
      <c r="I1775" s="105"/>
      <c r="J1775" s="87" t="e">
        <f>J1764+J1770+J1774</f>
        <v>#REF!</v>
      </c>
      <c r="K1775" s="105"/>
      <c r="L1775" s="87" t="e">
        <f>L1764+L1770+L1774</f>
        <v>#REF!</v>
      </c>
    </row>
    <row r="1776" spans="1:12" ht="12" customHeight="1" x14ac:dyDescent="0.35">
      <c r="B1776" s="84" t="s">
        <v>9</v>
      </c>
      <c r="C1776" s="455" t="s">
        <v>427</v>
      </c>
      <c r="D1776" s="455"/>
      <c r="E1776" s="455"/>
      <c r="F1776" s="95">
        <f>0</f>
        <v>0</v>
      </c>
      <c r="G1776" s="85" t="s">
        <v>428</v>
      </c>
      <c r="H1776" s="87">
        <f>H1775*F1776</f>
        <v>0</v>
      </c>
      <c r="I1776" s="85" t="s">
        <v>428</v>
      </c>
      <c r="J1776" s="87" t="e">
        <f>J1775*F1776</f>
        <v>#REF!</v>
      </c>
      <c r="K1776" s="85" t="s">
        <v>428</v>
      </c>
      <c r="L1776" s="87" t="e">
        <f>L1775*F1776</f>
        <v>#REF!</v>
      </c>
    </row>
    <row r="1777" spans="1:12" ht="12" customHeight="1" x14ac:dyDescent="0.35">
      <c r="B1777" s="84" t="s">
        <v>10</v>
      </c>
      <c r="C1777" s="103" t="s">
        <v>429</v>
      </c>
      <c r="D1777" s="104"/>
      <c r="E1777" s="104"/>
      <c r="F1777" s="104"/>
      <c r="G1777" s="105"/>
      <c r="H1777" s="96">
        <f>H1775+H1776</f>
        <v>1395671.9912</v>
      </c>
      <c r="I1777" s="97"/>
      <c r="J1777" s="96" t="e">
        <f>J1775+J1776</f>
        <v>#REF!</v>
      </c>
      <c r="K1777" s="97"/>
      <c r="L1777" s="96" t="e">
        <f>L1775+L1776</f>
        <v>#REF!</v>
      </c>
    </row>
    <row r="1779" spans="1:12" ht="37" customHeight="1" x14ac:dyDescent="0.35">
      <c r="B1779" s="76" t="s">
        <v>638</v>
      </c>
      <c r="C1779" s="458" t="s">
        <v>639</v>
      </c>
      <c r="D1779" s="459"/>
      <c r="E1779" s="459"/>
      <c r="F1779" s="459"/>
      <c r="G1779" s="456"/>
      <c r="H1779" s="457"/>
      <c r="I1779" s="455" t="s">
        <v>3</v>
      </c>
      <c r="J1779" s="455"/>
      <c r="K1779" s="455" t="s">
        <v>4</v>
      </c>
      <c r="L1779" s="455"/>
    </row>
    <row r="1780" spans="1:12" ht="12" customHeight="1" x14ac:dyDescent="0.35">
      <c r="B1780" s="451" t="s">
        <v>409</v>
      </c>
      <c r="C1780" s="451" t="s">
        <v>410</v>
      </c>
      <c r="D1780" s="452" t="s">
        <v>411</v>
      </c>
      <c r="E1780" s="451" t="s">
        <v>412</v>
      </c>
      <c r="F1780" s="451" t="s">
        <v>413</v>
      </c>
      <c r="G1780" s="77" t="s">
        <v>414</v>
      </c>
      <c r="H1780" s="77" t="s">
        <v>415</v>
      </c>
      <c r="I1780" s="78" t="s">
        <v>414</v>
      </c>
      <c r="J1780" s="79" t="s">
        <v>415</v>
      </c>
      <c r="K1780" s="79" t="s">
        <v>414</v>
      </c>
      <c r="L1780" s="79" t="s">
        <v>415</v>
      </c>
    </row>
    <row r="1781" spans="1:12" ht="12" customHeight="1" x14ac:dyDescent="0.35">
      <c r="B1781" s="451"/>
      <c r="C1781" s="451"/>
      <c r="D1781" s="453"/>
      <c r="E1781" s="451"/>
      <c r="F1781" s="451"/>
      <c r="G1781" s="77" t="s">
        <v>17</v>
      </c>
      <c r="H1781" s="77" t="s">
        <v>416</v>
      </c>
      <c r="I1781" s="78" t="s">
        <v>17</v>
      </c>
      <c r="J1781" s="79" t="s">
        <v>416</v>
      </c>
      <c r="K1781" s="79" t="s">
        <v>17</v>
      </c>
      <c r="L1781" s="79" t="s">
        <v>416</v>
      </c>
    </row>
    <row r="1782" spans="1:12" ht="12" customHeight="1" x14ac:dyDescent="0.35">
      <c r="B1782" s="451"/>
      <c r="C1782" s="451"/>
      <c r="D1782" s="454"/>
      <c r="E1782" s="451"/>
      <c r="F1782" s="451"/>
      <c r="G1782" s="106"/>
      <c r="H1782" s="77" t="s">
        <v>17</v>
      </c>
      <c r="I1782" s="94"/>
      <c r="J1782" s="79" t="s">
        <v>17</v>
      </c>
      <c r="K1782" s="85"/>
      <c r="L1782" s="79" t="s">
        <v>17</v>
      </c>
    </row>
    <row r="1783" spans="1:12" ht="12" customHeight="1" x14ac:dyDescent="0.35">
      <c r="B1783" s="80" t="s">
        <v>5</v>
      </c>
      <c r="C1783" s="81" t="s">
        <v>417</v>
      </c>
      <c r="D1783" s="82"/>
      <c r="E1783" s="82"/>
      <c r="F1783" s="82"/>
      <c r="G1783" s="82"/>
      <c r="H1783" s="82"/>
      <c r="I1783" s="83"/>
      <c r="J1783" s="83"/>
      <c r="K1783" s="83"/>
      <c r="L1783" s="83"/>
    </row>
    <row r="1784" spans="1:12" ht="12" customHeight="1" x14ac:dyDescent="0.35">
      <c r="A1784" s="134">
        <v>10130000</v>
      </c>
      <c r="B1784" s="84"/>
      <c r="C1784" s="85" t="s">
        <v>28</v>
      </c>
      <c r="D1784" s="84" t="s">
        <v>418</v>
      </c>
      <c r="E1784" s="84" t="str">
        <f>VLOOKUP(C1784,HSD!B:K,2,FALSE)</f>
        <v>OH</v>
      </c>
      <c r="F1784" s="128">
        <v>0.2</v>
      </c>
      <c r="G1784" s="87">
        <f>VLOOKUP(C1784,HSD!B:K,10,FALSE)</f>
        <v>120000</v>
      </c>
      <c r="H1784" s="87">
        <f>F1784*G1784</f>
        <v>24000</v>
      </c>
      <c r="I1784" s="87">
        <v>91500</v>
      </c>
      <c r="J1784" s="87">
        <f>F1784*I1784</f>
        <v>18300</v>
      </c>
      <c r="K1784" s="87">
        <v>91500</v>
      </c>
      <c r="L1784" s="87">
        <f>F1784*K1784</f>
        <v>18300</v>
      </c>
    </row>
    <row r="1785" spans="1:12" ht="12" customHeight="1" x14ac:dyDescent="0.35">
      <c r="A1785" s="134">
        <v>10143000</v>
      </c>
      <c r="B1785" s="84"/>
      <c r="C1785" s="85" t="s">
        <v>435</v>
      </c>
      <c r="D1785" s="84" t="s">
        <v>418</v>
      </c>
      <c r="E1785" s="84" t="str">
        <f>VLOOKUP(C1785,HSD!B:K,2,FALSE)</f>
        <v>OH</v>
      </c>
      <c r="F1785" s="128"/>
      <c r="G1785" s="87">
        <f>VLOOKUP(C1785,HSD!B:K,10,FALSE)</f>
        <v>250000</v>
      </c>
      <c r="H1785" s="87">
        <f>F1785*G1785</f>
        <v>0</v>
      </c>
      <c r="I1785" s="87"/>
      <c r="J1785" s="87"/>
      <c r="K1785" s="87"/>
      <c r="L1785" s="87"/>
    </row>
    <row r="1786" spans="1:12" ht="12" customHeight="1" x14ac:dyDescent="0.35">
      <c r="A1786" s="134">
        <v>10110000</v>
      </c>
      <c r="B1786" s="84"/>
      <c r="C1786" s="85" t="s">
        <v>30</v>
      </c>
      <c r="D1786" s="84" t="s">
        <v>418</v>
      </c>
      <c r="E1786" s="84" t="str">
        <f>VLOOKUP(C1786,HSD!B:K,2,FALSE)</f>
        <v>OH</v>
      </c>
      <c r="F1786" s="128">
        <f>F1784/10</f>
        <v>0.02</v>
      </c>
      <c r="G1786" s="87">
        <f>VLOOKUP(C1786,HSD!B:K,10,FALSE)</f>
        <v>150000</v>
      </c>
      <c r="H1786" s="87">
        <f>F1786*G1786</f>
        <v>3000</v>
      </c>
      <c r="I1786" s="87">
        <v>78600</v>
      </c>
      <c r="J1786" s="87">
        <f>F1786*I1786</f>
        <v>1572</v>
      </c>
      <c r="K1786" s="87">
        <v>78600</v>
      </c>
      <c r="L1786" s="87">
        <f>F1786*K1786</f>
        <v>1572</v>
      </c>
    </row>
    <row r="1787" spans="1:12" ht="12" customHeight="1" x14ac:dyDescent="0.35">
      <c r="B1787" s="84"/>
      <c r="C1787" s="85"/>
      <c r="D1787" s="84"/>
      <c r="E1787" s="84"/>
      <c r="F1787" s="86"/>
      <c r="G1787" s="87"/>
      <c r="H1787" s="87">
        <f>F1787*G1787</f>
        <v>0</v>
      </c>
      <c r="I1787" s="87">
        <v>92500</v>
      </c>
      <c r="J1787" s="87">
        <f>F1787*I1787</f>
        <v>0</v>
      </c>
      <c r="K1787" s="87">
        <v>92500</v>
      </c>
      <c r="L1787" s="87">
        <f>F1787*K1787</f>
        <v>0</v>
      </c>
    </row>
    <row r="1788" spans="1:12" ht="12" customHeight="1" x14ac:dyDescent="0.35">
      <c r="B1788" s="84"/>
      <c r="C1788" s="85"/>
      <c r="D1788" s="84"/>
      <c r="E1788" s="84"/>
      <c r="F1788" s="86"/>
      <c r="G1788" s="87"/>
      <c r="H1788" s="87"/>
      <c r="I1788" s="87"/>
      <c r="J1788" s="87"/>
      <c r="K1788" s="87"/>
      <c r="L1788" s="87"/>
    </row>
    <row r="1789" spans="1:12" ht="12" customHeight="1" x14ac:dyDescent="0.35">
      <c r="B1789" s="84"/>
      <c r="C1789" s="88"/>
      <c r="D1789" s="79"/>
      <c r="E1789" s="79"/>
      <c r="F1789" s="89" t="s">
        <v>421</v>
      </c>
      <c r="G1789" s="101"/>
      <c r="H1789" s="87">
        <f>SUM(H1784:H1788)</f>
        <v>27000</v>
      </c>
      <c r="I1789" s="101"/>
      <c r="J1789" s="87">
        <f>SUM(J1786:J1788)</f>
        <v>1572</v>
      </c>
      <c r="K1789" s="101"/>
      <c r="L1789" s="87">
        <f>SUM(L1786:L1788)</f>
        <v>1572</v>
      </c>
    </row>
    <row r="1790" spans="1:12" ht="12" customHeight="1" x14ac:dyDescent="0.35">
      <c r="B1790" s="84" t="s">
        <v>6</v>
      </c>
      <c r="C1790" s="88" t="s">
        <v>422</v>
      </c>
      <c r="D1790" s="79"/>
      <c r="E1790" s="79"/>
      <c r="F1790" s="90"/>
      <c r="G1790" s="84"/>
      <c r="H1790" s="87"/>
      <c r="I1790" s="84"/>
      <c r="J1790" s="87"/>
      <c r="K1790" s="84"/>
      <c r="L1790" s="87"/>
    </row>
    <row r="1791" spans="1:12" ht="12" customHeight="1" x14ac:dyDescent="0.35">
      <c r="B1791" s="84"/>
      <c r="C1791" s="85"/>
      <c r="D1791" s="84"/>
      <c r="E1791" s="84"/>
      <c r="F1791" s="128"/>
      <c r="G1791" s="87"/>
      <c r="H1791" s="87">
        <f>F1791*G1791</f>
        <v>0</v>
      </c>
      <c r="I1791" s="87">
        <v>232500</v>
      </c>
      <c r="J1791" s="87">
        <f>F1791*I1791</f>
        <v>0</v>
      </c>
      <c r="K1791" s="87">
        <v>270000</v>
      </c>
      <c r="L1791" s="87">
        <f>F1791*K1791</f>
        <v>0</v>
      </c>
    </row>
    <row r="1792" spans="1:12" ht="12" customHeight="1" x14ac:dyDescent="0.35">
      <c r="B1792" s="84"/>
      <c r="C1792" s="85"/>
      <c r="D1792" s="84"/>
      <c r="E1792" s="84"/>
      <c r="F1792" s="128"/>
      <c r="G1792" s="87"/>
      <c r="H1792" s="87">
        <f>F1792*G1792</f>
        <v>0</v>
      </c>
      <c r="I1792" s="87">
        <v>1060</v>
      </c>
      <c r="J1792" s="87">
        <f>F1792*I1792</f>
        <v>0</v>
      </c>
      <c r="K1792" s="87">
        <v>1060</v>
      </c>
      <c r="L1792" s="87">
        <f>F1792*K1792</f>
        <v>0</v>
      </c>
    </row>
    <row r="1793" spans="1:12" ht="12" customHeight="1" x14ac:dyDescent="0.35">
      <c r="B1793" s="84"/>
      <c r="C1793" s="85"/>
      <c r="D1793" s="84"/>
      <c r="E1793" s="84"/>
      <c r="F1793" s="128"/>
      <c r="G1793" s="87"/>
      <c r="H1793" s="87">
        <f>F1793*G1793</f>
        <v>0</v>
      </c>
      <c r="I1793" s="87">
        <v>215000</v>
      </c>
      <c r="J1793" s="87">
        <f>F1793*I1793</f>
        <v>0</v>
      </c>
      <c r="K1793" s="87">
        <v>250000</v>
      </c>
      <c r="L1793" s="87">
        <f>F1793*K1793</f>
        <v>0</v>
      </c>
    </row>
    <row r="1794" spans="1:12" ht="12" customHeight="1" x14ac:dyDescent="0.35">
      <c r="B1794" s="84"/>
      <c r="C1794" s="85"/>
      <c r="D1794" s="84"/>
      <c r="E1794" s="84"/>
      <c r="F1794" s="128"/>
      <c r="G1794" s="87"/>
      <c r="H1794" s="87"/>
      <c r="I1794" s="87"/>
      <c r="J1794" s="87"/>
      <c r="K1794" s="87"/>
      <c r="L1794" s="87"/>
    </row>
    <row r="1795" spans="1:12" ht="12" customHeight="1" x14ac:dyDescent="0.35">
      <c r="B1795" s="84"/>
      <c r="C1795" s="88"/>
      <c r="D1795" s="79"/>
      <c r="E1795" s="79"/>
      <c r="F1795" s="129" t="s">
        <v>423</v>
      </c>
      <c r="G1795" s="129"/>
      <c r="H1795" s="87">
        <f>SUM(H1791:H1794)</f>
        <v>0</v>
      </c>
      <c r="I1795" s="101"/>
      <c r="J1795" s="87" t="e">
        <f>SUM(#REF!)</f>
        <v>#REF!</v>
      </c>
      <c r="K1795" s="101"/>
      <c r="L1795" s="87" t="e">
        <f>SUM(#REF!)</f>
        <v>#REF!</v>
      </c>
    </row>
    <row r="1796" spans="1:12" ht="12" customHeight="1" x14ac:dyDescent="0.35">
      <c r="B1796" s="84" t="s">
        <v>7</v>
      </c>
      <c r="C1796" s="88" t="s">
        <v>424</v>
      </c>
      <c r="D1796" s="79"/>
      <c r="E1796" s="79"/>
      <c r="F1796" s="90"/>
      <c r="G1796" s="84"/>
      <c r="H1796" s="87"/>
      <c r="I1796" s="84"/>
      <c r="J1796" s="87"/>
      <c r="K1796" s="84"/>
      <c r="L1796" s="87"/>
    </row>
    <row r="1797" spans="1:12" ht="12" customHeight="1" x14ac:dyDescent="0.35">
      <c r="A1797" s="134">
        <v>31210000</v>
      </c>
      <c r="B1797" s="84"/>
      <c r="C1797" s="85" t="s">
        <v>472</v>
      </c>
      <c r="D1797" s="84" t="s">
        <v>418</v>
      </c>
      <c r="E1797" s="84" t="str">
        <f>VLOOKUP(C1797,HSD!B:K,2,FALSE)</f>
        <v>jam</v>
      </c>
      <c r="F1797" s="128">
        <v>0.04</v>
      </c>
      <c r="G1797" s="87">
        <f>VLOOKUP(C1797,HSD!B:K,10,FALSE)</f>
        <v>493079</v>
      </c>
      <c r="H1797" s="87">
        <f>F1797*G1797</f>
        <v>19723.16</v>
      </c>
      <c r="I1797" s="87"/>
      <c r="J1797" s="87">
        <f>H1797*I1797</f>
        <v>0</v>
      </c>
      <c r="K1797" s="87"/>
      <c r="L1797" s="87">
        <f>J1797*K1797</f>
        <v>0</v>
      </c>
    </row>
    <row r="1798" spans="1:12" ht="12" customHeight="1" x14ac:dyDescent="0.35">
      <c r="B1798" s="84"/>
      <c r="C1798" s="85"/>
      <c r="D1798" s="84"/>
      <c r="E1798" s="84"/>
      <c r="F1798" s="128"/>
      <c r="G1798" s="87"/>
      <c r="H1798" s="87"/>
      <c r="I1798" s="87"/>
      <c r="J1798" s="87"/>
      <c r="K1798" s="87"/>
      <c r="L1798" s="87"/>
    </row>
    <row r="1799" spans="1:12" ht="12" customHeight="1" x14ac:dyDescent="0.35">
      <c r="B1799" s="84"/>
      <c r="C1799" s="85"/>
      <c r="D1799" s="84"/>
      <c r="E1799" s="84"/>
      <c r="F1799" s="128"/>
      <c r="G1799" s="87"/>
      <c r="H1799" s="87">
        <f>F1799*G1799</f>
        <v>0</v>
      </c>
      <c r="I1799" s="87"/>
      <c r="J1799" s="87"/>
      <c r="K1799" s="87"/>
      <c r="L1799" s="87"/>
    </row>
    <row r="1800" spans="1:12" ht="12" customHeight="1" x14ac:dyDescent="0.35">
      <c r="B1800" s="84"/>
      <c r="C1800" s="88"/>
      <c r="D1800" s="79"/>
      <c r="E1800" s="79"/>
      <c r="F1800" s="89" t="s">
        <v>425</v>
      </c>
      <c r="G1800" s="101"/>
      <c r="H1800" s="87">
        <f>SUM(H1797:H1799)</f>
        <v>19723.16</v>
      </c>
      <c r="I1800" s="101"/>
      <c r="J1800" s="87">
        <f>SUM(J1797)</f>
        <v>0</v>
      </c>
      <c r="K1800" s="101"/>
      <c r="L1800" s="87">
        <f>SUM(L1797)</f>
        <v>0</v>
      </c>
    </row>
    <row r="1801" spans="1:12" ht="12" customHeight="1" x14ac:dyDescent="0.35">
      <c r="B1801" s="84" t="s">
        <v>8</v>
      </c>
      <c r="C1801" s="103" t="s">
        <v>426</v>
      </c>
      <c r="D1801" s="104"/>
      <c r="E1801" s="104"/>
      <c r="F1801" s="104"/>
      <c r="G1801" s="105"/>
      <c r="H1801" s="87">
        <f>H1789+H1795+H1800</f>
        <v>46723.16</v>
      </c>
      <c r="I1801" s="105"/>
      <c r="J1801" s="87" t="e">
        <f>J1789+J1795+J1800</f>
        <v>#REF!</v>
      </c>
      <c r="K1801" s="105"/>
      <c r="L1801" s="87" t="e">
        <f>L1789+L1795+L1800</f>
        <v>#REF!</v>
      </c>
    </row>
    <row r="1802" spans="1:12" ht="12" customHeight="1" x14ac:dyDescent="0.35">
      <c r="B1802" s="84" t="s">
        <v>9</v>
      </c>
      <c r="C1802" s="455" t="s">
        <v>427</v>
      </c>
      <c r="D1802" s="455"/>
      <c r="E1802" s="455"/>
      <c r="F1802" s="95">
        <f>0</f>
        <v>0</v>
      </c>
      <c r="G1802" s="85" t="s">
        <v>428</v>
      </c>
      <c r="H1802" s="87">
        <f>H1801*F1802</f>
        <v>0</v>
      </c>
      <c r="I1802" s="85" t="s">
        <v>428</v>
      </c>
      <c r="J1802" s="87" t="e">
        <f>J1801*F1802</f>
        <v>#REF!</v>
      </c>
      <c r="K1802" s="85" t="s">
        <v>428</v>
      </c>
      <c r="L1802" s="87" t="e">
        <f>L1801*F1802</f>
        <v>#REF!</v>
      </c>
    </row>
    <row r="1803" spans="1:12" ht="12" customHeight="1" x14ac:dyDescent="0.35">
      <c r="B1803" s="84" t="s">
        <v>10</v>
      </c>
      <c r="C1803" s="103" t="s">
        <v>429</v>
      </c>
      <c r="D1803" s="104"/>
      <c r="E1803" s="104"/>
      <c r="F1803" s="104"/>
      <c r="G1803" s="105"/>
      <c r="H1803" s="96">
        <f>H1801+H1802</f>
        <v>46723.16</v>
      </c>
      <c r="I1803" s="97"/>
      <c r="J1803" s="96" t="e">
        <f>J1801+J1802</f>
        <v>#REF!</v>
      </c>
      <c r="K1803" s="97"/>
      <c r="L1803" s="96" t="e">
        <f>L1801+L1802</f>
        <v>#REF!</v>
      </c>
    </row>
    <row r="1805" spans="1:12" ht="37" customHeight="1" x14ac:dyDescent="0.35">
      <c r="B1805" s="76" t="s">
        <v>640</v>
      </c>
      <c r="C1805" s="458" t="s">
        <v>648</v>
      </c>
      <c r="D1805" s="459"/>
      <c r="E1805" s="459"/>
      <c r="F1805" s="459"/>
      <c r="G1805" s="456"/>
      <c r="H1805" s="457"/>
      <c r="I1805" s="455" t="s">
        <v>3</v>
      </c>
      <c r="J1805" s="455"/>
      <c r="K1805" s="455" t="s">
        <v>4</v>
      </c>
      <c r="L1805" s="455"/>
    </row>
    <row r="1806" spans="1:12" ht="12" customHeight="1" x14ac:dyDescent="0.35">
      <c r="B1806" s="451" t="s">
        <v>409</v>
      </c>
      <c r="C1806" s="451" t="s">
        <v>410</v>
      </c>
      <c r="D1806" s="452" t="s">
        <v>411</v>
      </c>
      <c r="E1806" s="451" t="s">
        <v>412</v>
      </c>
      <c r="F1806" s="451" t="s">
        <v>413</v>
      </c>
      <c r="G1806" s="77" t="s">
        <v>414</v>
      </c>
      <c r="H1806" s="77" t="s">
        <v>415</v>
      </c>
      <c r="I1806" s="78" t="s">
        <v>414</v>
      </c>
      <c r="J1806" s="79" t="s">
        <v>415</v>
      </c>
      <c r="K1806" s="79" t="s">
        <v>414</v>
      </c>
      <c r="L1806" s="79" t="s">
        <v>415</v>
      </c>
    </row>
    <row r="1807" spans="1:12" ht="12" customHeight="1" x14ac:dyDescent="0.35">
      <c r="B1807" s="451"/>
      <c r="C1807" s="451"/>
      <c r="D1807" s="453"/>
      <c r="E1807" s="451"/>
      <c r="F1807" s="451"/>
      <c r="G1807" s="77" t="s">
        <v>17</v>
      </c>
      <c r="H1807" s="77" t="s">
        <v>416</v>
      </c>
      <c r="I1807" s="78" t="s">
        <v>17</v>
      </c>
      <c r="J1807" s="79" t="s">
        <v>416</v>
      </c>
      <c r="K1807" s="79" t="s">
        <v>17</v>
      </c>
      <c r="L1807" s="79" t="s">
        <v>416</v>
      </c>
    </row>
    <row r="1808" spans="1:12" ht="12" customHeight="1" x14ac:dyDescent="0.35">
      <c r="B1808" s="451"/>
      <c r="C1808" s="451"/>
      <c r="D1808" s="454"/>
      <c r="E1808" s="451"/>
      <c r="F1808" s="451"/>
      <c r="G1808" s="106"/>
      <c r="H1808" s="77" t="s">
        <v>17</v>
      </c>
      <c r="I1808" s="94"/>
      <c r="J1808" s="79" t="s">
        <v>17</v>
      </c>
      <c r="K1808" s="85"/>
      <c r="L1808" s="79" t="s">
        <v>17</v>
      </c>
    </row>
    <row r="1809" spans="1:12" ht="12" customHeight="1" x14ac:dyDescent="0.35">
      <c r="B1809" s="80" t="s">
        <v>5</v>
      </c>
      <c r="C1809" s="81" t="s">
        <v>417</v>
      </c>
      <c r="D1809" s="82"/>
      <c r="E1809" s="82"/>
      <c r="F1809" s="82"/>
      <c r="G1809" s="82"/>
      <c r="H1809" s="82"/>
      <c r="I1809" s="83"/>
      <c r="J1809" s="83"/>
      <c r="K1809" s="83"/>
      <c r="L1809" s="83"/>
    </row>
    <row r="1810" spans="1:12" ht="12" customHeight="1" x14ac:dyDescent="0.35">
      <c r="A1810" s="134">
        <v>10130000</v>
      </c>
      <c r="B1810" s="84"/>
      <c r="C1810" s="85" t="s">
        <v>28</v>
      </c>
      <c r="D1810" s="84" t="s">
        <v>418</v>
      </c>
      <c r="E1810" s="84" t="str">
        <f>VLOOKUP(C1810,HSD!B:K,2,FALSE)</f>
        <v>OH</v>
      </c>
      <c r="F1810" s="128">
        <v>1.35</v>
      </c>
      <c r="G1810" s="87">
        <f>VLOOKUP(C1810,HSD!B:K,10,FALSE)</f>
        <v>120000</v>
      </c>
      <c r="H1810" s="87">
        <f>F1810*G1810</f>
        <v>162000</v>
      </c>
      <c r="I1810" s="87">
        <v>91500</v>
      </c>
      <c r="J1810" s="87">
        <f>F1810*I1810</f>
        <v>123525.00000000001</v>
      </c>
      <c r="K1810" s="87">
        <v>91500</v>
      </c>
      <c r="L1810" s="87">
        <f>F1810*K1810</f>
        <v>123525.00000000001</v>
      </c>
    </row>
    <row r="1811" spans="1:12" ht="12" customHeight="1" x14ac:dyDescent="0.35">
      <c r="A1811" s="134">
        <v>10143000</v>
      </c>
      <c r="B1811" s="84"/>
      <c r="C1811" s="85" t="s">
        <v>435</v>
      </c>
      <c r="D1811" s="84" t="s">
        <v>418</v>
      </c>
      <c r="E1811" s="84" t="str">
        <f>VLOOKUP(C1811,HSD!B:K,2,FALSE)</f>
        <v>OH</v>
      </c>
      <c r="F1811" s="128">
        <v>0.67500000000000004</v>
      </c>
      <c r="G1811" s="87">
        <f>VLOOKUP(C1811,HSD!B:K,10,FALSE)</f>
        <v>250000</v>
      </c>
      <c r="H1811" s="87">
        <f>F1811*G1811</f>
        <v>168750</v>
      </c>
      <c r="I1811" s="87"/>
      <c r="J1811" s="87"/>
      <c r="K1811" s="87"/>
      <c r="L1811" s="87"/>
    </row>
    <row r="1812" spans="1:12" ht="12" customHeight="1" x14ac:dyDescent="0.35">
      <c r="A1812" s="134">
        <v>10110000</v>
      </c>
      <c r="B1812" s="84"/>
      <c r="C1812" s="85" t="s">
        <v>30</v>
      </c>
      <c r="D1812" s="84" t="s">
        <v>418</v>
      </c>
      <c r="E1812" s="84" t="str">
        <f>VLOOKUP(C1812,HSD!B:K,2,FALSE)</f>
        <v>OH</v>
      </c>
      <c r="F1812" s="128">
        <f>F1810/10</f>
        <v>0.13500000000000001</v>
      </c>
      <c r="G1812" s="87">
        <f>VLOOKUP(C1812,HSD!B:K,10,FALSE)</f>
        <v>150000</v>
      </c>
      <c r="H1812" s="87">
        <f>F1812*G1812</f>
        <v>20250</v>
      </c>
      <c r="I1812" s="87">
        <v>78600</v>
      </c>
      <c r="J1812" s="87">
        <f>F1812*I1812</f>
        <v>10611</v>
      </c>
      <c r="K1812" s="87">
        <v>78600</v>
      </c>
      <c r="L1812" s="87">
        <f>F1812*K1812</f>
        <v>10611</v>
      </c>
    </row>
    <row r="1813" spans="1:12" ht="12" customHeight="1" x14ac:dyDescent="0.35">
      <c r="B1813" s="84"/>
      <c r="C1813" s="85"/>
      <c r="D1813" s="84"/>
      <c r="E1813" s="84"/>
      <c r="F1813" s="86"/>
      <c r="G1813" s="87"/>
      <c r="H1813" s="87">
        <f>F1813*G1813</f>
        <v>0</v>
      </c>
      <c r="I1813" s="87">
        <v>92500</v>
      </c>
      <c r="J1813" s="87">
        <f>F1813*I1813</f>
        <v>0</v>
      </c>
      <c r="K1813" s="87">
        <v>92500</v>
      </c>
      <c r="L1813" s="87">
        <f>F1813*K1813</f>
        <v>0</v>
      </c>
    </row>
    <row r="1814" spans="1:12" ht="12" customHeight="1" x14ac:dyDescent="0.35">
      <c r="B1814" s="84"/>
      <c r="C1814" s="85"/>
      <c r="D1814" s="84"/>
      <c r="E1814" s="84"/>
      <c r="F1814" s="86"/>
      <c r="G1814" s="87"/>
      <c r="H1814" s="87"/>
      <c r="I1814" s="87"/>
      <c r="J1814" s="87"/>
      <c r="K1814" s="87"/>
      <c r="L1814" s="87"/>
    </row>
    <row r="1815" spans="1:12" ht="12" customHeight="1" x14ac:dyDescent="0.35">
      <c r="B1815" s="84"/>
      <c r="C1815" s="88"/>
      <c r="D1815" s="79"/>
      <c r="E1815" s="79"/>
      <c r="F1815" s="89" t="s">
        <v>421</v>
      </c>
      <c r="G1815" s="101"/>
      <c r="H1815" s="87">
        <f>SUM(H1810:H1814)</f>
        <v>351000</v>
      </c>
      <c r="I1815" s="101"/>
      <c r="J1815" s="87">
        <f>SUM(J1812:J1814)</f>
        <v>10611</v>
      </c>
      <c r="K1815" s="101"/>
      <c r="L1815" s="87">
        <f>SUM(L1812:L1814)</f>
        <v>10611</v>
      </c>
    </row>
    <row r="1816" spans="1:12" ht="12" customHeight="1" x14ac:dyDescent="0.35">
      <c r="B1816" s="84" t="s">
        <v>6</v>
      </c>
      <c r="C1816" s="88" t="s">
        <v>422</v>
      </c>
      <c r="D1816" s="79"/>
      <c r="E1816" s="79"/>
      <c r="F1816" s="90"/>
      <c r="G1816" s="84"/>
      <c r="H1816" s="87"/>
      <c r="I1816" s="84"/>
      <c r="J1816" s="87"/>
      <c r="K1816" s="84"/>
      <c r="L1816" s="87"/>
    </row>
    <row r="1817" spans="1:12" ht="12" customHeight="1" x14ac:dyDescent="0.35">
      <c r="A1817" s="134">
        <v>211100111</v>
      </c>
      <c r="B1817" s="84"/>
      <c r="C1817" s="85" t="s">
        <v>1793</v>
      </c>
      <c r="D1817" s="84" t="s">
        <v>418</v>
      </c>
      <c r="E1817" s="84" t="str">
        <f>VLOOKUP(C1817,HSD!B:K,2,FALSE)</f>
        <v>bh</v>
      </c>
      <c r="F1817" s="128">
        <v>512</v>
      </c>
      <c r="G1817" s="87">
        <f>VLOOKUP(C1817,HSD!B:K,10,FALSE)</f>
        <v>1332</v>
      </c>
      <c r="H1817" s="87">
        <f>F1817*G1817</f>
        <v>681984</v>
      </c>
      <c r="I1817" s="87">
        <v>232500</v>
      </c>
      <c r="J1817" s="87">
        <f>F1817*I1817</f>
        <v>119040000</v>
      </c>
      <c r="K1817" s="87">
        <v>270000</v>
      </c>
      <c r="L1817" s="87">
        <f>F1817*K1817</f>
        <v>138240000</v>
      </c>
    </row>
    <row r="1818" spans="1:12" ht="12" customHeight="1" x14ac:dyDescent="0.35">
      <c r="A1818" s="134">
        <v>211100113</v>
      </c>
      <c r="B1818" s="84"/>
      <c r="C1818" s="85" t="s">
        <v>49</v>
      </c>
      <c r="D1818" s="84" t="s">
        <v>418</v>
      </c>
      <c r="E1818" s="84" t="str">
        <f>VLOOKUP(C1818,HSD!B:K,2,FALSE)</f>
        <v>m3</v>
      </c>
      <c r="F1818" s="128">
        <v>0.26290000000000002</v>
      </c>
      <c r="G1818" s="87">
        <f>VLOOKUP(C1818,HSD!B:K,10,FALSE)</f>
        <v>230880</v>
      </c>
      <c r="H1818" s="87">
        <f>F1818*G1818</f>
        <v>60698.352000000006</v>
      </c>
      <c r="I1818" s="87">
        <v>1060</v>
      </c>
      <c r="J1818" s="87">
        <f>F1818*I1818</f>
        <v>278.67400000000004</v>
      </c>
      <c r="K1818" s="87">
        <v>1060</v>
      </c>
      <c r="L1818" s="87">
        <f>F1818*K1818</f>
        <v>278.67400000000004</v>
      </c>
    </row>
    <row r="1819" spans="1:12" ht="12" customHeight="1" x14ac:dyDescent="0.35">
      <c r="A1819" s="134">
        <v>21301000</v>
      </c>
      <c r="B1819" s="84"/>
      <c r="C1819" s="85" t="s">
        <v>60</v>
      </c>
      <c r="D1819" s="84" t="s">
        <v>418</v>
      </c>
      <c r="E1819" s="84" t="str">
        <f>VLOOKUP(C1819,HSD!B:K,2,FALSE)</f>
        <v>kg</v>
      </c>
      <c r="F1819" s="128">
        <v>168</v>
      </c>
      <c r="G1819" s="87">
        <f>VLOOKUP(C1819,HSD!B:K,10,FALSE)</f>
        <v>2331</v>
      </c>
      <c r="H1819" s="87">
        <f>F1819*G1819</f>
        <v>391608</v>
      </c>
      <c r="I1819" s="87">
        <v>215000</v>
      </c>
      <c r="J1819" s="87">
        <f>F1819*I1819</f>
        <v>36120000</v>
      </c>
      <c r="K1819" s="87">
        <v>250000</v>
      </c>
      <c r="L1819" s="87">
        <f>F1819*K1819</f>
        <v>42000000</v>
      </c>
    </row>
    <row r="1820" spans="1:12" ht="12" customHeight="1" x14ac:dyDescent="0.35">
      <c r="B1820" s="84"/>
      <c r="C1820" s="85"/>
      <c r="D1820" s="84"/>
      <c r="E1820" s="84"/>
      <c r="F1820" s="128"/>
      <c r="G1820" s="87"/>
      <c r="H1820" s="87"/>
      <c r="I1820" s="87"/>
      <c r="J1820" s="87"/>
      <c r="K1820" s="87"/>
      <c r="L1820" s="87"/>
    </row>
    <row r="1821" spans="1:12" ht="12" customHeight="1" x14ac:dyDescent="0.35">
      <c r="B1821" s="84"/>
      <c r="C1821" s="88"/>
      <c r="D1821" s="79"/>
      <c r="E1821" s="79"/>
      <c r="F1821" s="129" t="s">
        <v>423</v>
      </c>
      <c r="G1821" s="129"/>
      <c r="H1821" s="87">
        <f>SUM(H1817:H1820)</f>
        <v>1134290.352</v>
      </c>
      <c r="I1821" s="101"/>
      <c r="J1821" s="87" t="e">
        <f>SUM(#REF!)</f>
        <v>#REF!</v>
      </c>
      <c r="K1821" s="101"/>
      <c r="L1821" s="87" t="e">
        <f>SUM(#REF!)</f>
        <v>#REF!</v>
      </c>
    </row>
    <row r="1822" spans="1:12" ht="12" customHeight="1" x14ac:dyDescent="0.35">
      <c r="B1822" s="84" t="s">
        <v>7</v>
      </c>
      <c r="C1822" s="88" t="s">
        <v>424</v>
      </c>
      <c r="D1822" s="79"/>
      <c r="E1822" s="79"/>
      <c r="F1822" s="90"/>
      <c r="G1822" s="84"/>
      <c r="H1822" s="87"/>
      <c r="I1822" s="84"/>
      <c r="J1822" s="87"/>
      <c r="K1822" s="84"/>
      <c r="L1822" s="87"/>
    </row>
    <row r="1823" spans="1:12" ht="12" customHeight="1" x14ac:dyDescent="0.35">
      <c r="A1823" s="134">
        <v>31100004</v>
      </c>
      <c r="B1823" s="84"/>
      <c r="C1823" s="85" t="s">
        <v>1829</v>
      </c>
      <c r="D1823" s="84" t="s">
        <v>418</v>
      </c>
      <c r="E1823" s="84" t="str">
        <f>VLOOKUP(C1823,HSD!B:K,2,FALSE)</f>
        <v>Sewa-hari</v>
      </c>
      <c r="F1823" s="128"/>
      <c r="G1823" s="87">
        <f>VLOOKUP(C1823,HSD!B:K,10,FALSE)</f>
        <v>126984</v>
      </c>
      <c r="H1823" s="87">
        <f>F1823*G1823</f>
        <v>0</v>
      </c>
      <c r="I1823" s="87"/>
      <c r="J1823" s="87">
        <f>H1823*I1823</f>
        <v>0</v>
      </c>
      <c r="K1823" s="87"/>
      <c r="L1823" s="87">
        <f>J1823*K1823</f>
        <v>0</v>
      </c>
    </row>
    <row r="1824" spans="1:12" ht="12" customHeight="1" x14ac:dyDescent="0.35">
      <c r="B1824" s="84"/>
      <c r="C1824" s="85"/>
      <c r="D1824" s="84"/>
      <c r="E1824" s="84"/>
      <c r="F1824" s="128"/>
      <c r="G1824" s="87"/>
      <c r="H1824" s="87">
        <f>F1824*G1824</f>
        <v>0</v>
      </c>
      <c r="I1824" s="87"/>
      <c r="J1824" s="87"/>
      <c r="K1824" s="87"/>
      <c r="L1824" s="87"/>
    </row>
    <row r="1825" spans="1:12" ht="12" customHeight="1" x14ac:dyDescent="0.35">
      <c r="B1825" s="84"/>
      <c r="C1825" s="88"/>
      <c r="D1825" s="79"/>
      <c r="E1825" s="79"/>
      <c r="F1825" s="89" t="s">
        <v>425</v>
      </c>
      <c r="G1825" s="101"/>
      <c r="H1825" s="87">
        <f>SUM(H1823:H1824)</f>
        <v>0</v>
      </c>
      <c r="I1825" s="101"/>
      <c r="J1825" s="87">
        <f>SUM(J1823)</f>
        <v>0</v>
      </c>
      <c r="K1825" s="101"/>
      <c r="L1825" s="87">
        <f>SUM(L1823)</f>
        <v>0</v>
      </c>
    </row>
    <row r="1826" spans="1:12" ht="12" customHeight="1" x14ac:dyDescent="0.35">
      <c r="B1826" s="84" t="s">
        <v>8</v>
      </c>
      <c r="C1826" s="103" t="s">
        <v>426</v>
      </c>
      <c r="D1826" s="104"/>
      <c r="E1826" s="104"/>
      <c r="F1826" s="104"/>
      <c r="G1826" s="105"/>
      <c r="H1826" s="87">
        <f>H1815+H1821+H1825</f>
        <v>1485290.352</v>
      </c>
      <c r="I1826" s="105"/>
      <c r="J1826" s="87" t="e">
        <f>J1815+J1821+J1825</f>
        <v>#REF!</v>
      </c>
      <c r="K1826" s="105"/>
      <c r="L1826" s="87" t="e">
        <f>L1815+L1821+L1825</f>
        <v>#REF!</v>
      </c>
    </row>
    <row r="1827" spans="1:12" ht="12" customHeight="1" x14ac:dyDescent="0.35">
      <c r="B1827" s="84" t="s">
        <v>9</v>
      </c>
      <c r="C1827" s="455" t="s">
        <v>427</v>
      </c>
      <c r="D1827" s="455"/>
      <c r="E1827" s="455"/>
      <c r="F1827" s="95">
        <f>0</f>
        <v>0</v>
      </c>
      <c r="G1827" s="85" t="s">
        <v>428</v>
      </c>
      <c r="H1827" s="87">
        <f>H1826*F1827</f>
        <v>0</v>
      </c>
      <c r="I1827" s="85" t="s">
        <v>428</v>
      </c>
      <c r="J1827" s="87" t="e">
        <f>J1826*F1827</f>
        <v>#REF!</v>
      </c>
      <c r="K1827" s="85" t="s">
        <v>428</v>
      </c>
      <c r="L1827" s="87" t="e">
        <f>L1826*F1827</f>
        <v>#REF!</v>
      </c>
    </row>
    <row r="1828" spans="1:12" ht="12" customHeight="1" x14ac:dyDescent="0.35">
      <c r="B1828" s="84" t="s">
        <v>10</v>
      </c>
      <c r="C1828" s="103" t="s">
        <v>429</v>
      </c>
      <c r="D1828" s="104"/>
      <c r="E1828" s="104"/>
      <c r="F1828" s="104"/>
      <c r="G1828" s="105"/>
      <c r="H1828" s="96">
        <f>H1826+H1827</f>
        <v>1485290.352</v>
      </c>
      <c r="I1828" s="97"/>
      <c r="J1828" s="96" t="e">
        <f>J1826+J1827</f>
        <v>#REF!</v>
      </c>
      <c r="K1828" s="97"/>
      <c r="L1828" s="96" t="e">
        <f>L1826+L1827</f>
        <v>#REF!</v>
      </c>
    </row>
    <row r="1830" spans="1:12" ht="37" customHeight="1" x14ac:dyDescent="0.35">
      <c r="B1830" s="76" t="s">
        <v>641</v>
      </c>
      <c r="C1830" s="458" t="s">
        <v>648</v>
      </c>
      <c r="D1830" s="459"/>
      <c r="E1830" s="459"/>
      <c r="F1830" s="459"/>
      <c r="G1830" s="456"/>
      <c r="H1830" s="457"/>
      <c r="I1830" s="455" t="s">
        <v>3</v>
      </c>
      <c r="J1830" s="455"/>
      <c r="K1830" s="455" t="s">
        <v>4</v>
      </c>
      <c r="L1830" s="455"/>
    </row>
    <row r="1831" spans="1:12" ht="12" customHeight="1" x14ac:dyDescent="0.35">
      <c r="B1831" s="451" t="s">
        <v>409</v>
      </c>
      <c r="C1831" s="451" t="s">
        <v>410</v>
      </c>
      <c r="D1831" s="452" t="s">
        <v>411</v>
      </c>
      <c r="E1831" s="451" t="s">
        <v>412</v>
      </c>
      <c r="F1831" s="451" t="s">
        <v>413</v>
      </c>
      <c r="G1831" s="77" t="s">
        <v>414</v>
      </c>
      <c r="H1831" s="77" t="s">
        <v>415</v>
      </c>
      <c r="I1831" s="78" t="s">
        <v>414</v>
      </c>
      <c r="J1831" s="79" t="s">
        <v>415</v>
      </c>
      <c r="K1831" s="79" t="s">
        <v>414</v>
      </c>
      <c r="L1831" s="79" t="s">
        <v>415</v>
      </c>
    </row>
    <row r="1832" spans="1:12" ht="12" customHeight="1" x14ac:dyDescent="0.35">
      <c r="B1832" s="451"/>
      <c r="C1832" s="451"/>
      <c r="D1832" s="453"/>
      <c r="E1832" s="451"/>
      <c r="F1832" s="451"/>
      <c r="G1832" s="77" t="s">
        <v>17</v>
      </c>
      <c r="H1832" s="77" t="s">
        <v>416</v>
      </c>
      <c r="I1832" s="78" t="s">
        <v>17</v>
      </c>
      <c r="J1832" s="79" t="s">
        <v>416</v>
      </c>
      <c r="K1832" s="79" t="s">
        <v>17</v>
      </c>
      <c r="L1832" s="79" t="s">
        <v>416</v>
      </c>
    </row>
    <row r="1833" spans="1:12" ht="12" customHeight="1" x14ac:dyDescent="0.35">
      <c r="B1833" s="451"/>
      <c r="C1833" s="451"/>
      <c r="D1833" s="454"/>
      <c r="E1833" s="451"/>
      <c r="F1833" s="451"/>
      <c r="G1833" s="106"/>
      <c r="H1833" s="77" t="s">
        <v>17</v>
      </c>
      <c r="I1833" s="94"/>
      <c r="J1833" s="79" t="s">
        <v>17</v>
      </c>
      <c r="K1833" s="85"/>
      <c r="L1833" s="79" t="s">
        <v>17</v>
      </c>
    </row>
    <row r="1834" spans="1:12" ht="12" customHeight="1" x14ac:dyDescent="0.35">
      <c r="B1834" s="80" t="s">
        <v>5</v>
      </c>
      <c r="C1834" s="81" t="s">
        <v>417</v>
      </c>
      <c r="D1834" s="82"/>
      <c r="E1834" s="82"/>
      <c r="F1834" s="82"/>
      <c r="G1834" s="82"/>
      <c r="H1834" s="82"/>
      <c r="I1834" s="83"/>
      <c r="J1834" s="83"/>
      <c r="K1834" s="83"/>
      <c r="L1834" s="83"/>
    </row>
    <row r="1835" spans="1:12" ht="12" customHeight="1" x14ac:dyDescent="0.35">
      <c r="A1835" s="134">
        <v>10130000</v>
      </c>
      <c r="B1835" s="84"/>
      <c r="C1835" s="85" t="s">
        <v>28</v>
      </c>
      <c r="D1835" s="84" t="s">
        <v>418</v>
      </c>
      <c r="E1835" s="84" t="str">
        <f>VLOOKUP(C1835,HSD!B:K,2,FALSE)</f>
        <v>OH</v>
      </c>
      <c r="F1835" s="128">
        <v>2.2743000000000002</v>
      </c>
      <c r="G1835" s="87">
        <f>VLOOKUP(C1835,HSD!B:K,10,FALSE)</f>
        <v>120000</v>
      </c>
      <c r="H1835" s="87">
        <f>F1835*G1835</f>
        <v>272916</v>
      </c>
      <c r="I1835" s="87">
        <v>91500</v>
      </c>
      <c r="J1835" s="87">
        <f>F1835*I1835</f>
        <v>208098.45</v>
      </c>
      <c r="K1835" s="87">
        <v>91500</v>
      </c>
      <c r="L1835" s="87">
        <f>F1835*K1835</f>
        <v>208098.45</v>
      </c>
    </row>
    <row r="1836" spans="1:12" ht="12" customHeight="1" x14ac:dyDescent="0.35">
      <c r="A1836" s="134">
        <v>10143000</v>
      </c>
      <c r="B1836" s="84"/>
      <c r="C1836" s="85" t="s">
        <v>435</v>
      </c>
      <c r="D1836" s="84" t="s">
        <v>418</v>
      </c>
      <c r="E1836" s="84" t="str">
        <f>VLOOKUP(C1836,HSD!B:K,2,FALSE)</f>
        <v>OH</v>
      </c>
      <c r="F1836" s="128">
        <v>1.1371</v>
      </c>
      <c r="G1836" s="87">
        <f>VLOOKUP(C1836,HSD!B:K,10,FALSE)</f>
        <v>250000</v>
      </c>
      <c r="H1836" s="87">
        <f>F1836*G1836</f>
        <v>284275</v>
      </c>
      <c r="I1836" s="87"/>
      <c r="J1836" s="87"/>
      <c r="K1836" s="87"/>
      <c r="L1836" s="87"/>
    </row>
    <row r="1837" spans="1:12" ht="12" customHeight="1" x14ac:dyDescent="0.35">
      <c r="A1837" s="134">
        <v>10110000</v>
      </c>
      <c r="B1837" s="84"/>
      <c r="C1837" s="85" t="s">
        <v>30</v>
      </c>
      <c r="D1837" s="84" t="s">
        <v>418</v>
      </c>
      <c r="E1837" s="84" t="str">
        <f>VLOOKUP(C1837,HSD!B:K,2,FALSE)</f>
        <v>OH</v>
      </c>
      <c r="F1837" s="128">
        <f>F1835/10</f>
        <v>0.22743000000000002</v>
      </c>
      <c r="G1837" s="87">
        <f>VLOOKUP(C1837,HSD!B:K,10,FALSE)</f>
        <v>150000</v>
      </c>
      <c r="H1837" s="87">
        <f>F1837*G1837</f>
        <v>34114.5</v>
      </c>
      <c r="I1837" s="87">
        <v>78600</v>
      </c>
      <c r="J1837" s="87">
        <f>F1837*I1837</f>
        <v>17875.998000000003</v>
      </c>
      <c r="K1837" s="87">
        <v>78600</v>
      </c>
      <c r="L1837" s="87">
        <f>F1837*K1837</f>
        <v>17875.998000000003</v>
      </c>
    </row>
    <row r="1838" spans="1:12" ht="12" customHeight="1" x14ac:dyDescent="0.35">
      <c r="B1838" s="84"/>
      <c r="C1838" s="85"/>
      <c r="D1838" s="84"/>
      <c r="E1838" s="84"/>
      <c r="F1838" s="86"/>
      <c r="G1838" s="87"/>
      <c r="H1838" s="87">
        <f>F1838*G1838</f>
        <v>0</v>
      </c>
      <c r="I1838" s="87">
        <v>92500</v>
      </c>
      <c r="J1838" s="87">
        <f>F1838*I1838</f>
        <v>0</v>
      </c>
      <c r="K1838" s="87">
        <v>92500</v>
      </c>
      <c r="L1838" s="87">
        <f>F1838*K1838</f>
        <v>0</v>
      </c>
    </row>
    <row r="1839" spans="1:12" ht="12" customHeight="1" x14ac:dyDescent="0.35">
      <c r="B1839" s="84"/>
      <c r="C1839" s="85"/>
      <c r="D1839" s="84"/>
      <c r="E1839" s="84"/>
      <c r="F1839" s="86"/>
      <c r="G1839" s="87"/>
      <c r="H1839" s="87"/>
      <c r="I1839" s="87"/>
      <c r="J1839" s="87"/>
      <c r="K1839" s="87"/>
      <c r="L1839" s="87"/>
    </row>
    <row r="1840" spans="1:12" ht="12" customHeight="1" x14ac:dyDescent="0.35">
      <c r="B1840" s="84"/>
      <c r="C1840" s="88"/>
      <c r="D1840" s="79"/>
      <c r="E1840" s="79"/>
      <c r="F1840" s="89" t="s">
        <v>421</v>
      </c>
      <c r="G1840" s="101"/>
      <c r="H1840" s="87">
        <f>SUM(H1835:H1839)</f>
        <v>591305.5</v>
      </c>
      <c r="I1840" s="101"/>
      <c r="J1840" s="87">
        <f>SUM(J1837:J1839)</f>
        <v>17875.998000000003</v>
      </c>
      <c r="K1840" s="101"/>
      <c r="L1840" s="87">
        <f>SUM(L1837:L1839)</f>
        <v>17875.998000000003</v>
      </c>
    </row>
    <row r="1841" spans="1:12" ht="12" customHeight="1" x14ac:dyDescent="0.35">
      <c r="B1841" s="84" t="s">
        <v>6</v>
      </c>
      <c r="C1841" s="88" t="s">
        <v>422</v>
      </c>
      <c r="D1841" s="79"/>
      <c r="E1841" s="79"/>
      <c r="F1841" s="90"/>
      <c r="G1841" s="84"/>
      <c r="H1841" s="87"/>
      <c r="I1841" s="84"/>
      <c r="J1841" s="87"/>
      <c r="K1841" s="84"/>
      <c r="L1841" s="87"/>
    </row>
    <row r="1842" spans="1:12" ht="12" customHeight="1" x14ac:dyDescent="0.35">
      <c r="A1842" s="134">
        <v>211100111</v>
      </c>
      <c r="B1842" s="84"/>
      <c r="C1842" s="85" t="s">
        <v>1793</v>
      </c>
      <c r="D1842" s="84" t="s">
        <v>418</v>
      </c>
      <c r="E1842" s="84" t="str">
        <f>VLOOKUP(C1842,HSD!B:K,2,FALSE)</f>
        <v>bh</v>
      </c>
      <c r="F1842" s="128">
        <v>512</v>
      </c>
      <c r="G1842" s="87">
        <f>VLOOKUP(C1842,HSD!B:K,10,FALSE)</f>
        <v>1332</v>
      </c>
      <c r="H1842" s="87">
        <f>F1842*G1842</f>
        <v>681984</v>
      </c>
      <c r="I1842" s="87">
        <v>232500</v>
      </c>
      <c r="J1842" s="87">
        <f>F1842*I1842</f>
        <v>119040000</v>
      </c>
      <c r="K1842" s="87">
        <v>270000</v>
      </c>
      <c r="L1842" s="87">
        <f>F1842*K1842</f>
        <v>138240000</v>
      </c>
    </row>
    <row r="1843" spans="1:12" ht="12" customHeight="1" x14ac:dyDescent="0.35">
      <c r="A1843" s="134">
        <v>211100113</v>
      </c>
      <c r="B1843" s="84"/>
      <c r="C1843" s="85" t="s">
        <v>49</v>
      </c>
      <c r="D1843" s="84" t="s">
        <v>418</v>
      </c>
      <c r="E1843" s="84" t="str">
        <f>VLOOKUP(C1843,HSD!B:K,2,FALSE)</f>
        <v>m3</v>
      </c>
      <c r="F1843" s="128">
        <v>0.26290000000000002</v>
      </c>
      <c r="G1843" s="87">
        <f>VLOOKUP(C1843,HSD!B:K,10,FALSE)</f>
        <v>230880</v>
      </c>
      <c r="H1843" s="87">
        <f>F1843*G1843</f>
        <v>60698.352000000006</v>
      </c>
      <c r="I1843" s="87">
        <v>1060</v>
      </c>
      <c r="J1843" s="87">
        <f>F1843*I1843</f>
        <v>278.67400000000004</v>
      </c>
      <c r="K1843" s="87">
        <v>1060</v>
      </c>
      <c r="L1843" s="87">
        <f>F1843*K1843</f>
        <v>278.67400000000004</v>
      </c>
    </row>
    <row r="1844" spans="1:12" ht="12" customHeight="1" x14ac:dyDescent="0.35">
      <c r="A1844" s="134">
        <v>21301000</v>
      </c>
      <c r="B1844" s="84"/>
      <c r="C1844" s="85" t="s">
        <v>60</v>
      </c>
      <c r="D1844" s="84" t="s">
        <v>418</v>
      </c>
      <c r="E1844" s="84" t="str">
        <f>VLOOKUP(C1844,HSD!B:K,2,FALSE)</f>
        <v>kg</v>
      </c>
      <c r="F1844" s="128">
        <v>168</v>
      </c>
      <c r="G1844" s="87">
        <f>VLOOKUP(C1844,HSD!B:K,10,FALSE)</f>
        <v>2331</v>
      </c>
      <c r="H1844" s="87">
        <f>F1844*G1844</f>
        <v>391608</v>
      </c>
      <c r="I1844" s="87">
        <v>215000</v>
      </c>
      <c r="J1844" s="87">
        <f>F1844*I1844</f>
        <v>36120000</v>
      </c>
      <c r="K1844" s="87">
        <v>250000</v>
      </c>
      <c r="L1844" s="87">
        <f>F1844*K1844</f>
        <v>42000000</v>
      </c>
    </row>
    <row r="1845" spans="1:12" ht="12" customHeight="1" x14ac:dyDescent="0.35">
      <c r="B1845" s="84"/>
      <c r="C1845" s="85"/>
      <c r="D1845" s="84"/>
      <c r="E1845" s="84"/>
      <c r="F1845" s="128"/>
      <c r="G1845" s="87"/>
      <c r="H1845" s="87"/>
      <c r="I1845" s="87"/>
      <c r="J1845" s="87"/>
      <c r="K1845" s="87"/>
      <c r="L1845" s="87"/>
    </row>
    <row r="1846" spans="1:12" ht="12" customHeight="1" x14ac:dyDescent="0.35">
      <c r="B1846" s="84"/>
      <c r="C1846" s="88"/>
      <c r="D1846" s="79"/>
      <c r="E1846" s="79"/>
      <c r="F1846" s="129" t="s">
        <v>423</v>
      </c>
      <c r="G1846" s="129"/>
      <c r="H1846" s="87">
        <f>SUM(H1842:H1845)</f>
        <v>1134290.352</v>
      </c>
      <c r="I1846" s="101"/>
      <c r="J1846" s="87" t="e">
        <f>SUM(#REF!)</f>
        <v>#REF!</v>
      </c>
      <c r="K1846" s="101"/>
      <c r="L1846" s="87" t="e">
        <f>SUM(#REF!)</f>
        <v>#REF!</v>
      </c>
    </row>
    <row r="1847" spans="1:12" ht="12" customHeight="1" x14ac:dyDescent="0.35">
      <c r="B1847" s="84" t="s">
        <v>7</v>
      </c>
      <c r="C1847" s="88" t="s">
        <v>424</v>
      </c>
      <c r="D1847" s="79"/>
      <c r="E1847" s="79"/>
      <c r="F1847" s="90"/>
      <c r="G1847" s="84"/>
      <c r="H1847" s="87"/>
      <c r="I1847" s="84"/>
      <c r="J1847" s="87"/>
      <c r="K1847" s="84"/>
      <c r="L1847" s="87"/>
    </row>
    <row r="1848" spans="1:12" ht="12" customHeight="1" x14ac:dyDescent="0.35">
      <c r="A1848" s="134">
        <v>31100004</v>
      </c>
      <c r="B1848" s="84"/>
      <c r="C1848" s="85" t="s">
        <v>1829</v>
      </c>
      <c r="D1848" s="84" t="s">
        <v>418</v>
      </c>
      <c r="E1848" s="84" t="str">
        <f>VLOOKUP(C1848,HSD!B:K,2,FALSE)</f>
        <v>Sewa-hari</v>
      </c>
      <c r="F1848" s="128"/>
      <c r="G1848" s="87">
        <f>VLOOKUP(C1848,HSD!B:K,10,FALSE)</f>
        <v>126984</v>
      </c>
      <c r="H1848" s="87">
        <f>F1848*G1848</f>
        <v>0</v>
      </c>
      <c r="I1848" s="87"/>
      <c r="J1848" s="87">
        <f>H1848*I1848</f>
        <v>0</v>
      </c>
      <c r="K1848" s="87"/>
      <c r="L1848" s="87">
        <f>J1848*K1848</f>
        <v>0</v>
      </c>
    </row>
    <row r="1849" spans="1:12" ht="12" customHeight="1" x14ac:dyDescent="0.35">
      <c r="B1849" s="84"/>
      <c r="C1849" s="85"/>
      <c r="D1849" s="84"/>
      <c r="E1849" s="84"/>
      <c r="F1849" s="128"/>
      <c r="G1849" s="87"/>
      <c r="H1849" s="87">
        <f>F1849*G1849</f>
        <v>0</v>
      </c>
      <c r="I1849" s="87"/>
      <c r="J1849" s="87"/>
      <c r="K1849" s="87"/>
      <c r="L1849" s="87"/>
    </row>
    <row r="1850" spans="1:12" ht="12" customHeight="1" x14ac:dyDescent="0.35">
      <c r="B1850" s="84"/>
      <c r="C1850" s="88"/>
      <c r="D1850" s="79"/>
      <c r="E1850" s="79"/>
      <c r="F1850" s="89" t="s">
        <v>425</v>
      </c>
      <c r="G1850" s="101"/>
      <c r="H1850" s="87">
        <f>SUM(H1848:H1849)</f>
        <v>0</v>
      </c>
      <c r="I1850" s="101"/>
      <c r="J1850" s="87">
        <f>SUM(J1848)</f>
        <v>0</v>
      </c>
      <c r="K1850" s="101"/>
      <c r="L1850" s="87">
        <f>SUM(L1848)</f>
        <v>0</v>
      </c>
    </row>
    <row r="1851" spans="1:12" ht="12" customHeight="1" x14ac:dyDescent="0.35">
      <c r="B1851" s="84" t="s">
        <v>8</v>
      </c>
      <c r="C1851" s="103" t="s">
        <v>426</v>
      </c>
      <c r="D1851" s="104"/>
      <c r="E1851" s="104"/>
      <c r="F1851" s="104"/>
      <c r="G1851" s="105"/>
      <c r="H1851" s="87">
        <f>H1840+H1846+H1850</f>
        <v>1725595.852</v>
      </c>
      <c r="I1851" s="105"/>
      <c r="J1851" s="87" t="e">
        <f>J1840+J1846+J1850</f>
        <v>#REF!</v>
      </c>
      <c r="K1851" s="105"/>
      <c r="L1851" s="87" t="e">
        <f>L1840+L1846+L1850</f>
        <v>#REF!</v>
      </c>
    </row>
    <row r="1852" spans="1:12" ht="12" customHeight="1" x14ac:dyDescent="0.35">
      <c r="B1852" s="84" t="s">
        <v>9</v>
      </c>
      <c r="C1852" s="455" t="s">
        <v>427</v>
      </c>
      <c r="D1852" s="455"/>
      <c r="E1852" s="455"/>
      <c r="F1852" s="95">
        <f>0</f>
        <v>0</v>
      </c>
      <c r="G1852" s="85" t="s">
        <v>428</v>
      </c>
      <c r="H1852" s="87">
        <f>H1851*F1852</f>
        <v>0</v>
      </c>
      <c r="I1852" s="85" t="s">
        <v>428</v>
      </c>
      <c r="J1852" s="87" t="e">
        <f>J1851*F1852</f>
        <v>#REF!</v>
      </c>
      <c r="K1852" s="85" t="s">
        <v>428</v>
      </c>
      <c r="L1852" s="87" t="e">
        <f>L1851*F1852</f>
        <v>#REF!</v>
      </c>
    </row>
    <row r="1853" spans="1:12" ht="12" customHeight="1" x14ac:dyDescent="0.35">
      <c r="B1853" s="84" t="s">
        <v>10</v>
      </c>
      <c r="C1853" s="103" t="s">
        <v>429</v>
      </c>
      <c r="D1853" s="104"/>
      <c r="E1853" s="104"/>
      <c r="F1853" s="104"/>
      <c r="G1853" s="105"/>
      <c r="H1853" s="96">
        <f>H1851+H1852</f>
        <v>1725595.852</v>
      </c>
      <c r="I1853" s="97"/>
      <c r="J1853" s="96" t="e">
        <f>J1851+J1852</f>
        <v>#REF!</v>
      </c>
      <c r="K1853" s="97"/>
      <c r="L1853" s="96" t="e">
        <f>L1851+L1852</f>
        <v>#REF!</v>
      </c>
    </row>
    <row r="1855" spans="1:12" ht="37" customHeight="1" x14ac:dyDescent="0.35">
      <c r="B1855" s="76" t="s">
        <v>642</v>
      </c>
      <c r="C1855" s="458" t="s">
        <v>653</v>
      </c>
      <c r="D1855" s="459"/>
      <c r="E1855" s="459"/>
      <c r="F1855" s="459"/>
      <c r="G1855" s="456"/>
      <c r="H1855" s="457"/>
      <c r="I1855" s="455" t="s">
        <v>3</v>
      </c>
      <c r="J1855" s="455"/>
      <c r="K1855" s="455" t="s">
        <v>4</v>
      </c>
      <c r="L1855" s="455"/>
    </row>
    <row r="1856" spans="1:12" ht="12" customHeight="1" x14ac:dyDescent="0.35">
      <c r="B1856" s="451" t="s">
        <v>409</v>
      </c>
      <c r="C1856" s="451" t="s">
        <v>410</v>
      </c>
      <c r="D1856" s="452" t="s">
        <v>411</v>
      </c>
      <c r="E1856" s="451" t="s">
        <v>412</v>
      </c>
      <c r="F1856" s="451" t="s">
        <v>413</v>
      </c>
      <c r="G1856" s="77" t="s">
        <v>414</v>
      </c>
      <c r="H1856" s="77" t="s">
        <v>415</v>
      </c>
      <c r="I1856" s="78" t="s">
        <v>414</v>
      </c>
      <c r="J1856" s="79" t="s">
        <v>415</v>
      </c>
      <c r="K1856" s="79" t="s">
        <v>414</v>
      </c>
      <c r="L1856" s="79" t="s">
        <v>415</v>
      </c>
    </row>
    <row r="1857" spans="1:12" ht="12" customHeight="1" x14ac:dyDescent="0.35">
      <c r="B1857" s="451"/>
      <c r="C1857" s="451"/>
      <c r="D1857" s="453"/>
      <c r="E1857" s="451"/>
      <c r="F1857" s="451"/>
      <c r="G1857" s="77" t="s">
        <v>17</v>
      </c>
      <c r="H1857" s="77" t="s">
        <v>416</v>
      </c>
      <c r="I1857" s="78" t="s">
        <v>17</v>
      </c>
      <c r="J1857" s="79" t="s">
        <v>416</v>
      </c>
      <c r="K1857" s="79" t="s">
        <v>17</v>
      </c>
      <c r="L1857" s="79" t="s">
        <v>416</v>
      </c>
    </row>
    <row r="1858" spans="1:12" ht="12" customHeight="1" x14ac:dyDescent="0.35">
      <c r="B1858" s="451"/>
      <c r="C1858" s="451"/>
      <c r="D1858" s="454"/>
      <c r="E1858" s="451"/>
      <c r="F1858" s="451"/>
      <c r="G1858" s="106"/>
      <c r="H1858" s="77" t="s">
        <v>17</v>
      </c>
      <c r="I1858" s="94"/>
      <c r="J1858" s="79" t="s">
        <v>17</v>
      </c>
      <c r="K1858" s="85"/>
      <c r="L1858" s="79" t="s">
        <v>17</v>
      </c>
    </row>
    <row r="1859" spans="1:12" ht="12" customHeight="1" x14ac:dyDescent="0.35">
      <c r="B1859" s="80" t="s">
        <v>5</v>
      </c>
      <c r="C1859" s="81" t="s">
        <v>417</v>
      </c>
      <c r="D1859" s="82"/>
      <c r="E1859" s="82"/>
      <c r="F1859" s="82"/>
      <c r="G1859" s="82"/>
      <c r="H1859" s="82"/>
      <c r="I1859" s="83"/>
      <c r="J1859" s="83"/>
      <c r="K1859" s="83"/>
      <c r="L1859" s="83"/>
    </row>
    <row r="1860" spans="1:12" ht="12" customHeight="1" x14ac:dyDescent="0.35">
      <c r="A1860" s="134">
        <v>10130000</v>
      </c>
      <c r="B1860" s="84"/>
      <c r="C1860" s="85" t="s">
        <v>28</v>
      </c>
      <c r="D1860" s="84" t="s">
        <v>418</v>
      </c>
      <c r="E1860" s="84" t="str">
        <f>VLOOKUP(C1860,HSD!B:K,2,FALSE)</f>
        <v>OH</v>
      </c>
      <c r="F1860" s="128">
        <v>0.85</v>
      </c>
      <c r="G1860" s="87">
        <f>VLOOKUP(C1860,HSD!B:K,10,FALSE)</f>
        <v>120000</v>
      </c>
      <c r="H1860" s="87">
        <f>F1860*G1860</f>
        <v>102000</v>
      </c>
      <c r="I1860" s="87">
        <v>91500</v>
      </c>
      <c r="J1860" s="87">
        <f>F1860*I1860</f>
        <v>77775</v>
      </c>
      <c r="K1860" s="87">
        <v>91500</v>
      </c>
      <c r="L1860" s="87">
        <f>F1860*K1860</f>
        <v>77775</v>
      </c>
    </row>
    <row r="1861" spans="1:12" ht="12" customHeight="1" x14ac:dyDescent="0.35">
      <c r="A1861" s="134">
        <v>10143000</v>
      </c>
      <c r="B1861" s="84"/>
      <c r="C1861" s="85" t="s">
        <v>435</v>
      </c>
      <c r="D1861" s="84" t="s">
        <v>418</v>
      </c>
      <c r="E1861" s="84" t="str">
        <f>VLOOKUP(C1861,HSD!B:K,2,FALSE)</f>
        <v>OH</v>
      </c>
      <c r="F1861" s="128">
        <v>0.42499999999999999</v>
      </c>
      <c r="G1861" s="87">
        <f>VLOOKUP(C1861,HSD!B:K,10,FALSE)</f>
        <v>250000</v>
      </c>
      <c r="H1861" s="87">
        <f>F1861*G1861</f>
        <v>106250</v>
      </c>
      <c r="I1861" s="87"/>
      <c r="J1861" s="87"/>
      <c r="K1861" s="87"/>
      <c r="L1861" s="87"/>
    </row>
    <row r="1862" spans="1:12" ht="12" customHeight="1" x14ac:dyDescent="0.35">
      <c r="A1862" s="134">
        <v>10110000</v>
      </c>
      <c r="B1862" s="84"/>
      <c r="C1862" s="85" t="s">
        <v>30</v>
      </c>
      <c r="D1862" s="84" t="s">
        <v>418</v>
      </c>
      <c r="E1862" s="84" t="str">
        <f>VLOOKUP(C1862,HSD!B:K,2,FALSE)</f>
        <v>OH</v>
      </c>
      <c r="F1862" s="128">
        <f>F1860/10</f>
        <v>8.4999999999999992E-2</v>
      </c>
      <c r="G1862" s="87">
        <f>VLOOKUP(C1862,HSD!B:K,10,FALSE)</f>
        <v>150000</v>
      </c>
      <c r="H1862" s="87">
        <f>F1862*G1862</f>
        <v>12749.999999999998</v>
      </c>
      <c r="I1862" s="87">
        <v>78600</v>
      </c>
      <c r="J1862" s="87">
        <f>F1862*I1862</f>
        <v>6680.9999999999991</v>
      </c>
      <c r="K1862" s="87">
        <v>78600</v>
      </c>
      <c r="L1862" s="87">
        <f>F1862*K1862</f>
        <v>6680.9999999999991</v>
      </c>
    </row>
    <row r="1863" spans="1:12" ht="12" customHeight="1" x14ac:dyDescent="0.35">
      <c r="B1863" s="84"/>
      <c r="C1863" s="85"/>
      <c r="D1863" s="84"/>
      <c r="E1863" s="84"/>
      <c r="F1863" s="86"/>
      <c r="G1863" s="87"/>
      <c r="H1863" s="87">
        <f>F1863*G1863</f>
        <v>0</v>
      </c>
      <c r="I1863" s="87">
        <v>92500</v>
      </c>
      <c r="J1863" s="87">
        <f>F1863*I1863</f>
        <v>0</v>
      </c>
      <c r="K1863" s="87">
        <v>92500</v>
      </c>
      <c r="L1863" s="87">
        <f>F1863*K1863</f>
        <v>0</v>
      </c>
    </row>
    <row r="1864" spans="1:12" ht="12" customHeight="1" x14ac:dyDescent="0.35">
      <c r="B1864" s="84"/>
      <c r="C1864" s="85"/>
      <c r="D1864" s="84"/>
      <c r="E1864" s="84"/>
      <c r="F1864" s="86"/>
      <c r="G1864" s="87"/>
      <c r="H1864" s="87"/>
      <c r="I1864" s="87"/>
      <c r="J1864" s="87"/>
      <c r="K1864" s="87"/>
      <c r="L1864" s="87"/>
    </row>
    <row r="1865" spans="1:12" ht="12" customHeight="1" x14ac:dyDescent="0.35">
      <c r="B1865" s="84"/>
      <c r="C1865" s="88"/>
      <c r="D1865" s="79"/>
      <c r="E1865" s="79"/>
      <c r="F1865" s="89" t="s">
        <v>421</v>
      </c>
      <c r="G1865" s="101"/>
      <c r="H1865" s="87">
        <f>SUM(H1860:H1864)</f>
        <v>221000</v>
      </c>
      <c r="I1865" s="101"/>
      <c r="J1865" s="87">
        <f>SUM(J1862:J1864)</f>
        <v>6680.9999999999991</v>
      </c>
      <c r="K1865" s="101"/>
      <c r="L1865" s="87">
        <f>SUM(L1862:L1864)</f>
        <v>6680.9999999999991</v>
      </c>
    </row>
    <row r="1866" spans="1:12" ht="12" customHeight="1" x14ac:dyDescent="0.35">
      <c r="B1866" s="84" t="s">
        <v>6</v>
      </c>
      <c r="C1866" s="88" t="s">
        <v>422</v>
      </c>
      <c r="D1866" s="79"/>
      <c r="E1866" s="79"/>
      <c r="F1866" s="90"/>
      <c r="G1866" s="84"/>
      <c r="H1866" s="87"/>
      <c r="I1866" s="84"/>
      <c r="J1866" s="87"/>
      <c r="K1866" s="84"/>
      <c r="L1866" s="87"/>
    </row>
    <row r="1867" spans="1:12" ht="12" customHeight="1" x14ac:dyDescent="0.35">
      <c r="A1867" s="134">
        <v>211100111</v>
      </c>
      <c r="B1867" s="84"/>
      <c r="C1867" s="85" t="s">
        <v>1793</v>
      </c>
      <c r="D1867" s="84" t="s">
        <v>418</v>
      </c>
      <c r="E1867" s="84" t="str">
        <f>VLOOKUP(C1867,HSD!B:K,2,FALSE)</f>
        <v>bh</v>
      </c>
      <c r="F1867" s="128">
        <v>512</v>
      </c>
      <c r="G1867" s="87">
        <f>VLOOKUP(C1867,HSD!B:K,10,FALSE)</f>
        <v>1332</v>
      </c>
      <c r="H1867" s="87">
        <f>F1867*G1867</f>
        <v>681984</v>
      </c>
      <c r="I1867" s="87">
        <v>232500</v>
      </c>
      <c r="J1867" s="87">
        <f>F1867*I1867</f>
        <v>119040000</v>
      </c>
      <c r="K1867" s="87">
        <v>270000</v>
      </c>
      <c r="L1867" s="87">
        <f>F1867*K1867</f>
        <v>138240000</v>
      </c>
    </row>
    <row r="1868" spans="1:12" ht="12" customHeight="1" x14ac:dyDescent="0.35">
      <c r="A1868" s="134">
        <v>211100113</v>
      </c>
      <c r="B1868" s="84"/>
      <c r="C1868" s="85" t="s">
        <v>49</v>
      </c>
      <c r="D1868" s="84" t="s">
        <v>418</v>
      </c>
      <c r="E1868" s="84" t="str">
        <f>VLOOKUP(C1868,HSD!B:K,2,FALSE)</f>
        <v>m3</v>
      </c>
      <c r="F1868" s="128">
        <v>0.33</v>
      </c>
      <c r="G1868" s="87">
        <f>VLOOKUP(C1868,HSD!B:K,10,FALSE)</f>
        <v>230880</v>
      </c>
      <c r="H1868" s="87">
        <f>F1868*G1868</f>
        <v>76190.400000000009</v>
      </c>
      <c r="I1868" s="87">
        <v>1060</v>
      </c>
      <c r="J1868" s="87">
        <f>F1868*I1868</f>
        <v>349.8</v>
      </c>
      <c r="K1868" s="87">
        <v>1060</v>
      </c>
      <c r="L1868" s="87">
        <f>F1868*K1868</f>
        <v>349.8</v>
      </c>
    </row>
    <row r="1869" spans="1:12" ht="12" customHeight="1" x14ac:dyDescent="0.35">
      <c r="A1869" s="134">
        <v>21301000</v>
      </c>
      <c r="B1869" s="84"/>
      <c r="C1869" s="85" t="s">
        <v>60</v>
      </c>
      <c r="D1869" s="84" t="s">
        <v>418</v>
      </c>
      <c r="E1869" s="84" t="str">
        <f>VLOOKUP(C1869,HSD!B:K,2,FALSE)</f>
        <v>kg</v>
      </c>
      <c r="F1869" s="128">
        <v>168</v>
      </c>
      <c r="G1869" s="87">
        <f>VLOOKUP(C1869,HSD!B:K,10,FALSE)</f>
        <v>2331</v>
      </c>
      <c r="H1869" s="87">
        <f>F1869*G1869</f>
        <v>391608</v>
      </c>
      <c r="I1869" s="87">
        <v>215000</v>
      </c>
      <c r="J1869" s="87">
        <f>F1869*I1869</f>
        <v>36120000</v>
      </c>
      <c r="K1869" s="87">
        <v>250000</v>
      </c>
      <c r="L1869" s="87">
        <f>F1869*K1869</f>
        <v>42000000</v>
      </c>
    </row>
    <row r="1870" spans="1:12" ht="12" customHeight="1" x14ac:dyDescent="0.35">
      <c r="B1870" s="84"/>
      <c r="C1870" s="85"/>
      <c r="D1870" s="84"/>
      <c r="E1870" s="84"/>
      <c r="F1870" s="128"/>
      <c r="G1870" s="87"/>
      <c r="H1870" s="87"/>
      <c r="I1870" s="87"/>
      <c r="J1870" s="87"/>
      <c r="K1870" s="87"/>
      <c r="L1870" s="87"/>
    </row>
    <row r="1871" spans="1:12" ht="12" customHeight="1" x14ac:dyDescent="0.35">
      <c r="B1871" s="84"/>
      <c r="C1871" s="88"/>
      <c r="D1871" s="79"/>
      <c r="E1871" s="79"/>
      <c r="F1871" s="129" t="s">
        <v>423</v>
      </c>
      <c r="G1871" s="129"/>
      <c r="H1871" s="87">
        <f>SUM(H1867:H1870)</f>
        <v>1149782.3999999999</v>
      </c>
      <c r="I1871" s="101"/>
      <c r="J1871" s="87" t="e">
        <f>SUM(#REF!)</f>
        <v>#REF!</v>
      </c>
      <c r="K1871" s="101"/>
      <c r="L1871" s="87" t="e">
        <f>SUM(#REF!)</f>
        <v>#REF!</v>
      </c>
    </row>
    <row r="1872" spans="1:12" ht="12" customHeight="1" x14ac:dyDescent="0.35">
      <c r="B1872" s="84" t="s">
        <v>7</v>
      </c>
      <c r="C1872" s="88" t="s">
        <v>424</v>
      </c>
      <c r="D1872" s="79"/>
      <c r="E1872" s="79"/>
      <c r="F1872" s="90"/>
      <c r="G1872" s="84"/>
      <c r="H1872" s="87"/>
      <c r="I1872" s="84"/>
      <c r="J1872" s="87"/>
      <c r="K1872" s="84"/>
      <c r="L1872" s="87"/>
    </row>
    <row r="1873" spans="1:12" ht="12" customHeight="1" x14ac:dyDescent="0.35">
      <c r="A1873" s="134">
        <v>31100004</v>
      </c>
      <c r="B1873" s="84"/>
      <c r="C1873" s="85" t="s">
        <v>1829</v>
      </c>
      <c r="D1873" s="84" t="s">
        <v>418</v>
      </c>
      <c r="E1873" s="84" t="str">
        <f>VLOOKUP(C1873,HSD!B:K,2,FALSE)</f>
        <v>Sewa-hari</v>
      </c>
      <c r="F1873" s="128">
        <v>5.8999999999999997E-2</v>
      </c>
      <c r="G1873" s="87">
        <f>VLOOKUP(C1873,HSD!B:K,10,FALSE)</f>
        <v>126984</v>
      </c>
      <c r="H1873" s="87">
        <f>F1873*G1873</f>
        <v>7492.0559999999996</v>
      </c>
      <c r="I1873" s="87"/>
      <c r="J1873" s="87">
        <f>H1873*I1873</f>
        <v>0</v>
      </c>
      <c r="K1873" s="87"/>
      <c r="L1873" s="87">
        <f>J1873*K1873</f>
        <v>0</v>
      </c>
    </row>
    <row r="1874" spans="1:12" ht="12" customHeight="1" x14ac:dyDescent="0.35">
      <c r="B1874" s="84"/>
      <c r="C1874" s="85"/>
      <c r="D1874" s="84"/>
      <c r="E1874" s="84"/>
      <c r="F1874" s="128"/>
      <c r="G1874" s="87"/>
      <c r="H1874" s="87">
        <f>F1874*G1874</f>
        <v>0</v>
      </c>
      <c r="I1874" s="87"/>
      <c r="J1874" s="87"/>
      <c r="K1874" s="87"/>
      <c r="L1874" s="87"/>
    </row>
    <row r="1875" spans="1:12" ht="12" customHeight="1" x14ac:dyDescent="0.35">
      <c r="B1875" s="84"/>
      <c r="C1875" s="88"/>
      <c r="D1875" s="79"/>
      <c r="E1875" s="79"/>
      <c r="F1875" s="89" t="s">
        <v>425</v>
      </c>
      <c r="G1875" s="101"/>
      <c r="H1875" s="87">
        <f>SUM(H1873:H1874)</f>
        <v>7492.0559999999996</v>
      </c>
      <c r="I1875" s="101"/>
      <c r="J1875" s="87">
        <f>SUM(J1873)</f>
        <v>0</v>
      </c>
      <c r="K1875" s="101"/>
      <c r="L1875" s="87">
        <f>SUM(L1873)</f>
        <v>0</v>
      </c>
    </row>
    <row r="1876" spans="1:12" ht="12" customHeight="1" x14ac:dyDescent="0.35">
      <c r="B1876" s="84" t="s">
        <v>8</v>
      </c>
      <c r="C1876" s="103" t="s">
        <v>426</v>
      </c>
      <c r="D1876" s="104"/>
      <c r="E1876" s="104"/>
      <c r="F1876" s="104"/>
      <c r="G1876" s="105"/>
      <c r="H1876" s="87">
        <f>H1865+H1871+H1875</f>
        <v>1378274.456</v>
      </c>
      <c r="I1876" s="105"/>
      <c r="J1876" s="87" t="e">
        <f>J1865+J1871+J1875</f>
        <v>#REF!</v>
      </c>
      <c r="K1876" s="105"/>
      <c r="L1876" s="87" t="e">
        <f>L1865+L1871+L1875</f>
        <v>#REF!</v>
      </c>
    </row>
    <row r="1877" spans="1:12" ht="12" customHeight="1" x14ac:dyDescent="0.35">
      <c r="B1877" s="84" t="s">
        <v>9</v>
      </c>
      <c r="C1877" s="455" t="s">
        <v>427</v>
      </c>
      <c r="D1877" s="455"/>
      <c r="E1877" s="455"/>
      <c r="F1877" s="95">
        <f>0</f>
        <v>0</v>
      </c>
      <c r="G1877" s="85" t="s">
        <v>428</v>
      </c>
      <c r="H1877" s="87">
        <f>H1876*F1877</f>
        <v>0</v>
      </c>
      <c r="I1877" s="85" t="s">
        <v>428</v>
      </c>
      <c r="J1877" s="87" t="e">
        <f>J1876*F1877</f>
        <v>#REF!</v>
      </c>
      <c r="K1877" s="85" t="s">
        <v>428</v>
      </c>
      <c r="L1877" s="87" t="e">
        <f>L1876*F1877</f>
        <v>#REF!</v>
      </c>
    </row>
    <row r="1878" spans="1:12" ht="12" customHeight="1" x14ac:dyDescent="0.35">
      <c r="B1878" s="84" t="s">
        <v>10</v>
      </c>
      <c r="C1878" s="103" t="s">
        <v>429</v>
      </c>
      <c r="D1878" s="104"/>
      <c r="E1878" s="104"/>
      <c r="F1878" s="104"/>
      <c r="G1878" s="105"/>
      <c r="H1878" s="96">
        <f>H1876+H1877</f>
        <v>1378274.456</v>
      </c>
      <c r="I1878" s="97"/>
      <c r="J1878" s="96" t="e">
        <f>J1876+J1877</f>
        <v>#REF!</v>
      </c>
      <c r="K1878" s="97"/>
      <c r="L1878" s="96" t="e">
        <f>L1876+L1877</f>
        <v>#REF!</v>
      </c>
    </row>
    <row r="1880" spans="1:12" ht="37" customHeight="1" x14ac:dyDescent="0.35">
      <c r="B1880" s="76" t="s">
        <v>643</v>
      </c>
      <c r="C1880" s="458" t="s">
        <v>654</v>
      </c>
      <c r="D1880" s="459"/>
      <c r="E1880" s="459"/>
      <c r="F1880" s="459"/>
      <c r="G1880" s="456"/>
      <c r="H1880" s="457"/>
      <c r="I1880" s="455" t="s">
        <v>3</v>
      </c>
      <c r="J1880" s="455"/>
      <c r="K1880" s="455" t="s">
        <v>4</v>
      </c>
      <c r="L1880" s="455"/>
    </row>
    <row r="1881" spans="1:12" ht="12" customHeight="1" x14ac:dyDescent="0.35">
      <c r="B1881" s="451" t="s">
        <v>409</v>
      </c>
      <c r="C1881" s="451" t="s">
        <v>410</v>
      </c>
      <c r="D1881" s="452" t="s">
        <v>411</v>
      </c>
      <c r="E1881" s="451" t="s">
        <v>412</v>
      </c>
      <c r="F1881" s="451" t="s">
        <v>413</v>
      </c>
      <c r="G1881" s="77" t="s">
        <v>414</v>
      </c>
      <c r="H1881" s="77" t="s">
        <v>415</v>
      </c>
      <c r="I1881" s="78" t="s">
        <v>414</v>
      </c>
      <c r="J1881" s="79" t="s">
        <v>415</v>
      </c>
      <c r="K1881" s="79" t="s">
        <v>414</v>
      </c>
      <c r="L1881" s="79" t="s">
        <v>415</v>
      </c>
    </row>
    <row r="1882" spans="1:12" ht="12" customHeight="1" x14ac:dyDescent="0.35">
      <c r="B1882" s="451"/>
      <c r="C1882" s="451"/>
      <c r="D1882" s="453"/>
      <c r="E1882" s="451"/>
      <c r="F1882" s="451"/>
      <c r="G1882" s="77" t="s">
        <v>17</v>
      </c>
      <c r="H1882" s="77" t="s">
        <v>416</v>
      </c>
      <c r="I1882" s="78" t="s">
        <v>17</v>
      </c>
      <c r="J1882" s="79" t="s">
        <v>416</v>
      </c>
      <c r="K1882" s="79" t="s">
        <v>17</v>
      </c>
      <c r="L1882" s="79" t="s">
        <v>416</v>
      </c>
    </row>
    <row r="1883" spans="1:12" ht="12" customHeight="1" x14ac:dyDescent="0.35">
      <c r="B1883" s="451"/>
      <c r="C1883" s="451"/>
      <c r="D1883" s="454"/>
      <c r="E1883" s="451"/>
      <c r="F1883" s="451"/>
      <c r="G1883" s="106"/>
      <c r="H1883" s="77" t="s">
        <v>17</v>
      </c>
      <c r="I1883" s="94"/>
      <c r="J1883" s="79" t="s">
        <v>17</v>
      </c>
      <c r="K1883" s="85"/>
      <c r="L1883" s="79" t="s">
        <v>17</v>
      </c>
    </row>
    <row r="1884" spans="1:12" ht="12" customHeight="1" x14ac:dyDescent="0.35">
      <c r="B1884" s="80" t="s">
        <v>5</v>
      </c>
      <c r="C1884" s="81" t="s">
        <v>417</v>
      </c>
      <c r="D1884" s="82"/>
      <c r="E1884" s="82"/>
      <c r="F1884" s="82"/>
      <c r="G1884" s="82"/>
      <c r="H1884" s="82"/>
      <c r="I1884" s="83"/>
      <c r="J1884" s="83"/>
      <c r="K1884" s="83"/>
      <c r="L1884" s="83"/>
    </row>
    <row r="1885" spans="1:12" ht="12" customHeight="1" x14ac:dyDescent="0.35">
      <c r="A1885" s="134">
        <v>10130000</v>
      </c>
      <c r="B1885" s="84"/>
      <c r="C1885" s="85" t="s">
        <v>28</v>
      </c>
      <c r="D1885" s="84" t="s">
        <v>418</v>
      </c>
      <c r="E1885" s="84" t="str">
        <f>VLOOKUP(C1885,HSD!B:K,2,FALSE)</f>
        <v>OH</v>
      </c>
      <c r="F1885" s="128">
        <v>1.7743</v>
      </c>
      <c r="G1885" s="87">
        <f>VLOOKUP(C1885,HSD!B:K,10,FALSE)</f>
        <v>120000</v>
      </c>
      <c r="H1885" s="87">
        <f>F1885*G1885</f>
        <v>212916</v>
      </c>
      <c r="I1885" s="87">
        <v>91500</v>
      </c>
      <c r="J1885" s="87">
        <f>F1885*I1885</f>
        <v>162348.45000000001</v>
      </c>
      <c r="K1885" s="87">
        <v>91500</v>
      </c>
      <c r="L1885" s="87">
        <f>F1885*K1885</f>
        <v>162348.45000000001</v>
      </c>
    </row>
    <row r="1886" spans="1:12" ht="12" customHeight="1" x14ac:dyDescent="0.35">
      <c r="A1886" s="134">
        <v>10143000</v>
      </c>
      <c r="B1886" s="84"/>
      <c r="C1886" s="85" t="s">
        <v>435</v>
      </c>
      <c r="D1886" s="84" t="s">
        <v>418</v>
      </c>
      <c r="E1886" s="84" t="str">
        <f>VLOOKUP(C1886,HSD!B:K,2,FALSE)</f>
        <v>OH</v>
      </c>
      <c r="F1886" s="128">
        <v>0.8871</v>
      </c>
      <c r="G1886" s="87">
        <f>VLOOKUP(C1886,HSD!B:K,10,FALSE)</f>
        <v>250000</v>
      </c>
      <c r="H1886" s="87">
        <f>F1886*G1886</f>
        <v>221775</v>
      </c>
      <c r="I1886" s="87"/>
      <c r="J1886" s="87"/>
      <c r="K1886" s="87"/>
      <c r="L1886" s="87"/>
    </row>
    <row r="1887" spans="1:12" ht="12" customHeight="1" x14ac:dyDescent="0.35">
      <c r="A1887" s="134">
        <v>10110000</v>
      </c>
      <c r="B1887" s="84"/>
      <c r="C1887" s="85" t="s">
        <v>30</v>
      </c>
      <c r="D1887" s="84" t="s">
        <v>418</v>
      </c>
      <c r="E1887" s="84" t="str">
        <f>VLOOKUP(C1887,HSD!B:K,2,FALSE)</f>
        <v>OH</v>
      </c>
      <c r="F1887" s="128">
        <f>F1885/10</f>
        <v>0.17743</v>
      </c>
      <c r="G1887" s="87">
        <f>VLOOKUP(C1887,HSD!B:K,10,FALSE)</f>
        <v>150000</v>
      </c>
      <c r="H1887" s="87">
        <f>F1887*G1887</f>
        <v>26614.5</v>
      </c>
      <c r="I1887" s="87">
        <v>78600</v>
      </c>
      <c r="J1887" s="87">
        <f>F1887*I1887</f>
        <v>13945.998</v>
      </c>
      <c r="K1887" s="87">
        <v>78600</v>
      </c>
      <c r="L1887" s="87">
        <f>F1887*K1887</f>
        <v>13945.998</v>
      </c>
    </row>
    <row r="1888" spans="1:12" ht="12" customHeight="1" x14ac:dyDescent="0.35">
      <c r="B1888" s="84"/>
      <c r="C1888" s="85"/>
      <c r="D1888" s="84"/>
      <c r="E1888" s="84"/>
      <c r="F1888" s="86"/>
      <c r="G1888" s="87"/>
      <c r="H1888" s="87">
        <f>F1888*G1888</f>
        <v>0</v>
      </c>
      <c r="I1888" s="87">
        <v>92500</v>
      </c>
      <c r="J1888" s="87">
        <f>F1888*I1888</f>
        <v>0</v>
      </c>
      <c r="K1888" s="87">
        <v>92500</v>
      </c>
      <c r="L1888" s="87">
        <f>F1888*K1888</f>
        <v>0</v>
      </c>
    </row>
    <row r="1889" spans="1:12" ht="12" customHeight="1" x14ac:dyDescent="0.35">
      <c r="B1889" s="84"/>
      <c r="C1889" s="85"/>
      <c r="D1889" s="84"/>
      <c r="E1889" s="84"/>
      <c r="F1889" s="86"/>
      <c r="G1889" s="87"/>
      <c r="H1889" s="87"/>
      <c r="I1889" s="87"/>
      <c r="J1889" s="87"/>
      <c r="K1889" s="87"/>
      <c r="L1889" s="87"/>
    </row>
    <row r="1890" spans="1:12" ht="12" customHeight="1" x14ac:dyDescent="0.35">
      <c r="B1890" s="84"/>
      <c r="C1890" s="88"/>
      <c r="D1890" s="79"/>
      <c r="E1890" s="79"/>
      <c r="F1890" s="89" t="s">
        <v>421</v>
      </c>
      <c r="G1890" s="101"/>
      <c r="H1890" s="87">
        <f>SUM(H1885:H1889)</f>
        <v>461305.5</v>
      </c>
      <c r="I1890" s="101"/>
      <c r="J1890" s="87">
        <f>SUM(J1887:J1889)</f>
        <v>13945.998</v>
      </c>
      <c r="K1890" s="101"/>
      <c r="L1890" s="87">
        <f>SUM(L1887:L1889)</f>
        <v>13945.998</v>
      </c>
    </row>
    <row r="1891" spans="1:12" ht="12" customHeight="1" x14ac:dyDescent="0.35">
      <c r="B1891" s="84" t="s">
        <v>6</v>
      </c>
      <c r="C1891" s="88" t="s">
        <v>422</v>
      </c>
      <c r="D1891" s="79"/>
      <c r="E1891" s="79"/>
      <c r="F1891" s="90"/>
      <c r="G1891" s="84"/>
      <c r="H1891" s="87"/>
      <c r="I1891" s="84"/>
      <c r="J1891" s="87"/>
      <c r="K1891" s="84"/>
      <c r="L1891" s="87"/>
    </row>
    <row r="1892" spans="1:12" ht="12" customHeight="1" x14ac:dyDescent="0.35">
      <c r="A1892" s="134">
        <v>211100111</v>
      </c>
      <c r="B1892" s="84"/>
      <c r="C1892" s="85" t="s">
        <v>1793</v>
      </c>
      <c r="D1892" s="84" t="s">
        <v>418</v>
      </c>
      <c r="E1892" s="84" t="str">
        <f>VLOOKUP(C1892,HSD!B:K,2,FALSE)</f>
        <v>bh</v>
      </c>
      <c r="F1892" s="128">
        <v>512</v>
      </c>
      <c r="G1892" s="87">
        <f>VLOOKUP(C1892,HSD!B:K,10,FALSE)</f>
        <v>1332</v>
      </c>
      <c r="H1892" s="87">
        <f>F1892*G1892</f>
        <v>681984</v>
      </c>
      <c r="I1892" s="87">
        <v>232500</v>
      </c>
      <c r="J1892" s="87">
        <f>F1892*I1892</f>
        <v>119040000</v>
      </c>
      <c r="K1892" s="87">
        <v>270000</v>
      </c>
      <c r="L1892" s="87">
        <f>F1892*K1892</f>
        <v>138240000</v>
      </c>
    </row>
    <row r="1893" spans="1:12" ht="12" customHeight="1" x14ac:dyDescent="0.35">
      <c r="A1893" s="134">
        <v>211100113</v>
      </c>
      <c r="B1893" s="84"/>
      <c r="C1893" s="85" t="s">
        <v>49</v>
      </c>
      <c r="D1893" s="84" t="s">
        <v>418</v>
      </c>
      <c r="E1893" s="84" t="str">
        <f>VLOOKUP(C1893,HSD!B:K,2,FALSE)</f>
        <v>m3</v>
      </c>
      <c r="F1893" s="128">
        <v>0.26290000000000002</v>
      </c>
      <c r="G1893" s="87">
        <f>VLOOKUP(C1893,HSD!B:K,10,FALSE)</f>
        <v>230880</v>
      </c>
      <c r="H1893" s="87">
        <f>F1893*G1893</f>
        <v>60698.352000000006</v>
      </c>
      <c r="I1893" s="87">
        <v>1060</v>
      </c>
      <c r="J1893" s="87">
        <f>F1893*I1893</f>
        <v>278.67400000000004</v>
      </c>
      <c r="K1893" s="87">
        <v>1060</v>
      </c>
      <c r="L1893" s="87">
        <f>F1893*K1893</f>
        <v>278.67400000000004</v>
      </c>
    </row>
    <row r="1894" spans="1:12" ht="12" customHeight="1" x14ac:dyDescent="0.35">
      <c r="A1894" s="134">
        <v>21301000</v>
      </c>
      <c r="B1894" s="84"/>
      <c r="C1894" s="85" t="s">
        <v>60</v>
      </c>
      <c r="D1894" s="84" t="s">
        <v>418</v>
      </c>
      <c r="E1894" s="84" t="str">
        <f>VLOOKUP(C1894,HSD!B:K,2,FALSE)</f>
        <v>kg</v>
      </c>
      <c r="F1894" s="128">
        <v>168</v>
      </c>
      <c r="G1894" s="87">
        <f>VLOOKUP(C1894,HSD!B:K,10,FALSE)</f>
        <v>2331</v>
      </c>
      <c r="H1894" s="87">
        <f>F1894*G1894</f>
        <v>391608</v>
      </c>
      <c r="I1894" s="87">
        <v>215000</v>
      </c>
      <c r="J1894" s="87">
        <f>F1894*I1894</f>
        <v>36120000</v>
      </c>
      <c r="K1894" s="87">
        <v>250000</v>
      </c>
      <c r="L1894" s="87">
        <f>F1894*K1894</f>
        <v>42000000</v>
      </c>
    </row>
    <row r="1895" spans="1:12" ht="12" customHeight="1" x14ac:dyDescent="0.35">
      <c r="B1895" s="84"/>
      <c r="C1895" s="85"/>
      <c r="D1895" s="84"/>
      <c r="E1895" s="84"/>
      <c r="F1895" s="128"/>
      <c r="G1895" s="87"/>
      <c r="H1895" s="87"/>
      <c r="I1895" s="87"/>
      <c r="J1895" s="87"/>
      <c r="K1895" s="87"/>
      <c r="L1895" s="87"/>
    </row>
    <row r="1896" spans="1:12" ht="12" customHeight="1" x14ac:dyDescent="0.35">
      <c r="B1896" s="84"/>
      <c r="C1896" s="88"/>
      <c r="D1896" s="79"/>
      <c r="E1896" s="79"/>
      <c r="F1896" s="129" t="s">
        <v>423</v>
      </c>
      <c r="G1896" s="129"/>
      <c r="H1896" s="87">
        <f>SUM(H1892:H1895)</f>
        <v>1134290.352</v>
      </c>
      <c r="I1896" s="101"/>
      <c r="J1896" s="87" t="e">
        <f>SUM(#REF!)</f>
        <v>#REF!</v>
      </c>
      <c r="K1896" s="101"/>
      <c r="L1896" s="87" t="e">
        <f>SUM(#REF!)</f>
        <v>#REF!</v>
      </c>
    </row>
    <row r="1897" spans="1:12" ht="12" customHeight="1" x14ac:dyDescent="0.35">
      <c r="B1897" s="84" t="s">
        <v>7</v>
      </c>
      <c r="C1897" s="88" t="s">
        <v>424</v>
      </c>
      <c r="D1897" s="79"/>
      <c r="E1897" s="79"/>
      <c r="F1897" s="90"/>
      <c r="G1897" s="84"/>
      <c r="H1897" s="87"/>
      <c r="I1897" s="84"/>
      <c r="J1897" s="87"/>
      <c r="K1897" s="84"/>
      <c r="L1897" s="87"/>
    </row>
    <row r="1898" spans="1:12" ht="12" customHeight="1" x14ac:dyDescent="0.35">
      <c r="A1898" s="134">
        <v>31100004</v>
      </c>
      <c r="B1898" s="84"/>
      <c r="C1898" s="85" t="s">
        <v>1829</v>
      </c>
      <c r="D1898" s="84" t="s">
        <v>418</v>
      </c>
      <c r="E1898" s="84" t="str">
        <f>VLOOKUP(C1898,HSD!B:K,2,FALSE)</f>
        <v>Sewa-hari</v>
      </c>
      <c r="F1898" s="128">
        <v>5.8999999999999997E-2</v>
      </c>
      <c r="G1898" s="87">
        <f>VLOOKUP(C1898,HSD!B:K,10,FALSE)</f>
        <v>126984</v>
      </c>
      <c r="H1898" s="87">
        <f>F1898*G1898</f>
        <v>7492.0559999999996</v>
      </c>
      <c r="I1898" s="87"/>
      <c r="J1898" s="87">
        <f>H1898*I1898</f>
        <v>0</v>
      </c>
      <c r="K1898" s="87"/>
      <c r="L1898" s="87">
        <f>J1898*K1898</f>
        <v>0</v>
      </c>
    </row>
    <row r="1899" spans="1:12" ht="12" customHeight="1" x14ac:dyDescent="0.35">
      <c r="B1899" s="84"/>
      <c r="C1899" s="85"/>
      <c r="D1899" s="84"/>
      <c r="E1899" s="84"/>
      <c r="F1899" s="128"/>
      <c r="G1899" s="87"/>
      <c r="H1899" s="87">
        <f>F1899*G1899</f>
        <v>0</v>
      </c>
      <c r="I1899" s="87"/>
      <c r="J1899" s="87"/>
      <c r="K1899" s="87"/>
      <c r="L1899" s="87"/>
    </row>
    <row r="1900" spans="1:12" ht="12" customHeight="1" x14ac:dyDescent="0.35">
      <c r="B1900" s="84"/>
      <c r="C1900" s="88"/>
      <c r="D1900" s="79"/>
      <c r="E1900" s="79"/>
      <c r="F1900" s="89" t="s">
        <v>425</v>
      </c>
      <c r="G1900" s="101"/>
      <c r="H1900" s="87">
        <f>SUM(H1898:H1899)</f>
        <v>7492.0559999999996</v>
      </c>
      <c r="I1900" s="101"/>
      <c r="J1900" s="87">
        <f>SUM(J1898)</f>
        <v>0</v>
      </c>
      <c r="K1900" s="101"/>
      <c r="L1900" s="87">
        <f>SUM(L1898)</f>
        <v>0</v>
      </c>
    </row>
    <row r="1901" spans="1:12" ht="12" customHeight="1" x14ac:dyDescent="0.35">
      <c r="B1901" s="84" t="s">
        <v>8</v>
      </c>
      <c r="C1901" s="103" t="s">
        <v>426</v>
      </c>
      <c r="D1901" s="104"/>
      <c r="E1901" s="104"/>
      <c r="F1901" s="104"/>
      <c r="G1901" s="105"/>
      <c r="H1901" s="87">
        <f>H1890+H1896+H1900</f>
        <v>1603087.9080000001</v>
      </c>
      <c r="I1901" s="105"/>
      <c r="J1901" s="87" t="e">
        <f>J1890+J1896+J1900</f>
        <v>#REF!</v>
      </c>
      <c r="K1901" s="105"/>
      <c r="L1901" s="87" t="e">
        <f>L1890+L1896+L1900</f>
        <v>#REF!</v>
      </c>
    </row>
    <row r="1902" spans="1:12" ht="12" customHeight="1" x14ac:dyDescent="0.35">
      <c r="B1902" s="84" t="s">
        <v>9</v>
      </c>
      <c r="C1902" s="455" t="s">
        <v>427</v>
      </c>
      <c r="D1902" s="455"/>
      <c r="E1902" s="455"/>
      <c r="F1902" s="95">
        <f>0</f>
        <v>0</v>
      </c>
      <c r="G1902" s="85" t="s">
        <v>428</v>
      </c>
      <c r="H1902" s="87">
        <f>H1901*F1902</f>
        <v>0</v>
      </c>
      <c r="I1902" s="85" t="s">
        <v>428</v>
      </c>
      <c r="J1902" s="87" t="e">
        <f>J1901*F1902</f>
        <v>#REF!</v>
      </c>
      <c r="K1902" s="85" t="s">
        <v>428</v>
      </c>
      <c r="L1902" s="87" t="e">
        <f>L1901*F1902</f>
        <v>#REF!</v>
      </c>
    </row>
    <row r="1903" spans="1:12" ht="12" customHeight="1" x14ac:dyDescent="0.35">
      <c r="B1903" s="84" t="s">
        <v>10</v>
      </c>
      <c r="C1903" s="103" t="s">
        <v>429</v>
      </c>
      <c r="D1903" s="104"/>
      <c r="E1903" s="104"/>
      <c r="F1903" s="104"/>
      <c r="G1903" s="105"/>
      <c r="H1903" s="96">
        <f>H1901+H1902</f>
        <v>1603087.9080000001</v>
      </c>
      <c r="I1903" s="97"/>
      <c r="J1903" s="96" t="e">
        <f>J1901+J1902</f>
        <v>#REF!</v>
      </c>
      <c r="K1903" s="97"/>
      <c r="L1903" s="96" t="e">
        <f>L1901+L1902</f>
        <v>#REF!</v>
      </c>
    </row>
    <row r="1905" spans="1:12" ht="37" customHeight="1" x14ac:dyDescent="0.35">
      <c r="B1905" s="76" t="s">
        <v>655</v>
      </c>
      <c r="C1905" s="458" t="s">
        <v>657</v>
      </c>
      <c r="D1905" s="459"/>
      <c r="E1905" s="459"/>
      <c r="F1905" s="459"/>
      <c r="G1905" s="456"/>
      <c r="H1905" s="457"/>
      <c r="I1905" s="455" t="s">
        <v>3</v>
      </c>
      <c r="J1905" s="455"/>
      <c r="K1905" s="455" t="s">
        <v>4</v>
      </c>
      <c r="L1905" s="455"/>
    </row>
    <row r="1906" spans="1:12" ht="12" customHeight="1" x14ac:dyDescent="0.35">
      <c r="B1906" s="451" t="s">
        <v>409</v>
      </c>
      <c r="C1906" s="451" t="s">
        <v>410</v>
      </c>
      <c r="D1906" s="452" t="s">
        <v>411</v>
      </c>
      <c r="E1906" s="451" t="s">
        <v>412</v>
      </c>
      <c r="F1906" s="451" t="s">
        <v>413</v>
      </c>
      <c r="G1906" s="77" t="s">
        <v>414</v>
      </c>
      <c r="H1906" s="77" t="s">
        <v>415</v>
      </c>
      <c r="I1906" s="78" t="s">
        <v>414</v>
      </c>
      <c r="J1906" s="79" t="s">
        <v>415</v>
      </c>
      <c r="K1906" s="79" t="s">
        <v>414</v>
      </c>
      <c r="L1906" s="79" t="s">
        <v>415</v>
      </c>
    </row>
    <row r="1907" spans="1:12" ht="12" customHeight="1" x14ac:dyDescent="0.35">
      <c r="B1907" s="451"/>
      <c r="C1907" s="451"/>
      <c r="D1907" s="453"/>
      <c r="E1907" s="451"/>
      <c r="F1907" s="451"/>
      <c r="G1907" s="77" t="s">
        <v>17</v>
      </c>
      <c r="H1907" s="77" t="s">
        <v>416</v>
      </c>
      <c r="I1907" s="78" t="s">
        <v>17</v>
      </c>
      <c r="J1907" s="79" t="s">
        <v>416</v>
      </c>
      <c r="K1907" s="79" t="s">
        <v>17</v>
      </c>
      <c r="L1907" s="79" t="s">
        <v>416</v>
      </c>
    </row>
    <row r="1908" spans="1:12" ht="12" customHeight="1" x14ac:dyDescent="0.35">
      <c r="B1908" s="451"/>
      <c r="C1908" s="451"/>
      <c r="D1908" s="454"/>
      <c r="E1908" s="451"/>
      <c r="F1908" s="451"/>
      <c r="G1908" s="106"/>
      <c r="H1908" s="77" t="s">
        <v>17</v>
      </c>
      <c r="I1908" s="94"/>
      <c r="J1908" s="79" t="s">
        <v>17</v>
      </c>
      <c r="K1908" s="85"/>
      <c r="L1908" s="79" t="s">
        <v>17</v>
      </c>
    </row>
    <row r="1909" spans="1:12" ht="12" customHeight="1" x14ac:dyDescent="0.35">
      <c r="B1909" s="80" t="s">
        <v>5</v>
      </c>
      <c r="C1909" s="81" t="s">
        <v>417</v>
      </c>
      <c r="D1909" s="82"/>
      <c r="E1909" s="82"/>
      <c r="F1909" s="82"/>
      <c r="G1909" s="82"/>
      <c r="H1909" s="82"/>
      <c r="I1909" s="83"/>
      <c r="J1909" s="83"/>
      <c r="K1909" s="83"/>
      <c r="L1909" s="83"/>
    </row>
    <row r="1910" spans="1:12" ht="12" customHeight="1" x14ac:dyDescent="0.35">
      <c r="A1910" s="134">
        <v>10130000</v>
      </c>
      <c r="B1910" s="84"/>
      <c r="C1910" s="85" t="s">
        <v>28</v>
      </c>
      <c r="D1910" s="84" t="s">
        <v>418</v>
      </c>
      <c r="E1910" s="84" t="str">
        <f>VLOOKUP(C1910,HSD!B:K,2,FALSE)</f>
        <v>OH</v>
      </c>
      <c r="F1910" s="128">
        <v>1.35</v>
      </c>
      <c r="G1910" s="87">
        <f>VLOOKUP(C1910,HSD!B:K,10,FALSE)</f>
        <v>120000</v>
      </c>
      <c r="H1910" s="87">
        <f>F1910*G1910</f>
        <v>162000</v>
      </c>
      <c r="I1910" s="87">
        <v>91500</v>
      </c>
      <c r="J1910" s="87">
        <f>F1910*I1910</f>
        <v>123525.00000000001</v>
      </c>
      <c r="K1910" s="87">
        <v>91500</v>
      </c>
      <c r="L1910" s="87">
        <f>F1910*K1910</f>
        <v>123525.00000000001</v>
      </c>
    </row>
    <row r="1911" spans="1:12" ht="12" customHeight="1" x14ac:dyDescent="0.35">
      <c r="A1911" s="134">
        <v>10143000</v>
      </c>
      <c r="B1911" s="84"/>
      <c r="C1911" s="85" t="s">
        <v>435</v>
      </c>
      <c r="D1911" s="84" t="s">
        <v>418</v>
      </c>
      <c r="E1911" s="84" t="str">
        <f>VLOOKUP(C1911,HSD!B:K,2,FALSE)</f>
        <v>OH</v>
      </c>
      <c r="F1911" s="128">
        <v>0.67500000000000004</v>
      </c>
      <c r="G1911" s="87">
        <f>VLOOKUP(C1911,HSD!B:K,10,FALSE)</f>
        <v>250000</v>
      </c>
      <c r="H1911" s="87">
        <f>F1911*G1911</f>
        <v>168750</v>
      </c>
      <c r="I1911" s="87"/>
      <c r="J1911" s="87"/>
      <c r="K1911" s="87"/>
      <c r="L1911" s="87"/>
    </row>
    <row r="1912" spans="1:12" ht="12" customHeight="1" x14ac:dyDescent="0.35">
      <c r="A1912" s="134">
        <v>10110000</v>
      </c>
      <c r="B1912" s="84"/>
      <c r="C1912" s="85" t="s">
        <v>30</v>
      </c>
      <c r="D1912" s="84" t="s">
        <v>418</v>
      </c>
      <c r="E1912" s="84" t="str">
        <f>VLOOKUP(C1912,HSD!B:K,2,FALSE)</f>
        <v>OH</v>
      </c>
      <c r="F1912" s="128">
        <f>F1910/10</f>
        <v>0.13500000000000001</v>
      </c>
      <c r="G1912" s="87">
        <f>VLOOKUP(C1912,HSD!B:K,10,FALSE)</f>
        <v>150000</v>
      </c>
      <c r="H1912" s="87">
        <f>F1912*G1912</f>
        <v>20250</v>
      </c>
      <c r="I1912" s="87">
        <v>78600</v>
      </c>
      <c r="J1912" s="87">
        <f>F1912*I1912</f>
        <v>10611</v>
      </c>
      <c r="K1912" s="87">
        <v>78600</v>
      </c>
      <c r="L1912" s="87">
        <f>F1912*K1912</f>
        <v>10611</v>
      </c>
    </row>
    <row r="1913" spans="1:12" ht="12" customHeight="1" x14ac:dyDescent="0.35">
      <c r="B1913" s="84"/>
      <c r="C1913" s="85"/>
      <c r="D1913" s="84"/>
      <c r="E1913" s="84"/>
      <c r="F1913" s="86"/>
      <c r="G1913" s="87"/>
      <c r="H1913" s="87">
        <f>F1913*G1913</f>
        <v>0</v>
      </c>
      <c r="I1913" s="87">
        <v>92500</v>
      </c>
      <c r="J1913" s="87">
        <f>F1913*I1913</f>
        <v>0</v>
      </c>
      <c r="K1913" s="87">
        <v>92500</v>
      </c>
      <c r="L1913" s="87">
        <f>F1913*K1913</f>
        <v>0</v>
      </c>
    </row>
    <row r="1914" spans="1:12" ht="12" customHeight="1" x14ac:dyDescent="0.35">
      <c r="B1914" s="84"/>
      <c r="C1914" s="85"/>
      <c r="D1914" s="84"/>
      <c r="E1914" s="84"/>
      <c r="F1914" s="86"/>
      <c r="G1914" s="87"/>
      <c r="H1914" s="87"/>
      <c r="I1914" s="87"/>
      <c r="J1914" s="87"/>
      <c r="K1914" s="87"/>
      <c r="L1914" s="87"/>
    </row>
    <row r="1915" spans="1:12" ht="12" customHeight="1" x14ac:dyDescent="0.35">
      <c r="B1915" s="84"/>
      <c r="C1915" s="88"/>
      <c r="D1915" s="79"/>
      <c r="E1915" s="79"/>
      <c r="F1915" s="89" t="s">
        <v>421</v>
      </c>
      <c r="G1915" s="101"/>
      <c r="H1915" s="87">
        <f>SUM(H1910:H1914)</f>
        <v>351000</v>
      </c>
      <c r="I1915" s="101"/>
      <c r="J1915" s="87">
        <f>SUM(J1912:J1914)</f>
        <v>10611</v>
      </c>
      <c r="K1915" s="101"/>
      <c r="L1915" s="87">
        <f>SUM(L1912:L1914)</f>
        <v>10611</v>
      </c>
    </row>
    <row r="1916" spans="1:12" ht="12" customHeight="1" x14ac:dyDescent="0.35">
      <c r="B1916" s="84" t="s">
        <v>6</v>
      </c>
      <c r="C1916" s="88" t="s">
        <v>422</v>
      </c>
      <c r="D1916" s="79"/>
      <c r="E1916" s="79"/>
      <c r="F1916" s="90"/>
      <c r="G1916" s="84"/>
      <c r="H1916" s="87"/>
      <c r="I1916" s="84"/>
      <c r="J1916" s="87"/>
      <c r="K1916" s="84"/>
      <c r="L1916" s="87"/>
    </row>
    <row r="1917" spans="1:12" ht="12" customHeight="1" x14ac:dyDescent="0.35">
      <c r="A1917" s="134">
        <v>211100111</v>
      </c>
      <c r="B1917" s="84"/>
      <c r="C1917" s="85" t="s">
        <v>1793</v>
      </c>
      <c r="D1917" s="84" t="s">
        <v>418</v>
      </c>
      <c r="E1917" s="84" t="str">
        <f>VLOOKUP(C1917,HSD!B:K,2,FALSE)</f>
        <v>bh</v>
      </c>
      <c r="F1917" s="128">
        <v>512</v>
      </c>
      <c r="G1917" s="87">
        <f>VLOOKUP(C1917,HSD!B:K,10,FALSE)</f>
        <v>1332</v>
      </c>
      <c r="H1917" s="87">
        <f>F1917*G1917</f>
        <v>681984</v>
      </c>
      <c r="I1917" s="87">
        <v>232500</v>
      </c>
      <c r="J1917" s="87">
        <f>F1917*I1917</f>
        <v>119040000</v>
      </c>
      <c r="K1917" s="87">
        <v>270000</v>
      </c>
      <c r="L1917" s="87">
        <f>F1917*K1917</f>
        <v>138240000</v>
      </c>
    </row>
    <row r="1918" spans="1:12" ht="12" customHeight="1" x14ac:dyDescent="0.35">
      <c r="A1918" s="134">
        <v>211100113</v>
      </c>
      <c r="B1918" s="84"/>
      <c r="C1918" s="85" t="s">
        <v>49</v>
      </c>
      <c r="D1918" s="84" t="s">
        <v>418</v>
      </c>
      <c r="E1918" s="84" t="str">
        <f>VLOOKUP(C1918,HSD!B:K,2,FALSE)</f>
        <v>m3</v>
      </c>
      <c r="F1918" s="128">
        <v>0.30599999999999999</v>
      </c>
      <c r="G1918" s="87">
        <f>VLOOKUP(C1918,HSD!B:K,10,FALSE)</f>
        <v>230880</v>
      </c>
      <c r="H1918" s="87">
        <f>F1918*G1918</f>
        <v>70649.279999999999</v>
      </c>
      <c r="I1918" s="87">
        <v>1060</v>
      </c>
      <c r="J1918" s="87">
        <f>F1918*I1918</f>
        <v>324.36</v>
      </c>
      <c r="K1918" s="87">
        <v>1060</v>
      </c>
      <c r="L1918" s="87">
        <f>F1918*K1918</f>
        <v>324.36</v>
      </c>
    </row>
    <row r="1919" spans="1:12" ht="12" customHeight="1" x14ac:dyDescent="0.35">
      <c r="A1919" s="134">
        <v>21301000</v>
      </c>
      <c r="B1919" s="84"/>
      <c r="C1919" s="85" t="s">
        <v>60</v>
      </c>
      <c r="D1919" s="84" t="s">
        <v>418</v>
      </c>
      <c r="E1919" s="84" t="str">
        <f>VLOOKUP(C1919,HSD!B:K,2,FALSE)</f>
        <v>kg</v>
      </c>
      <c r="F1919" s="128">
        <v>131</v>
      </c>
      <c r="G1919" s="87">
        <f>VLOOKUP(C1919,HSD!B:K,10,FALSE)</f>
        <v>2331</v>
      </c>
      <c r="H1919" s="87">
        <f>F1919*G1919</f>
        <v>305361</v>
      </c>
      <c r="I1919" s="87">
        <v>215000</v>
      </c>
      <c r="J1919" s="87">
        <f>F1919*I1919</f>
        <v>28165000</v>
      </c>
      <c r="K1919" s="87">
        <v>250000</v>
      </c>
      <c r="L1919" s="87">
        <f>F1919*K1919</f>
        <v>32750000</v>
      </c>
    </row>
    <row r="1920" spans="1:12" ht="12" customHeight="1" x14ac:dyDescent="0.35">
      <c r="B1920" s="84"/>
      <c r="C1920" s="85"/>
      <c r="D1920" s="84"/>
      <c r="E1920" s="84"/>
      <c r="F1920" s="128"/>
      <c r="G1920" s="87"/>
      <c r="H1920" s="87"/>
      <c r="I1920" s="87"/>
      <c r="J1920" s="87"/>
      <c r="K1920" s="87"/>
      <c r="L1920" s="87"/>
    </row>
    <row r="1921" spans="1:12" ht="12" customHeight="1" x14ac:dyDescent="0.35">
      <c r="B1921" s="84"/>
      <c r="C1921" s="88"/>
      <c r="D1921" s="79"/>
      <c r="E1921" s="79"/>
      <c r="F1921" s="129" t="s">
        <v>423</v>
      </c>
      <c r="G1921" s="129"/>
      <c r="H1921" s="87">
        <f>SUM(H1917:H1920)</f>
        <v>1057994.28</v>
      </c>
      <c r="I1921" s="101"/>
      <c r="J1921" s="87" t="e">
        <f>SUM(#REF!)</f>
        <v>#REF!</v>
      </c>
      <c r="K1921" s="101"/>
      <c r="L1921" s="87" t="e">
        <f>SUM(#REF!)</f>
        <v>#REF!</v>
      </c>
    </row>
    <row r="1922" spans="1:12" ht="12" customHeight="1" x14ac:dyDescent="0.35">
      <c r="B1922" s="84" t="s">
        <v>7</v>
      </c>
      <c r="C1922" s="88" t="s">
        <v>424</v>
      </c>
      <c r="D1922" s="79"/>
      <c r="E1922" s="79"/>
      <c r="F1922" s="90"/>
      <c r="G1922" s="84"/>
      <c r="H1922" s="87"/>
      <c r="I1922" s="84"/>
      <c r="J1922" s="87"/>
      <c r="K1922" s="84"/>
      <c r="L1922" s="87"/>
    </row>
    <row r="1923" spans="1:12" ht="12" customHeight="1" x14ac:dyDescent="0.35">
      <c r="A1923" s="134">
        <v>31100004</v>
      </c>
      <c r="B1923" s="84"/>
      <c r="C1923" s="85" t="s">
        <v>1829</v>
      </c>
      <c r="D1923" s="84" t="s">
        <v>418</v>
      </c>
      <c r="E1923" s="84" t="str">
        <f>VLOOKUP(C1923,HSD!B:K,2,FALSE)</f>
        <v>Sewa-hari</v>
      </c>
      <c r="F1923" s="128"/>
      <c r="G1923" s="87">
        <f>VLOOKUP(C1923,HSD!B:K,10,FALSE)</f>
        <v>126984</v>
      </c>
      <c r="H1923" s="87">
        <f>F1923*G1923</f>
        <v>0</v>
      </c>
      <c r="I1923" s="87"/>
      <c r="J1923" s="87">
        <f>H1923*I1923</f>
        <v>0</v>
      </c>
      <c r="K1923" s="87"/>
      <c r="L1923" s="87">
        <f>J1923*K1923</f>
        <v>0</v>
      </c>
    </row>
    <row r="1924" spans="1:12" ht="12" customHeight="1" x14ac:dyDescent="0.35">
      <c r="B1924" s="84"/>
      <c r="C1924" s="85"/>
      <c r="D1924" s="84"/>
      <c r="E1924" s="84"/>
      <c r="F1924" s="128"/>
      <c r="G1924" s="87"/>
      <c r="H1924" s="87">
        <f>F1924*G1924</f>
        <v>0</v>
      </c>
      <c r="I1924" s="87"/>
      <c r="J1924" s="87"/>
      <c r="K1924" s="87"/>
      <c r="L1924" s="87"/>
    </row>
    <row r="1925" spans="1:12" ht="12" customHeight="1" x14ac:dyDescent="0.35">
      <c r="B1925" s="84"/>
      <c r="C1925" s="88"/>
      <c r="D1925" s="79"/>
      <c r="E1925" s="79"/>
      <c r="F1925" s="89" t="s">
        <v>425</v>
      </c>
      <c r="G1925" s="101"/>
      <c r="H1925" s="87">
        <f>SUM(H1923:H1924)</f>
        <v>0</v>
      </c>
      <c r="I1925" s="101"/>
      <c r="J1925" s="87">
        <f>SUM(J1923)</f>
        <v>0</v>
      </c>
      <c r="K1925" s="101"/>
      <c r="L1925" s="87">
        <f>SUM(L1923)</f>
        <v>0</v>
      </c>
    </row>
    <row r="1926" spans="1:12" ht="12" customHeight="1" x14ac:dyDescent="0.35">
      <c r="B1926" s="84" t="s">
        <v>8</v>
      </c>
      <c r="C1926" s="103" t="s">
        <v>426</v>
      </c>
      <c r="D1926" s="104"/>
      <c r="E1926" s="104"/>
      <c r="F1926" s="104"/>
      <c r="G1926" s="105"/>
      <c r="H1926" s="87">
        <f>H1915+H1921+H1925</f>
        <v>1408994.28</v>
      </c>
      <c r="I1926" s="105"/>
      <c r="J1926" s="87" t="e">
        <f>J1915+J1921+J1925</f>
        <v>#REF!</v>
      </c>
      <c r="K1926" s="105"/>
      <c r="L1926" s="87" t="e">
        <f>L1915+L1921+L1925</f>
        <v>#REF!</v>
      </c>
    </row>
    <row r="1927" spans="1:12" ht="12" customHeight="1" x14ac:dyDescent="0.35">
      <c r="B1927" s="84" t="s">
        <v>9</v>
      </c>
      <c r="C1927" s="455" t="s">
        <v>427</v>
      </c>
      <c r="D1927" s="455"/>
      <c r="E1927" s="455"/>
      <c r="F1927" s="95">
        <f>0</f>
        <v>0</v>
      </c>
      <c r="G1927" s="85" t="s">
        <v>428</v>
      </c>
      <c r="H1927" s="87">
        <f>H1926*F1927</f>
        <v>0</v>
      </c>
      <c r="I1927" s="85" t="s">
        <v>428</v>
      </c>
      <c r="J1927" s="87" t="e">
        <f>J1926*F1927</f>
        <v>#REF!</v>
      </c>
      <c r="K1927" s="85" t="s">
        <v>428</v>
      </c>
      <c r="L1927" s="87" t="e">
        <f>L1926*F1927</f>
        <v>#REF!</v>
      </c>
    </row>
    <row r="1928" spans="1:12" ht="12" customHeight="1" x14ac:dyDescent="0.35">
      <c r="B1928" s="84" t="s">
        <v>10</v>
      </c>
      <c r="C1928" s="103" t="s">
        <v>429</v>
      </c>
      <c r="D1928" s="104"/>
      <c r="E1928" s="104"/>
      <c r="F1928" s="104"/>
      <c r="G1928" s="105"/>
      <c r="H1928" s="96">
        <f>H1926+H1927</f>
        <v>1408994.28</v>
      </c>
      <c r="I1928" s="97"/>
      <c r="J1928" s="96" t="e">
        <f>J1926+J1927</f>
        <v>#REF!</v>
      </c>
      <c r="K1928" s="97"/>
      <c r="L1928" s="96" t="e">
        <f>L1926+L1927</f>
        <v>#REF!</v>
      </c>
    </row>
    <row r="1930" spans="1:12" ht="37" customHeight="1" x14ac:dyDescent="0.35">
      <c r="B1930" s="76" t="s">
        <v>656</v>
      </c>
      <c r="C1930" s="458" t="s">
        <v>658</v>
      </c>
      <c r="D1930" s="459"/>
      <c r="E1930" s="459"/>
      <c r="F1930" s="459"/>
      <c r="G1930" s="456"/>
      <c r="H1930" s="457"/>
      <c r="I1930" s="455" t="s">
        <v>3</v>
      </c>
      <c r="J1930" s="455"/>
      <c r="K1930" s="455" t="s">
        <v>4</v>
      </c>
      <c r="L1930" s="455"/>
    </row>
    <row r="1931" spans="1:12" ht="12" customHeight="1" x14ac:dyDescent="0.35">
      <c r="B1931" s="451" t="s">
        <v>409</v>
      </c>
      <c r="C1931" s="451" t="s">
        <v>410</v>
      </c>
      <c r="D1931" s="452" t="s">
        <v>411</v>
      </c>
      <c r="E1931" s="451" t="s">
        <v>412</v>
      </c>
      <c r="F1931" s="451" t="s">
        <v>413</v>
      </c>
      <c r="G1931" s="77" t="s">
        <v>414</v>
      </c>
      <c r="H1931" s="77" t="s">
        <v>415</v>
      </c>
      <c r="I1931" s="78" t="s">
        <v>414</v>
      </c>
      <c r="J1931" s="79" t="s">
        <v>415</v>
      </c>
      <c r="K1931" s="79" t="s">
        <v>414</v>
      </c>
      <c r="L1931" s="79" t="s">
        <v>415</v>
      </c>
    </row>
    <row r="1932" spans="1:12" ht="12" customHeight="1" x14ac:dyDescent="0.35">
      <c r="B1932" s="451"/>
      <c r="C1932" s="451"/>
      <c r="D1932" s="453"/>
      <c r="E1932" s="451"/>
      <c r="F1932" s="451"/>
      <c r="G1932" s="77" t="s">
        <v>17</v>
      </c>
      <c r="H1932" s="77" t="s">
        <v>416</v>
      </c>
      <c r="I1932" s="78" t="s">
        <v>17</v>
      </c>
      <c r="J1932" s="79" t="s">
        <v>416</v>
      </c>
      <c r="K1932" s="79" t="s">
        <v>17</v>
      </c>
      <c r="L1932" s="79" t="s">
        <v>416</v>
      </c>
    </row>
    <row r="1933" spans="1:12" ht="12" customHeight="1" x14ac:dyDescent="0.35">
      <c r="B1933" s="451"/>
      <c r="C1933" s="451"/>
      <c r="D1933" s="454"/>
      <c r="E1933" s="451"/>
      <c r="F1933" s="451"/>
      <c r="G1933" s="106"/>
      <c r="H1933" s="77" t="s">
        <v>17</v>
      </c>
      <c r="I1933" s="94"/>
      <c r="J1933" s="79" t="s">
        <v>17</v>
      </c>
      <c r="K1933" s="85"/>
      <c r="L1933" s="79" t="s">
        <v>17</v>
      </c>
    </row>
    <row r="1934" spans="1:12" ht="12" customHeight="1" x14ac:dyDescent="0.35">
      <c r="B1934" s="80" t="s">
        <v>5</v>
      </c>
      <c r="C1934" s="81" t="s">
        <v>417</v>
      </c>
      <c r="D1934" s="82"/>
      <c r="E1934" s="82"/>
      <c r="F1934" s="82"/>
      <c r="G1934" s="82"/>
      <c r="H1934" s="82"/>
      <c r="I1934" s="83"/>
      <c r="J1934" s="83"/>
      <c r="K1934" s="83"/>
      <c r="L1934" s="83"/>
    </row>
    <row r="1935" spans="1:12" ht="12" customHeight="1" x14ac:dyDescent="0.35">
      <c r="A1935" s="134">
        <v>10130000</v>
      </c>
      <c r="B1935" s="84"/>
      <c r="C1935" s="85" t="s">
        <v>28</v>
      </c>
      <c r="D1935" s="84" t="s">
        <v>418</v>
      </c>
      <c r="E1935" s="84" t="str">
        <f>VLOOKUP(C1935,HSD!B:K,2,FALSE)</f>
        <v>OH</v>
      </c>
      <c r="F1935" s="128">
        <v>0.85</v>
      </c>
      <c r="G1935" s="87">
        <f>VLOOKUP(C1935,HSD!B:K,10,FALSE)</f>
        <v>120000</v>
      </c>
      <c r="H1935" s="87">
        <f>F1935*G1935</f>
        <v>102000</v>
      </c>
      <c r="I1935" s="87">
        <v>91500</v>
      </c>
      <c r="J1935" s="87">
        <f>F1935*I1935</f>
        <v>77775</v>
      </c>
      <c r="K1935" s="87">
        <v>91500</v>
      </c>
      <c r="L1935" s="87">
        <f>F1935*K1935</f>
        <v>77775</v>
      </c>
    </row>
    <row r="1936" spans="1:12" ht="12" customHeight="1" x14ac:dyDescent="0.35">
      <c r="A1936" s="134">
        <v>10143000</v>
      </c>
      <c r="B1936" s="84"/>
      <c r="C1936" s="85" t="s">
        <v>435</v>
      </c>
      <c r="D1936" s="84" t="s">
        <v>418</v>
      </c>
      <c r="E1936" s="84" t="str">
        <f>VLOOKUP(C1936,HSD!B:K,2,FALSE)</f>
        <v>OH</v>
      </c>
      <c r="F1936" s="128">
        <v>0.42499999999999999</v>
      </c>
      <c r="G1936" s="87">
        <f>VLOOKUP(C1936,HSD!B:K,10,FALSE)</f>
        <v>250000</v>
      </c>
      <c r="H1936" s="87">
        <f>F1936*G1936</f>
        <v>106250</v>
      </c>
      <c r="I1936" s="87"/>
      <c r="J1936" s="87"/>
      <c r="K1936" s="87"/>
      <c r="L1936" s="87"/>
    </row>
    <row r="1937" spans="1:12" ht="12" customHeight="1" x14ac:dyDescent="0.35">
      <c r="A1937" s="134">
        <v>10110000</v>
      </c>
      <c r="B1937" s="84"/>
      <c r="C1937" s="85" t="s">
        <v>30</v>
      </c>
      <c r="D1937" s="84" t="s">
        <v>418</v>
      </c>
      <c r="E1937" s="84" t="str">
        <f>VLOOKUP(C1937,HSD!B:K,2,FALSE)</f>
        <v>OH</v>
      </c>
      <c r="F1937" s="128">
        <f>F1935/10</f>
        <v>8.4999999999999992E-2</v>
      </c>
      <c r="G1937" s="87">
        <f>VLOOKUP(C1937,HSD!B:K,10,FALSE)</f>
        <v>150000</v>
      </c>
      <c r="H1937" s="87">
        <f>F1937*G1937</f>
        <v>12749.999999999998</v>
      </c>
      <c r="I1937" s="87">
        <v>78600</v>
      </c>
      <c r="J1937" s="87">
        <f>F1937*I1937</f>
        <v>6680.9999999999991</v>
      </c>
      <c r="K1937" s="87">
        <v>78600</v>
      </c>
      <c r="L1937" s="87">
        <f>F1937*K1937</f>
        <v>6680.9999999999991</v>
      </c>
    </row>
    <row r="1938" spans="1:12" ht="12" customHeight="1" x14ac:dyDescent="0.35">
      <c r="B1938" s="84"/>
      <c r="C1938" s="85"/>
      <c r="D1938" s="84"/>
      <c r="E1938" s="84"/>
      <c r="F1938" s="86"/>
      <c r="G1938" s="87"/>
      <c r="H1938" s="87">
        <f>F1938*G1938</f>
        <v>0</v>
      </c>
      <c r="I1938" s="87">
        <v>92500</v>
      </c>
      <c r="J1938" s="87">
        <f>F1938*I1938</f>
        <v>0</v>
      </c>
      <c r="K1938" s="87">
        <v>92500</v>
      </c>
      <c r="L1938" s="87">
        <f>F1938*K1938</f>
        <v>0</v>
      </c>
    </row>
    <row r="1939" spans="1:12" ht="12" customHeight="1" x14ac:dyDescent="0.35">
      <c r="B1939" s="84"/>
      <c r="C1939" s="85"/>
      <c r="D1939" s="84"/>
      <c r="E1939" s="84"/>
      <c r="F1939" s="86"/>
      <c r="G1939" s="87"/>
      <c r="H1939" s="87"/>
      <c r="I1939" s="87"/>
      <c r="J1939" s="87"/>
      <c r="K1939" s="87"/>
      <c r="L1939" s="87"/>
    </row>
    <row r="1940" spans="1:12" ht="12" customHeight="1" x14ac:dyDescent="0.35">
      <c r="B1940" s="84"/>
      <c r="C1940" s="88"/>
      <c r="D1940" s="79"/>
      <c r="E1940" s="79"/>
      <c r="F1940" s="89" t="s">
        <v>421</v>
      </c>
      <c r="G1940" s="101"/>
      <c r="H1940" s="87">
        <f>SUM(H1935:H1939)</f>
        <v>221000</v>
      </c>
      <c r="I1940" s="101"/>
      <c r="J1940" s="87">
        <f>SUM(J1937:J1939)</f>
        <v>6680.9999999999991</v>
      </c>
      <c r="K1940" s="101"/>
      <c r="L1940" s="87">
        <f>SUM(L1937:L1939)</f>
        <v>6680.9999999999991</v>
      </c>
    </row>
    <row r="1941" spans="1:12" ht="12" customHeight="1" x14ac:dyDescent="0.35">
      <c r="B1941" s="84" t="s">
        <v>6</v>
      </c>
      <c r="C1941" s="88" t="s">
        <v>422</v>
      </c>
      <c r="D1941" s="79"/>
      <c r="E1941" s="79"/>
      <c r="F1941" s="90"/>
      <c r="G1941" s="84"/>
      <c r="H1941" s="87"/>
      <c r="I1941" s="84"/>
      <c r="J1941" s="87"/>
      <c r="K1941" s="84"/>
      <c r="L1941" s="87"/>
    </row>
    <row r="1942" spans="1:12" ht="12" customHeight="1" x14ac:dyDescent="0.35">
      <c r="A1942" s="134">
        <v>211100111</v>
      </c>
      <c r="B1942" s="84"/>
      <c r="C1942" s="85" t="s">
        <v>1793</v>
      </c>
      <c r="D1942" s="84" t="s">
        <v>418</v>
      </c>
      <c r="E1942" s="84" t="str">
        <f>VLOOKUP(C1942,HSD!B:K,2,FALSE)</f>
        <v>bh</v>
      </c>
      <c r="F1942" s="128">
        <v>512</v>
      </c>
      <c r="G1942" s="87">
        <f>VLOOKUP(C1942,HSD!B:K,10,FALSE)</f>
        <v>1332</v>
      </c>
      <c r="H1942" s="87">
        <f>F1942*G1942</f>
        <v>681984</v>
      </c>
      <c r="I1942" s="87">
        <v>232500</v>
      </c>
      <c r="J1942" s="87">
        <f>F1942*I1942</f>
        <v>119040000</v>
      </c>
      <c r="K1942" s="87">
        <v>270000</v>
      </c>
      <c r="L1942" s="87">
        <f>F1942*K1942</f>
        <v>138240000</v>
      </c>
    </row>
    <row r="1943" spans="1:12" ht="12" customHeight="1" x14ac:dyDescent="0.35">
      <c r="A1943" s="134">
        <v>211100113</v>
      </c>
      <c r="B1943" s="84"/>
      <c r="C1943" s="85" t="s">
        <v>49</v>
      </c>
      <c r="D1943" s="84" t="s">
        <v>418</v>
      </c>
      <c r="E1943" s="84" t="str">
        <f>VLOOKUP(C1943,HSD!B:K,2,FALSE)</f>
        <v>m3</v>
      </c>
      <c r="F1943" s="128">
        <v>0.30599999999999999</v>
      </c>
      <c r="G1943" s="87">
        <f>VLOOKUP(C1943,HSD!B:K,10,FALSE)</f>
        <v>230880</v>
      </c>
      <c r="H1943" s="87">
        <f>F1943*G1943</f>
        <v>70649.279999999999</v>
      </c>
      <c r="I1943" s="87">
        <v>1060</v>
      </c>
      <c r="J1943" s="87">
        <f>F1943*I1943</f>
        <v>324.36</v>
      </c>
      <c r="K1943" s="87">
        <v>1060</v>
      </c>
      <c r="L1943" s="87">
        <f>F1943*K1943</f>
        <v>324.36</v>
      </c>
    </row>
    <row r="1944" spans="1:12" ht="12" customHeight="1" x14ac:dyDescent="0.35">
      <c r="A1944" s="134">
        <v>21301000</v>
      </c>
      <c r="B1944" s="84"/>
      <c r="C1944" s="85" t="s">
        <v>60</v>
      </c>
      <c r="D1944" s="84" t="s">
        <v>418</v>
      </c>
      <c r="E1944" s="84" t="str">
        <f>VLOOKUP(C1944,HSD!B:K,2,FALSE)</f>
        <v>kg</v>
      </c>
      <c r="F1944" s="128">
        <v>131</v>
      </c>
      <c r="G1944" s="87">
        <f>VLOOKUP(C1944,HSD!B:K,10,FALSE)</f>
        <v>2331</v>
      </c>
      <c r="H1944" s="87">
        <f>F1944*G1944</f>
        <v>305361</v>
      </c>
      <c r="I1944" s="87">
        <v>215000</v>
      </c>
      <c r="J1944" s="87">
        <f>F1944*I1944</f>
        <v>28165000</v>
      </c>
      <c r="K1944" s="87">
        <v>250000</v>
      </c>
      <c r="L1944" s="87">
        <f>F1944*K1944</f>
        <v>32750000</v>
      </c>
    </row>
    <row r="1945" spans="1:12" ht="12" customHeight="1" x14ac:dyDescent="0.35">
      <c r="B1945" s="84"/>
      <c r="C1945" s="85"/>
      <c r="D1945" s="84"/>
      <c r="E1945" s="84"/>
      <c r="F1945" s="128"/>
      <c r="G1945" s="87"/>
      <c r="H1945" s="87"/>
      <c r="I1945" s="87"/>
      <c r="J1945" s="87"/>
      <c r="K1945" s="87"/>
      <c r="L1945" s="87"/>
    </row>
    <row r="1946" spans="1:12" ht="12" customHeight="1" x14ac:dyDescent="0.35">
      <c r="B1946" s="84"/>
      <c r="C1946" s="88"/>
      <c r="D1946" s="79"/>
      <c r="E1946" s="79"/>
      <c r="F1946" s="129" t="s">
        <v>423</v>
      </c>
      <c r="G1946" s="129"/>
      <c r="H1946" s="87">
        <f>SUM(H1942:H1945)</f>
        <v>1057994.28</v>
      </c>
      <c r="I1946" s="101"/>
      <c r="J1946" s="87" t="e">
        <f>SUM(#REF!)</f>
        <v>#REF!</v>
      </c>
      <c r="K1946" s="101"/>
      <c r="L1946" s="87" t="e">
        <f>SUM(#REF!)</f>
        <v>#REF!</v>
      </c>
    </row>
    <row r="1947" spans="1:12" ht="12" customHeight="1" x14ac:dyDescent="0.35">
      <c r="B1947" s="84" t="s">
        <v>7</v>
      </c>
      <c r="C1947" s="88" t="s">
        <v>424</v>
      </c>
      <c r="D1947" s="79"/>
      <c r="E1947" s="79"/>
      <c r="F1947" s="90"/>
      <c r="G1947" s="84"/>
      <c r="H1947" s="87"/>
      <c r="I1947" s="84"/>
      <c r="J1947" s="87"/>
      <c r="K1947" s="84"/>
      <c r="L1947" s="87"/>
    </row>
    <row r="1948" spans="1:12" ht="12" customHeight="1" x14ac:dyDescent="0.35">
      <c r="A1948" s="134">
        <v>31100004</v>
      </c>
      <c r="B1948" s="84"/>
      <c r="C1948" s="85" t="s">
        <v>1829</v>
      </c>
      <c r="D1948" s="84" t="s">
        <v>418</v>
      </c>
      <c r="E1948" s="84" t="str">
        <f>VLOOKUP(C1948,HSD!B:K,2,FALSE)</f>
        <v>Sewa-hari</v>
      </c>
      <c r="F1948" s="128">
        <v>5.8999999999999997E-2</v>
      </c>
      <c r="G1948" s="87">
        <f>VLOOKUP(C1948,HSD!B:K,10,FALSE)</f>
        <v>126984</v>
      </c>
      <c r="H1948" s="87">
        <f>F1948*G1948</f>
        <v>7492.0559999999996</v>
      </c>
      <c r="I1948" s="87"/>
      <c r="J1948" s="87">
        <f>H1948*I1948</f>
        <v>0</v>
      </c>
      <c r="K1948" s="87"/>
      <c r="L1948" s="87">
        <f>J1948*K1948</f>
        <v>0</v>
      </c>
    </row>
    <row r="1949" spans="1:12" ht="12" customHeight="1" x14ac:dyDescent="0.35">
      <c r="B1949" s="84"/>
      <c r="C1949" s="85"/>
      <c r="D1949" s="84"/>
      <c r="E1949" s="84"/>
      <c r="F1949" s="128"/>
      <c r="G1949" s="87"/>
      <c r="H1949" s="87">
        <f>F1949*G1949</f>
        <v>0</v>
      </c>
      <c r="I1949" s="87"/>
      <c r="J1949" s="87"/>
      <c r="K1949" s="87"/>
      <c r="L1949" s="87"/>
    </row>
    <row r="1950" spans="1:12" ht="12" customHeight="1" x14ac:dyDescent="0.35">
      <c r="B1950" s="84"/>
      <c r="C1950" s="88"/>
      <c r="D1950" s="79"/>
      <c r="E1950" s="79"/>
      <c r="F1950" s="89" t="s">
        <v>425</v>
      </c>
      <c r="G1950" s="101"/>
      <c r="H1950" s="87">
        <f>SUM(H1948:H1949)</f>
        <v>7492.0559999999996</v>
      </c>
      <c r="I1950" s="101"/>
      <c r="J1950" s="87">
        <f>SUM(J1948)</f>
        <v>0</v>
      </c>
      <c r="K1950" s="101"/>
      <c r="L1950" s="87">
        <f>SUM(L1948)</f>
        <v>0</v>
      </c>
    </row>
    <row r="1951" spans="1:12" ht="12" customHeight="1" x14ac:dyDescent="0.35">
      <c r="B1951" s="84" t="s">
        <v>8</v>
      </c>
      <c r="C1951" s="103" t="s">
        <v>426</v>
      </c>
      <c r="D1951" s="104"/>
      <c r="E1951" s="104"/>
      <c r="F1951" s="104"/>
      <c r="G1951" s="105"/>
      <c r="H1951" s="87">
        <f>H1940+H1946+H1950</f>
        <v>1286486.3360000001</v>
      </c>
      <c r="I1951" s="105"/>
      <c r="J1951" s="87" t="e">
        <f>J1940+J1946+J1950</f>
        <v>#REF!</v>
      </c>
      <c r="K1951" s="105"/>
      <c r="L1951" s="87" t="e">
        <f>L1940+L1946+L1950</f>
        <v>#REF!</v>
      </c>
    </row>
    <row r="1952" spans="1:12" ht="12" customHeight="1" x14ac:dyDescent="0.35">
      <c r="B1952" s="84" t="s">
        <v>9</v>
      </c>
      <c r="C1952" s="455" t="s">
        <v>427</v>
      </c>
      <c r="D1952" s="455"/>
      <c r="E1952" s="455"/>
      <c r="F1952" s="95">
        <f>0</f>
        <v>0</v>
      </c>
      <c r="G1952" s="85" t="s">
        <v>428</v>
      </c>
      <c r="H1952" s="87">
        <f>H1951*F1952</f>
        <v>0</v>
      </c>
      <c r="I1952" s="85" t="s">
        <v>428</v>
      </c>
      <c r="J1952" s="87" t="e">
        <f>J1951*F1952</f>
        <v>#REF!</v>
      </c>
      <c r="K1952" s="85" t="s">
        <v>428</v>
      </c>
      <c r="L1952" s="87" t="e">
        <f>L1951*F1952</f>
        <v>#REF!</v>
      </c>
    </row>
    <row r="1953" spans="1:12" ht="12" customHeight="1" x14ac:dyDescent="0.35">
      <c r="B1953" s="84" t="s">
        <v>10</v>
      </c>
      <c r="C1953" s="103" t="s">
        <v>429</v>
      </c>
      <c r="D1953" s="104"/>
      <c r="E1953" s="104"/>
      <c r="F1953" s="104"/>
      <c r="G1953" s="105"/>
      <c r="H1953" s="96">
        <f>H1951+H1952</f>
        <v>1286486.3360000001</v>
      </c>
      <c r="I1953" s="97"/>
      <c r="J1953" s="96" t="e">
        <f>J1951+J1952</f>
        <v>#REF!</v>
      </c>
      <c r="K1953" s="97"/>
      <c r="L1953" s="96" t="e">
        <f>L1951+L1952</f>
        <v>#REF!</v>
      </c>
    </row>
    <row r="1955" spans="1:12" ht="37" customHeight="1" x14ac:dyDescent="0.35">
      <c r="B1955" s="76" t="s">
        <v>659</v>
      </c>
      <c r="C1955" s="458" t="s">
        <v>661</v>
      </c>
      <c r="D1955" s="459"/>
      <c r="E1955" s="459"/>
      <c r="F1955" s="459"/>
      <c r="G1955" s="456"/>
      <c r="H1955" s="457"/>
      <c r="I1955" s="455" t="s">
        <v>3</v>
      </c>
      <c r="J1955" s="455"/>
      <c r="K1955" s="455" t="s">
        <v>4</v>
      </c>
      <c r="L1955" s="455"/>
    </row>
    <row r="1956" spans="1:12" ht="12" customHeight="1" x14ac:dyDescent="0.35">
      <c r="B1956" s="451" t="s">
        <v>409</v>
      </c>
      <c r="C1956" s="451" t="s">
        <v>410</v>
      </c>
      <c r="D1956" s="452" t="s">
        <v>411</v>
      </c>
      <c r="E1956" s="451" t="s">
        <v>412</v>
      </c>
      <c r="F1956" s="451" t="s">
        <v>413</v>
      </c>
      <c r="G1956" s="77" t="s">
        <v>414</v>
      </c>
      <c r="H1956" s="77" t="s">
        <v>415</v>
      </c>
      <c r="I1956" s="78" t="s">
        <v>414</v>
      </c>
      <c r="J1956" s="79" t="s">
        <v>415</v>
      </c>
      <c r="K1956" s="79" t="s">
        <v>414</v>
      </c>
      <c r="L1956" s="79" t="s">
        <v>415</v>
      </c>
    </row>
    <row r="1957" spans="1:12" ht="12" customHeight="1" x14ac:dyDescent="0.35">
      <c r="B1957" s="451"/>
      <c r="C1957" s="451"/>
      <c r="D1957" s="453"/>
      <c r="E1957" s="451"/>
      <c r="F1957" s="451"/>
      <c r="G1957" s="77" t="s">
        <v>17</v>
      </c>
      <c r="H1957" s="77" t="s">
        <v>416</v>
      </c>
      <c r="I1957" s="78" t="s">
        <v>17</v>
      </c>
      <c r="J1957" s="79" t="s">
        <v>416</v>
      </c>
      <c r="K1957" s="79" t="s">
        <v>17</v>
      </c>
      <c r="L1957" s="79" t="s">
        <v>416</v>
      </c>
    </row>
    <row r="1958" spans="1:12" ht="12" customHeight="1" x14ac:dyDescent="0.35">
      <c r="B1958" s="451"/>
      <c r="C1958" s="451"/>
      <c r="D1958" s="454"/>
      <c r="E1958" s="451"/>
      <c r="F1958" s="451"/>
      <c r="G1958" s="106"/>
      <c r="H1958" s="77" t="s">
        <v>17</v>
      </c>
      <c r="I1958" s="94"/>
      <c r="J1958" s="79" t="s">
        <v>17</v>
      </c>
      <c r="K1958" s="85"/>
      <c r="L1958" s="79" t="s">
        <v>17</v>
      </c>
    </row>
    <row r="1959" spans="1:12" ht="12" customHeight="1" x14ac:dyDescent="0.35">
      <c r="B1959" s="80" t="s">
        <v>5</v>
      </c>
      <c r="C1959" s="81" t="s">
        <v>417</v>
      </c>
      <c r="D1959" s="82"/>
      <c r="E1959" s="82"/>
      <c r="F1959" s="82"/>
      <c r="G1959" s="82"/>
      <c r="H1959" s="82"/>
      <c r="I1959" s="83"/>
      <c r="J1959" s="83"/>
      <c r="K1959" s="83"/>
      <c r="L1959" s="83"/>
    </row>
    <row r="1960" spans="1:12" ht="12" customHeight="1" x14ac:dyDescent="0.35">
      <c r="A1960" s="134">
        <v>10130000</v>
      </c>
      <c r="B1960" s="84"/>
      <c r="C1960" s="85" t="s">
        <v>28</v>
      </c>
      <c r="D1960" s="84" t="s">
        <v>418</v>
      </c>
      <c r="E1960" s="84" t="str">
        <f>VLOOKUP(C1960,HSD!B:K,2,FALSE)</f>
        <v>OH</v>
      </c>
      <c r="F1960" s="128">
        <v>1.35</v>
      </c>
      <c r="G1960" s="87">
        <f>VLOOKUP(C1960,HSD!B:K,10,FALSE)</f>
        <v>120000</v>
      </c>
      <c r="H1960" s="87">
        <f>F1960*G1960</f>
        <v>162000</v>
      </c>
      <c r="I1960" s="87">
        <v>91500</v>
      </c>
      <c r="J1960" s="87">
        <f>F1960*I1960</f>
        <v>123525.00000000001</v>
      </c>
      <c r="K1960" s="87">
        <v>91500</v>
      </c>
      <c r="L1960" s="87">
        <f>F1960*K1960</f>
        <v>123525.00000000001</v>
      </c>
    </row>
    <row r="1961" spans="1:12" ht="12" customHeight="1" x14ac:dyDescent="0.35">
      <c r="A1961" s="134">
        <v>10143000</v>
      </c>
      <c r="B1961" s="84"/>
      <c r="C1961" s="85" t="s">
        <v>435</v>
      </c>
      <c r="D1961" s="84" t="s">
        <v>418</v>
      </c>
      <c r="E1961" s="84" t="str">
        <f>VLOOKUP(C1961,HSD!B:K,2,FALSE)</f>
        <v>OH</v>
      </c>
      <c r="F1961" s="128">
        <v>0.67500000000000004</v>
      </c>
      <c r="G1961" s="87">
        <f>VLOOKUP(C1961,HSD!B:K,10,FALSE)</f>
        <v>250000</v>
      </c>
      <c r="H1961" s="87">
        <f>F1961*G1961</f>
        <v>168750</v>
      </c>
      <c r="I1961" s="87"/>
      <c r="J1961" s="87"/>
      <c r="K1961" s="87"/>
      <c r="L1961" s="87"/>
    </row>
    <row r="1962" spans="1:12" ht="12" customHeight="1" x14ac:dyDescent="0.35">
      <c r="A1962" s="134">
        <v>10110000</v>
      </c>
      <c r="B1962" s="84"/>
      <c r="C1962" s="85" t="s">
        <v>30</v>
      </c>
      <c r="D1962" s="84" t="s">
        <v>418</v>
      </c>
      <c r="E1962" s="84" t="str">
        <f>VLOOKUP(C1962,HSD!B:K,2,FALSE)</f>
        <v>OH</v>
      </c>
      <c r="F1962" s="128">
        <f>F1960/10</f>
        <v>0.13500000000000001</v>
      </c>
      <c r="G1962" s="87">
        <f>VLOOKUP(C1962,HSD!B:K,10,FALSE)</f>
        <v>150000</v>
      </c>
      <c r="H1962" s="87">
        <f>F1962*G1962</f>
        <v>20250</v>
      </c>
      <c r="I1962" s="87">
        <v>78600</v>
      </c>
      <c r="J1962" s="87">
        <f>F1962*I1962</f>
        <v>10611</v>
      </c>
      <c r="K1962" s="87">
        <v>78600</v>
      </c>
      <c r="L1962" s="87">
        <f>F1962*K1962</f>
        <v>10611</v>
      </c>
    </row>
    <row r="1963" spans="1:12" ht="12" customHeight="1" x14ac:dyDescent="0.35">
      <c r="B1963" s="84"/>
      <c r="C1963" s="85"/>
      <c r="D1963" s="84"/>
      <c r="E1963" s="84"/>
      <c r="F1963" s="86"/>
      <c r="G1963" s="87"/>
      <c r="H1963" s="87">
        <f>F1963*G1963</f>
        <v>0</v>
      </c>
      <c r="I1963" s="87">
        <v>92500</v>
      </c>
      <c r="J1963" s="87">
        <f>F1963*I1963</f>
        <v>0</v>
      </c>
      <c r="K1963" s="87">
        <v>92500</v>
      </c>
      <c r="L1963" s="87">
        <f>F1963*K1963</f>
        <v>0</v>
      </c>
    </row>
    <row r="1964" spans="1:12" ht="12" customHeight="1" x14ac:dyDescent="0.35">
      <c r="B1964" s="84"/>
      <c r="C1964" s="85"/>
      <c r="D1964" s="84"/>
      <c r="E1964" s="84"/>
      <c r="F1964" s="86"/>
      <c r="G1964" s="87"/>
      <c r="H1964" s="87"/>
      <c r="I1964" s="87"/>
      <c r="J1964" s="87"/>
      <c r="K1964" s="87"/>
      <c r="L1964" s="87"/>
    </row>
    <row r="1965" spans="1:12" ht="12" customHeight="1" x14ac:dyDescent="0.35">
      <c r="B1965" s="84"/>
      <c r="C1965" s="88"/>
      <c r="D1965" s="79"/>
      <c r="E1965" s="79"/>
      <c r="F1965" s="89" t="s">
        <v>421</v>
      </c>
      <c r="G1965" s="101"/>
      <c r="H1965" s="87">
        <f>SUM(H1960:H1964)</f>
        <v>351000</v>
      </c>
      <c r="I1965" s="101"/>
      <c r="J1965" s="87">
        <f>SUM(J1962:J1964)</f>
        <v>10611</v>
      </c>
      <c r="K1965" s="101"/>
      <c r="L1965" s="87">
        <f>SUM(L1962:L1964)</f>
        <v>10611</v>
      </c>
    </row>
    <row r="1966" spans="1:12" ht="12" customHeight="1" x14ac:dyDescent="0.35">
      <c r="B1966" s="84" t="s">
        <v>6</v>
      </c>
      <c r="C1966" s="88" t="s">
        <v>422</v>
      </c>
      <c r="D1966" s="79"/>
      <c r="E1966" s="79"/>
      <c r="F1966" s="90"/>
      <c r="G1966" s="84"/>
      <c r="H1966" s="87"/>
      <c r="I1966" s="84"/>
      <c r="J1966" s="87"/>
      <c r="K1966" s="84"/>
      <c r="L1966" s="87"/>
    </row>
    <row r="1967" spans="1:12" ht="12" customHeight="1" x14ac:dyDescent="0.35">
      <c r="A1967" s="134">
        <v>211100111</v>
      </c>
      <c r="B1967" s="84"/>
      <c r="C1967" s="85" t="s">
        <v>1793</v>
      </c>
      <c r="D1967" s="84" t="s">
        <v>418</v>
      </c>
      <c r="E1967" s="84" t="str">
        <f>VLOOKUP(C1967,HSD!B:K,2,FALSE)</f>
        <v>bh</v>
      </c>
      <c r="F1967" s="128">
        <v>512</v>
      </c>
      <c r="G1967" s="87">
        <f>VLOOKUP(C1967,HSD!B:K,10,FALSE)</f>
        <v>1332</v>
      </c>
      <c r="H1967" s="87">
        <f>F1967*G1967</f>
        <v>681984</v>
      </c>
      <c r="I1967" s="87">
        <v>232500</v>
      </c>
      <c r="J1967" s="87">
        <f>F1967*I1967</f>
        <v>119040000</v>
      </c>
      <c r="K1967" s="87">
        <v>270000</v>
      </c>
      <c r="L1967" s="87">
        <f>F1967*K1967</f>
        <v>138240000</v>
      </c>
    </row>
    <row r="1968" spans="1:12" ht="12" customHeight="1" x14ac:dyDescent="0.35">
      <c r="A1968" s="134">
        <v>211100113</v>
      </c>
      <c r="B1968" s="84"/>
      <c r="C1968" s="85" t="s">
        <v>49</v>
      </c>
      <c r="D1968" s="84" t="s">
        <v>418</v>
      </c>
      <c r="E1968" s="84" t="str">
        <f>VLOOKUP(C1968,HSD!B:K,2,FALSE)</f>
        <v>m3</v>
      </c>
      <c r="F1968" s="128">
        <v>0.33179999999999998</v>
      </c>
      <c r="G1968" s="87">
        <f>VLOOKUP(C1968,HSD!B:K,10,FALSE)</f>
        <v>230880</v>
      </c>
      <c r="H1968" s="87">
        <f>F1968*G1968</f>
        <v>76605.983999999997</v>
      </c>
      <c r="I1968" s="87">
        <v>1060</v>
      </c>
      <c r="J1968" s="87">
        <f>F1968*I1968</f>
        <v>351.70799999999997</v>
      </c>
      <c r="K1968" s="87">
        <v>1060</v>
      </c>
      <c r="L1968" s="87">
        <f>F1968*K1968</f>
        <v>351.70799999999997</v>
      </c>
    </row>
    <row r="1969" spans="1:12" ht="12" customHeight="1" x14ac:dyDescent="0.35">
      <c r="A1969" s="134">
        <v>21301000</v>
      </c>
      <c r="B1969" s="84"/>
      <c r="C1969" s="85" t="s">
        <v>60</v>
      </c>
      <c r="D1969" s="84" t="s">
        <v>418</v>
      </c>
      <c r="E1969" s="84" t="str">
        <f>VLOOKUP(C1969,HSD!B:K,2,FALSE)</f>
        <v>kg</v>
      </c>
      <c r="F1969" s="128">
        <v>106.5</v>
      </c>
      <c r="G1969" s="87">
        <f>VLOOKUP(C1969,HSD!B:K,10,FALSE)</f>
        <v>2331</v>
      </c>
      <c r="H1969" s="87">
        <f>F1969*G1969</f>
        <v>248251.5</v>
      </c>
      <c r="I1969" s="87">
        <v>215000</v>
      </c>
      <c r="J1969" s="87">
        <f>F1969*I1969</f>
        <v>22897500</v>
      </c>
      <c r="K1969" s="87">
        <v>250000</v>
      </c>
      <c r="L1969" s="87">
        <f>F1969*K1969</f>
        <v>26625000</v>
      </c>
    </row>
    <row r="1970" spans="1:12" ht="12" customHeight="1" x14ac:dyDescent="0.35">
      <c r="B1970" s="84"/>
      <c r="C1970" s="85"/>
      <c r="D1970" s="84"/>
      <c r="E1970" s="84"/>
      <c r="F1970" s="128"/>
      <c r="G1970" s="87"/>
      <c r="H1970" s="87"/>
      <c r="I1970" s="87"/>
      <c r="J1970" s="87"/>
      <c r="K1970" s="87"/>
      <c r="L1970" s="87"/>
    </row>
    <row r="1971" spans="1:12" ht="12" customHeight="1" x14ac:dyDescent="0.35">
      <c r="B1971" s="84"/>
      <c r="C1971" s="88"/>
      <c r="D1971" s="79"/>
      <c r="E1971" s="79"/>
      <c r="F1971" s="129" t="s">
        <v>423</v>
      </c>
      <c r="G1971" s="129"/>
      <c r="H1971" s="87">
        <f>SUM(H1967:H1970)</f>
        <v>1006841.4839999999</v>
      </c>
      <c r="I1971" s="101"/>
      <c r="J1971" s="87" t="e">
        <f>SUM(#REF!)</f>
        <v>#REF!</v>
      </c>
      <c r="K1971" s="101"/>
      <c r="L1971" s="87" t="e">
        <f>SUM(#REF!)</f>
        <v>#REF!</v>
      </c>
    </row>
    <row r="1972" spans="1:12" ht="12" customHeight="1" x14ac:dyDescent="0.35">
      <c r="B1972" s="84" t="s">
        <v>7</v>
      </c>
      <c r="C1972" s="88" t="s">
        <v>424</v>
      </c>
      <c r="D1972" s="79"/>
      <c r="E1972" s="79"/>
      <c r="F1972" s="90"/>
      <c r="G1972" s="84"/>
      <c r="H1972" s="87"/>
      <c r="I1972" s="84"/>
      <c r="J1972" s="87"/>
      <c r="K1972" s="84"/>
      <c r="L1972" s="87"/>
    </row>
    <row r="1973" spans="1:12" ht="12" customHeight="1" x14ac:dyDescent="0.35">
      <c r="A1973" s="134">
        <v>31100004</v>
      </c>
      <c r="B1973" s="84"/>
      <c r="C1973" s="85" t="s">
        <v>1829</v>
      </c>
      <c r="D1973" s="84" t="s">
        <v>418</v>
      </c>
      <c r="E1973" s="84" t="str">
        <f>VLOOKUP(C1973,HSD!B:K,2,FALSE)</f>
        <v>Sewa-hari</v>
      </c>
      <c r="F1973" s="128"/>
      <c r="G1973" s="87">
        <f>VLOOKUP(C1973,HSD!B:K,10,FALSE)</f>
        <v>126984</v>
      </c>
      <c r="H1973" s="87">
        <f>F1973*G1973</f>
        <v>0</v>
      </c>
      <c r="I1973" s="87"/>
      <c r="J1973" s="87">
        <f>H1973*I1973</f>
        <v>0</v>
      </c>
      <c r="K1973" s="87"/>
      <c r="L1973" s="87">
        <f>J1973*K1973</f>
        <v>0</v>
      </c>
    </row>
    <row r="1974" spans="1:12" ht="12" customHeight="1" x14ac:dyDescent="0.35">
      <c r="B1974" s="84"/>
      <c r="C1974" s="85"/>
      <c r="D1974" s="84"/>
      <c r="E1974" s="84"/>
      <c r="F1974" s="128"/>
      <c r="G1974" s="87"/>
      <c r="H1974" s="87">
        <f>F1974*G1974</f>
        <v>0</v>
      </c>
      <c r="I1974" s="87"/>
      <c r="J1974" s="87"/>
      <c r="K1974" s="87"/>
      <c r="L1974" s="87"/>
    </row>
    <row r="1975" spans="1:12" ht="12" customHeight="1" x14ac:dyDescent="0.35">
      <c r="B1975" s="84"/>
      <c r="C1975" s="88"/>
      <c r="D1975" s="79"/>
      <c r="E1975" s="79"/>
      <c r="F1975" s="89" t="s">
        <v>425</v>
      </c>
      <c r="G1975" s="101"/>
      <c r="H1975" s="87">
        <f>SUM(H1973:H1974)</f>
        <v>0</v>
      </c>
      <c r="I1975" s="101"/>
      <c r="J1975" s="87">
        <f>SUM(J1973)</f>
        <v>0</v>
      </c>
      <c r="K1975" s="101"/>
      <c r="L1975" s="87">
        <f>SUM(L1973)</f>
        <v>0</v>
      </c>
    </row>
    <row r="1976" spans="1:12" ht="12" customHeight="1" x14ac:dyDescent="0.35">
      <c r="B1976" s="84" t="s">
        <v>8</v>
      </c>
      <c r="C1976" s="103" t="s">
        <v>426</v>
      </c>
      <c r="D1976" s="104"/>
      <c r="E1976" s="104"/>
      <c r="F1976" s="104"/>
      <c r="G1976" s="105"/>
      <c r="H1976" s="87">
        <f>H1965+H1971+H1975</f>
        <v>1357841.4839999999</v>
      </c>
      <c r="I1976" s="105"/>
      <c r="J1976" s="87" t="e">
        <f>J1965+J1971+J1975</f>
        <v>#REF!</v>
      </c>
      <c r="K1976" s="105"/>
      <c r="L1976" s="87" t="e">
        <f>L1965+L1971+L1975</f>
        <v>#REF!</v>
      </c>
    </row>
    <row r="1977" spans="1:12" ht="12" customHeight="1" x14ac:dyDescent="0.35">
      <c r="B1977" s="84" t="s">
        <v>9</v>
      </c>
      <c r="C1977" s="455" t="s">
        <v>427</v>
      </c>
      <c r="D1977" s="455"/>
      <c r="E1977" s="455"/>
      <c r="F1977" s="95">
        <f>0</f>
        <v>0</v>
      </c>
      <c r="G1977" s="85" t="s">
        <v>428</v>
      </c>
      <c r="H1977" s="87">
        <f>H1976*F1977</f>
        <v>0</v>
      </c>
      <c r="I1977" s="85" t="s">
        <v>428</v>
      </c>
      <c r="J1977" s="87" t="e">
        <f>J1976*F1977</f>
        <v>#REF!</v>
      </c>
      <c r="K1977" s="85" t="s">
        <v>428</v>
      </c>
      <c r="L1977" s="87" t="e">
        <f>L1976*F1977</f>
        <v>#REF!</v>
      </c>
    </row>
    <row r="1978" spans="1:12" ht="12" customHeight="1" x14ac:dyDescent="0.35">
      <c r="B1978" s="84" t="s">
        <v>10</v>
      </c>
      <c r="C1978" s="103" t="s">
        <v>429</v>
      </c>
      <c r="D1978" s="104"/>
      <c r="E1978" s="104"/>
      <c r="F1978" s="104"/>
      <c r="G1978" s="105"/>
      <c r="H1978" s="96">
        <f>H1976+H1977</f>
        <v>1357841.4839999999</v>
      </c>
      <c r="I1978" s="97"/>
      <c r="J1978" s="96" t="e">
        <f>J1976+J1977</f>
        <v>#REF!</v>
      </c>
      <c r="K1978" s="97"/>
      <c r="L1978" s="96" t="e">
        <f>L1976+L1977</f>
        <v>#REF!</v>
      </c>
    </row>
    <row r="1980" spans="1:12" ht="37" customHeight="1" x14ac:dyDescent="0.35">
      <c r="B1980" s="76" t="s">
        <v>660</v>
      </c>
      <c r="C1980" s="458" t="s">
        <v>662</v>
      </c>
      <c r="D1980" s="459"/>
      <c r="E1980" s="459"/>
      <c r="F1980" s="459"/>
      <c r="G1980" s="456"/>
      <c r="H1980" s="457"/>
      <c r="I1980" s="455" t="s">
        <v>3</v>
      </c>
      <c r="J1980" s="455"/>
      <c r="K1980" s="455" t="s">
        <v>4</v>
      </c>
      <c r="L1980" s="455"/>
    </row>
    <row r="1981" spans="1:12" ht="12" customHeight="1" x14ac:dyDescent="0.35">
      <c r="B1981" s="451" t="s">
        <v>409</v>
      </c>
      <c r="C1981" s="451" t="s">
        <v>410</v>
      </c>
      <c r="D1981" s="452" t="s">
        <v>411</v>
      </c>
      <c r="E1981" s="451" t="s">
        <v>412</v>
      </c>
      <c r="F1981" s="451" t="s">
        <v>413</v>
      </c>
      <c r="G1981" s="77" t="s">
        <v>414</v>
      </c>
      <c r="H1981" s="77" t="s">
        <v>415</v>
      </c>
      <c r="I1981" s="78" t="s">
        <v>414</v>
      </c>
      <c r="J1981" s="79" t="s">
        <v>415</v>
      </c>
      <c r="K1981" s="79" t="s">
        <v>414</v>
      </c>
      <c r="L1981" s="79" t="s">
        <v>415</v>
      </c>
    </row>
    <row r="1982" spans="1:12" ht="12" customHeight="1" x14ac:dyDescent="0.35">
      <c r="B1982" s="451"/>
      <c r="C1982" s="451"/>
      <c r="D1982" s="453"/>
      <c r="E1982" s="451"/>
      <c r="F1982" s="451"/>
      <c r="G1982" s="77" t="s">
        <v>17</v>
      </c>
      <c r="H1982" s="77" t="s">
        <v>416</v>
      </c>
      <c r="I1982" s="78" t="s">
        <v>17</v>
      </c>
      <c r="J1982" s="79" t="s">
        <v>416</v>
      </c>
      <c r="K1982" s="79" t="s">
        <v>17</v>
      </c>
      <c r="L1982" s="79" t="s">
        <v>416</v>
      </c>
    </row>
    <row r="1983" spans="1:12" ht="12" customHeight="1" x14ac:dyDescent="0.35">
      <c r="B1983" s="451"/>
      <c r="C1983" s="451"/>
      <c r="D1983" s="454"/>
      <c r="E1983" s="451"/>
      <c r="F1983" s="451"/>
      <c r="G1983" s="106"/>
      <c r="H1983" s="77" t="s">
        <v>17</v>
      </c>
      <c r="I1983" s="94"/>
      <c r="J1983" s="79" t="s">
        <v>17</v>
      </c>
      <c r="K1983" s="85"/>
      <c r="L1983" s="79" t="s">
        <v>17</v>
      </c>
    </row>
    <row r="1984" spans="1:12" ht="12" customHeight="1" x14ac:dyDescent="0.35">
      <c r="B1984" s="80" t="s">
        <v>5</v>
      </c>
      <c r="C1984" s="81" t="s">
        <v>417</v>
      </c>
      <c r="D1984" s="82"/>
      <c r="E1984" s="82"/>
      <c r="F1984" s="82"/>
      <c r="G1984" s="82"/>
      <c r="H1984" s="82"/>
      <c r="I1984" s="83"/>
      <c r="J1984" s="83"/>
      <c r="K1984" s="83"/>
      <c r="L1984" s="83"/>
    </row>
    <row r="1985" spans="1:12" ht="12" customHeight="1" x14ac:dyDescent="0.35">
      <c r="A1985" s="134">
        <v>10130000</v>
      </c>
      <c r="B1985" s="84"/>
      <c r="C1985" s="85" t="s">
        <v>28</v>
      </c>
      <c r="D1985" s="84" t="s">
        <v>418</v>
      </c>
      <c r="E1985" s="84" t="str">
        <f>VLOOKUP(C1985,HSD!B:K,2,FALSE)</f>
        <v>OH</v>
      </c>
      <c r="F1985" s="128">
        <v>0.85</v>
      </c>
      <c r="G1985" s="87">
        <f>VLOOKUP(C1985,HSD!B:K,10,FALSE)</f>
        <v>120000</v>
      </c>
      <c r="H1985" s="87">
        <f>F1985*G1985</f>
        <v>102000</v>
      </c>
      <c r="I1985" s="87">
        <v>91500</v>
      </c>
      <c r="J1985" s="87">
        <f>F1985*I1985</f>
        <v>77775</v>
      </c>
      <c r="K1985" s="87">
        <v>91500</v>
      </c>
      <c r="L1985" s="87">
        <f>F1985*K1985</f>
        <v>77775</v>
      </c>
    </row>
    <row r="1986" spans="1:12" ht="12" customHeight="1" x14ac:dyDescent="0.35">
      <c r="A1986" s="134">
        <v>10143000</v>
      </c>
      <c r="B1986" s="84"/>
      <c r="C1986" s="85" t="s">
        <v>435</v>
      </c>
      <c r="D1986" s="84" t="s">
        <v>418</v>
      </c>
      <c r="E1986" s="84" t="str">
        <f>VLOOKUP(C1986,HSD!B:K,2,FALSE)</f>
        <v>OH</v>
      </c>
      <c r="F1986" s="128">
        <v>0.42499999999999999</v>
      </c>
      <c r="G1986" s="87">
        <f>VLOOKUP(C1986,HSD!B:K,10,FALSE)</f>
        <v>250000</v>
      </c>
      <c r="H1986" s="87">
        <f>F1986*G1986</f>
        <v>106250</v>
      </c>
      <c r="I1986" s="87"/>
      <c r="J1986" s="87"/>
      <c r="K1986" s="87"/>
      <c r="L1986" s="87"/>
    </row>
    <row r="1987" spans="1:12" ht="12" customHeight="1" x14ac:dyDescent="0.35">
      <c r="A1987" s="134">
        <v>10110000</v>
      </c>
      <c r="B1987" s="84"/>
      <c r="C1987" s="85" t="s">
        <v>30</v>
      </c>
      <c r="D1987" s="84" t="s">
        <v>418</v>
      </c>
      <c r="E1987" s="84" t="str">
        <f>VLOOKUP(C1987,HSD!B:K,2,FALSE)</f>
        <v>OH</v>
      </c>
      <c r="F1987" s="128">
        <f>F1985/10</f>
        <v>8.4999999999999992E-2</v>
      </c>
      <c r="G1987" s="87">
        <f>VLOOKUP(C1987,HSD!B:K,10,FALSE)</f>
        <v>150000</v>
      </c>
      <c r="H1987" s="87">
        <f>F1987*G1987</f>
        <v>12749.999999999998</v>
      </c>
      <c r="I1987" s="87">
        <v>78600</v>
      </c>
      <c r="J1987" s="87">
        <f>F1987*I1987</f>
        <v>6680.9999999999991</v>
      </c>
      <c r="K1987" s="87">
        <v>78600</v>
      </c>
      <c r="L1987" s="87">
        <f>F1987*K1987</f>
        <v>6680.9999999999991</v>
      </c>
    </row>
    <row r="1988" spans="1:12" ht="12" customHeight="1" x14ac:dyDescent="0.35">
      <c r="B1988" s="84"/>
      <c r="C1988" s="85"/>
      <c r="D1988" s="84"/>
      <c r="E1988" s="84"/>
      <c r="F1988" s="86"/>
      <c r="G1988" s="87"/>
      <c r="H1988" s="87">
        <f>F1988*G1988</f>
        <v>0</v>
      </c>
      <c r="I1988" s="87">
        <v>92500</v>
      </c>
      <c r="J1988" s="87">
        <f>F1988*I1988</f>
        <v>0</v>
      </c>
      <c r="K1988" s="87">
        <v>92500</v>
      </c>
      <c r="L1988" s="87">
        <f>F1988*K1988</f>
        <v>0</v>
      </c>
    </row>
    <row r="1989" spans="1:12" ht="12" customHeight="1" x14ac:dyDescent="0.35">
      <c r="B1989" s="84"/>
      <c r="C1989" s="85"/>
      <c r="D1989" s="84"/>
      <c r="E1989" s="84"/>
      <c r="F1989" s="86"/>
      <c r="G1989" s="87"/>
      <c r="H1989" s="87"/>
      <c r="I1989" s="87"/>
      <c r="J1989" s="87"/>
      <c r="K1989" s="87"/>
      <c r="L1989" s="87"/>
    </row>
    <row r="1990" spans="1:12" ht="12" customHeight="1" x14ac:dyDescent="0.35">
      <c r="B1990" s="84"/>
      <c r="C1990" s="88"/>
      <c r="D1990" s="79"/>
      <c r="E1990" s="79"/>
      <c r="F1990" s="89" t="s">
        <v>421</v>
      </c>
      <c r="G1990" s="101"/>
      <c r="H1990" s="87">
        <f>SUM(H1985:H1989)</f>
        <v>221000</v>
      </c>
      <c r="I1990" s="101"/>
      <c r="J1990" s="87">
        <f>SUM(J1987:J1989)</f>
        <v>6680.9999999999991</v>
      </c>
      <c r="K1990" s="101"/>
      <c r="L1990" s="87">
        <f>SUM(L1987:L1989)</f>
        <v>6680.9999999999991</v>
      </c>
    </row>
    <row r="1991" spans="1:12" ht="12" customHeight="1" x14ac:dyDescent="0.35">
      <c r="B1991" s="84" t="s">
        <v>6</v>
      </c>
      <c r="C1991" s="88" t="s">
        <v>422</v>
      </c>
      <c r="D1991" s="79"/>
      <c r="E1991" s="79"/>
      <c r="F1991" s="90"/>
      <c r="G1991" s="84"/>
      <c r="H1991" s="87"/>
      <c r="I1991" s="84"/>
      <c r="J1991" s="87"/>
      <c r="K1991" s="84"/>
      <c r="L1991" s="87"/>
    </row>
    <row r="1992" spans="1:12" ht="12" customHeight="1" x14ac:dyDescent="0.35">
      <c r="A1992" s="134">
        <v>211100111</v>
      </c>
      <c r="B1992" s="84"/>
      <c r="C1992" s="85" t="s">
        <v>1793</v>
      </c>
      <c r="D1992" s="84" t="s">
        <v>418</v>
      </c>
      <c r="E1992" s="84" t="str">
        <f>VLOOKUP(C1992,HSD!B:K,2,FALSE)</f>
        <v>bh</v>
      </c>
      <c r="F1992" s="128">
        <v>512</v>
      </c>
      <c r="G1992" s="87">
        <f>VLOOKUP(C1992,HSD!B:K,10,FALSE)</f>
        <v>1332</v>
      </c>
      <c r="H1992" s="87">
        <f>F1992*G1992</f>
        <v>681984</v>
      </c>
      <c r="I1992" s="87">
        <v>232500</v>
      </c>
      <c r="J1992" s="87">
        <f>F1992*I1992</f>
        <v>119040000</v>
      </c>
      <c r="K1992" s="87">
        <v>270000</v>
      </c>
      <c r="L1992" s="87">
        <f>F1992*K1992</f>
        <v>138240000</v>
      </c>
    </row>
    <row r="1993" spans="1:12" ht="12" customHeight="1" x14ac:dyDescent="0.35">
      <c r="A1993" s="134">
        <v>211100113</v>
      </c>
      <c r="B1993" s="84"/>
      <c r="C1993" s="85" t="s">
        <v>49</v>
      </c>
      <c r="D1993" s="84" t="s">
        <v>418</v>
      </c>
      <c r="E1993" s="84" t="str">
        <f>VLOOKUP(C1993,HSD!B:K,2,FALSE)</f>
        <v>m3</v>
      </c>
      <c r="F1993" s="128">
        <v>0.33179999999999998</v>
      </c>
      <c r="G1993" s="87">
        <f>VLOOKUP(C1993,HSD!B:K,10,FALSE)</f>
        <v>230880</v>
      </c>
      <c r="H1993" s="87">
        <f>F1993*G1993</f>
        <v>76605.983999999997</v>
      </c>
      <c r="I1993" s="87">
        <v>1060</v>
      </c>
      <c r="J1993" s="87">
        <f>F1993*I1993</f>
        <v>351.70799999999997</v>
      </c>
      <c r="K1993" s="87">
        <v>1060</v>
      </c>
      <c r="L1993" s="87">
        <f>F1993*K1993</f>
        <v>351.70799999999997</v>
      </c>
    </row>
    <row r="1994" spans="1:12" ht="12" customHeight="1" x14ac:dyDescent="0.35">
      <c r="A1994" s="134">
        <v>21301000</v>
      </c>
      <c r="B1994" s="84"/>
      <c r="C1994" s="85" t="s">
        <v>60</v>
      </c>
      <c r="D1994" s="84" t="s">
        <v>418</v>
      </c>
      <c r="E1994" s="84" t="str">
        <f>VLOOKUP(C1994,HSD!B:K,2,FALSE)</f>
        <v>kg</v>
      </c>
      <c r="F1994" s="128">
        <v>106.5</v>
      </c>
      <c r="G1994" s="87">
        <f>VLOOKUP(C1994,HSD!B:K,10,FALSE)</f>
        <v>2331</v>
      </c>
      <c r="H1994" s="87">
        <f>F1994*G1994</f>
        <v>248251.5</v>
      </c>
      <c r="I1994" s="87">
        <v>215000</v>
      </c>
      <c r="J1994" s="87">
        <f>F1994*I1994</f>
        <v>22897500</v>
      </c>
      <c r="K1994" s="87">
        <v>250000</v>
      </c>
      <c r="L1994" s="87">
        <f>F1994*K1994</f>
        <v>26625000</v>
      </c>
    </row>
    <row r="1995" spans="1:12" ht="12" customHeight="1" x14ac:dyDescent="0.35">
      <c r="B1995" s="84"/>
      <c r="C1995" s="85"/>
      <c r="D1995" s="84"/>
      <c r="E1995" s="84"/>
      <c r="F1995" s="128"/>
      <c r="G1995" s="87"/>
      <c r="H1995" s="87"/>
      <c r="I1995" s="87"/>
      <c r="J1995" s="87"/>
      <c r="K1995" s="87"/>
      <c r="L1995" s="87"/>
    </row>
    <row r="1996" spans="1:12" ht="12" customHeight="1" x14ac:dyDescent="0.35">
      <c r="B1996" s="84"/>
      <c r="C1996" s="88"/>
      <c r="D1996" s="79"/>
      <c r="E1996" s="79"/>
      <c r="F1996" s="129" t="s">
        <v>423</v>
      </c>
      <c r="G1996" s="129"/>
      <c r="H1996" s="87">
        <f>SUM(H1992:H1995)</f>
        <v>1006841.4839999999</v>
      </c>
      <c r="I1996" s="101"/>
      <c r="J1996" s="87" t="e">
        <f>SUM(#REF!)</f>
        <v>#REF!</v>
      </c>
      <c r="K1996" s="101"/>
      <c r="L1996" s="87" t="e">
        <f>SUM(#REF!)</f>
        <v>#REF!</v>
      </c>
    </row>
    <row r="1997" spans="1:12" ht="12" customHeight="1" x14ac:dyDescent="0.35">
      <c r="B1997" s="84" t="s">
        <v>7</v>
      </c>
      <c r="C1997" s="88" t="s">
        <v>424</v>
      </c>
      <c r="D1997" s="79"/>
      <c r="E1997" s="79"/>
      <c r="F1997" s="90"/>
      <c r="G1997" s="84"/>
      <c r="H1997" s="87"/>
      <c r="I1997" s="84"/>
      <c r="J1997" s="87"/>
      <c r="K1997" s="84"/>
      <c r="L1997" s="87"/>
    </row>
    <row r="1998" spans="1:12" ht="12" customHeight="1" x14ac:dyDescent="0.35">
      <c r="A1998" s="134">
        <v>31100004</v>
      </c>
      <c r="B1998" s="84"/>
      <c r="C1998" s="85" t="s">
        <v>1829</v>
      </c>
      <c r="D1998" s="84" t="s">
        <v>418</v>
      </c>
      <c r="E1998" s="84" t="str">
        <f>VLOOKUP(C1998,HSD!B:K,2,FALSE)</f>
        <v>Sewa-hari</v>
      </c>
      <c r="F1998" s="128">
        <v>5.8999999999999997E-2</v>
      </c>
      <c r="G1998" s="87">
        <f>VLOOKUP(C1998,HSD!B:K,10,FALSE)</f>
        <v>126984</v>
      </c>
      <c r="H1998" s="87">
        <f>F1998*G1998</f>
        <v>7492.0559999999996</v>
      </c>
      <c r="I1998" s="87"/>
      <c r="J1998" s="87">
        <f>H1998*I1998</f>
        <v>0</v>
      </c>
      <c r="K1998" s="87"/>
      <c r="L1998" s="87">
        <f>J1998*K1998</f>
        <v>0</v>
      </c>
    </row>
    <row r="1999" spans="1:12" ht="12" customHeight="1" x14ac:dyDescent="0.35">
      <c r="B1999" s="84"/>
      <c r="C1999" s="85"/>
      <c r="D1999" s="84"/>
      <c r="E1999" s="84"/>
      <c r="F1999" s="128"/>
      <c r="G1999" s="87"/>
      <c r="H1999" s="87">
        <f>F1999*G1999</f>
        <v>0</v>
      </c>
      <c r="I1999" s="87"/>
      <c r="J1999" s="87"/>
      <c r="K1999" s="87"/>
      <c r="L1999" s="87"/>
    </row>
    <row r="2000" spans="1:12" ht="12" customHeight="1" x14ac:dyDescent="0.35">
      <c r="B2000" s="84"/>
      <c r="C2000" s="88"/>
      <c r="D2000" s="79"/>
      <c r="E2000" s="79"/>
      <c r="F2000" s="89" t="s">
        <v>425</v>
      </c>
      <c r="G2000" s="101"/>
      <c r="H2000" s="87">
        <f>SUM(H1998:H1999)</f>
        <v>7492.0559999999996</v>
      </c>
      <c r="I2000" s="101"/>
      <c r="J2000" s="87">
        <f>SUM(J1998)</f>
        <v>0</v>
      </c>
      <c r="K2000" s="101"/>
      <c r="L2000" s="87">
        <f>SUM(L1998)</f>
        <v>0</v>
      </c>
    </row>
    <row r="2001" spans="1:12" ht="12" customHeight="1" x14ac:dyDescent="0.35">
      <c r="B2001" s="84" t="s">
        <v>8</v>
      </c>
      <c r="C2001" s="103" t="s">
        <v>426</v>
      </c>
      <c r="D2001" s="104"/>
      <c r="E2001" s="104"/>
      <c r="F2001" s="104"/>
      <c r="G2001" s="105"/>
      <c r="H2001" s="87">
        <f>H1990+H1996+H2000</f>
        <v>1235333.54</v>
      </c>
      <c r="I2001" s="105"/>
      <c r="J2001" s="87" t="e">
        <f>J1990+J1996+J2000</f>
        <v>#REF!</v>
      </c>
      <c r="K2001" s="105"/>
      <c r="L2001" s="87" t="e">
        <f>L1990+L1996+L2000</f>
        <v>#REF!</v>
      </c>
    </row>
    <row r="2002" spans="1:12" ht="12" customHeight="1" x14ac:dyDescent="0.35">
      <c r="B2002" s="84" t="s">
        <v>9</v>
      </c>
      <c r="C2002" s="455" t="s">
        <v>427</v>
      </c>
      <c r="D2002" s="455"/>
      <c r="E2002" s="455"/>
      <c r="F2002" s="95">
        <f>0</f>
        <v>0</v>
      </c>
      <c r="G2002" s="85" t="s">
        <v>428</v>
      </c>
      <c r="H2002" s="87">
        <f>H2001*F2002</f>
        <v>0</v>
      </c>
      <c r="I2002" s="85" t="s">
        <v>428</v>
      </c>
      <c r="J2002" s="87" t="e">
        <f>J2001*F2002</f>
        <v>#REF!</v>
      </c>
      <c r="K2002" s="85" t="s">
        <v>428</v>
      </c>
      <c r="L2002" s="87" t="e">
        <f>L2001*F2002</f>
        <v>#REF!</v>
      </c>
    </row>
    <row r="2003" spans="1:12" ht="12" customHeight="1" x14ac:dyDescent="0.35">
      <c r="B2003" s="84" t="s">
        <v>10</v>
      </c>
      <c r="C2003" s="103" t="s">
        <v>429</v>
      </c>
      <c r="D2003" s="104"/>
      <c r="E2003" s="104"/>
      <c r="F2003" s="104"/>
      <c r="G2003" s="105"/>
      <c r="H2003" s="96">
        <f>H2001+H2002</f>
        <v>1235333.54</v>
      </c>
      <c r="I2003" s="97"/>
      <c r="J2003" s="96" t="e">
        <f>J2001+J2002</f>
        <v>#REF!</v>
      </c>
      <c r="K2003" s="97"/>
      <c r="L2003" s="96" t="e">
        <f>L2001+L2002</f>
        <v>#REF!</v>
      </c>
    </row>
    <row r="2005" spans="1:12" ht="37" customHeight="1" x14ac:dyDescent="0.35">
      <c r="B2005" s="76" t="s">
        <v>667</v>
      </c>
      <c r="C2005" s="458" t="s">
        <v>1792</v>
      </c>
      <c r="D2005" s="459"/>
      <c r="E2005" s="459"/>
      <c r="F2005" s="459"/>
      <c r="G2005" s="456"/>
      <c r="H2005" s="457"/>
      <c r="I2005" s="455" t="s">
        <v>3</v>
      </c>
      <c r="J2005" s="455"/>
      <c r="K2005" s="455" t="s">
        <v>4</v>
      </c>
      <c r="L2005" s="455"/>
    </row>
    <row r="2006" spans="1:12" ht="12" customHeight="1" x14ac:dyDescent="0.35">
      <c r="B2006" s="451" t="s">
        <v>409</v>
      </c>
      <c r="C2006" s="451" t="s">
        <v>410</v>
      </c>
      <c r="D2006" s="452" t="s">
        <v>411</v>
      </c>
      <c r="E2006" s="451" t="s">
        <v>412</v>
      </c>
      <c r="F2006" s="451" t="s">
        <v>413</v>
      </c>
      <c r="G2006" s="77" t="s">
        <v>414</v>
      </c>
      <c r="H2006" s="77" t="s">
        <v>415</v>
      </c>
      <c r="I2006" s="78" t="s">
        <v>414</v>
      </c>
      <c r="J2006" s="79" t="s">
        <v>415</v>
      </c>
      <c r="K2006" s="79" t="s">
        <v>414</v>
      </c>
      <c r="L2006" s="79" t="s">
        <v>415</v>
      </c>
    </row>
    <row r="2007" spans="1:12" ht="12" customHeight="1" x14ac:dyDescent="0.35">
      <c r="B2007" s="451"/>
      <c r="C2007" s="451"/>
      <c r="D2007" s="453"/>
      <c r="E2007" s="451"/>
      <c r="F2007" s="451"/>
      <c r="G2007" s="77" t="s">
        <v>17</v>
      </c>
      <c r="H2007" s="77" t="s">
        <v>416</v>
      </c>
      <c r="I2007" s="78" t="s">
        <v>17</v>
      </c>
      <c r="J2007" s="79" t="s">
        <v>416</v>
      </c>
      <c r="K2007" s="79" t="s">
        <v>17</v>
      </c>
      <c r="L2007" s="79" t="s">
        <v>416</v>
      </c>
    </row>
    <row r="2008" spans="1:12" ht="12" customHeight="1" x14ac:dyDescent="0.35">
      <c r="B2008" s="451"/>
      <c r="C2008" s="451"/>
      <c r="D2008" s="454"/>
      <c r="E2008" s="451"/>
      <c r="F2008" s="451"/>
      <c r="G2008" s="106"/>
      <c r="H2008" s="77" t="s">
        <v>17</v>
      </c>
      <c r="I2008" s="94"/>
      <c r="J2008" s="79" t="s">
        <v>17</v>
      </c>
      <c r="K2008" s="85"/>
      <c r="L2008" s="79" t="s">
        <v>17</v>
      </c>
    </row>
    <row r="2009" spans="1:12" ht="12" customHeight="1" x14ac:dyDescent="0.35">
      <c r="B2009" s="80" t="s">
        <v>5</v>
      </c>
      <c r="C2009" s="81" t="s">
        <v>417</v>
      </c>
      <c r="D2009" s="82"/>
      <c r="E2009" s="82"/>
      <c r="F2009" s="82"/>
      <c r="G2009" s="82"/>
      <c r="H2009" s="82"/>
      <c r="I2009" s="83"/>
      <c r="J2009" s="83"/>
      <c r="K2009" s="83"/>
      <c r="L2009" s="83"/>
    </row>
    <row r="2010" spans="1:12" ht="12" customHeight="1" x14ac:dyDescent="0.35">
      <c r="A2010" s="134">
        <v>10130000</v>
      </c>
      <c r="B2010" s="84"/>
      <c r="C2010" s="85" t="s">
        <v>28</v>
      </c>
      <c r="D2010" s="84" t="s">
        <v>418</v>
      </c>
      <c r="E2010" s="84" t="str">
        <f>VLOOKUP(C2010,HSD!B:K,2,FALSE)</f>
        <v>OH</v>
      </c>
      <c r="F2010" s="128">
        <v>0.15</v>
      </c>
      <c r="G2010" s="87">
        <f>VLOOKUP(C2010,HSD!B:K,10,FALSE)</f>
        <v>120000</v>
      </c>
      <c r="H2010" s="87">
        <f>F2010*G2010</f>
        <v>18000</v>
      </c>
      <c r="I2010" s="87">
        <v>91500</v>
      </c>
      <c r="J2010" s="87">
        <f>F2010*I2010</f>
        <v>13725</v>
      </c>
      <c r="K2010" s="87">
        <v>91500</v>
      </c>
      <c r="L2010" s="87">
        <f>F2010*K2010</f>
        <v>13725</v>
      </c>
    </row>
    <row r="2011" spans="1:12" ht="12" customHeight="1" x14ac:dyDescent="0.35">
      <c r="A2011" s="134">
        <v>10143000</v>
      </c>
      <c r="B2011" s="84"/>
      <c r="C2011" s="85" t="s">
        <v>435</v>
      </c>
      <c r="D2011" s="84" t="s">
        <v>418</v>
      </c>
      <c r="E2011" s="84" t="str">
        <f>VLOOKUP(C2011,HSD!B:K,2,FALSE)</f>
        <v>OH</v>
      </c>
      <c r="F2011" s="128"/>
      <c r="G2011" s="87">
        <f>VLOOKUP(C2011,HSD!B:K,10,FALSE)</f>
        <v>250000</v>
      </c>
      <c r="H2011" s="87">
        <f>F2011*G2011</f>
        <v>0</v>
      </c>
      <c r="I2011" s="87"/>
      <c r="J2011" s="87"/>
      <c r="K2011" s="87"/>
      <c r="L2011" s="87"/>
    </row>
    <row r="2012" spans="1:12" ht="12" customHeight="1" x14ac:dyDescent="0.35">
      <c r="A2012" s="134">
        <v>10110000</v>
      </c>
      <c r="B2012" s="84"/>
      <c r="C2012" s="85" t="s">
        <v>30</v>
      </c>
      <c r="D2012" s="84" t="s">
        <v>418</v>
      </c>
      <c r="E2012" s="84" t="str">
        <f>VLOOKUP(C2012,HSD!B:K,2,FALSE)</f>
        <v>OH</v>
      </c>
      <c r="F2012" s="128">
        <f>F2010/10</f>
        <v>1.4999999999999999E-2</v>
      </c>
      <c r="G2012" s="87">
        <f>VLOOKUP(C2012,HSD!B:K,10,FALSE)</f>
        <v>150000</v>
      </c>
      <c r="H2012" s="87">
        <f>F2012*G2012</f>
        <v>2250</v>
      </c>
      <c r="I2012" s="87">
        <v>78600</v>
      </c>
      <c r="J2012" s="87">
        <f>F2012*I2012</f>
        <v>1179</v>
      </c>
      <c r="K2012" s="87">
        <v>78600</v>
      </c>
      <c r="L2012" s="87">
        <f>F2012*K2012</f>
        <v>1179</v>
      </c>
    </row>
    <row r="2013" spans="1:12" ht="12" customHeight="1" x14ac:dyDescent="0.35">
      <c r="B2013" s="84"/>
      <c r="C2013" s="85"/>
      <c r="D2013" s="84"/>
      <c r="E2013" s="84"/>
      <c r="F2013" s="86"/>
      <c r="G2013" s="87"/>
      <c r="H2013" s="87">
        <f>F2013*G2013</f>
        <v>0</v>
      </c>
      <c r="I2013" s="87">
        <v>92500</v>
      </c>
      <c r="J2013" s="87">
        <f>F2013*I2013</f>
        <v>0</v>
      </c>
      <c r="K2013" s="87">
        <v>92500</v>
      </c>
      <c r="L2013" s="87">
        <f>F2013*K2013</f>
        <v>0</v>
      </c>
    </row>
    <row r="2014" spans="1:12" ht="12" customHeight="1" x14ac:dyDescent="0.35">
      <c r="B2014" s="84"/>
      <c r="C2014" s="85"/>
      <c r="D2014" s="84"/>
      <c r="E2014" s="84"/>
      <c r="F2014" s="86"/>
      <c r="G2014" s="87"/>
      <c r="H2014" s="87"/>
      <c r="I2014" s="87"/>
      <c r="J2014" s="87"/>
      <c r="K2014" s="87"/>
      <c r="L2014" s="87"/>
    </row>
    <row r="2015" spans="1:12" ht="12" customHeight="1" x14ac:dyDescent="0.35">
      <c r="B2015" s="84"/>
      <c r="C2015" s="88"/>
      <c r="D2015" s="79"/>
      <c r="E2015" s="79"/>
      <c r="F2015" s="89" t="s">
        <v>421</v>
      </c>
      <c r="G2015" s="101"/>
      <c r="H2015" s="87">
        <f>SUM(H2010:H2014)</f>
        <v>20250</v>
      </c>
      <c r="I2015" s="101"/>
      <c r="J2015" s="87">
        <f>SUM(J2012:J2014)</f>
        <v>1179</v>
      </c>
      <c r="K2015" s="101"/>
      <c r="L2015" s="87">
        <f>SUM(L2012:L2014)</f>
        <v>1179</v>
      </c>
    </row>
    <row r="2016" spans="1:12" ht="12" customHeight="1" x14ac:dyDescent="0.35">
      <c r="B2016" s="84" t="s">
        <v>6</v>
      </c>
      <c r="C2016" s="88" t="s">
        <v>422</v>
      </c>
      <c r="D2016" s="79"/>
      <c r="E2016" s="79"/>
      <c r="F2016" s="90"/>
      <c r="G2016" s="84"/>
      <c r="H2016" s="87"/>
      <c r="I2016" s="84"/>
      <c r="J2016" s="87"/>
      <c r="K2016" s="84"/>
      <c r="L2016" s="87"/>
    </row>
    <row r="2017" spans="1:12" ht="12" customHeight="1" x14ac:dyDescent="0.35">
      <c r="B2017" s="84"/>
      <c r="C2017" s="85"/>
      <c r="D2017" s="84"/>
      <c r="E2017" s="84"/>
      <c r="F2017" s="128"/>
      <c r="G2017" s="87"/>
      <c r="H2017" s="87">
        <f>F2017*G2017</f>
        <v>0</v>
      </c>
      <c r="I2017" s="87">
        <v>232500</v>
      </c>
      <c r="J2017" s="87">
        <f>F2017*I2017</f>
        <v>0</v>
      </c>
      <c r="K2017" s="87">
        <v>270000</v>
      </c>
      <c r="L2017" s="87">
        <f>F2017*K2017</f>
        <v>0</v>
      </c>
    </row>
    <row r="2018" spans="1:12" ht="12" customHeight="1" x14ac:dyDescent="0.35">
      <c r="B2018" s="84"/>
      <c r="C2018" s="85"/>
      <c r="D2018" s="84"/>
      <c r="E2018" s="84"/>
      <c r="F2018" s="128"/>
      <c r="G2018" s="87"/>
      <c r="H2018" s="87">
        <f>F2018*G2018</f>
        <v>0</v>
      </c>
      <c r="I2018" s="87">
        <v>1060</v>
      </c>
      <c r="J2018" s="87">
        <f>F2018*I2018</f>
        <v>0</v>
      </c>
      <c r="K2018" s="87">
        <v>1060</v>
      </c>
      <c r="L2018" s="87">
        <f>F2018*K2018</f>
        <v>0</v>
      </c>
    </row>
    <row r="2019" spans="1:12" ht="12" customHeight="1" x14ac:dyDescent="0.35">
      <c r="B2019" s="84"/>
      <c r="C2019" s="85"/>
      <c r="D2019" s="84"/>
      <c r="E2019" s="84"/>
      <c r="F2019" s="128"/>
      <c r="G2019" s="87"/>
      <c r="H2019" s="87">
        <f>F2019*G2019</f>
        <v>0</v>
      </c>
      <c r="I2019" s="87">
        <v>215000</v>
      </c>
      <c r="J2019" s="87">
        <f>F2019*I2019</f>
        <v>0</v>
      </c>
      <c r="K2019" s="87">
        <v>250000</v>
      </c>
      <c r="L2019" s="87">
        <f>F2019*K2019</f>
        <v>0</v>
      </c>
    </row>
    <row r="2020" spans="1:12" ht="12" customHeight="1" x14ac:dyDescent="0.35">
      <c r="B2020" s="84"/>
      <c r="C2020" s="85"/>
      <c r="D2020" s="84"/>
      <c r="E2020" s="84"/>
      <c r="F2020" s="128"/>
      <c r="G2020" s="87"/>
      <c r="H2020" s="87"/>
      <c r="I2020" s="87"/>
      <c r="J2020" s="87"/>
      <c r="K2020" s="87"/>
      <c r="L2020" s="87"/>
    </row>
    <row r="2021" spans="1:12" ht="12" customHeight="1" x14ac:dyDescent="0.35">
      <c r="B2021" s="84"/>
      <c r="C2021" s="88"/>
      <c r="D2021" s="79"/>
      <c r="E2021" s="79"/>
      <c r="F2021" s="129" t="s">
        <v>423</v>
      </c>
      <c r="G2021" s="129"/>
      <c r="H2021" s="87">
        <f>SUM(H2017:H2020)</f>
        <v>0</v>
      </c>
      <c r="I2021" s="101"/>
      <c r="J2021" s="87" t="e">
        <f>SUM(#REF!)</f>
        <v>#REF!</v>
      </c>
      <c r="K2021" s="101"/>
      <c r="L2021" s="87" t="e">
        <f>SUM(#REF!)</f>
        <v>#REF!</v>
      </c>
    </row>
    <row r="2022" spans="1:12" ht="12" customHeight="1" x14ac:dyDescent="0.35">
      <c r="B2022" s="84" t="s">
        <v>7</v>
      </c>
      <c r="C2022" s="88" t="s">
        <v>424</v>
      </c>
      <c r="D2022" s="79"/>
      <c r="E2022" s="79"/>
      <c r="F2022" s="90"/>
      <c r="G2022" s="84"/>
      <c r="H2022" s="87"/>
      <c r="I2022" s="84"/>
      <c r="J2022" s="87"/>
      <c r="K2022" s="84"/>
      <c r="L2022" s="87"/>
    </row>
    <row r="2023" spans="1:12" ht="12" customHeight="1" x14ac:dyDescent="0.35">
      <c r="A2023" s="134">
        <v>31100004</v>
      </c>
      <c r="B2023" s="84"/>
      <c r="C2023" s="85" t="s">
        <v>1829</v>
      </c>
      <c r="D2023" s="84" t="s">
        <v>418</v>
      </c>
      <c r="E2023" s="84" t="str">
        <f>VLOOKUP(C2023,HSD!B:K,2,FALSE)</f>
        <v>Sewa-hari</v>
      </c>
      <c r="F2023" s="128">
        <v>1.4999999999999999E-2</v>
      </c>
      <c r="G2023" s="87">
        <f>VLOOKUP(C2023,HSD!B:K,10,FALSE)</f>
        <v>126984</v>
      </c>
      <c r="H2023" s="87">
        <f>F2023*G2023</f>
        <v>1904.76</v>
      </c>
      <c r="I2023" s="87"/>
      <c r="J2023" s="87">
        <f>H2023*I2023</f>
        <v>0</v>
      </c>
      <c r="K2023" s="87"/>
      <c r="L2023" s="87">
        <f>J2023*K2023</f>
        <v>0</v>
      </c>
    </row>
    <row r="2024" spans="1:12" ht="12" customHeight="1" x14ac:dyDescent="0.35">
      <c r="B2024" s="84"/>
      <c r="C2024" s="85"/>
      <c r="D2024" s="84"/>
      <c r="E2024" s="84"/>
      <c r="F2024" s="128"/>
      <c r="G2024" s="87"/>
      <c r="H2024" s="87">
        <f>F2024*G2024</f>
        <v>0</v>
      </c>
      <c r="I2024" s="87"/>
      <c r="J2024" s="87"/>
      <c r="K2024" s="87"/>
      <c r="L2024" s="87"/>
    </row>
    <row r="2025" spans="1:12" ht="12" customHeight="1" x14ac:dyDescent="0.35">
      <c r="B2025" s="84"/>
      <c r="C2025" s="88"/>
      <c r="D2025" s="79"/>
      <c r="E2025" s="79"/>
      <c r="F2025" s="89" t="s">
        <v>425</v>
      </c>
      <c r="G2025" s="101"/>
      <c r="H2025" s="87">
        <f>SUM(H2023:H2024)</f>
        <v>1904.76</v>
      </c>
      <c r="I2025" s="101"/>
      <c r="J2025" s="87">
        <f>SUM(J2023)</f>
        <v>0</v>
      </c>
      <c r="K2025" s="101"/>
      <c r="L2025" s="87">
        <f>SUM(L2023)</f>
        <v>0</v>
      </c>
    </row>
    <row r="2026" spans="1:12" ht="12" customHeight="1" x14ac:dyDescent="0.35">
      <c r="B2026" s="84" t="s">
        <v>8</v>
      </c>
      <c r="C2026" s="103" t="s">
        <v>426</v>
      </c>
      <c r="D2026" s="104"/>
      <c r="E2026" s="104"/>
      <c r="F2026" s="104"/>
      <c r="G2026" s="105"/>
      <c r="H2026" s="87">
        <f>H2015+H2021+H2025</f>
        <v>22154.76</v>
      </c>
      <c r="I2026" s="105"/>
      <c r="J2026" s="87" t="e">
        <f>J2015+J2021+J2025</f>
        <v>#REF!</v>
      </c>
      <c r="K2026" s="105"/>
      <c r="L2026" s="87" t="e">
        <f>L2015+L2021+L2025</f>
        <v>#REF!</v>
      </c>
    </row>
    <row r="2027" spans="1:12" ht="12" customHeight="1" x14ac:dyDescent="0.35">
      <c r="B2027" s="84" t="s">
        <v>9</v>
      </c>
      <c r="C2027" s="455" t="s">
        <v>427</v>
      </c>
      <c r="D2027" s="455"/>
      <c r="E2027" s="455"/>
      <c r="F2027" s="95">
        <f>0</f>
        <v>0</v>
      </c>
      <c r="G2027" s="85" t="s">
        <v>428</v>
      </c>
      <c r="H2027" s="87">
        <f>H2026*F2027</f>
        <v>0</v>
      </c>
      <c r="I2027" s="85" t="s">
        <v>428</v>
      </c>
      <c r="J2027" s="87" t="e">
        <f>J2026*F2027</f>
        <v>#REF!</v>
      </c>
      <c r="K2027" s="85" t="s">
        <v>428</v>
      </c>
      <c r="L2027" s="87" t="e">
        <f>L2026*F2027</f>
        <v>#REF!</v>
      </c>
    </row>
    <row r="2028" spans="1:12" ht="12" customHeight="1" x14ac:dyDescent="0.35">
      <c r="B2028" s="84" t="s">
        <v>10</v>
      </c>
      <c r="C2028" s="103" t="s">
        <v>429</v>
      </c>
      <c r="D2028" s="104"/>
      <c r="E2028" s="104"/>
      <c r="F2028" s="104"/>
      <c r="G2028" s="105"/>
      <c r="H2028" s="96">
        <f>H2026+H2027</f>
        <v>22154.76</v>
      </c>
      <c r="I2028" s="97"/>
      <c r="J2028" s="96" t="e">
        <f>J2026+J2027</f>
        <v>#REF!</v>
      </c>
      <c r="K2028" s="97"/>
      <c r="L2028" s="96" t="e">
        <f>L2026+L2027</f>
        <v>#REF!</v>
      </c>
    </row>
    <row r="2030" spans="1:12" ht="37" customHeight="1" x14ac:dyDescent="0.35">
      <c r="B2030" s="76" t="s">
        <v>669</v>
      </c>
      <c r="C2030" s="458" t="s">
        <v>670</v>
      </c>
      <c r="D2030" s="459"/>
      <c r="E2030" s="459"/>
      <c r="F2030" s="459"/>
      <c r="G2030" s="456"/>
      <c r="H2030" s="457"/>
      <c r="I2030" s="455" t="s">
        <v>3</v>
      </c>
      <c r="J2030" s="455"/>
      <c r="K2030" s="455" t="s">
        <v>4</v>
      </c>
      <c r="L2030" s="455"/>
    </row>
    <row r="2031" spans="1:12" ht="12" customHeight="1" x14ac:dyDescent="0.35">
      <c r="B2031" s="451" t="s">
        <v>409</v>
      </c>
      <c r="C2031" s="451" t="s">
        <v>410</v>
      </c>
      <c r="D2031" s="452" t="s">
        <v>411</v>
      </c>
      <c r="E2031" s="451" t="s">
        <v>412</v>
      </c>
      <c r="F2031" s="451" t="s">
        <v>413</v>
      </c>
      <c r="G2031" s="77" t="s">
        <v>414</v>
      </c>
      <c r="H2031" s="77" t="s">
        <v>415</v>
      </c>
      <c r="I2031" s="78" t="s">
        <v>414</v>
      </c>
      <c r="J2031" s="79" t="s">
        <v>415</v>
      </c>
      <c r="K2031" s="79" t="s">
        <v>414</v>
      </c>
      <c r="L2031" s="79" t="s">
        <v>415</v>
      </c>
    </row>
    <row r="2032" spans="1:12" ht="12" customHeight="1" x14ac:dyDescent="0.35">
      <c r="B2032" s="451"/>
      <c r="C2032" s="451"/>
      <c r="D2032" s="453"/>
      <c r="E2032" s="451"/>
      <c r="F2032" s="451"/>
      <c r="G2032" s="77" t="s">
        <v>17</v>
      </c>
      <c r="H2032" s="77" t="s">
        <v>416</v>
      </c>
      <c r="I2032" s="78" t="s">
        <v>17</v>
      </c>
      <c r="J2032" s="79" t="s">
        <v>416</v>
      </c>
      <c r="K2032" s="79" t="s">
        <v>17</v>
      </c>
      <c r="L2032" s="79" t="s">
        <v>416</v>
      </c>
    </row>
    <row r="2033" spans="1:12" ht="12" customHeight="1" x14ac:dyDescent="0.35">
      <c r="B2033" s="451"/>
      <c r="C2033" s="451"/>
      <c r="D2033" s="454"/>
      <c r="E2033" s="451"/>
      <c r="F2033" s="451"/>
      <c r="G2033" s="106"/>
      <c r="H2033" s="77" t="s">
        <v>17</v>
      </c>
      <c r="I2033" s="94"/>
      <c r="J2033" s="79" t="s">
        <v>17</v>
      </c>
      <c r="K2033" s="85"/>
      <c r="L2033" s="79" t="s">
        <v>17</v>
      </c>
    </row>
    <row r="2034" spans="1:12" ht="12" customHeight="1" x14ac:dyDescent="0.35">
      <c r="B2034" s="80" t="s">
        <v>5</v>
      </c>
      <c r="C2034" s="81" t="s">
        <v>417</v>
      </c>
      <c r="D2034" s="82"/>
      <c r="E2034" s="82"/>
      <c r="F2034" s="82"/>
      <c r="G2034" s="82"/>
      <c r="H2034" s="82"/>
      <c r="I2034" s="83"/>
      <c r="J2034" s="83"/>
      <c r="K2034" s="83"/>
      <c r="L2034" s="83"/>
    </row>
    <row r="2035" spans="1:12" ht="12" customHeight="1" x14ac:dyDescent="0.35">
      <c r="A2035" s="134">
        <v>10130000</v>
      </c>
      <c r="B2035" s="84"/>
      <c r="C2035" s="85" t="s">
        <v>28</v>
      </c>
      <c r="D2035" s="84" t="s">
        <v>418</v>
      </c>
      <c r="E2035" s="84" t="str">
        <f>VLOOKUP(C2035,HSD!B:K,2,FALSE)</f>
        <v>OH</v>
      </c>
      <c r="F2035" s="128">
        <v>0.2</v>
      </c>
      <c r="G2035" s="87">
        <f>VLOOKUP(C2035,HSD!B:K,10,FALSE)</f>
        <v>120000</v>
      </c>
      <c r="H2035" s="87">
        <f>F2035*G2035</f>
        <v>24000</v>
      </c>
      <c r="I2035" s="87">
        <v>91500</v>
      </c>
      <c r="J2035" s="87">
        <f>F2035*I2035</f>
        <v>18300</v>
      </c>
      <c r="K2035" s="87">
        <v>91500</v>
      </c>
      <c r="L2035" s="87">
        <f>F2035*K2035</f>
        <v>18300</v>
      </c>
    </row>
    <row r="2036" spans="1:12" ht="12" customHeight="1" x14ac:dyDescent="0.35">
      <c r="A2036" s="134">
        <v>10143000</v>
      </c>
      <c r="B2036" s="84"/>
      <c r="C2036" s="85" t="s">
        <v>435</v>
      </c>
      <c r="D2036" s="84" t="s">
        <v>418</v>
      </c>
      <c r="E2036" s="84" t="str">
        <f>VLOOKUP(C2036,HSD!B:K,2,FALSE)</f>
        <v>OH</v>
      </c>
      <c r="F2036" s="128">
        <v>0.2</v>
      </c>
      <c r="G2036" s="87">
        <f>VLOOKUP(C2036,HSD!B:K,10,FALSE)</f>
        <v>250000</v>
      </c>
      <c r="H2036" s="87">
        <f>F2036*G2036</f>
        <v>50000</v>
      </c>
      <c r="I2036" s="87"/>
      <c r="J2036" s="87"/>
      <c r="K2036" s="87"/>
      <c r="L2036" s="87"/>
    </row>
    <row r="2037" spans="1:12" ht="12" customHeight="1" x14ac:dyDescent="0.35">
      <c r="A2037" s="134">
        <v>10120000</v>
      </c>
      <c r="B2037" s="84"/>
      <c r="C2037" s="85" t="s">
        <v>27</v>
      </c>
      <c r="D2037" s="84" t="s">
        <v>418</v>
      </c>
      <c r="E2037" s="84" t="str">
        <f>VLOOKUP(C2037,HSD!B:K,2,FALSE)</f>
        <v>OH</v>
      </c>
      <c r="F2037" s="128">
        <f>F2035/10</f>
        <v>0.02</v>
      </c>
      <c r="G2037" s="87">
        <f>VLOOKUP(C2037,HSD!B:K,10,FALSE)</f>
        <v>150000</v>
      </c>
      <c r="H2037" s="87">
        <f>F2037*G2037</f>
        <v>3000</v>
      </c>
      <c r="I2037" s="87">
        <v>78600</v>
      </c>
      <c r="J2037" s="87">
        <f>F2037*I2037</f>
        <v>1572</v>
      </c>
      <c r="K2037" s="87">
        <v>78600</v>
      </c>
      <c r="L2037" s="87">
        <f>F2037*K2037</f>
        <v>1572</v>
      </c>
    </row>
    <row r="2038" spans="1:12" ht="12" customHeight="1" x14ac:dyDescent="0.35">
      <c r="A2038" s="134">
        <v>10110000</v>
      </c>
      <c r="B2038" s="84"/>
      <c r="C2038" s="85" t="s">
        <v>30</v>
      </c>
      <c r="D2038" s="84" t="s">
        <v>418</v>
      </c>
      <c r="E2038" s="84" t="str">
        <f>VLOOKUP(C2038,HSD!B:K,2,FALSE)</f>
        <v>OH</v>
      </c>
      <c r="F2038" s="128">
        <f>F2036/10</f>
        <v>0.02</v>
      </c>
      <c r="G2038" s="87">
        <f>VLOOKUP(C2038,HSD!B:K,10,FALSE)</f>
        <v>150000</v>
      </c>
      <c r="H2038" s="87">
        <f>F2038*G2038</f>
        <v>3000</v>
      </c>
      <c r="I2038" s="87">
        <v>92500</v>
      </c>
      <c r="J2038" s="87">
        <f>F2038*I2038</f>
        <v>1850</v>
      </c>
      <c r="K2038" s="87">
        <v>92500</v>
      </c>
      <c r="L2038" s="87">
        <f>F2038*K2038</f>
        <v>1850</v>
      </c>
    </row>
    <row r="2039" spans="1:12" ht="12" customHeight="1" x14ac:dyDescent="0.35">
      <c r="B2039" s="84"/>
      <c r="C2039" s="85"/>
      <c r="D2039" s="84"/>
      <c r="E2039" s="84"/>
      <c r="F2039" s="86"/>
      <c r="G2039" s="87"/>
      <c r="H2039" s="87"/>
      <c r="I2039" s="87"/>
      <c r="J2039" s="87"/>
      <c r="K2039" s="87"/>
      <c r="L2039" s="87"/>
    </row>
    <row r="2040" spans="1:12" ht="12" customHeight="1" x14ac:dyDescent="0.35">
      <c r="B2040" s="84"/>
      <c r="C2040" s="88"/>
      <c r="D2040" s="79"/>
      <c r="E2040" s="79"/>
      <c r="F2040" s="89" t="s">
        <v>421</v>
      </c>
      <c r="G2040" s="101"/>
      <c r="H2040" s="87">
        <f>SUM(H2035:H2039)</f>
        <v>80000</v>
      </c>
      <c r="I2040" s="101"/>
      <c r="J2040" s="87">
        <f>SUM(J2037:J2039)</f>
        <v>3422</v>
      </c>
      <c r="K2040" s="101"/>
      <c r="L2040" s="87">
        <f>SUM(L2037:L2039)</f>
        <v>3422</v>
      </c>
    </row>
    <row r="2041" spans="1:12" ht="12" customHeight="1" x14ac:dyDescent="0.35">
      <c r="B2041" s="84" t="s">
        <v>6</v>
      </c>
      <c r="C2041" s="88" t="s">
        <v>422</v>
      </c>
      <c r="D2041" s="79"/>
      <c r="E2041" s="79"/>
      <c r="F2041" s="90"/>
      <c r="G2041" s="84"/>
      <c r="H2041" s="87"/>
      <c r="I2041" s="84"/>
      <c r="J2041" s="87"/>
      <c r="K2041" s="84"/>
      <c r="L2041" s="87"/>
    </row>
    <row r="2042" spans="1:12" ht="12" customHeight="1" x14ac:dyDescent="0.35">
      <c r="A2042" s="134">
        <v>211100113</v>
      </c>
      <c r="B2042" s="84"/>
      <c r="C2042" s="85" t="s">
        <v>49</v>
      </c>
      <c r="D2042" s="84" t="s">
        <v>418</v>
      </c>
      <c r="E2042" s="84" t="str">
        <f>VLOOKUP(C2042,HSD!B:K,2,FALSE)</f>
        <v>m3</v>
      </c>
      <c r="F2042" s="128">
        <v>5.0000000000000001E-3</v>
      </c>
      <c r="G2042" s="87">
        <f>VLOOKUP(C2042,HSD!B:K,10,FALSE)</f>
        <v>230880</v>
      </c>
      <c r="H2042" s="87">
        <f>F2042*G2042</f>
        <v>1154.4000000000001</v>
      </c>
      <c r="I2042" s="87">
        <v>232500</v>
      </c>
      <c r="J2042" s="87">
        <f>F2042*I2042</f>
        <v>1162.5</v>
      </c>
      <c r="K2042" s="87">
        <v>270000</v>
      </c>
      <c r="L2042" s="87">
        <f>F2042*K2042</f>
        <v>1350</v>
      </c>
    </row>
    <row r="2043" spans="1:12" ht="12" customHeight="1" x14ac:dyDescent="0.35">
      <c r="A2043" s="134">
        <v>21301000</v>
      </c>
      <c r="B2043" s="84"/>
      <c r="C2043" s="85" t="s">
        <v>60</v>
      </c>
      <c r="D2043" s="84" t="s">
        <v>418</v>
      </c>
      <c r="E2043" s="84" t="str">
        <f>VLOOKUP(C2043,HSD!B:K,2,FALSE)</f>
        <v>kg</v>
      </c>
      <c r="F2043" s="128">
        <v>2.34</v>
      </c>
      <c r="G2043" s="87">
        <f>VLOOKUP(C2043,HSD!B:K,10,FALSE)</f>
        <v>2331</v>
      </c>
      <c r="H2043" s="87">
        <f>F2043*G2043</f>
        <v>5454.54</v>
      </c>
      <c r="I2043" s="87">
        <v>1060</v>
      </c>
      <c r="J2043" s="87">
        <f>F2043*I2043</f>
        <v>2480.3999999999996</v>
      </c>
      <c r="K2043" s="87">
        <v>1060</v>
      </c>
      <c r="L2043" s="87">
        <f>F2043*K2043</f>
        <v>2480.3999999999996</v>
      </c>
    </row>
    <row r="2044" spans="1:12" ht="12" customHeight="1" x14ac:dyDescent="0.35">
      <c r="B2044" s="84"/>
      <c r="C2044" s="85"/>
      <c r="D2044" s="84"/>
      <c r="E2044" s="84"/>
      <c r="F2044" s="128"/>
      <c r="G2044" s="87"/>
      <c r="H2044" s="87">
        <f>F2044*G2044</f>
        <v>0</v>
      </c>
      <c r="I2044" s="87">
        <v>215000</v>
      </c>
      <c r="J2044" s="87">
        <f>F2044*I2044</f>
        <v>0</v>
      </c>
      <c r="K2044" s="87">
        <v>250000</v>
      </c>
      <c r="L2044" s="87">
        <f>F2044*K2044</f>
        <v>0</v>
      </c>
    </row>
    <row r="2045" spans="1:12" ht="12" customHeight="1" x14ac:dyDescent="0.35">
      <c r="B2045" s="84"/>
      <c r="C2045" s="85"/>
      <c r="D2045" s="84"/>
      <c r="E2045" s="84"/>
      <c r="F2045" s="128"/>
      <c r="G2045" s="87"/>
      <c r="H2045" s="87"/>
      <c r="I2045" s="87"/>
      <c r="J2045" s="87"/>
      <c r="K2045" s="87"/>
      <c r="L2045" s="87"/>
    </row>
    <row r="2046" spans="1:12" ht="12" customHeight="1" x14ac:dyDescent="0.35">
      <c r="B2046" s="84"/>
      <c r="C2046" s="88"/>
      <c r="D2046" s="79"/>
      <c r="E2046" s="79"/>
      <c r="F2046" s="129" t="s">
        <v>423</v>
      </c>
      <c r="G2046" s="129"/>
      <c r="H2046" s="87">
        <f>SUM(H2042:H2045)</f>
        <v>6608.9400000000005</v>
      </c>
      <c r="I2046" s="101"/>
      <c r="J2046" s="87" t="e">
        <f>SUM(#REF!)</f>
        <v>#REF!</v>
      </c>
      <c r="K2046" s="101"/>
      <c r="L2046" s="87" t="e">
        <f>SUM(#REF!)</f>
        <v>#REF!</v>
      </c>
    </row>
    <row r="2047" spans="1:12" ht="12" customHeight="1" x14ac:dyDescent="0.35">
      <c r="B2047" s="84" t="s">
        <v>7</v>
      </c>
      <c r="C2047" s="88" t="s">
        <v>424</v>
      </c>
      <c r="D2047" s="79"/>
      <c r="E2047" s="79"/>
      <c r="F2047" s="90"/>
      <c r="G2047" s="84"/>
      <c r="H2047" s="87"/>
      <c r="I2047" s="84"/>
      <c r="J2047" s="87"/>
      <c r="K2047" s="84"/>
      <c r="L2047" s="87"/>
    </row>
    <row r="2048" spans="1:12" ht="12" customHeight="1" x14ac:dyDescent="0.35">
      <c r="B2048" s="84"/>
      <c r="C2048" s="85"/>
      <c r="D2048" s="84"/>
      <c r="E2048" s="84"/>
      <c r="F2048" s="128"/>
      <c r="G2048" s="87"/>
      <c r="H2048" s="87">
        <f>F2048*G2048</f>
        <v>0</v>
      </c>
      <c r="I2048" s="87"/>
      <c r="J2048" s="87">
        <f>H2048*I2048</f>
        <v>0</v>
      </c>
      <c r="K2048" s="87"/>
      <c r="L2048" s="87">
        <f>J2048*K2048</f>
        <v>0</v>
      </c>
    </row>
    <row r="2049" spans="1:12" ht="12" customHeight="1" x14ac:dyDescent="0.35">
      <c r="B2049" s="84"/>
      <c r="C2049" s="85"/>
      <c r="D2049" s="84"/>
      <c r="E2049" s="84"/>
      <c r="F2049" s="128"/>
      <c r="G2049" s="87"/>
      <c r="H2049" s="87">
        <f>F2049*G2049</f>
        <v>0</v>
      </c>
      <c r="I2049" s="87"/>
      <c r="J2049" s="87"/>
      <c r="K2049" s="87"/>
      <c r="L2049" s="87"/>
    </row>
    <row r="2050" spans="1:12" ht="12" customHeight="1" x14ac:dyDescent="0.35">
      <c r="B2050" s="84"/>
      <c r="C2050" s="88"/>
      <c r="D2050" s="79"/>
      <c r="E2050" s="79"/>
      <c r="F2050" s="89" t="s">
        <v>425</v>
      </c>
      <c r="G2050" s="101"/>
      <c r="H2050" s="87">
        <f>SUM(H2048:H2049)</f>
        <v>0</v>
      </c>
      <c r="I2050" s="101"/>
      <c r="J2050" s="87">
        <f>SUM(J2048)</f>
        <v>0</v>
      </c>
      <c r="K2050" s="101"/>
      <c r="L2050" s="87">
        <f>SUM(L2048)</f>
        <v>0</v>
      </c>
    </row>
    <row r="2051" spans="1:12" ht="12" customHeight="1" x14ac:dyDescent="0.35">
      <c r="B2051" s="84" t="s">
        <v>8</v>
      </c>
      <c r="C2051" s="103" t="s">
        <v>426</v>
      </c>
      <c r="D2051" s="104"/>
      <c r="E2051" s="104"/>
      <c r="F2051" s="104"/>
      <c r="G2051" s="105"/>
      <c r="H2051" s="87">
        <f>H2040+H2046+H2050</f>
        <v>86608.94</v>
      </c>
      <c r="I2051" s="105"/>
      <c r="J2051" s="87" t="e">
        <f>J2040+J2046+J2050</f>
        <v>#REF!</v>
      </c>
      <c r="K2051" s="105"/>
      <c r="L2051" s="87" t="e">
        <f>L2040+L2046+L2050</f>
        <v>#REF!</v>
      </c>
    </row>
    <row r="2052" spans="1:12" ht="12" customHeight="1" x14ac:dyDescent="0.35">
      <c r="B2052" s="84" t="s">
        <v>9</v>
      </c>
      <c r="C2052" s="455" t="s">
        <v>427</v>
      </c>
      <c r="D2052" s="455"/>
      <c r="E2052" s="455"/>
      <c r="F2052" s="95">
        <f>0</f>
        <v>0</v>
      </c>
      <c r="G2052" s="85" t="s">
        <v>428</v>
      </c>
      <c r="H2052" s="87">
        <f>H2051*F2052</f>
        <v>0</v>
      </c>
      <c r="I2052" s="85" t="s">
        <v>428</v>
      </c>
      <c r="J2052" s="87" t="e">
        <f>J2051*F2052</f>
        <v>#REF!</v>
      </c>
      <c r="K2052" s="85" t="s">
        <v>428</v>
      </c>
      <c r="L2052" s="87" t="e">
        <f>L2051*F2052</f>
        <v>#REF!</v>
      </c>
    </row>
    <row r="2053" spans="1:12" ht="12" customHeight="1" x14ac:dyDescent="0.35">
      <c r="B2053" s="84" t="s">
        <v>10</v>
      </c>
      <c r="C2053" s="103" t="s">
        <v>429</v>
      </c>
      <c r="D2053" s="104"/>
      <c r="E2053" s="104"/>
      <c r="F2053" s="104"/>
      <c r="G2053" s="105"/>
      <c r="H2053" s="96">
        <f>H2051+H2052</f>
        <v>86608.94</v>
      </c>
      <c r="I2053" s="97"/>
      <c r="J2053" s="96" t="e">
        <f>J2051+J2052</f>
        <v>#REF!</v>
      </c>
      <c r="K2053" s="97"/>
      <c r="L2053" s="96" t="e">
        <f>L2051+L2052</f>
        <v>#REF!</v>
      </c>
    </row>
    <row r="2055" spans="1:12" ht="37" customHeight="1" x14ac:dyDescent="0.35">
      <c r="B2055" s="76" t="s">
        <v>672</v>
      </c>
      <c r="C2055" s="458" t="s">
        <v>671</v>
      </c>
      <c r="D2055" s="459"/>
      <c r="E2055" s="459"/>
      <c r="F2055" s="459"/>
      <c r="G2055" s="456"/>
      <c r="H2055" s="457"/>
      <c r="I2055" s="455" t="s">
        <v>3</v>
      </c>
      <c r="J2055" s="455"/>
      <c r="K2055" s="455" t="s">
        <v>4</v>
      </c>
      <c r="L2055" s="455"/>
    </row>
    <row r="2056" spans="1:12" ht="12" customHeight="1" x14ac:dyDescent="0.35">
      <c r="B2056" s="451" t="s">
        <v>409</v>
      </c>
      <c r="C2056" s="451" t="s">
        <v>410</v>
      </c>
      <c r="D2056" s="452" t="s">
        <v>411</v>
      </c>
      <c r="E2056" s="451" t="s">
        <v>412</v>
      </c>
      <c r="F2056" s="451" t="s">
        <v>413</v>
      </c>
      <c r="G2056" s="77" t="s">
        <v>414</v>
      </c>
      <c r="H2056" s="77" t="s">
        <v>415</v>
      </c>
      <c r="I2056" s="78" t="s">
        <v>414</v>
      </c>
      <c r="J2056" s="79" t="s">
        <v>415</v>
      </c>
      <c r="K2056" s="79" t="s">
        <v>414</v>
      </c>
      <c r="L2056" s="79" t="s">
        <v>415</v>
      </c>
    </row>
    <row r="2057" spans="1:12" ht="12" customHeight="1" x14ac:dyDescent="0.35">
      <c r="B2057" s="451"/>
      <c r="C2057" s="451"/>
      <c r="D2057" s="453"/>
      <c r="E2057" s="451"/>
      <c r="F2057" s="451"/>
      <c r="G2057" s="77" t="s">
        <v>17</v>
      </c>
      <c r="H2057" s="77" t="s">
        <v>416</v>
      </c>
      <c r="I2057" s="78" t="s">
        <v>17</v>
      </c>
      <c r="J2057" s="79" t="s">
        <v>416</v>
      </c>
      <c r="K2057" s="79" t="s">
        <v>17</v>
      </c>
      <c r="L2057" s="79" t="s">
        <v>416</v>
      </c>
    </row>
    <row r="2058" spans="1:12" ht="12" customHeight="1" x14ac:dyDescent="0.35">
      <c r="B2058" s="451"/>
      <c r="C2058" s="451"/>
      <c r="D2058" s="454"/>
      <c r="E2058" s="451"/>
      <c r="F2058" s="451"/>
      <c r="G2058" s="106"/>
      <c r="H2058" s="77" t="s">
        <v>17</v>
      </c>
      <c r="I2058" s="94"/>
      <c r="J2058" s="79" t="s">
        <v>17</v>
      </c>
      <c r="K2058" s="85"/>
      <c r="L2058" s="79" t="s">
        <v>17</v>
      </c>
    </row>
    <row r="2059" spans="1:12" ht="12" customHeight="1" x14ac:dyDescent="0.35">
      <c r="B2059" s="80" t="s">
        <v>5</v>
      </c>
      <c r="C2059" s="81" t="s">
        <v>417</v>
      </c>
      <c r="D2059" s="82"/>
      <c r="E2059" s="82"/>
      <c r="F2059" s="82"/>
      <c r="G2059" s="82"/>
      <c r="H2059" s="82"/>
      <c r="I2059" s="83"/>
      <c r="J2059" s="83"/>
      <c r="K2059" s="83"/>
      <c r="L2059" s="83"/>
    </row>
    <row r="2060" spans="1:12" ht="12" customHeight="1" x14ac:dyDescent="0.35">
      <c r="A2060" s="134">
        <v>10130000</v>
      </c>
      <c r="B2060" s="84"/>
      <c r="C2060" s="85" t="s">
        <v>28</v>
      </c>
      <c r="D2060" s="84" t="s">
        <v>418</v>
      </c>
      <c r="E2060" s="84" t="str">
        <f>VLOOKUP(C2060,HSD!B:K,2,FALSE)</f>
        <v>OH</v>
      </c>
      <c r="F2060" s="128">
        <v>0.2</v>
      </c>
      <c r="G2060" s="87">
        <f>VLOOKUP(C2060,HSD!B:K,10,FALSE)</f>
        <v>120000</v>
      </c>
      <c r="H2060" s="87">
        <f>F2060*G2060</f>
        <v>24000</v>
      </c>
      <c r="I2060" s="87">
        <v>91500</v>
      </c>
      <c r="J2060" s="87">
        <f>F2060*I2060</f>
        <v>18300</v>
      </c>
      <c r="K2060" s="87">
        <v>91500</v>
      </c>
      <c r="L2060" s="87">
        <f>F2060*K2060</f>
        <v>18300</v>
      </c>
    </row>
    <row r="2061" spans="1:12" ht="12" customHeight="1" x14ac:dyDescent="0.35">
      <c r="A2061" s="134">
        <v>10143000</v>
      </c>
      <c r="B2061" s="84"/>
      <c r="C2061" s="85" t="s">
        <v>435</v>
      </c>
      <c r="D2061" s="84" t="s">
        <v>418</v>
      </c>
      <c r="E2061" s="84" t="str">
        <f>VLOOKUP(C2061,HSD!B:K,2,FALSE)</f>
        <v>OH</v>
      </c>
      <c r="F2061" s="128">
        <v>0.2</v>
      </c>
      <c r="G2061" s="87">
        <f>VLOOKUP(C2061,HSD!B:K,10,FALSE)</f>
        <v>250000</v>
      </c>
      <c r="H2061" s="87">
        <f>F2061*G2061</f>
        <v>50000</v>
      </c>
      <c r="I2061" s="87"/>
      <c r="J2061" s="87"/>
      <c r="K2061" s="87"/>
      <c r="L2061" s="87"/>
    </row>
    <row r="2062" spans="1:12" ht="12" customHeight="1" x14ac:dyDescent="0.35">
      <c r="A2062" s="134">
        <v>10120000</v>
      </c>
      <c r="B2062" s="84"/>
      <c r="C2062" s="85" t="s">
        <v>27</v>
      </c>
      <c r="D2062" s="84" t="s">
        <v>418</v>
      </c>
      <c r="E2062" s="84" t="str">
        <f>VLOOKUP(C2062,HSD!B:K,2,FALSE)</f>
        <v>OH</v>
      </c>
      <c r="F2062" s="128">
        <f>F2060/10</f>
        <v>0.02</v>
      </c>
      <c r="G2062" s="87">
        <f>VLOOKUP(C2062,HSD!B:K,10,FALSE)</f>
        <v>150000</v>
      </c>
      <c r="H2062" s="87">
        <f>F2062*G2062</f>
        <v>3000</v>
      </c>
      <c r="I2062" s="87">
        <v>78600</v>
      </c>
      <c r="J2062" s="87">
        <f>F2062*I2062</f>
        <v>1572</v>
      </c>
      <c r="K2062" s="87">
        <v>78600</v>
      </c>
      <c r="L2062" s="87">
        <f>F2062*K2062</f>
        <v>1572</v>
      </c>
    </row>
    <row r="2063" spans="1:12" ht="12" customHeight="1" x14ac:dyDescent="0.35">
      <c r="A2063" s="134">
        <v>10110000</v>
      </c>
      <c r="B2063" s="84"/>
      <c r="C2063" s="85" t="s">
        <v>30</v>
      </c>
      <c r="D2063" s="84" t="s">
        <v>418</v>
      </c>
      <c r="E2063" s="84" t="str">
        <f>VLOOKUP(C2063,HSD!B:K,2,FALSE)</f>
        <v>OH</v>
      </c>
      <c r="F2063" s="128">
        <f>F2061/10</f>
        <v>0.02</v>
      </c>
      <c r="G2063" s="87">
        <f>VLOOKUP(C2063,HSD!B:K,10,FALSE)</f>
        <v>150000</v>
      </c>
      <c r="H2063" s="87">
        <f>F2063*G2063</f>
        <v>3000</v>
      </c>
      <c r="I2063" s="87">
        <v>92500</v>
      </c>
      <c r="J2063" s="87">
        <f>F2063*I2063</f>
        <v>1850</v>
      </c>
      <c r="K2063" s="87">
        <v>92500</v>
      </c>
      <c r="L2063" s="87">
        <f>F2063*K2063</f>
        <v>1850</v>
      </c>
    </row>
    <row r="2064" spans="1:12" ht="12" customHeight="1" x14ac:dyDescent="0.35">
      <c r="B2064" s="84"/>
      <c r="C2064" s="85"/>
      <c r="D2064" s="84"/>
      <c r="E2064" s="84"/>
      <c r="F2064" s="86"/>
      <c r="G2064" s="87"/>
      <c r="H2064" s="87"/>
      <c r="I2064" s="87"/>
      <c r="J2064" s="87"/>
      <c r="K2064" s="87"/>
      <c r="L2064" s="87"/>
    </row>
    <row r="2065" spans="1:12" ht="12" customHeight="1" x14ac:dyDescent="0.35">
      <c r="B2065" s="84"/>
      <c r="C2065" s="88"/>
      <c r="D2065" s="79"/>
      <c r="E2065" s="79"/>
      <c r="F2065" s="89" t="s">
        <v>421</v>
      </c>
      <c r="G2065" s="101"/>
      <c r="H2065" s="87">
        <f>SUM(H2060:H2064)</f>
        <v>80000</v>
      </c>
      <c r="I2065" s="101"/>
      <c r="J2065" s="87">
        <f>SUM(J2062:J2064)</f>
        <v>3422</v>
      </c>
      <c r="K2065" s="101"/>
      <c r="L2065" s="87">
        <f>SUM(L2062:L2064)</f>
        <v>3422</v>
      </c>
    </row>
    <row r="2066" spans="1:12" ht="12" customHeight="1" x14ac:dyDescent="0.35">
      <c r="B2066" s="84" t="s">
        <v>6</v>
      </c>
      <c r="C2066" s="88" t="s">
        <v>422</v>
      </c>
      <c r="D2066" s="79"/>
      <c r="E2066" s="79"/>
      <c r="F2066" s="90"/>
      <c r="G2066" s="84"/>
      <c r="H2066" s="87"/>
      <c r="I2066" s="84"/>
      <c r="J2066" s="87"/>
      <c r="K2066" s="84"/>
      <c r="L2066" s="87"/>
    </row>
    <row r="2067" spans="1:12" ht="12" customHeight="1" x14ac:dyDescent="0.35">
      <c r="A2067" s="134">
        <v>211100113</v>
      </c>
      <c r="B2067" s="84"/>
      <c r="C2067" s="85" t="s">
        <v>49</v>
      </c>
      <c r="D2067" s="84" t="s">
        <v>418</v>
      </c>
      <c r="E2067" s="84" t="str">
        <f>VLOOKUP(C2067,HSD!B:K,2,FALSE)</f>
        <v>m3</v>
      </c>
      <c r="F2067" s="128">
        <v>5.4000000000000003E-3</v>
      </c>
      <c r="G2067" s="87">
        <f>VLOOKUP(C2067,HSD!B:K,10,FALSE)</f>
        <v>230880</v>
      </c>
      <c r="H2067" s="87">
        <f>F2067*G2067</f>
        <v>1246.752</v>
      </c>
      <c r="I2067" s="87">
        <v>232500</v>
      </c>
      <c r="J2067" s="87">
        <f>F2067*I2067</f>
        <v>1255.5</v>
      </c>
      <c r="K2067" s="87">
        <v>270000</v>
      </c>
      <c r="L2067" s="87">
        <f>F2067*K2067</f>
        <v>1458</v>
      </c>
    </row>
    <row r="2068" spans="1:12" ht="12" customHeight="1" x14ac:dyDescent="0.35">
      <c r="A2068" s="134">
        <v>21301000</v>
      </c>
      <c r="B2068" s="84"/>
      <c r="C2068" s="85" t="s">
        <v>60</v>
      </c>
      <c r="D2068" s="84" t="s">
        <v>418</v>
      </c>
      <c r="E2068" s="84" t="str">
        <f>VLOOKUP(C2068,HSD!B:K,2,FALSE)</f>
        <v>kg</v>
      </c>
      <c r="F2068" s="128">
        <v>1.82</v>
      </c>
      <c r="G2068" s="87">
        <f>VLOOKUP(C2068,HSD!B:K,10,FALSE)</f>
        <v>2331</v>
      </c>
      <c r="H2068" s="87">
        <f>F2068*G2068</f>
        <v>4242.42</v>
      </c>
      <c r="I2068" s="87">
        <v>1060</v>
      </c>
      <c r="J2068" s="87">
        <f>F2068*I2068</f>
        <v>1929.2</v>
      </c>
      <c r="K2068" s="87">
        <v>1060</v>
      </c>
      <c r="L2068" s="87">
        <f>F2068*K2068</f>
        <v>1929.2</v>
      </c>
    </row>
    <row r="2069" spans="1:12" ht="12" customHeight="1" x14ac:dyDescent="0.35">
      <c r="B2069" s="84"/>
      <c r="C2069" s="85"/>
      <c r="D2069" s="84"/>
      <c r="E2069" s="84"/>
      <c r="F2069" s="128"/>
      <c r="G2069" s="87"/>
      <c r="H2069" s="87">
        <f>F2069*G2069</f>
        <v>0</v>
      </c>
      <c r="I2069" s="87">
        <v>215000</v>
      </c>
      <c r="J2069" s="87">
        <f>F2069*I2069</f>
        <v>0</v>
      </c>
      <c r="K2069" s="87">
        <v>250000</v>
      </c>
      <c r="L2069" s="87">
        <f>F2069*K2069</f>
        <v>0</v>
      </c>
    </row>
    <row r="2070" spans="1:12" ht="12" customHeight="1" x14ac:dyDescent="0.35">
      <c r="B2070" s="84"/>
      <c r="C2070" s="85"/>
      <c r="D2070" s="84"/>
      <c r="E2070" s="84"/>
      <c r="F2070" s="128"/>
      <c r="G2070" s="87"/>
      <c r="H2070" s="87"/>
      <c r="I2070" s="87"/>
      <c r="J2070" s="87"/>
      <c r="K2070" s="87"/>
      <c r="L2070" s="87"/>
    </row>
    <row r="2071" spans="1:12" ht="12" customHeight="1" x14ac:dyDescent="0.35">
      <c r="B2071" s="84"/>
      <c r="C2071" s="88"/>
      <c r="D2071" s="79"/>
      <c r="E2071" s="79"/>
      <c r="F2071" s="129" t="s">
        <v>423</v>
      </c>
      <c r="G2071" s="129"/>
      <c r="H2071" s="87">
        <f>SUM(H2067:H2070)</f>
        <v>5489.1720000000005</v>
      </c>
      <c r="I2071" s="101"/>
      <c r="J2071" s="87" t="e">
        <f>SUM(#REF!)</f>
        <v>#REF!</v>
      </c>
      <c r="K2071" s="101"/>
      <c r="L2071" s="87" t="e">
        <f>SUM(#REF!)</f>
        <v>#REF!</v>
      </c>
    </row>
    <row r="2072" spans="1:12" ht="12" customHeight="1" x14ac:dyDescent="0.35">
      <c r="B2072" s="84" t="s">
        <v>7</v>
      </c>
      <c r="C2072" s="88" t="s">
        <v>424</v>
      </c>
      <c r="D2072" s="79"/>
      <c r="E2072" s="79"/>
      <c r="F2072" s="90"/>
      <c r="G2072" s="84"/>
      <c r="H2072" s="87"/>
      <c r="I2072" s="84"/>
      <c r="J2072" s="87"/>
      <c r="K2072" s="84"/>
      <c r="L2072" s="87"/>
    </row>
    <row r="2073" spans="1:12" ht="12" customHeight="1" x14ac:dyDescent="0.35">
      <c r="B2073" s="84"/>
      <c r="C2073" s="85"/>
      <c r="D2073" s="84"/>
      <c r="E2073" s="84"/>
      <c r="F2073" s="128"/>
      <c r="G2073" s="87"/>
      <c r="H2073" s="87">
        <f>F2073*G2073</f>
        <v>0</v>
      </c>
      <c r="I2073" s="87"/>
      <c r="J2073" s="87">
        <f>H2073*I2073</f>
        <v>0</v>
      </c>
      <c r="K2073" s="87"/>
      <c r="L2073" s="87">
        <f>J2073*K2073</f>
        <v>0</v>
      </c>
    </row>
    <row r="2074" spans="1:12" ht="12" customHeight="1" x14ac:dyDescent="0.35">
      <c r="B2074" s="84"/>
      <c r="C2074" s="85"/>
      <c r="D2074" s="84"/>
      <c r="E2074" s="84"/>
      <c r="F2074" s="128"/>
      <c r="G2074" s="87"/>
      <c r="H2074" s="87">
        <f>F2074*G2074</f>
        <v>0</v>
      </c>
      <c r="I2074" s="87"/>
      <c r="J2074" s="87"/>
      <c r="K2074" s="87"/>
      <c r="L2074" s="87"/>
    </row>
    <row r="2075" spans="1:12" ht="12" customHeight="1" x14ac:dyDescent="0.35">
      <c r="B2075" s="84"/>
      <c r="C2075" s="88"/>
      <c r="D2075" s="79"/>
      <c r="E2075" s="79"/>
      <c r="F2075" s="89" t="s">
        <v>425</v>
      </c>
      <c r="G2075" s="101"/>
      <c r="H2075" s="87">
        <f>SUM(H2073:H2074)</f>
        <v>0</v>
      </c>
      <c r="I2075" s="101"/>
      <c r="J2075" s="87">
        <f>SUM(J2073)</f>
        <v>0</v>
      </c>
      <c r="K2075" s="101"/>
      <c r="L2075" s="87">
        <f>SUM(L2073)</f>
        <v>0</v>
      </c>
    </row>
    <row r="2076" spans="1:12" ht="12" customHeight="1" x14ac:dyDescent="0.35">
      <c r="B2076" s="84" t="s">
        <v>8</v>
      </c>
      <c r="C2076" s="103" t="s">
        <v>426</v>
      </c>
      <c r="D2076" s="104"/>
      <c r="E2076" s="104"/>
      <c r="F2076" s="104"/>
      <c r="G2076" s="105"/>
      <c r="H2076" s="87">
        <f>H2065+H2071+H2075</f>
        <v>85489.172000000006</v>
      </c>
      <c r="I2076" s="105"/>
      <c r="J2076" s="87" t="e">
        <f>J2065+J2071+J2075</f>
        <v>#REF!</v>
      </c>
      <c r="K2076" s="105"/>
      <c r="L2076" s="87" t="e">
        <f>L2065+L2071+L2075</f>
        <v>#REF!</v>
      </c>
    </row>
    <row r="2077" spans="1:12" ht="12" customHeight="1" x14ac:dyDescent="0.35">
      <c r="B2077" s="84" t="s">
        <v>9</v>
      </c>
      <c r="C2077" s="455" t="s">
        <v>427</v>
      </c>
      <c r="D2077" s="455"/>
      <c r="E2077" s="455"/>
      <c r="F2077" s="95">
        <f>0</f>
        <v>0</v>
      </c>
      <c r="G2077" s="85" t="s">
        <v>428</v>
      </c>
      <c r="H2077" s="87">
        <f>H2076*F2077</f>
        <v>0</v>
      </c>
      <c r="I2077" s="85" t="s">
        <v>428</v>
      </c>
      <c r="J2077" s="87" t="e">
        <f>J2076*F2077</f>
        <v>#REF!</v>
      </c>
      <c r="K2077" s="85" t="s">
        <v>428</v>
      </c>
      <c r="L2077" s="87" t="e">
        <f>L2076*F2077</f>
        <v>#REF!</v>
      </c>
    </row>
    <row r="2078" spans="1:12" ht="12" customHeight="1" x14ac:dyDescent="0.35">
      <c r="B2078" s="84" t="s">
        <v>10</v>
      </c>
      <c r="C2078" s="103" t="s">
        <v>429</v>
      </c>
      <c r="D2078" s="104"/>
      <c r="E2078" s="104"/>
      <c r="F2078" s="104"/>
      <c r="G2078" s="105"/>
      <c r="H2078" s="96">
        <f>H2076+H2077</f>
        <v>85489.172000000006</v>
      </c>
      <c r="I2078" s="97"/>
      <c r="J2078" s="96" t="e">
        <f>J2076+J2077</f>
        <v>#REF!</v>
      </c>
      <c r="K2078" s="97"/>
      <c r="L2078" s="96" t="e">
        <f>L2076+L2077</f>
        <v>#REF!</v>
      </c>
    </row>
    <row r="2080" spans="1:12" ht="37" customHeight="1" x14ac:dyDescent="0.35">
      <c r="B2080" s="76" t="s">
        <v>1959</v>
      </c>
      <c r="C2080" s="458" t="s">
        <v>673</v>
      </c>
      <c r="D2080" s="459"/>
      <c r="E2080" s="459"/>
      <c r="F2080" s="459"/>
      <c r="G2080" s="456"/>
      <c r="H2080" s="457"/>
      <c r="I2080" s="455" t="s">
        <v>3</v>
      </c>
      <c r="J2080" s="455"/>
      <c r="K2080" s="455" t="s">
        <v>4</v>
      </c>
      <c r="L2080" s="455"/>
    </row>
    <row r="2081" spans="1:12" ht="12" customHeight="1" x14ac:dyDescent="0.35">
      <c r="B2081" s="451" t="s">
        <v>409</v>
      </c>
      <c r="C2081" s="451" t="s">
        <v>410</v>
      </c>
      <c r="D2081" s="452" t="s">
        <v>411</v>
      </c>
      <c r="E2081" s="451" t="s">
        <v>412</v>
      </c>
      <c r="F2081" s="451" t="s">
        <v>413</v>
      </c>
      <c r="G2081" s="77" t="s">
        <v>414</v>
      </c>
      <c r="H2081" s="77" t="s">
        <v>415</v>
      </c>
      <c r="I2081" s="78" t="s">
        <v>414</v>
      </c>
      <c r="J2081" s="79" t="s">
        <v>415</v>
      </c>
      <c r="K2081" s="79" t="s">
        <v>414</v>
      </c>
      <c r="L2081" s="79" t="s">
        <v>415</v>
      </c>
    </row>
    <row r="2082" spans="1:12" ht="12" customHeight="1" x14ac:dyDescent="0.35">
      <c r="B2082" s="451"/>
      <c r="C2082" s="451"/>
      <c r="D2082" s="453"/>
      <c r="E2082" s="451"/>
      <c r="F2082" s="451"/>
      <c r="G2082" s="77" t="s">
        <v>17</v>
      </c>
      <c r="H2082" s="77" t="s">
        <v>416</v>
      </c>
      <c r="I2082" s="78" t="s">
        <v>17</v>
      </c>
      <c r="J2082" s="79" t="s">
        <v>416</v>
      </c>
      <c r="K2082" s="79" t="s">
        <v>17</v>
      </c>
      <c r="L2082" s="79" t="s">
        <v>416</v>
      </c>
    </row>
    <row r="2083" spans="1:12" ht="12" customHeight="1" x14ac:dyDescent="0.35">
      <c r="B2083" s="451"/>
      <c r="C2083" s="451"/>
      <c r="D2083" s="454"/>
      <c r="E2083" s="451"/>
      <c r="F2083" s="451"/>
      <c r="G2083" s="106"/>
      <c r="H2083" s="77" t="s">
        <v>17</v>
      </c>
      <c r="I2083" s="94"/>
      <c r="J2083" s="79" t="s">
        <v>17</v>
      </c>
      <c r="K2083" s="85"/>
      <c r="L2083" s="79" t="s">
        <v>17</v>
      </c>
    </row>
    <row r="2084" spans="1:12" ht="12" customHeight="1" x14ac:dyDescent="0.35">
      <c r="B2084" s="80" t="s">
        <v>5</v>
      </c>
      <c r="C2084" s="81" t="s">
        <v>417</v>
      </c>
      <c r="D2084" s="82"/>
      <c r="E2084" s="82"/>
      <c r="F2084" s="82"/>
      <c r="G2084" s="82"/>
      <c r="H2084" s="82"/>
      <c r="I2084" s="83"/>
      <c r="J2084" s="83"/>
      <c r="K2084" s="83"/>
      <c r="L2084" s="83"/>
    </row>
    <row r="2085" spans="1:12" ht="12" customHeight="1" x14ac:dyDescent="0.35">
      <c r="A2085" s="134">
        <v>10130000</v>
      </c>
      <c r="B2085" s="84"/>
      <c r="C2085" s="85" t="s">
        <v>28</v>
      </c>
      <c r="D2085" s="84" t="s">
        <v>418</v>
      </c>
      <c r="E2085" s="84" t="str">
        <f>VLOOKUP(C2085,HSD!B:K,2,FALSE)</f>
        <v>OH</v>
      </c>
      <c r="F2085" s="128">
        <v>0.1</v>
      </c>
      <c r="G2085" s="87">
        <f>VLOOKUP(C2085,HSD!B:K,10,FALSE)</f>
        <v>120000</v>
      </c>
      <c r="H2085" s="87">
        <f>F2085*G2085</f>
        <v>12000</v>
      </c>
      <c r="I2085" s="87">
        <v>91500</v>
      </c>
      <c r="J2085" s="87">
        <f>F2085*I2085</f>
        <v>9150</v>
      </c>
      <c r="K2085" s="87">
        <v>91500</v>
      </c>
      <c r="L2085" s="87">
        <f>F2085*K2085</f>
        <v>9150</v>
      </c>
    </row>
    <row r="2086" spans="1:12" ht="12" customHeight="1" x14ac:dyDescent="0.35">
      <c r="A2086" s="134">
        <v>10143000</v>
      </c>
      <c r="B2086" s="84"/>
      <c r="C2086" s="85" t="s">
        <v>435</v>
      </c>
      <c r="D2086" s="84" t="s">
        <v>418</v>
      </c>
      <c r="E2086" s="84" t="str">
        <f>VLOOKUP(C2086,HSD!B:K,2,FALSE)</f>
        <v>OH</v>
      </c>
      <c r="F2086" s="128">
        <v>0.1</v>
      </c>
      <c r="G2086" s="87">
        <f>VLOOKUP(C2086,HSD!B:K,10,FALSE)</f>
        <v>250000</v>
      </c>
      <c r="H2086" s="87">
        <f>F2086*G2086</f>
        <v>25000</v>
      </c>
      <c r="I2086" s="87"/>
      <c r="J2086" s="87"/>
      <c r="K2086" s="87"/>
      <c r="L2086" s="87"/>
    </row>
    <row r="2087" spans="1:12" ht="12" customHeight="1" x14ac:dyDescent="0.35">
      <c r="A2087" s="134">
        <v>10120000</v>
      </c>
      <c r="B2087" s="84"/>
      <c r="C2087" s="85" t="s">
        <v>27</v>
      </c>
      <c r="D2087" s="84" t="s">
        <v>418</v>
      </c>
      <c r="E2087" s="84" t="str">
        <f>VLOOKUP(C2087,HSD!B:K,2,FALSE)</f>
        <v>OH</v>
      </c>
      <c r="F2087" s="128">
        <f>F2085/10</f>
        <v>0.01</v>
      </c>
      <c r="G2087" s="87">
        <f>VLOOKUP(C2087,HSD!B:K,10,FALSE)</f>
        <v>150000</v>
      </c>
      <c r="H2087" s="87">
        <f>F2087*G2087</f>
        <v>1500</v>
      </c>
      <c r="I2087" s="87">
        <v>78600</v>
      </c>
      <c r="J2087" s="87">
        <f>F2087*I2087</f>
        <v>786</v>
      </c>
      <c r="K2087" s="87">
        <v>78600</v>
      </c>
      <c r="L2087" s="87">
        <f>F2087*K2087</f>
        <v>786</v>
      </c>
    </row>
    <row r="2088" spans="1:12" ht="12" customHeight="1" x14ac:dyDescent="0.35">
      <c r="A2088" s="134">
        <v>10110000</v>
      </c>
      <c r="B2088" s="84"/>
      <c r="C2088" s="85" t="s">
        <v>30</v>
      </c>
      <c r="D2088" s="84" t="s">
        <v>418</v>
      </c>
      <c r="E2088" s="84" t="str">
        <f>VLOOKUP(C2088,HSD!B:K,2,FALSE)</f>
        <v>OH</v>
      </c>
      <c r="F2088" s="128">
        <f>F2086/10</f>
        <v>0.01</v>
      </c>
      <c r="G2088" s="87">
        <f>VLOOKUP(C2088,HSD!B:K,10,FALSE)</f>
        <v>150000</v>
      </c>
      <c r="H2088" s="87">
        <f>F2088*G2088</f>
        <v>1500</v>
      </c>
      <c r="I2088" s="87">
        <v>92500</v>
      </c>
      <c r="J2088" s="87">
        <f>F2088*I2088</f>
        <v>925</v>
      </c>
      <c r="K2088" s="87">
        <v>92500</v>
      </c>
      <c r="L2088" s="87">
        <f>F2088*K2088</f>
        <v>925</v>
      </c>
    </row>
    <row r="2089" spans="1:12" ht="12" customHeight="1" x14ac:dyDescent="0.35">
      <c r="B2089" s="84"/>
      <c r="C2089" s="85"/>
      <c r="D2089" s="84"/>
      <c r="E2089" s="84"/>
      <c r="F2089" s="86"/>
      <c r="G2089" s="87"/>
      <c r="H2089" s="87"/>
      <c r="I2089" s="87"/>
      <c r="J2089" s="87"/>
      <c r="K2089" s="87"/>
      <c r="L2089" s="87"/>
    </row>
    <row r="2090" spans="1:12" ht="12" customHeight="1" x14ac:dyDescent="0.35">
      <c r="B2090" s="84"/>
      <c r="C2090" s="88"/>
      <c r="D2090" s="79"/>
      <c r="E2090" s="79"/>
      <c r="F2090" s="89" t="s">
        <v>421</v>
      </c>
      <c r="G2090" s="101"/>
      <c r="H2090" s="87">
        <f>SUM(H2085:H2089)</f>
        <v>40000</v>
      </c>
      <c r="I2090" s="101"/>
      <c r="J2090" s="87">
        <f>SUM(J2087:J2089)</f>
        <v>1711</v>
      </c>
      <c r="K2090" s="101"/>
      <c r="L2090" s="87">
        <f>SUM(L2087:L2089)</f>
        <v>1711</v>
      </c>
    </row>
    <row r="2091" spans="1:12" ht="12" customHeight="1" x14ac:dyDescent="0.35">
      <c r="B2091" s="84" t="s">
        <v>6</v>
      </c>
      <c r="C2091" s="88" t="s">
        <v>422</v>
      </c>
      <c r="D2091" s="79"/>
      <c r="E2091" s="79"/>
      <c r="F2091" s="90"/>
      <c r="G2091" s="84"/>
      <c r="H2091" s="87"/>
      <c r="I2091" s="84"/>
      <c r="J2091" s="87"/>
      <c r="K2091" s="84"/>
      <c r="L2091" s="87"/>
    </row>
    <row r="2092" spans="1:12" ht="12" customHeight="1" x14ac:dyDescent="0.35">
      <c r="A2092" s="134">
        <v>211100113</v>
      </c>
      <c r="B2092" s="84"/>
      <c r="C2092" s="85" t="s">
        <v>49</v>
      </c>
      <c r="D2092" s="84" t="s">
        <v>418</v>
      </c>
      <c r="E2092" s="84" t="str">
        <f>VLOOKUP(C2092,HSD!B:K,2,FALSE)</f>
        <v>m3</v>
      </c>
      <c r="F2092" s="128">
        <v>1.34E-2</v>
      </c>
      <c r="G2092" s="87">
        <f>VLOOKUP(C2092,HSD!B:K,10,FALSE)</f>
        <v>230880</v>
      </c>
      <c r="H2092" s="87">
        <f>F2092*G2092</f>
        <v>3093.7919999999999</v>
      </c>
      <c r="I2092" s="87">
        <v>232500</v>
      </c>
      <c r="J2092" s="87">
        <f>F2092*I2092</f>
        <v>3115.5</v>
      </c>
      <c r="K2092" s="87">
        <v>270000</v>
      </c>
      <c r="L2092" s="87">
        <f>F2092*K2092</f>
        <v>3618</v>
      </c>
    </row>
    <row r="2093" spans="1:12" ht="12" customHeight="1" x14ac:dyDescent="0.35">
      <c r="A2093" s="134">
        <v>21301000</v>
      </c>
      <c r="B2093" s="84"/>
      <c r="C2093" s="85" t="s">
        <v>60</v>
      </c>
      <c r="D2093" s="84" t="s">
        <v>418</v>
      </c>
      <c r="E2093" s="84" t="str">
        <f>VLOOKUP(C2093,HSD!B:K,2,FALSE)</f>
        <v>kg</v>
      </c>
      <c r="F2093" s="128">
        <v>6.8159999999999998</v>
      </c>
      <c r="G2093" s="87">
        <f>VLOOKUP(C2093,HSD!B:K,10,FALSE)</f>
        <v>2331</v>
      </c>
      <c r="H2093" s="87">
        <f>F2093*G2093</f>
        <v>15888.096</v>
      </c>
      <c r="I2093" s="87">
        <v>1060</v>
      </c>
      <c r="J2093" s="87">
        <f>F2093*I2093</f>
        <v>7224.96</v>
      </c>
      <c r="K2093" s="87">
        <v>1060</v>
      </c>
      <c r="L2093" s="87">
        <f>F2093*K2093</f>
        <v>7224.96</v>
      </c>
    </row>
    <row r="2094" spans="1:12" ht="12" customHeight="1" x14ac:dyDescent="0.35">
      <c r="B2094" s="84"/>
      <c r="C2094" s="85"/>
      <c r="D2094" s="84"/>
      <c r="E2094" s="84"/>
      <c r="F2094" s="128"/>
      <c r="G2094" s="87"/>
      <c r="H2094" s="87">
        <f>F2094*G2094</f>
        <v>0</v>
      </c>
      <c r="I2094" s="87">
        <v>215000</v>
      </c>
      <c r="J2094" s="87">
        <f>F2094*I2094</f>
        <v>0</v>
      </c>
      <c r="K2094" s="87">
        <v>250000</v>
      </c>
      <c r="L2094" s="87">
        <f>F2094*K2094</f>
        <v>0</v>
      </c>
    </row>
    <row r="2095" spans="1:12" ht="12" customHeight="1" x14ac:dyDescent="0.35">
      <c r="B2095" s="84"/>
      <c r="C2095" s="85"/>
      <c r="D2095" s="84"/>
      <c r="E2095" s="84"/>
      <c r="F2095" s="128"/>
      <c r="G2095" s="87"/>
      <c r="H2095" s="87"/>
      <c r="I2095" s="87"/>
      <c r="J2095" s="87"/>
      <c r="K2095" s="87"/>
      <c r="L2095" s="87"/>
    </row>
    <row r="2096" spans="1:12" ht="12" customHeight="1" x14ac:dyDescent="0.35">
      <c r="B2096" s="84"/>
      <c r="C2096" s="88"/>
      <c r="D2096" s="79"/>
      <c r="E2096" s="79"/>
      <c r="F2096" s="129" t="s">
        <v>423</v>
      </c>
      <c r="G2096" s="129"/>
      <c r="H2096" s="87">
        <f>SUM(H2092:H2095)</f>
        <v>18981.887999999999</v>
      </c>
      <c r="I2096" s="101"/>
      <c r="J2096" s="87" t="e">
        <f>SUM(#REF!)</f>
        <v>#REF!</v>
      </c>
      <c r="K2096" s="101"/>
      <c r="L2096" s="87" t="e">
        <f>SUM(#REF!)</f>
        <v>#REF!</v>
      </c>
    </row>
    <row r="2097" spans="1:12" ht="12" customHeight="1" x14ac:dyDescent="0.35">
      <c r="B2097" s="84" t="s">
        <v>7</v>
      </c>
      <c r="C2097" s="88" t="s">
        <v>424</v>
      </c>
      <c r="D2097" s="79"/>
      <c r="E2097" s="79"/>
      <c r="F2097" s="90"/>
      <c r="G2097" s="84"/>
      <c r="H2097" s="87"/>
      <c r="I2097" s="84"/>
      <c r="J2097" s="87"/>
      <c r="K2097" s="84"/>
      <c r="L2097" s="87"/>
    </row>
    <row r="2098" spans="1:12" ht="12" customHeight="1" x14ac:dyDescent="0.35">
      <c r="B2098" s="84"/>
      <c r="C2098" s="85"/>
      <c r="D2098" s="84"/>
      <c r="E2098" s="84"/>
      <c r="F2098" s="128"/>
      <c r="G2098" s="87"/>
      <c r="H2098" s="87">
        <f>F2098*G2098</f>
        <v>0</v>
      </c>
      <c r="I2098" s="87"/>
      <c r="J2098" s="87">
        <f>H2098*I2098</f>
        <v>0</v>
      </c>
      <c r="K2098" s="87"/>
      <c r="L2098" s="87">
        <f>J2098*K2098</f>
        <v>0</v>
      </c>
    </row>
    <row r="2099" spans="1:12" ht="12" customHeight="1" x14ac:dyDescent="0.35">
      <c r="B2099" s="84"/>
      <c r="C2099" s="85"/>
      <c r="D2099" s="84"/>
      <c r="E2099" s="84"/>
      <c r="F2099" s="128"/>
      <c r="G2099" s="87"/>
      <c r="H2099" s="87">
        <f>F2099*G2099</f>
        <v>0</v>
      </c>
      <c r="I2099" s="87"/>
      <c r="J2099" s="87"/>
      <c r="K2099" s="87"/>
      <c r="L2099" s="87"/>
    </row>
    <row r="2100" spans="1:12" ht="12" customHeight="1" x14ac:dyDescent="0.35">
      <c r="B2100" s="84"/>
      <c r="C2100" s="88"/>
      <c r="D2100" s="79"/>
      <c r="E2100" s="79"/>
      <c r="F2100" s="89" t="s">
        <v>425</v>
      </c>
      <c r="G2100" s="101"/>
      <c r="H2100" s="87">
        <f>SUM(H2098:H2099)</f>
        <v>0</v>
      </c>
      <c r="I2100" s="101"/>
      <c r="J2100" s="87">
        <f>SUM(J2098)</f>
        <v>0</v>
      </c>
      <c r="K2100" s="101"/>
      <c r="L2100" s="87">
        <f>SUM(L2098)</f>
        <v>0</v>
      </c>
    </row>
    <row r="2101" spans="1:12" ht="12" customHeight="1" x14ac:dyDescent="0.35">
      <c r="B2101" s="84" t="s">
        <v>8</v>
      </c>
      <c r="C2101" s="103" t="s">
        <v>426</v>
      </c>
      <c r="D2101" s="104"/>
      <c r="E2101" s="104"/>
      <c r="F2101" s="104"/>
      <c r="G2101" s="105"/>
      <c r="H2101" s="87">
        <f>H2090+H2096+H2100</f>
        <v>58981.887999999999</v>
      </c>
      <c r="I2101" s="105"/>
      <c r="J2101" s="87" t="e">
        <f>J2090+J2096+J2100</f>
        <v>#REF!</v>
      </c>
      <c r="K2101" s="105"/>
      <c r="L2101" s="87" t="e">
        <f>L2090+L2096+L2100</f>
        <v>#REF!</v>
      </c>
    </row>
    <row r="2102" spans="1:12" ht="12" customHeight="1" x14ac:dyDescent="0.35">
      <c r="B2102" s="84" t="s">
        <v>9</v>
      </c>
      <c r="C2102" s="455" t="s">
        <v>427</v>
      </c>
      <c r="D2102" s="455"/>
      <c r="E2102" s="455"/>
      <c r="F2102" s="95">
        <f>0</f>
        <v>0</v>
      </c>
      <c r="G2102" s="85" t="s">
        <v>428</v>
      </c>
      <c r="H2102" s="87">
        <f>H2101*F2102</f>
        <v>0</v>
      </c>
      <c r="I2102" s="85" t="s">
        <v>428</v>
      </c>
      <c r="J2102" s="87" t="e">
        <f>J2101*F2102</f>
        <v>#REF!</v>
      </c>
      <c r="K2102" s="85" t="s">
        <v>428</v>
      </c>
      <c r="L2102" s="87" t="e">
        <f>L2101*F2102</f>
        <v>#REF!</v>
      </c>
    </row>
    <row r="2103" spans="1:12" ht="12" customHeight="1" x14ac:dyDescent="0.35">
      <c r="B2103" s="84" t="s">
        <v>10</v>
      </c>
      <c r="C2103" s="103" t="s">
        <v>429</v>
      </c>
      <c r="D2103" s="104"/>
      <c r="E2103" s="104"/>
      <c r="F2103" s="104"/>
      <c r="G2103" s="105"/>
      <c r="H2103" s="96">
        <f>H2101+H2102</f>
        <v>58981.887999999999</v>
      </c>
      <c r="I2103" s="97"/>
      <c r="J2103" s="96" t="e">
        <f>J2101+J2102</f>
        <v>#REF!</v>
      </c>
      <c r="K2103" s="97"/>
      <c r="L2103" s="96" t="e">
        <f>L2101+L2102</f>
        <v>#REF!</v>
      </c>
    </row>
    <row r="2105" spans="1:12" ht="37" customHeight="1" x14ac:dyDescent="0.35">
      <c r="B2105" s="76" t="s">
        <v>674</v>
      </c>
      <c r="C2105" s="458" t="s">
        <v>675</v>
      </c>
      <c r="D2105" s="459"/>
      <c r="E2105" s="459"/>
      <c r="F2105" s="459"/>
      <c r="G2105" s="456"/>
      <c r="H2105" s="457"/>
      <c r="I2105" s="455" t="s">
        <v>3</v>
      </c>
      <c r="J2105" s="455"/>
      <c r="K2105" s="455" t="s">
        <v>4</v>
      </c>
      <c r="L2105" s="455"/>
    </row>
    <row r="2106" spans="1:12" ht="12" customHeight="1" x14ac:dyDescent="0.35">
      <c r="B2106" s="451" t="s">
        <v>409</v>
      </c>
      <c r="C2106" s="451" t="s">
        <v>410</v>
      </c>
      <c r="D2106" s="452" t="s">
        <v>411</v>
      </c>
      <c r="E2106" s="451" t="s">
        <v>412</v>
      </c>
      <c r="F2106" s="451" t="s">
        <v>413</v>
      </c>
      <c r="G2106" s="77" t="s">
        <v>414</v>
      </c>
      <c r="H2106" s="77" t="s">
        <v>415</v>
      </c>
      <c r="I2106" s="78" t="s">
        <v>414</v>
      </c>
      <c r="J2106" s="79" t="s">
        <v>415</v>
      </c>
      <c r="K2106" s="79" t="s">
        <v>414</v>
      </c>
      <c r="L2106" s="79" t="s">
        <v>415</v>
      </c>
    </row>
    <row r="2107" spans="1:12" ht="12" customHeight="1" x14ac:dyDescent="0.35">
      <c r="B2107" s="451"/>
      <c r="C2107" s="451"/>
      <c r="D2107" s="453"/>
      <c r="E2107" s="451"/>
      <c r="F2107" s="451"/>
      <c r="G2107" s="77" t="s">
        <v>17</v>
      </c>
      <c r="H2107" s="77" t="s">
        <v>416</v>
      </c>
      <c r="I2107" s="78" t="s">
        <v>17</v>
      </c>
      <c r="J2107" s="79" t="s">
        <v>416</v>
      </c>
      <c r="K2107" s="79" t="s">
        <v>17</v>
      </c>
      <c r="L2107" s="79" t="s">
        <v>416</v>
      </c>
    </row>
    <row r="2108" spans="1:12" ht="12" customHeight="1" x14ac:dyDescent="0.35">
      <c r="B2108" s="451"/>
      <c r="C2108" s="451"/>
      <c r="D2108" s="454"/>
      <c r="E2108" s="451"/>
      <c r="F2108" s="451"/>
      <c r="G2108" s="106"/>
      <c r="H2108" s="77" t="s">
        <v>17</v>
      </c>
      <c r="I2108" s="94"/>
      <c r="J2108" s="79" t="s">
        <v>17</v>
      </c>
      <c r="K2108" s="85"/>
      <c r="L2108" s="79" t="s">
        <v>17</v>
      </c>
    </row>
    <row r="2109" spans="1:12" ht="12" customHeight="1" x14ac:dyDescent="0.35">
      <c r="B2109" s="80" t="s">
        <v>5</v>
      </c>
      <c r="C2109" s="81" t="s">
        <v>417</v>
      </c>
      <c r="D2109" s="82"/>
      <c r="E2109" s="82"/>
      <c r="F2109" s="82"/>
      <c r="G2109" s="82"/>
      <c r="H2109" s="82"/>
      <c r="I2109" s="83"/>
      <c r="J2109" s="83"/>
      <c r="K2109" s="83"/>
      <c r="L2109" s="83"/>
    </row>
    <row r="2110" spans="1:12" ht="12" customHeight="1" x14ac:dyDescent="0.35">
      <c r="A2110" s="134">
        <v>10130000</v>
      </c>
      <c r="B2110" s="84"/>
      <c r="C2110" s="85" t="s">
        <v>28</v>
      </c>
      <c r="D2110" s="84" t="s">
        <v>418</v>
      </c>
      <c r="E2110" s="84" t="str">
        <f>VLOOKUP(C2110,HSD!B:K,2,FALSE)</f>
        <v>OH</v>
      </c>
      <c r="F2110" s="128">
        <v>0.1</v>
      </c>
      <c r="G2110" s="87">
        <f>VLOOKUP(C2110,HSD!B:K,10,FALSE)</f>
        <v>120000</v>
      </c>
      <c r="H2110" s="87">
        <f>F2110*G2110</f>
        <v>12000</v>
      </c>
      <c r="I2110" s="87">
        <v>91500</v>
      </c>
      <c r="J2110" s="87">
        <f>F2110*I2110</f>
        <v>9150</v>
      </c>
      <c r="K2110" s="87">
        <v>91500</v>
      </c>
      <c r="L2110" s="87">
        <f>F2110*K2110</f>
        <v>9150</v>
      </c>
    </row>
    <row r="2111" spans="1:12" ht="12" customHeight="1" x14ac:dyDescent="0.35">
      <c r="A2111" s="134">
        <v>10143000</v>
      </c>
      <c r="B2111" s="84"/>
      <c r="C2111" s="85" t="s">
        <v>435</v>
      </c>
      <c r="D2111" s="84" t="s">
        <v>418</v>
      </c>
      <c r="E2111" s="84" t="str">
        <f>VLOOKUP(C2111,HSD!B:K,2,FALSE)</f>
        <v>OH</v>
      </c>
      <c r="F2111" s="128">
        <v>0.1</v>
      </c>
      <c r="G2111" s="87">
        <f>VLOOKUP(C2111,HSD!B:K,10,FALSE)</f>
        <v>250000</v>
      </c>
      <c r="H2111" s="87">
        <f>F2111*G2111</f>
        <v>25000</v>
      </c>
      <c r="I2111" s="87"/>
      <c r="J2111" s="87"/>
      <c r="K2111" s="87"/>
      <c r="L2111" s="87"/>
    </row>
    <row r="2112" spans="1:12" ht="12" customHeight="1" x14ac:dyDescent="0.35">
      <c r="A2112" s="134">
        <v>10120000</v>
      </c>
      <c r="B2112" s="84"/>
      <c r="C2112" s="85" t="s">
        <v>27</v>
      </c>
      <c r="D2112" s="84" t="s">
        <v>418</v>
      </c>
      <c r="E2112" s="84" t="str">
        <f>VLOOKUP(C2112,HSD!B:K,2,FALSE)</f>
        <v>OH</v>
      </c>
      <c r="F2112" s="128">
        <f>F2110/10</f>
        <v>0.01</v>
      </c>
      <c r="G2112" s="87">
        <f>VLOOKUP(C2112,HSD!B:K,10,FALSE)</f>
        <v>150000</v>
      </c>
      <c r="H2112" s="87">
        <f>F2112*G2112</f>
        <v>1500</v>
      </c>
      <c r="I2112" s="87">
        <v>78600</v>
      </c>
      <c r="J2112" s="87">
        <f>F2112*I2112</f>
        <v>786</v>
      </c>
      <c r="K2112" s="87">
        <v>78600</v>
      </c>
      <c r="L2112" s="87">
        <f>F2112*K2112</f>
        <v>786</v>
      </c>
    </row>
    <row r="2113" spans="1:12" ht="12" customHeight="1" x14ac:dyDescent="0.35">
      <c r="A2113" s="134">
        <v>10110000</v>
      </c>
      <c r="B2113" s="84"/>
      <c r="C2113" s="85" t="s">
        <v>30</v>
      </c>
      <c r="D2113" s="84" t="s">
        <v>418</v>
      </c>
      <c r="E2113" s="84" t="str">
        <f>VLOOKUP(C2113,HSD!B:K,2,FALSE)</f>
        <v>OH</v>
      </c>
      <c r="F2113" s="128">
        <f>F2111/10</f>
        <v>0.01</v>
      </c>
      <c r="G2113" s="87">
        <f>VLOOKUP(C2113,HSD!B:K,10,FALSE)</f>
        <v>150000</v>
      </c>
      <c r="H2113" s="87">
        <f>F2113*G2113</f>
        <v>1500</v>
      </c>
      <c r="I2113" s="87">
        <v>92500</v>
      </c>
      <c r="J2113" s="87">
        <f>F2113*I2113</f>
        <v>925</v>
      </c>
      <c r="K2113" s="87">
        <v>92500</v>
      </c>
      <c r="L2113" s="87">
        <f>F2113*K2113</f>
        <v>925</v>
      </c>
    </row>
    <row r="2114" spans="1:12" ht="12" customHeight="1" x14ac:dyDescent="0.35">
      <c r="B2114" s="84"/>
      <c r="C2114" s="85"/>
      <c r="D2114" s="84"/>
      <c r="E2114" s="84"/>
      <c r="F2114" s="86"/>
      <c r="G2114" s="87"/>
      <c r="H2114" s="87"/>
      <c r="I2114" s="87"/>
      <c r="J2114" s="87"/>
      <c r="K2114" s="87"/>
      <c r="L2114" s="87"/>
    </row>
    <row r="2115" spans="1:12" ht="12" customHeight="1" x14ac:dyDescent="0.35">
      <c r="B2115" s="84"/>
      <c r="C2115" s="88"/>
      <c r="D2115" s="79"/>
      <c r="E2115" s="79"/>
      <c r="F2115" s="89" t="s">
        <v>421</v>
      </c>
      <c r="G2115" s="101"/>
      <c r="H2115" s="87">
        <f>SUM(H2110:H2114)</f>
        <v>40000</v>
      </c>
      <c r="I2115" s="101"/>
      <c r="J2115" s="87">
        <f>SUM(J2112:J2114)</f>
        <v>1711</v>
      </c>
      <c r="K2115" s="101"/>
      <c r="L2115" s="87">
        <f>SUM(L2112:L2114)</f>
        <v>1711</v>
      </c>
    </row>
    <row r="2116" spans="1:12" ht="12" customHeight="1" x14ac:dyDescent="0.35">
      <c r="B2116" s="84" t="s">
        <v>6</v>
      </c>
      <c r="C2116" s="88" t="s">
        <v>422</v>
      </c>
      <c r="D2116" s="79"/>
      <c r="E2116" s="79"/>
      <c r="F2116" s="90"/>
      <c r="G2116" s="84"/>
      <c r="H2116" s="87"/>
      <c r="I2116" s="84"/>
      <c r="J2116" s="87"/>
      <c r="K2116" s="84"/>
      <c r="L2116" s="87"/>
    </row>
    <row r="2117" spans="1:12" ht="12" customHeight="1" x14ac:dyDescent="0.35">
      <c r="A2117" s="134">
        <v>211100113</v>
      </c>
      <c r="B2117" s="84"/>
      <c r="C2117" s="85" t="s">
        <v>49</v>
      </c>
      <c r="D2117" s="84" t="s">
        <v>418</v>
      </c>
      <c r="E2117" s="84" t="str">
        <f>VLOOKUP(C2117,HSD!B:K,2,FALSE)</f>
        <v>m3</v>
      </c>
      <c r="F2117" s="128">
        <v>1.54E-2</v>
      </c>
      <c r="G2117" s="87">
        <f>VLOOKUP(C2117,HSD!B:K,10,FALSE)</f>
        <v>230880</v>
      </c>
      <c r="H2117" s="87">
        <f>F2117*G2117</f>
        <v>3555.5520000000001</v>
      </c>
      <c r="I2117" s="87">
        <v>232500</v>
      </c>
      <c r="J2117" s="87">
        <f>F2117*I2117</f>
        <v>3580.5</v>
      </c>
      <c r="K2117" s="87">
        <v>270000</v>
      </c>
      <c r="L2117" s="87">
        <f>F2117*K2117</f>
        <v>4158</v>
      </c>
    </row>
    <row r="2118" spans="1:12" ht="12" customHeight="1" x14ac:dyDescent="0.35">
      <c r="A2118" s="134">
        <v>21301000</v>
      </c>
      <c r="B2118" s="84"/>
      <c r="C2118" s="85" t="s">
        <v>60</v>
      </c>
      <c r="D2118" s="84" t="s">
        <v>418</v>
      </c>
      <c r="E2118" s="84" t="str">
        <f>VLOOKUP(C2118,HSD!B:K,2,FALSE)</f>
        <v>kg</v>
      </c>
      <c r="F2118" s="128">
        <v>5.1840000000000002</v>
      </c>
      <c r="G2118" s="87">
        <f>VLOOKUP(C2118,HSD!B:K,10,FALSE)</f>
        <v>2331</v>
      </c>
      <c r="H2118" s="87">
        <f>F2118*G2118</f>
        <v>12083.904</v>
      </c>
      <c r="I2118" s="87">
        <v>1060</v>
      </c>
      <c r="J2118" s="87">
        <f>F2118*I2118</f>
        <v>5495.04</v>
      </c>
      <c r="K2118" s="87">
        <v>1060</v>
      </c>
      <c r="L2118" s="87">
        <f>F2118*K2118</f>
        <v>5495.04</v>
      </c>
    </row>
    <row r="2119" spans="1:12" ht="12" customHeight="1" x14ac:dyDescent="0.35">
      <c r="B2119" s="84"/>
      <c r="C2119" s="85"/>
      <c r="D2119" s="84"/>
      <c r="E2119" s="84"/>
      <c r="F2119" s="128"/>
      <c r="G2119" s="87"/>
      <c r="H2119" s="87">
        <f>F2119*G2119</f>
        <v>0</v>
      </c>
      <c r="I2119" s="87">
        <v>215000</v>
      </c>
      <c r="J2119" s="87">
        <f>F2119*I2119</f>
        <v>0</v>
      </c>
      <c r="K2119" s="87">
        <v>250000</v>
      </c>
      <c r="L2119" s="87">
        <f>F2119*K2119</f>
        <v>0</v>
      </c>
    </row>
    <row r="2120" spans="1:12" ht="12" customHeight="1" x14ac:dyDescent="0.35">
      <c r="B2120" s="84"/>
      <c r="C2120" s="85"/>
      <c r="D2120" s="84"/>
      <c r="E2120" s="84"/>
      <c r="F2120" s="128"/>
      <c r="G2120" s="87"/>
      <c r="H2120" s="87"/>
      <c r="I2120" s="87"/>
      <c r="J2120" s="87"/>
      <c r="K2120" s="87"/>
      <c r="L2120" s="87"/>
    </row>
    <row r="2121" spans="1:12" ht="12" customHeight="1" x14ac:dyDescent="0.35">
      <c r="B2121" s="84"/>
      <c r="C2121" s="88"/>
      <c r="D2121" s="79"/>
      <c r="E2121" s="79"/>
      <c r="F2121" s="129" t="s">
        <v>423</v>
      </c>
      <c r="G2121" s="129"/>
      <c r="H2121" s="87">
        <f>SUM(H2117:H2120)</f>
        <v>15639.456</v>
      </c>
      <c r="I2121" s="101"/>
      <c r="J2121" s="87" t="e">
        <f>SUM(#REF!)</f>
        <v>#REF!</v>
      </c>
      <c r="K2121" s="101"/>
      <c r="L2121" s="87" t="e">
        <f>SUM(#REF!)</f>
        <v>#REF!</v>
      </c>
    </row>
    <row r="2122" spans="1:12" ht="12" customHeight="1" x14ac:dyDescent="0.35">
      <c r="B2122" s="84" t="s">
        <v>7</v>
      </c>
      <c r="C2122" s="88" t="s">
        <v>424</v>
      </c>
      <c r="D2122" s="79"/>
      <c r="E2122" s="79"/>
      <c r="F2122" s="90"/>
      <c r="G2122" s="84"/>
      <c r="H2122" s="87"/>
      <c r="I2122" s="84"/>
      <c r="J2122" s="87"/>
      <c r="K2122" s="84"/>
      <c r="L2122" s="87"/>
    </row>
    <row r="2123" spans="1:12" ht="12" customHeight="1" x14ac:dyDescent="0.35">
      <c r="B2123" s="84"/>
      <c r="C2123" s="85"/>
      <c r="D2123" s="84"/>
      <c r="E2123" s="84"/>
      <c r="F2123" s="128"/>
      <c r="G2123" s="87"/>
      <c r="H2123" s="87">
        <f>F2123*G2123</f>
        <v>0</v>
      </c>
      <c r="I2123" s="87"/>
      <c r="J2123" s="87">
        <f>H2123*I2123</f>
        <v>0</v>
      </c>
      <c r="K2123" s="87"/>
      <c r="L2123" s="87">
        <f>J2123*K2123</f>
        <v>0</v>
      </c>
    </row>
    <row r="2124" spans="1:12" ht="12" customHeight="1" x14ac:dyDescent="0.35">
      <c r="B2124" s="84"/>
      <c r="C2124" s="85"/>
      <c r="D2124" s="84"/>
      <c r="E2124" s="84"/>
      <c r="F2124" s="128"/>
      <c r="G2124" s="87"/>
      <c r="H2124" s="87">
        <f>F2124*G2124</f>
        <v>0</v>
      </c>
      <c r="I2124" s="87"/>
      <c r="J2124" s="87"/>
      <c r="K2124" s="87"/>
      <c r="L2124" s="87"/>
    </row>
    <row r="2125" spans="1:12" ht="12" customHeight="1" x14ac:dyDescent="0.35">
      <c r="B2125" s="84"/>
      <c r="C2125" s="88"/>
      <c r="D2125" s="79"/>
      <c r="E2125" s="79"/>
      <c r="F2125" s="89" t="s">
        <v>425</v>
      </c>
      <c r="G2125" s="101"/>
      <c r="H2125" s="87">
        <f>SUM(H2123:H2124)</f>
        <v>0</v>
      </c>
      <c r="I2125" s="101"/>
      <c r="J2125" s="87">
        <f>SUM(J2123)</f>
        <v>0</v>
      </c>
      <c r="K2125" s="101"/>
      <c r="L2125" s="87">
        <f>SUM(L2123)</f>
        <v>0</v>
      </c>
    </row>
    <row r="2126" spans="1:12" ht="12" customHeight="1" x14ac:dyDescent="0.35">
      <c r="B2126" s="84" t="s">
        <v>8</v>
      </c>
      <c r="C2126" s="103" t="s">
        <v>426</v>
      </c>
      <c r="D2126" s="104"/>
      <c r="E2126" s="104"/>
      <c r="F2126" s="104"/>
      <c r="G2126" s="105"/>
      <c r="H2126" s="87">
        <f>H2115+H2121+H2125</f>
        <v>55639.455999999998</v>
      </c>
      <c r="I2126" s="105"/>
      <c r="J2126" s="87" t="e">
        <f>J2115+J2121+J2125</f>
        <v>#REF!</v>
      </c>
      <c r="K2126" s="105"/>
      <c r="L2126" s="87" t="e">
        <f>L2115+L2121+L2125</f>
        <v>#REF!</v>
      </c>
    </row>
    <row r="2127" spans="1:12" ht="12" customHeight="1" x14ac:dyDescent="0.35">
      <c r="B2127" s="84" t="s">
        <v>9</v>
      </c>
      <c r="C2127" s="455" t="s">
        <v>427</v>
      </c>
      <c r="D2127" s="455"/>
      <c r="E2127" s="455"/>
      <c r="F2127" s="95">
        <f>0</f>
        <v>0</v>
      </c>
      <c r="G2127" s="85" t="s">
        <v>428</v>
      </c>
      <c r="H2127" s="87">
        <f>H2126*F2127</f>
        <v>0</v>
      </c>
      <c r="I2127" s="85" t="s">
        <v>428</v>
      </c>
      <c r="J2127" s="87" t="e">
        <f>J2126*F2127</f>
        <v>#REF!</v>
      </c>
      <c r="K2127" s="85" t="s">
        <v>428</v>
      </c>
      <c r="L2127" s="87" t="e">
        <f>L2126*F2127</f>
        <v>#REF!</v>
      </c>
    </row>
    <row r="2128" spans="1:12" ht="12" customHeight="1" x14ac:dyDescent="0.35">
      <c r="B2128" s="84" t="s">
        <v>10</v>
      </c>
      <c r="C2128" s="103" t="s">
        <v>429</v>
      </c>
      <c r="D2128" s="104"/>
      <c r="E2128" s="104"/>
      <c r="F2128" s="104"/>
      <c r="G2128" s="105"/>
      <c r="H2128" s="96">
        <f>H2126+H2127</f>
        <v>55639.455999999998</v>
      </c>
      <c r="I2128" s="97"/>
      <c r="J2128" s="96" t="e">
        <f>J2126+J2127</f>
        <v>#REF!</v>
      </c>
      <c r="K2128" s="97"/>
      <c r="L2128" s="96" t="e">
        <f>L2126+L2127</f>
        <v>#REF!</v>
      </c>
    </row>
    <row r="2130" spans="1:12" ht="37" customHeight="1" x14ac:dyDescent="0.35">
      <c r="B2130" s="76" t="s">
        <v>677</v>
      </c>
      <c r="C2130" s="458" t="s">
        <v>676</v>
      </c>
      <c r="D2130" s="459"/>
      <c r="E2130" s="459"/>
      <c r="F2130" s="459"/>
      <c r="G2130" s="456"/>
      <c r="H2130" s="457"/>
      <c r="I2130" s="455" t="s">
        <v>3</v>
      </c>
      <c r="J2130" s="455"/>
      <c r="K2130" s="455" t="s">
        <v>4</v>
      </c>
      <c r="L2130" s="455"/>
    </row>
    <row r="2131" spans="1:12" ht="12" customHeight="1" x14ac:dyDescent="0.35">
      <c r="B2131" s="451" t="s">
        <v>409</v>
      </c>
      <c r="C2131" s="451" t="s">
        <v>410</v>
      </c>
      <c r="D2131" s="452" t="s">
        <v>411</v>
      </c>
      <c r="E2131" s="451" t="s">
        <v>412</v>
      </c>
      <c r="F2131" s="451" t="s">
        <v>413</v>
      </c>
      <c r="G2131" s="77" t="s">
        <v>414</v>
      </c>
      <c r="H2131" s="77" t="s">
        <v>415</v>
      </c>
      <c r="I2131" s="78" t="s">
        <v>414</v>
      </c>
      <c r="J2131" s="79" t="s">
        <v>415</v>
      </c>
      <c r="K2131" s="79" t="s">
        <v>414</v>
      </c>
      <c r="L2131" s="79" t="s">
        <v>415</v>
      </c>
    </row>
    <row r="2132" spans="1:12" ht="12" customHeight="1" x14ac:dyDescent="0.35">
      <c r="B2132" s="451"/>
      <c r="C2132" s="451"/>
      <c r="D2132" s="453"/>
      <c r="E2132" s="451"/>
      <c r="F2132" s="451"/>
      <c r="G2132" s="77" t="s">
        <v>17</v>
      </c>
      <c r="H2132" s="77" t="s">
        <v>416</v>
      </c>
      <c r="I2132" s="78" t="s">
        <v>17</v>
      </c>
      <c r="J2132" s="79" t="s">
        <v>416</v>
      </c>
      <c r="K2132" s="79" t="s">
        <v>17</v>
      </c>
      <c r="L2132" s="79" t="s">
        <v>416</v>
      </c>
    </row>
    <row r="2133" spans="1:12" ht="12" customHeight="1" x14ac:dyDescent="0.35">
      <c r="B2133" s="451"/>
      <c r="C2133" s="451"/>
      <c r="D2133" s="454"/>
      <c r="E2133" s="451"/>
      <c r="F2133" s="451"/>
      <c r="G2133" s="106"/>
      <c r="H2133" s="77" t="s">
        <v>17</v>
      </c>
      <c r="I2133" s="94"/>
      <c r="J2133" s="79" t="s">
        <v>17</v>
      </c>
      <c r="K2133" s="85"/>
      <c r="L2133" s="79" t="s">
        <v>17</v>
      </c>
    </row>
    <row r="2134" spans="1:12" ht="12" customHeight="1" x14ac:dyDescent="0.35">
      <c r="B2134" s="80" t="s">
        <v>5</v>
      </c>
      <c r="C2134" s="81" t="s">
        <v>417</v>
      </c>
      <c r="D2134" s="82"/>
      <c r="E2134" s="82"/>
      <c r="F2134" s="82"/>
      <c r="G2134" s="82"/>
      <c r="H2134" s="82"/>
      <c r="I2134" s="83"/>
      <c r="J2134" s="83"/>
      <c r="K2134" s="83"/>
      <c r="L2134" s="83"/>
    </row>
    <row r="2135" spans="1:12" ht="12" customHeight="1" x14ac:dyDescent="0.35">
      <c r="A2135" s="134">
        <v>10130000</v>
      </c>
      <c r="B2135" s="84"/>
      <c r="C2135" s="85" t="s">
        <v>28</v>
      </c>
      <c r="D2135" s="84" t="s">
        <v>418</v>
      </c>
      <c r="E2135" s="84" t="str">
        <f>VLOOKUP(C2135,HSD!B:K,2,FALSE)</f>
        <v>OH</v>
      </c>
      <c r="F2135" s="128">
        <v>0.1</v>
      </c>
      <c r="G2135" s="87">
        <f>VLOOKUP(C2135,HSD!B:K,10,FALSE)</f>
        <v>120000</v>
      </c>
      <c r="H2135" s="87">
        <f>F2135*G2135</f>
        <v>12000</v>
      </c>
      <c r="I2135" s="87">
        <v>91500</v>
      </c>
      <c r="J2135" s="87">
        <f>F2135*I2135</f>
        <v>9150</v>
      </c>
      <c r="K2135" s="87">
        <v>91500</v>
      </c>
      <c r="L2135" s="87">
        <f>F2135*K2135</f>
        <v>9150</v>
      </c>
    </row>
    <row r="2136" spans="1:12" ht="12" customHeight="1" x14ac:dyDescent="0.35">
      <c r="A2136" s="134">
        <v>10143000</v>
      </c>
      <c r="B2136" s="84"/>
      <c r="C2136" s="85" t="s">
        <v>435</v>
      </c>
      <c r="D2136" s="84" t="s">
        <v>418</v>
      </c>
      <c r="E2136" s="84" t="str">
        <f>VLOOKUP(C2136,HSD!B:K,2,FALSE)</f>
        <v>OH</v>
      </c>
      <c r="F2136" s="128">
        <v>0.1</v>
      </c>
      <c r="G2136" s="87">
        <f>VLOOKUP(C2136,HSD!B:K,10,FALSE)</f>
        <v>250000</v>
      </c>
      <c r="H2136" s="87">
        <f>F2136*G2136</f>
        <v>25000</v>
      </c>
      <c r="I2136" s="87"/>
      <c r="J2136" s="87"/>
      <c r="K2136" s="87"/>
      <c r="L2136" s="87"/>
    </row>
    <row r="2137" spans="1:12" ht="12" customHeight="1" x14ac:dyDescent="0.35">
      <c r="A2137" s="134">
        <v>10120000</v>
      </c>
      <c r="B2137" s="84"/>
      <c r="C2137" s="85" t="s">
        <v>27</v>
      </c>
      <c r="D2137" s="84" t="s">
        <v>418</v>
      </c>
      <c r="E2137" s="84" t="str">
        <f>VLOOKUP(C2137,HSD!B:K,2,FALSE)</f>
        <v>OH</v>
      </c>
      <c r="F2137" s="128">
        <f>F2135/10</f>
        <v>0.01</v>
      </c>
      <c r="G2137" s="87">
        <f>VLOOKUP(C2137,HSD!B:K,10,FALSE)</f>
        <v>150000</v>
      </c>
      <c r="H2137" s="87">
        <f>F2137*G2137</f>
        <v>1500</v>
      </c>
      <c r="I2137" s="87">
        <v>78600</v>
      </c>
      <c r="J2137" s="87">
        <f>F2137*I2137</f>
        <v>786</v>
      </c>
      <c r="K2137" s="87">
        <v>78600</v>
      </c>
      <c r="L2137" s="87">
        <f>F2137*K2137</f>
        <v>786</v>
      </c>
    </row>
    <row r="2138" spans="1:12" ht="12" customHeight="1" x14ac:dyDescent="0.35">
      <c r="A2138" s="134">
        <v>10110000</v>
      </c>
      <c r="B2138" s="84"/>
      <c r="C2138" s="85" t="s">
        <v>30</v>
      </c>
      <c r="D2138" s="84" t="s">
        <v>418</v>
      </c>
      <c r="E2138" s="84" t="str">
        <f>VLOOKUP(C2138,HSD!B:K,2,FALSE)</f>
        <v>OH</v>
      </c>
      <c r="F2138" s="128">
        <f>F2136/10</f>
        <v>0.01</v>
      </c>
      <c r="G2138" s="87">
        <f>VLOOKUP(C2138,HSD!B:K,10,FALSE)</f>
        <v>150000</v>
      </c>
      <c r="H2138" s="87">
        <f>F2138*G2138</f>
        <v>1500</v>
      </c>
      <c r="I2138" s="87">
        <v>92500</v>
      </c>
      <c r="J2138" s="87">
        <f>F2138*I2138</f>
        <v>925</v>
      </c>
      <c r="K2138" s="87">
        <v>92500</v>
      </c>
      <c r="L2138" s="87">
        <f>F2138*K2138</f>
        <v>925</v>
      </c>
    </row>
    <row r="2139" spans="1:12" ht="12" customHeight="1" x14ac:dyDescent="0.35">
      <c r="B2139" s="84"/>
      <c r="C2139" s="85"/>
      <c r="D2139" s="84"/>
      <c r="E2139" s="84"/>
      <c r="F2139" s="86"/>
      <c r="G2139" s="87"/>
      <c r="H2139" s="87"/>
      <c r="I2139" s="87"/>
      <c r="J2139" s="87"/>
      <c r="K2139" s="87"/>
      <c r="L2139" s="87"/>
    </row>
    <row r="2140" spans="1:12" ht="12" customHeight="1" x14ac:dyDescent="0.35">
      <c r="B2140" s="84"/>
      <c r="C2140" s="88"/>
      <c r="D2140" s="79"/>
      <c r="E2140" s="79"/>
      <c r="F2140" s="89" t="s">
        <v>421</v>
      </c>
      <c r="G2140" s="101"/>
      <c r="H2140" s="87">
        <f>SUM(H2135:H2139)</f>
        <v>40000</v>
      </c>
      <c r="I2140" s="101"/>
      <c r="J2140" s="87">
        <f>SUM(J2137:J2139)</f>
        <v>1711</v>
      </c>
      <c r="K2140" s="101"/>
      <c r="L2140" s="87">
        <f>SUM(L2137:L2139)</f>
        <v>1711</v>
      </c>
    </row>
    <row r="2141" spans="1:12" ht="12" customHeight="1" x14ac:dyDescent="0.35">
      <c r="B2141" s="84" t="s">
        <v>6</v>
      </c>
      <c r="C2141" s="88" t="s">
        <v>422</v>
      </c>
      <c r="D2141" s="79"/>
      <c r="E2141" s="79"/>
      <c r="F2141" s="90"/>
      <c r="G2141" s="84"/>
      <c r="H2141" s="87"/>
      <c r="I2141" s="84"/>
      <c r="J2141" s="87"/>
      <c r="K2141" s="84"/>
      <c r="L2141" s="87"/>
    </row>
    <row r="2142" spans="1:12" ht="12" customHeight="1" x14ac:dyDescent="0.35">
      <c r="A2142" s="134">
        <v>211100113</v>
      </c>
      <c r="B2142" s="84"/>
      <c r="C2142" s="85" t="s">
        <v>49</v>
      </c>
      <c r="D2142" s="84" t="s">
        <v>418</v>
      </c>
      <c r="E2142" s="84" t="str">
        <f>VLOOKUP(C2142,HSD!B:K,2,FALSE)</f>
        <v>m3</v>
      </c>
      <c r="F2142" s="128">
        <v>1.67E-2</v>
      </c>
      <c r="G2142" s="87">
        <f>VLOOKUP(C2142,HSD!B:K,10,FALSE)</f>
        <v>230880</v>
      </c>
      <c r="H2142" s="87">
        <f>F2142*G2142</f>
        <v>3855.6959999999999</v>
      </c>
      <c r="I2142" s="87">
        <v>232500</v>
      </c>
      <c r="J2142" s="87">
        <f>F2142*I2142</f>
        <v>3882.75</v>
      </c>
      <c r="K2142" s="87">
        <v>270000</v>
      </c>
      <c r="L2142" s="87">
        <f>F2142*K2142</f>
        <v>4509</v>
      </c>
    </row>
    <row r="2143" spans="1:12" ht="12" customHeight="1" x14ac:dyDescent="0.35">
      <c r="A2143" s="134">
        <v>21301000</v>
      </c>
      <c r="B2143" s="84"/>
      <c r="C2143" s="85" t="s">
        <v>60</v>
      </c>
      <c r="D2143" s="84" t="s">
        <v>418</v>
      </c>
      <c r="E2143" s="84" t="str">
        <f>VLOOKUP(C2143,HSD!B:K,2,FALSE)</f>
        <v>kg</v>
      </c>
      <c r="F2143" s="128">
        <v>4.16</v>
      </c>
      <c r="G2143" s="87">
        <f>VLOOKUP(C2143,HSD!B:K,10,FALSE)</f>
        <v>2331</v>
      </c>
      <c r="H2143" s="87">
        <f>F2143*G2143</f>
        <v>9696.9600000000009</v>
      </c>
      <c r="I2143" s="87">
        <v>1060</v>
      </c>
      <c r="J2143" s="87">
        <f>F2143*I2143</f>
        <v>4409.6000000000004</v>
      </c>
      <c r="K2143" s="87">
        <v>1060</v>
      </c>
      <c r="L2143" s="87">
        <f>F2143*K2143</f>
        <v>4409.6000000000004</v>
      </c>
    </row>
    <row r="2144" spans="1:12" ht="12" customHeight="1" x14ac:dyDescent="0.35">
      <c r="B2144" s="84"/>
      <c r="C2144" s="85"/>
      <c r="D2144" s="84"/>
      <c r="E2144" s="84"/>
      <c r="F2144" s="128"/>
      <c r="G2144" s="87"/>
      <c r="H2144" s="87">
        <f>F2144*G2144</f>
        <v>0</v>
      </c>
      <c r="I2144" s="87">
        <v>215000</v>
      </c>
      <c r="J2144" s="87">
        <f>F2144*I2144</f>
        <v>0</v>
      </c>
      <c r="K2144" s="87">
        <v>250000</v>
      </c>
      <c r="L2144" s="87">
        <f>F2144*K2144</f>
        <v>0</v>
      </c>
    </row>
    <row r="2145" spans="1:12" ht="12" customHeight="1" x14ac:dyDescent="0.35">
      <c r="B2145" s="84"/>
      <c r="C2145" s="85"/>
      <c r="D2145" s="84"/>
      <c r="E2145" s="84"/>
      <c r="F2145" s="128"/>
      <c r="G2145" s="87"/>
      <c r="H2145" s="87"/>
      <c r="I2145" s="87"/>
      <c r="J2145" s="87"/>
      <c r="K2145" s="87"/>
      <c r="L2145" s="87"/>
    </row>
    <row r="2146" spans="1:12" ht="12" customHeight="1" x14ac:dyDescent="0.35">
      <c r="B2146" s="84"/>
      <c r="C2146" s="88"/>
      <c r="D2146" s="79"/>
      <c r="E2146" s="79"/>
      <c r="F2146" s="129" t="s">
        <v>423</v>
      </c>
      <c r="G2146" s="129"/>
      <c r="H2146" s="87">
        <f>SUM(H2142:H2145)</f>
        <v>13552.656000000001</v>
      </c>
      <c r="I2146" s="101"/>
      <c r="J2146" s="87" t="e">
        <f>SUM(#REF!)</f>
        <v>#REF!</v>
      </c>
      <c r="K2146" s="101"/>
      <c r="L2146" s="87" t="e">
        <f>SUM(#REF!)</f>
        <v>#REF!</v>
      </c>
    </row>
    <row r="2147" spans="1:12" ht="12" customHeight="1" x14ac:dyDescent="0.35">
      <c r="B2147" s="84" t="s">
        <v>7</v>
      </c>
      <c r="C2147" s="88" t="s">
        <v>424</v>
      </c>
      <c r="D2147" s="79"/>
      <c r="E2147" s="79"/>
      <c r="F2147" s="90"/>
      <c r="G2147" s="84"/>
      <c r="H2147" s="87"/>
      <c r="I2147" s="84"/>
      <c r="J2147" s="87"/>
      <c r="K2147" s="84"/>
      <c r="L2147" s="87"/>
    </row>
    <row r="2148" spans="1:12" ht="12" customHeight="1" x14ac:dyDescent="0.35">
      <c r="B2148" s="84"/>
      <c r="C2148" s="85"/>
      <c r="D2148" s="84"/>
      <c r="E2148" s="84"/>
      <c r="F2148" s="128"/>
      <c r="G2148" s="87"/>
      <c r="H2148" s="87">
        <f>F2148*G2148</f>
        <v>0</v>
      </c>
      <c r="I2148" s="87"/>
      <c r="J2148" s="87">
        <f>H2148*I2148</f>
        <v>0</v>
      </c>
      <c r="K2148" s="87"/>
      <c r="L2148" s="87">
        <f>J2148*K2148</f>
        <v>0</v>
      </c>
    </row>
    <row r="2149" spans="1:12" ht="12" customHeight="1" x14ac:dyDescent="0.35">
      <c r="B2149" s="84"/>
      <c r="C2149" s="85"/>
      <c r="D2149" s="84"/>
      <c r="E2149" s="84"/>
      <c r="F2149" s="128"/>
      <c r="G2149" s="87"/>
      <c r="H2149" s="87">
        <f>F2149*G2149</f>
        <v>0</v>
      </c>
      <c r="I2149" s="87"/>
      <c r="J2149" s="87"/>
      <c r="K2149" s="87"/>
      <c r="L2149" s="87"/>
    </row>
    <row r="2150" spans="1:12" ht="12" customHeight="1" x14ac:dyDescent="0.35">
      <c r="B2150" s="84"/>
      <c r="C2150" s="88"/>
      <c r="D2150" s="79"/>
      <c r="E2150" s="79"/>
      <c r="F2150" s="89" t="s">
        <v>425</v>
      </c>
      <c r="G2150" s="101"/>
      <c r="H2150" s="87">
        <f>SUM(H2148:H2149)</f>
        <v>0</v>
      </c>
      <c r="I2150" s="101"/>
      <c r="J2150" s="87">
        <f>SUM(J2148)</f>
        <v>0</v>
      </c>
      <c r="K2150" s="101"/>
      <c r="L2150" s="87">
        <f>SUM(L2148)</f>
        <v>0</v>
      </c>
    </row>
    <row r="2151" spans="1:12" ht="12" customHeight="1" x14ac:dyDescent="0.35">
      <c r="B2151" s="84" t="s">
        <v>8</v>
      </c>
      <c r="C2151" s="103" t="s">
        <v>426</v>
      </c>
      <c r="D2151" s="104"/>
      <c r="E2151" s="104"/>
      <c r="F2151" s="104"/>
      <c r="G2151" s="105"/>
      <c r="H2151" s="87">
        <f>H2140+H2146+H2150</f>
        <v>53552.656000000003</v>
      </c>
      <c r="I2151" s="105"/>
      <c r="J2151" s="87" t="e">
        <f>J2140+J2146+J2150</f>
        <v>#REF!</v>
      </c>
      <c r="K2151" s="105"/>
      <c r="L2151" s="87" t="e">
        <f>L2140+L2146+L2150</f>
        <v>#REF!</v>
      </c>
    </row>
    <row r="2152" spans="1:12" ht="12" customHeight="1" x14ac:dyDescent="0.35">
      <c r="B2152" s="84" t="s">
        <v>9</v>
      </c>
      <c r="C2152" s="455" t="s">
        <v>427</v>
      </c>
      <c r="D2152" s="455"/>
      <c r="E2152" s="455"/>
      <c r="F2152" s="95">
        <f>0</f>
        <v>0</v>
      </c>
      <c r="G2152" s="85" t="s">
        <v>428</v>
      </c>
      <c r="H2152" s="87">
        <f>H2151*F2152</f>
        <v>0</v>
      </c>
      <c r="I2152" s="85" t="s">
        <v>428</v>
      </c>
      <c r="J2152" s="87" t="e">
        <f>J2151*F2152</f>
        <v>#REF!</v>
      </c>
      <c r="K2152" s="85" t="s">
        <v>428</v>
      </c>
      <c r="L2152" s="87" t="e">
        <f>L2151*F2152</f>
        <v>#REF!</v>
      </c>
    </row>
    <row r="2153" spans="1:12" ht="12" customHeight="1" x14ac:dyDescent="0.35">
      <c r="B2153" s="84" t="s">
        <v>10</v>
      </c>
      <c r="C2153" s="103" t="s">
        <v>429</v>
      </c>
      <c r="D2153" s="104"/>
      <c r="E2153" s="104"/>
      <c r="F2153" s="104"/>
      <c r="G2153" s="105"/>
      <c r="H2153" s="96">
        <f>H2151+H2152</f>
        <v>53552.656000000003</v>
      </c>
      <c r="I2153" s="97"/>
      <c r="J2153" s="96" t="e">
        <f>J2151+J2152</f>
        <v>#REF!</v>
      </c>
      <c r="K2153" s="97"/>
      <c r="L2153" s="96" t="e">
        <f>L2151+L2152</f>
        <v>#REF!</v>
      </c>
    </row>
    <row r="2155" spans="1:12" ht="37" customHeight="1" x14ac:dyDescent="0.35">
      <c r="B2155" s="76" t="s">
        <v>678</v>
      </c>
      <c r="C2155" s="458" t="s">
        <v>679</v>
      </c>
      <c r="D2155" s="459"/>
      <c r="E2155" s="459"/>
      <c r="F2155" s="459"/>
      <c r="G2155" s="456"/>
      <c r="H2155" s="457"/>
      <c r="I2155" s="455" t="s">
        <v>3</v>
      </c>
      <c r="J2155" s="455"/>
      <c r="K2155" s="455" t="s">
        <v>4</v>
      </c>
      <c r="L2155" s="455"/>
    </row>
    <row r="2156" spans="1:12" ht="12" customHeight="1" x14ac:dyDescent="0.35">
      <c r="B2156" s="451" t="s">
        <v>409</v>
      </c>
      <c r="C2156" s="451" t="s">
        <v>410</v>
      </c>
      <c r="D2156" s="452" t="s">
        <v>411</v>
      </c>
      <c r="E2156" s="451" t="s">
        <v>412</v>
      </c>
      <c r="F2156" s="451" t="s">
        <v>413</v>
      </c>
      <c r="G2156" s="77" t="s">
        <v>414</v>
      </c>
      <c r="H2156" s="77" t="s">
        <v>415</v>
      </c>
      <c r="I2156" s="78" t="s">
        <v>414</v>
      </c>
      <c r="J2156" s="79" t="s">
        <v>415</v>
      </c>
      <c r="K2156" s="79" t="s">
        <v>414</v>
      </c>
      <c r="L2156" s="79" t="s">
        <v>415</v>
      </c>
    </row>
    <row r="2157" spans="1:12" ht="12" customHeight="1" x14ac:dyDescent="0.35">
      <c r="B2157" s="451"/>
      <c r="C2157" s="451"/>
      <c r="D2157" s="453"/>
      <c r="E2157" s="451"/>
      <c r="F2157" s="451"/>
      <c r="G2157" s="77" t="s">
        <v>17</v>
      </c>
      <c r="H2157" s="77" t="s">
        <v>416</v>
      </c>
      <c r="I2157" s="78" t="s">
        <v>17</v>
      </c>
      <c r="J2157" s="79" t="s">
        <v>416</v>
      </c>
      <c r="K2157" s="79" t="s">
        <v>17</v>
      </c>
      <c r="L2157" s="79" t="s">
        <v>416</v>
      </c>
    </row>
    <row r="2158" spans="1:12" ht="12" customHeight="1" x14ac:dyDescent="0.35">
      <c r="B2158" s="451"/>
      <c r="C2158" s="451"/>
      <c r="D2158" s="454"/>
      <c r="E2158" s="451"/>
      <c r="F2158" s="451"/>
      <c r="G2158" s="106"/>
      <c r="H2158" s="77" t="s">
        <v>17</v>
      </c>
      <c r="I2158" s="94"/>
      <c r="J2158" s="79" t="s">
        <v>17</v>
      </c>
      <c r="K2158" s="85"/>
      <c r="L2158" s="79" t="s">
        <v>17</v>
      </c>
    </row>
    <row r="2159" spans="1:12" ht="12" customHeight="1" x14ac:dyDescent="0.35">
      <c r="B2159" s="80" t="s">
        <v>5</v>
      </c>
      <c r="C2159" s="81" t="s">
        <v>417</v>
      </c>
      <c r="D2159" s="82"/>
      <c r="E2159" s="82"/>
      <c r="F2159" s="82"/>
      <c r="G2159" s="82"/>
      <c r="H2159" s="82"/>
      <c r="I2159" s="83"/>
      <c r="J2159" s="83"/>
      <c r="K2159" s="83"/>
      <c r="L2159" s="83"/>
    </row>
    <row r="2160" spans="1:12" ht="12" customHeight="1" x14ac:dyDescent="0.35">
      <c r="A2160" s="134">
        <v>10130000</v>
      </c>
      <c r="B2160" s="84"/>
      <c r="C2160" s="85" t="s">
        <v>28</v>
      </c>
      <c r="D2160" s="84" t="s">
        <v>418</v>
      </c>
      <c r="E2160" s="84" t="str">
        <f>VLOOKUP(C2160,HSD!B:K,2,FALSE)</f>
        <v>OH</v>
      </c>
      <c r="F2160" s="128">
        <v>0.13</v>
      </c>
      <c r="G2160" s="87">
        <f>VLOOKUP(C2160,HSD!B:K,10,FALSE)</f>
        <v>120000</v>
      </c>
      <c r="H2160" s="87">
        <f>F2160*G2160</f>
        <v>15600</v>
      </c>
      <c r="I2160" s="87">
        <v>91500</v>
      </c>
      <c r="J2160" s="87">
        <f>F2160*I2160</f>
        <v>11895</v>
      </c>
      <c r="K2160" s="87">
        <v>91500</v>
      </c>
      <c r="L2160" s="87">
        <f>F2160*K2160</f>
        <v>11895</v>
      </c>
    </row>
    <row r="2161" spans="1:12" ht="12" customHeight="1" x14ac:dyDescent="0.35">
      <c r="A2161" s="134">
        <v>10143000</v>
      </c>
      <c r="B2161" s="84"/>
      <c r="C2161" s="85" t="s">
        <v>435</v>
      </c>
      <c r="D2161" s="84" t="s">
        <v>418</v>
      </c>
      <c r="E2161" s="84" t="str">
        <f>VLOOKUP(C2161,HSD!B:K,2,FALSE)</f>
        <v>OH</v>
      </c>
      <c r="F2161" s="128">
        <v>0.13</v>
      </c>
      <c r="G2161" s="87">
        <f>VLOOKUP(C2161,HSD!B:K,10,FALSE)</f>
        <v>250000</v>
      </c>
      <c r="H2161" s="87">
        <f>F2161*G2161</f>
        <v>32500</v>
      </c>
      <c r="I2161" s="87"/>
      <c r="J2161" s="87"/>
      <c r="K2161" s="87"/>
      <c r="L2161" s="87"/>
    </row>
    <row r="2162" spans="1:12" ht="12" customHeight="1" x14ac:dyDescent="0.35">
      <c r="A2162" s="134">
        <v>10120000</v>
      </c>
      <c r="B2162" s="84"/>
      <c r="C2162" s="85" t="s">
        <v>27</v>
      </c>
      <c r="D2162" s="84" t="s">
        <v>418</v>
      </c>
      <c r="E2162" s="84" t="str">
        <f>VLOOKUP(C2162,HSD!B:K,2,FALSE)</f>
        <v>OH</v>
      </c>
      <c r="F2162" s="128">
        <f>F2160/10</f>
        <v>1.3000000000000001E-2</v>
      </c>
      <c r="G2162" s="87">
        <f>VLOOKUP(C2162,HSD!B:K,10,FALSE)</f>
        <v>150000</v>
      </c>
      <c r="H2162" s="87">
        <f>F2162*G2162</f>
        <v>1950.0000000000002</v>
      </c>
      <c r="I2162" s="87">
        <v>78600</v>
      </c>
      <c r="J2162" s="87">
        <f>F2162*I2162</f>
        <v>1021.8000000000001</v>
      </c>
      <c r="K2162" s="87">
        <v>78600</v>
      </c>
      <c r="L2162" s="87">
        <f>F2162*K2162</f>
        <v>1021.8000000000001</v>
      </c>
    </row>
    <row r="2163" spans="1:12" ht="12" customHeight="1" x14ac:dyDescent="0.35">
      <c r="A2163" s="134">
        <v>10110000</v>
      </c>
      <c r="B2163" s="84"/>
      <c r="C2163" s="85" t="s">
        <v>30</v>
      </c>
      <c r="D2163" s="84" t="s">
        <v>418</v>
      </c>
      <c r="E2163" s="84" t="str">
        <f>VLOOKUP(C2163,HSD!B:K,2,FALSE)</f>
        <v>OH</v>
      </c>
      <c r="F2163" s="128">
        <f>F2161/10</f>
        <v>1.3000000000000001E-2</v>
      </c>
      <c r="G2163" s="87">
        <f>VLOOKUP(C2163,HSD!B:K,10,FALSE)</f>
        <v>150000</v>
      </c>
      <c r="H2163" s="87">
        <f>F2163*G2163</f>
        <v>1950.0000000000002</v>
      </c>
      <c r="I2163" s="87">
        <v>92500</v>
      </c>
      <c r="J2163" s="87">
        <f>F2163*I2163</f>
        <v>1202.5</v>
      </c>
      <c r="K2163" s="87">
        <v>92500</v>
      </c>
      <c r="L2163" s="87">
        <f>F2163*K2163</f>
        <v>1202.5</v>
      </c>
    </row>
    <row r="2164" spans="1:12" ht="12" customHeight="1" x14ac:dyDescent="0.35">
      <c r="B2164" s="84"/>
      <c r="C2164" s="85"/>
      <c r="D2164" s="84"/>
      <c r="E2164" s="84"/>
      <c r="F2164" s="86"/>
      <c r="G2164" s="87"/>
      <c r="H2164" s="87"/>
      <c r="I2164" s="87"/>
      <c r="J2164" s="87"/>
      <c r="K2164" s="87"/>
      <c r="L2164" s="87"/>
    </row>
    <row r="2165" spans="1:12" ht="12" customHeight="1" x14ac:dyDescent="0.35">
      <c r="B2165" s="84"/>
      <c r="C2165" s="88"/>
      <c r="D2165" s="79"/>
      <c r="E2165" s="79"/>
      <c r="F2165" s="89" t="s">
        <v>421</v>
      </c>
      <c r="G2165" s="101"/>
      <c r="H2165" s="87">
        <f>SUM(H2160:H2164)</f>
        <v>52000</v>
      </c>
      <c r="I2165" s="101"/>
      <c r="J2165" s="87">
        <f>SUM(J2162:J2164)</f>
        <v>2224.3000000000002</v>
      </c>
      <c r="K2165" s="101"/>
      <c r="L2165" s="87">
        <f>SUM(L2162:L2164)</f>
        <v>2224.3000000000002</v>
      </c>
    </row>
    <row r="2166" spans="1:12" ht="12" customHeight="1" x14ac:dyDescent="0.35">
      <c r="B2166" s="84" t="s">
        <v>6</v>
      </c>
      <c r="C2166" s="88" t="s">
        <v>422</v>
      </c>
      <c r="D2166" s="79"/>
      <c r="E2166" s="79"/>
      <c r="F2166" s="90"/>
      <c r="G2166" s="84"/>
      <c r="H2166" s="87"/>
      <c r="I2166" s="84"/>
      <c r="J2166" s="87"/>
      <c r="K2166" s="84"/>
      <c r="L2166" s="87"/>
    </row>
    <row r="2167" spans="1:12" ht="12" customHeight="1" x14ac:dyDescent="0.35">
      <c r="A2167" s="134">
        <v>211100113</v>
      </c>
      <c r="B2167" s="84"/>
      <c r="C2167" s="85" t="s">
        <v>49</v>
      </c>
      <c r="D2167" s="84" t="s">
        <v>418</v>
      </c>
      <c r="E2167" s="84" t="str">
        <f>VLOOKUP(C2167,HSD!B:K,2,FALSE)</f>
        <v>m3</v>
      </c>
      <c r="F2167" s="128">
        <v>0.02</v>
      </c>
      <c r="G2167" s="87">
        <f>VLOOKUP(C2167,HSD!B:K,10,FALSE)</f>
        <v>230880</v>
      </c>
      <c r="H2167" s="87">
        <f>F2167*G2167</f>
        <v>4617.6000000000004</v>
      </c>
      <c r="I2167" s="87">
        <v>232500</v>
      </c>
      <c r="J2167" s="87">
        <f>F2167*I2167</f>
        <v>4650</v>
      </c>
      <c r="K2167" s="87">
        <v>270000</v>
      </c>
      <c r="L2167" s="87">
        <f>F2167*K2167</f>
        <v>5400</v>
      </c>
    </row>
    <row r="2168" spans="1:12" ht="12" customHeight="1" x14ac:dyDescent="0.35">
      <c r="A2168" s="134">
        <v>21301000</v>
      </c>
      <c r="B2168" s="84"/>
      <c r="C2168" s="85" t="s">
        <v>60</v>
      </c>
      <c r="D2168" s="84" t="s">
        <v>418</v>
      </c>
      <c r="E2168" s="84" t="str">
        <f>VLOOKUP(C2168,HSD!B:K,2,FALSE)</f>
        <v>kg</v>
      </c>
      <c r="F2168" s="128">
        <v>10.224</v>
      </c>
      <c r="G2168" s="87">
        <f>VLOOKUP(C2168,HSD!B:K,10,FALSE)</f>
        <v>2331</v>
      </c>
      <c r="H2168" s="87">
        <f>F2168*G2168</f>
        <v>23832.144</v>
      </c>
      <c r="I2168" s="87">
        <v>1060</v>
      </c>
      <c r="J2168" s="87">
        <f>F2168*I2168</f>
        <v>10837.44</v>
      </c>
      <c r="K2168" s="87">
        <v>1060</v>
      </c>
      <c r="L2168" s="87">
        <f>F2168*K2168</f>
        <v>10837.44</v>
      </c>
    </row>
    <row r="2169" spans="1:12" ht="12" customHeight="1" x14ac:dyDescent="0.35">
      <c r="B2169" s="84"/>
      <c r="C2169" s="85"/>
      <c r="D2169" s="84"/>
      <c r="E2169" s="84"/>
      <c r="F2169" s="128"/>
      <c r="G2169" s="87"/>
      <c r="H2169" s="87">
        <f>F2169*G2169</f>
        <v>0</v>
      </c>
      <c r="I2169" s="87">
        <v>215000</v>
      </c>
      <c r="J2169" s="87">
        <f>F2169*I2169</f>
        <v>0</v>
      </c>
      <c r="K2169" s="87">
        <v>250000</v>
      </c>
      <c r="L2169" s="87">
        <f>F2169*K2169</f>
        <v>0</v>
      </c>
    </row>
    <row r="2170" spans="1:12" ht="12" customHeight="1" x14ac:dyDescent="0.35">
      <c r="B2170" s="84"/>
      <c r="C2170" s="85"/>
      <c r="D2170" s="84"/>
      <c r="E2170" s="84"/>
      <c r="F2170" s="128"/>
      <c r="G2170" s="87"/>
      <c r="H2170" s="87"/>
      <c r="I2170" s="87"/>
      <c r="J2170" s="87"/>
      <c r="K2170" s="87"/>
      <c r="L2170" s="87"/>
    </row>
    <row r="2171" spans="1:12" ht="12" customHeight="1" x14ac:dyDescent="0.35">
      <c r="B2171" s="84"/>
      <c r="C2171" s="88"/>
      <c r="D2171" s="79"/>
      <c r="E2171" s="79"/>
      <c r="F2171" s="129" t="s">
        <v>423</v>
      </c>
      <c r="G2171" s="129"/>
      <c r="H2171" s="87">
        <f>SUM(H2167:H2170)</f>
        <v>28449.743999999999</v>
      </c>
      <c r="I2171" s="101"/>
      <c r="J2171" s="87" t="e">
        <f>SUM(#REF!)</f>
        <v>#REF!</v>
      </c>
      <c r="K2171" s="101"/>
      <c r="L2171" s="87" t="e">
        <f>SUM(#REF!)</f>
        <v>#REF!</v>
      </c>
    </row>
    <row r="2172" spans="1:12" ht="12" customHeight="1" x14ac:dyDescent="0.35">
      <c r="B2172" s="84" t="s">
        <v>7</v>
      </c>
      <c r="C2172" s="88" t="s">
        <v>424</v>
      </c>
      <c r="D2172" s="79"/>
      <c r="E2172" s="79"/>
      <c r="F2172" s="90"/>
      <c r="G2172" s="84"/>
      <c r="H2172" s="87"/>
      <c r="I2172" s="84"/>
      <c r="J2172" s="87"/>
      <c r="K2172" s="84"/>
      <c r="L2172" s="87"/>
    </row>
    <row r="2173" spans="1:12" ht="12" customHeight="1" x14ac:dyDescent="0.35">
      <c r="B2173" s="84"/>
      <c r="C2173" s="85"/>
      <c r="D2173" s="84"/>
      <c r="E2173" s="84"/>
      <c r="F2173" s="128"/>
      <c r="G2173" s="87"/>
      <c r="H2173" s="87">
        <f>F2173*G2173</f>
        <v>0</v>
      </c>
      <c r="I2173" s="87"/>
      <c r="J2173" s="87">
        <f>H2173*I2173</f>
        <v>0</v>
      </c>
      <c r="K2173" s="87"/>
      <c r="L2173" s="87">
        <f>J2173*K2173</f>
        <v>0</v>
      </c>
    </row>
    <row r="2174" spans="1:12" ht="12" customHeight="1" x14ac:dyDescent="0.35">
      <c r="B2174" s="84"/>
      <c r="C2174" s="85"/>
      <c r="D2174" s="84"/>
      <c r="E2174" s="84"/>
      <c r="F2174" s="128"/>
      <c r="G2174" s="87"/>
      <c r="H2174" s="87">
        <f>F2174*G2174</f>
        <v>0</v>
      </c>
      <c r="I2174" s="87"/>
      <c r="J2174" s="87"/>
      <c r="K2174" s="87"/>
      <c r="L2174" s="87"/>
    </row>
    <row r="2175" spans="1:12" ht="12" customHeight="1" x14ac:dyDescent="0.35">
      <c r="B2175" s="84"/>
      <c r="C2175" s="88"/>
      <c r="D2175" s="79"/>
      <c r="E2175" s="79"/>
      <c r="F2175" s="89" t="s">
        <v>425</v>
      </c>
      <c r="G2175" s="101"/>
      <c r="H2175" s="87">
        <f>SUM(H2173:H2174)</f>
        <v>0</v>
      </c>
      <c r="I2175" s="101"/>
      <c r="J2175" s="87">
        <f>SUM(J2173)</f>
        <v>0</v>
      </c>
      <c r="K2175" s="101"/>
      <c r="L2175" s="87">
        <f>SUM(L2173)</f>
        <v>0</v>
      </c>
    </row>
    <row r="2176" spans="1:12" ht="12" customHeight="1" x14ac:dyDescent="0.35">
      <c r="B2176" s="84" t="s">
        <v>8</v>
      </c>
      <c r="C2176" s="103" t="s">
        <v>426</v>
      </c>
      <c r="D2176" s="104"/>
      <c r="E2176" s="104"/>
      <c r="F2176" s="104"/>
      <c r="G2176" s="105"/>
      <c r="H2176" s="87">
        <f>H2165+H2171+H2175</f>
        <v>80449.744000000006</v>
      </c>
      <c r="I2176" s="105"/>
      <c r="J2176" s="87" t="e">
        <f>J2165+J2171+J2175</f>
        <v>#REF!</v>
      </c>
      <c r="K2176" s="105"/>
      <c r="L2176" s="87" t="e">
        <f>L2165+L2171+L2175</f>
        <v>#REF!</v>
      </c>
    </row>
    <row r="2177" spans="1:12" ht="12" customHeight="1" x14ac:dyDescent="0.35">
      <c r="B2177" s="84" t="s">
        <v>9</v>
      </c>
      <c r="C2177" s="455" t="s">
        <v>427</v>
      </c>
      <c r="D2177" s="455"/>
      <c r="E2177" s="455"/>
      <c r="F2177" s="95">
        <f>0</f>
        <v>0</v>
      </c>
      <c r="G2177" s="85" t="s">
        <v>428</v>
      </c>
      <c r="H2177" s="87">
        <f>H2176*F2177</f>
        <v>0</v>
      </c>
      <c r="I2177" s="85" t="s">
        <v>428</v>
      </c>
      <c r="J2177" s="87" t="e">
        <f>J2176*F2177</f>
        <v>#REF!</v>
      </c>
      <c r="K2177" s="85" t="s">
        <v>428</v>
      </c>
      <c r="L2177" s="87" t="e">
        <f>L2176*F2177</f>
        <v>#REF!</v>
      </c>
    </row>
    <row r="2178" spans="1:12" ht="12" customHeight="1" x14ac:dyDescent="0.35">
      <c r="B2178" s="84" t="s">
        <v>10</v>
      </c>
      <c r="C2178" s="103" t="s">
        <v>429</v>
      </c>
      <c r="D2178" s="104"/>
      <c r="E2178" s="104"/>
      <c r="F2178" s="104"/>
      <c r="G2178" s="105"/>
      <c r="H2178" s="96">
        <f>H2176+H2177</f>
        <v>80449.744000000006</v>
      </c>
      <c r="I2178" s="97"/>
      <c r="J2178" s="96" t="e">
        <f>J2176+J2177</f>
        <v>#REF!</v>
      </c>
      <c r="K2178" s="97"/>
      <c r="L2178" s="96" t="e">
        <f>L2176+L2177</f>
        <v>#REF!</v>
      </c>
    </row>
    <row r="2180" spans="1:12" ht="37" customHeight="1" x14ac:dyDescent="0.35">
      <c r="B2180" s="76" t="s">
        <v>680</v>
      </c>
      <c r="C2180" s="458" t="s">
        <v>681</v>
      </c>
      <c r="D2180" s="459"/>
      <c r="E2180" s="459"/>
      <c r="F2180" s="459"/>
      <c r="G2180" s="456"/>
      <c r="H2180" s="457"/>
      <c r="I2180" s="455" t="s">
        <v>3</v>
      </c>
      <c r="J2180" s="455"/>
      <c r="K2180" s="455" t="s">
        <v>4</v>
      </c>
      <c r="L2180" s="455"/>
    </row>
    <row r="2181" spans="1:12" ht="12" customHeight="1" x14ac:dyDescent="0.35">
      <c r="B2181" s="451" t="s">
        <v>409</v>
      </c>
      <c r="C2181" s="451" t="s">
        <v>410</v>
      </c>
      <c r="D2181" s="452" t="s">
        <v>411</v>
      </c>
      <c r="E2181" s="451" t="s">
        <v>412</v>
      </c>
      <c r="F2181" s="451" t="s">
        <v>413</v>
      </c>
      <c r="G2181" s="77" t="s">
        <v>414</v>
      </c>
      <c r="H2181" s="77" t="s">
        <v>415</v>
      </c>
      <c r="I2181" s="78" t="s">
        <v>414</v>
      </c>
      <c r="J2181" s="79" t="s">
        <v>415</v>
      </c>
      <c r="K2181" s="79" t="s">
        <v>414</v>
      </c>
      <c r="L2181" s="79" t="s">
        <v>415</v>
      </c>
    </row>
    <row r="2182" spans="1:12" ht="12" customHeight="1" x14ac:dyDescent="0.35">
      <c r="B2182" s="451"/>
      <c r="C2182" s="451"/>
      <c r="D2182" s="453"/>
      <c r="E2182" s="451"/>
      <c r="F2182" s="451"/>
      <c r="G2182" s="77" t="s">
        <v>17</v>
      </c>
      <c r="H2182" s="77" t="s">
        <v>416</v>
      </c>
      <c r="I2182" s="78" t="s">
        <v>17</v>
      </c>
      <c r="J2182" s="79" t="s">
        <v>416</v>
      </c>
      <c r="K2182" s="79" t="s">
        <v>17</v>
      </c>
      <c r="L2182" s="79" t="s">
        <v>416</v>
      </c>
    </row>
    <row r="2183" spans="1:12" ht="12" customHeight="1" x14ac:dyDescent="0.35">
      <c r="B2183" s="451"/>
      <c r="C2183" s="451"/>
      <c r="D2183" s="454"/>
      <c r="E2183" s="451"/>
      <c r="F2183" s="451"/>
      <c r="G2183" s="106"/>
      <c r="H2183" s="77" t="s">
        <v>17</v>
      </c>
      <c r="I2183" s="94"/>
      <c r="J2183" s="79" t="s">
        <v>17</v>
      </c>
      <c r="K2183" s="85"/>
      <c r="L2183" s="79" t="s">
        <v>17</v>
      </c>
    </row>
    <row r="2184" spans="1:12" ht="12" customHeight="1" x14ac:dyDescent="0.35">
      <c r="B2184" s="80" t="s">
        <v>5</v>
      </c>
      <c r="C2184" s="81" t="s">
        <v>417</v>
      </c>
      <c r="D2184" s="82"/>
      <c r="E2184" s="82"/>
      <c r="F2184" s="82"/>
      <c r="G2184" s="82"/>
      <c r="H2184" s="82"/>
      <c r="I2184" s="83"/>
      <c r="J2184" s="83"/>
      <c r="K2184" s="83"/>
      <c r="L2184" s="83"/>
    </row>
    <row r="2185" spans="1:12" ht="12" customHeight="1" x14ac:dyDescent="0.35">
      <c r="A2185" s="134">
        <v>10130000</v>
      </c>
      <c r="B2185" s="84"/>
      <c r="C2185" s="85" t="s">
        <v>28</v>
      </c>
      <c r="D2185" s="84" t="s">
        <v>418</v>
      </c>
      <c r="E2185" s="84" t="str">
        <f>VLOOKUP(C2185,HSD!B:K,2,FALSE)</f>
        <v>OH</v>
      </c>
      <c r="F2185" s="128">
        <v>0.13</v>
      </c>
      <c r="G2185" s="87">
        <f>VLOOKUP(C2185,HSD!B:K,10,FALSE)</f>
        <v>120000</v>
      </c>
      <c r="H2185" s="87">
        <f>F2185*G2185</f>
        <v>15600</v>
      </c>
      <c r="I2185" s="87">
        <v>91500</v>
      </c>
      <c r="J2185" s="87">
        <f>F2185*I2185</f>
        <v>11895</v>
      </c>
      <c r="K2185" s="87">
        <v>91500</v>
      </c>
      <c r="L2185" s="87">
        <f>F2185*K2185</f>
        <v>11895</v>
      </c>
    </row>
    <row r="2186" spans="1:12" ht="12" customHeight="1" x14ac:dyDescent="0.35">
      <c r="A2186" s="134">
        <v>10143000</v>
      </c>
      <c r="B2186" s="84"/>
      <c r="C2186" s="85" t="s">
        <v>435</v>
      </c>
      <c r="D2186" s="84" t="s">
        <v>418</v>
      </c>
      <c r="E2186" s="84" t="str">
        <f>VLOOKUP(C2186,HSD!B:K,2,FALSE)</f>
        <v>OH</v>
      </c>
      <c r="F2186" s="128">
        <v>0.13</v>
      </c>
      <c r="G2186" s="87">
        <f>VLOOKUP(C2186,HSD!B:K,10,FALSE)</f>
        <v>250000</v>
      </c>
      <c r="H2186" s="87">
        <f>F2186*G2186</f>
        <v>32500</v>
      </c>
      <c r="I2186" s="87"/>
      <c r="J2186" s="87"/>
      <c r="K2186" s="87"/>
      <c r="L2186" s="87"/>
    </row>
    <row r="2187" spans="1:12" ht="12" customHeight="1" x14ac:dyDescent="0.35">
      <c r="A2187" s="134">
        <v>10120000</v>
      </c>
      <c r="B2187" s="84"/>
      <c r="C2187" s="85" t="s">
        <v>27</v>
      </c>
      <c r="D2187" s="84" t="s">
        <v>418</v>
      </c>
      <c r="E2187" s="84" t="str">
        <f>VLOOKUP(C2187,HSD!B:K,2,FALSE)</f>
        <v>OH</v>
      </c>
      <c r="F2187" s="128">
        <f>F2185/10</f>
        <v>1.3000000000000001E-2</v>
      </c>
      <c r="G2187" s="87">
        <f>VLOOKUP(C2187,HSD!B:K,10,FALSE)</f>
        <v>150000</v>
      </c>
      <c r="H2187" s="87">
        <f>F2187*G2187</f>
        <v>1950.0000000000002</v>
      </c>
      <c r="I2187" s="87">
        <v>78600</v>
      </c>
      <c r="J2187" s="87">
        <f>F2187*I2187</f>
        <v>1021.8000000000001</v>
      </c>
      <c r="K2187" s="87">
        <v>78600</v>
      </c>
      <c r="L2187" s="87">
        <f>F2187*K2187</f>
        <v>1021.8000000000001</v>
      </c>
    </row>
    <row r="2188" spans="1:12" ht="12" customHeight="1" x14ac:dyDescent="0.35">
      <c r="A2188" s="134">
        <v>10110000</v>
      </c>
      <c r="B2188" s="84"/>
      <c r="C2188" s="85" t="s">
        <v>30</v>
      </c>
      <c r="D2188" s="84" t="s">
        <v>418</v>
      </c>
      <c r="E2188" s="84" t="str">
        <f>VLOOKUP(C2188,HSD!B:K,2,FALSE)</f>
        <v>OH</v>
      </c>
      <c r="F2188" s="128">
        <f>F2186/10</f>
        <v>1.3000000000000001E-2</v>
      </c>
      <c r="G2188" s="87">
        <f>VLOOKUP(C2188,HSD!B:K,10,FALSE)</f>
        <v>150000</v>
      </c>
      <c r="H2188" s="87">
        <f>F2188*G2188</f>
        <v>1950.0000000000002</v>
      </c>
      <c r="I2188" s="87">
        <v>92500</v>
      </c>
      <c r="J2188" s="87">
        <f>F2188*I2188</f>
        <v>1202.5</v>
      </c>
      <c r="K2188" s="87">
        <v>92500</v>
      </c>
      <c r="L2188" s="87">
        <f>F2188*K2188</f>
        <v>1202.5</v>
      </c>
    </row>
    <row r="2189" spans="1:12" ht="12" customHeight="1" x14ac:dyDescent="0.35">
      <c r="B2189" s="84"/>
      <c r="C2189" s="85"/>
      <c r="D2189" s="84"/>
      <c r="E2189" s="84"/>
      <c r="F2189" s="86"/>
      <c r="G2189" s="87"/>
      <c r="H2189" s="87"/>
      <c r="I2189" s="87"/>
      <c r="J2189" s="87"/>
      <c r="K2189" s="87"/>
      <c r="L2189" s="87"/>
    </row>
    <row r="2190" spans="1:12" ht="12" customHeight="1" x14ac:dyDescent="0.35">
      <c r="B2190" s="84"/>
      <c r="C2190" s="88"/>
      <c r="D2190" s="79"/>
      <c r="E2190" s="79"/>
      <c r="F2190" s="89" t="s">
        <v>421</v>
      </c>
      <c r="G2190" s="101"/>
      <c r="H2190" s="87">
        <f>SUM(H2185:H2189)</f>
        <v>52000</v>
      </c>
      <c r="I2190" s="101"/>
      <c r="J2190" s="87">
        <f>SUM(J2187:J2189)</f>
        <v>2224.3000000000002</v>
      </c>
      <c r="K2190" s="101"/>
      <c r="L2190" s="87">
        <f>SUM(L2187:L2189)</f>
        <v>2224.3000000000002</v>
      </c>
    </row>
    <row r="2191" spans="1:12" ht="12" customHeight="1" x14ac:dyDescent="0.35">
      <c r="B2191" s="84" t="s">
        <v>6</v>
      </c>
      <c r="C2191" s="88" t="s">
        <v>422</v>
      </c>
      <c r="D2191" s="79"/>
      <c r="E2191" s="79"/>
      <c r="F2191" s="90"/>
      <c r="G2191" s="84"/>
      <c r="H2191" s="87"/>
      <c r="I2191" s="84"/>
      <c r="J2191" s="87"/>
      <c r="K2191" s="84"/>
      <c r="L2191" s="87"/>
    </row>
    <row r="2192" spans="1:12" ht="12" customHeight="1" x14ac:dyDescent="0.35">
      <c r="A2192" s="134">
        <v>211100113</v>
      </c>
      <c r="B2192" s="84"/>
      <c r="C2192" s="85" t="s">
        <v>49</v>
      </c>
      <c r="D2192" s="84" t="s">
        <v>418</v>
      </c>
      <c r="E2192" s="84" t="str">
        <f>VLOOKUP(C2192,HSD!B:K,2,FALSE)</f>
        <v>m3</v>
      </c>
      <c r="F2192" s="128">
        <v>2.3E-2</v>
      </c>
      <c r="G2192" s="87">
        <f>VLOOKUP(C2192,HSD!B:K,10,FALSE)</f>
        <v>230880</v>
      </c>
      <c r="H2192" s="87">
        <f>F2192*G2192</f>
        <v>5310.24</v>
      </c>
      <c r="I2192" s="87">
        <v>232500</v>
      </c>
      <c r="J2192" s="87">
        <f>F2192*I2192</f>
        <v>5347.5</v>
      </c>
      <c r="K2192" s="87">
        <v>270000</v>
      </c>
      <c r="L2192" s="87">
        <f>F2192*K2192</f>
        <v>6210</v>
      </c>
    </row>
    <row r="2193" spans="1:12" ht="12" customHeight="1" x14ac:dyDescent="0.35">
      <c r="A2193" s="134">
        <v>21301000</v>
      </c>
      <c r="B2193" s="84"/>
      <c r="C2193" s="85" t="s">
        <v>60</v>
      </c>
      <c r="D2193" s="84" t="s">
        <v>418</v>
      </c>
      <c r="E2193" s="84" t="str">
        <f>VLOOKUP(C2193,HSD!B:K,2,FALSE)</f>
        <v>kg</v>
      </c>
      <c r="F2193" s="128">
        <v>7.7759999999999998</v>
      </c>
      <c r="G2193" s="87">
        <f>VLOOKUP(C2193,HSD!B:K,10,FALSE)</f>
        <v>2331</v>
      </c>
      <c r="H2193" s="87">
        <f>F2193*G2193</f>
        <v>18125.856</v>
      </c>
      <c r="I2193" s="87">
        <v>1060</v>
      </c>
      <c r="J2193" s="87">
        <f>F2193*I2193</f>
        <v>8242.56</v>
      </c>
      <c r="K2193" s="87">
        <v>1060</v>
      </c>
      <c r="L2193" s="87">
        <f>F2193*K2193</f>
        <v>8242.56</v>
      </c>
    </row>
    <row r="2194" spans="1:12" ht="12" customHeight="1" x14ac:dyDescent="0.35">
      <c r="B2194" s="84"/>
      <c r="C2194" s="85"/>
      <c r="D2194" s="84"/>
      <c r="E2194" s="84"/>
      <c r="F2194" s="128"/>
      <c r="G2194" s="87"/>
      <c r="H2194" s="87">
        <f>F2194*G2194</f>
        <v>0</v>
      </c>
      <c r="I2194" s="87">
        <v>215000</v>
      </c>
      <c r="J2194" s="87">
        <f>F2194*I2194</f>
        <v>0</v>
      </c>
      <c r="K2194" s="87">
        <v>250000</v>
      </c>
      <c r="L2194" s="87">
        <f>F2194*K2194</f>
        <v>0</v>
      </c>
    </row>
    <row r="2195" spans="1:12" ht="12" customHeight="1" x14ac:dyDescent="0.35">
      <c r="B2195" s="84"/>
      <c r="C2195" s="85"/>
      <c r="D2195" s="84"/>
      <c r="E2195" s="84"/>
      <c r="F2195" s="128"/>
      <c r="G2195" s="87"/>
      <c r="H2195" s="87"/>
      <c r="I2195" s="87"/>
      <c r="J2195" s="87"/>
      <c r="K2195" s="87"/>
      <c r="L2195" s="87"/>
    </row>
    <row r="2196" spans="1:12" ht="12" customHeight="1" x14ac:dyDescent="0.35">
      <c r="B2196" s="84"/>
      <c r="C2196" s="88"/>
      <c r="D2196" s="79"/>
      <c r="E2196" s="79"/>
      <c r="F2196" s="129" t="s">
        <v>423</v>
      </c>
      <c r="G2196" s="129"/>
      <c r="H2196" s="87">
        <f>SUM(H2192:H2195)</f>
        <v>23436.095999999998</v>
      </c>
      <c r="I2196" s="101"/>
      <c r="J2196" s="87" t="e">
        <f>SUM(#REF!)</f>
        <v>#REF!</v>
      </c>
      <c r="K2196" s="101"/>
      <c r="L2196" s="87" t="e">
        <f>SUM(#REF!)</f>
        <v>#REF!</v>
      </c>
    </row>
    <row r="2197" spans="1:12" ht="12" customHeight="1" x14ac:dyDescent="0.35">
      <c r="B2197" s="84" t="s">
        <v>7</v>
      </c>
      <c r="C2197" s="88" t="s">
        <v>424</v>
      </c>
      <c r="D2197" s="79"/>
      <c r="E2197" s="79"/>
      <c r="F2197" s="90"/>
      <c r="G2197" s="84"/>
      <c r="H2197" s="87"/>
      <c r="I2197" s="84"/>
      <c r="J2197" s="87"/>
      <c r="K2197" s="84"/>
      <c r="L2197" s="87"/>
    </row>
    <row r="2198" spans="1:12" ht="12" customHeight="1" x14ac:dyDescent="0.35">
      <c r="B2198" s="84"/>
      <c r="C2198" s="85"/>
      <c r="D2198" s="84"/>
      <c r="E2198" s="84"/>
      <c r="F2198" s="128"/>
      <c r="G2198" s="87"/>
      <c r="H2198" s="87">
        <f>F2198*G2198</f>
        <v>0</v>
      </c>
      <c r="I2198" s="87"/>
      <c r="J2198" s="87">
        <f>H2198*I2198</f>
        <v>0</v>
      </c>
      <c r="K2198" s="87"/>
      <c r="L2198" s="87">
        <f>J2198*K2198</f>
        <v>0</v>
      </c>
    </row>
    <row r="2199" spans="1:12" ht="12" customHeight="1" x14ac:dyDescent="0.35">
      <c r="B2199" s="84"/>
      <c r="C2199" s="85"/>
      <c r="D2199" s="84"/>
      <c r="E2199" s="84"/>
      <c r="F2199" s="128"/>
      <c r="G2199" s="87"/>
      <c r="H2199" s="87">
        <f>F2199*G2199</f>
        <v>0</v>
      </c>
      <c r="I2199" s="87"/>
      <c r="J2199" s="87"/>
      <c r="K2199" s="87"/>
      <c r="L2199" s="87"/>
    </row>
    <row r="2200" spans="1:12" ht="12" customHeight="1" x14ac:dyDescent="0.35">
      <c r="B2200" s="84"/>
      <c r="C2200" s="88"/>
      <c r="D2200" s="79"/>
      <c r="E2200" s="79"/>
      <c r="F2200" s="89" t="s">
        <v>425</v>
      </c>
      <c r="G2200" s="101"/>
      <c r="H2200" s="87">
        <f>SUM(H2198:H2199)</f>
        <v>0</v>
      </c>
      <c r="I2200" s="101"/>
      <c r="J2200" s="87">
        <f>SUM(J2198)</f>
        <v>0</v>
      </c>
      <c r="K2200" s="101"/>
      <c r="L2200" s="87">
        <f>SUM(L2198)</f>
        <v>0</v>
      </c>
    </row>
    <row r="2201" spans="1:12" ht="12" customHeight="1" x14ac:dyDescent="0.35">
      <c r="B2201" s="84" t="s">
        <v>8</v>
      </c>
      <c r="C2201" s="103" t="s">
        <v>426</v>
      </c>
      <c r="D2201" s="104"/>
      <c r="E2201" s="104"/>
      <c r="F2201" s="104"/>
      <c r="G2201" s="105"/>
      <c r="H2201" s="87">
        <f>H2190+H2196+H2200</f>
        <v>75436.09599999999</v>
      </c>
      <c r="I2201" s="105"/>
      <c r="J2201" s="87" t="e">
        <f>J2190+J2196+J2200</f>
        <v>#REF!</v>
      </c>
      <c r="K2201" s="105"/>
      <c r="L2201" s="87" t="e">
        <f>L2190+L2196+L2200</f>
        <v>#REF!</v>
      </c>
    </row>
    <row r="2202" spans="1:12" ht="12" customHeight="1" x14ac:dyDescent="0.35">
      <c r="B2202" s="84" t="s">
        <v>9</v>
      </c>
      <c r="C2202" s="455" t="s">
        <v>427</v>
      </c>
      <c r="D2202" s="455"/>
      <c r="E2202" s="455"/>
      <c r="F2202" s="95">
        <f>0</f>
        <v>0</v>
      </c>
      <c r="G2202" s="85" t="s">
        <v>428</v>
      </c>
      <c r="H2202" s="87">
        <f>H2201*F2202</f>
        <v>0</v>
      </c>
      <c r="I2202" s="85" t="s">
        <v>428</v>
      </c>
      <c r="J2202" s="87" t="e">
        <f>J2201*F2202</f>
        <v>#REF!</v>
      </c>
      <c r="K2202" s="85" t="s">
        <v>428</v>
      </c>
      <c r="L2202" s="87" t="e">
        <f>L2201*F2202</f>
        <v>#REF!</v>
      </c>
    </row>
    <row r="2203" spans="1:12" ht="12" customHeight="1" x14ac:dyDescent="0.35">
      <c r="B2203" s="84" t="s">
        <v>10</v>
      </c>
      <c r="C2203" s="103" t="s">
        <v>429</v>
      </c>
      <c r="D2203" s="104"/>
      <c r="E2203" s="104"/>
      <c r="F2203" s="104"/>
      <c r="G2203" s="105"/>
      <c r="H2203" s="96">
        <f>H2201+H2202</f>
        <v>75436.09599999999</v>
      </c>
      <c r="I2203" s="97"/>
      <c r="J2203" s="96" t="e">
        <f>J2201+J2202</f>
        <v>#REF!</v>
      </c>
      <c r="K2203" s="97"/>
      <c r="L2203" s="96" t="e">
        <f>L2201+L2202</f>
        <v>#REF!</v>
      </c>
    </row>
    <row r="2205" spans="1:12" ht="37" customHeight="1" x14ac:dyDescent="0.35">
      <c r="B2205" s="76" t="s">
        <v>683</v>
      </c>
      <c r="C2205" s="458" t="s">
        <v>682</v>
      </c>
      <c r="D2205" s="459"/>
      <c r="E2205" s="459"/>
      <c r="F2205" s="459"/>
      <c r="G2205" s="456"/>
      <c r="H2205" s="457"/>
      <c r="I2205" s="455" t="s">
        <v>3</v>
      </c>
      <c r="J2205" s="455"/>
      <c r="K2205" s="455" t="s">
        <v>4</v>
      </c>
      <c r="L2205" s="455"/>
    </row>
    <row r="2206" spans="1:12" ht="12" customHeight="1" x14ac:dyDescent="0.35">
      <c r="B2206" s="451" t="s">
        <v>409</v>
      </c>
      <c r="C2206" s="451" t="s">
        <v>410</v>
      </c>
      <c r="D2206" s="452" t="s">
        <v>411</v>
      </c>
      <c r="E2206" s="451" t="s">
        <v>412</v>
      </c>
      <c r="F2206" s="451" t="s">
        <v>413</v>
      </c>
      <c r="G2206" s="77" t="s">
        <v>414</v>
      </c>
      <c r="H2206" s="77" t="s">
        <v>415</v>
      </c>
      <c r="I2206" s="78" t="s">
        <v>414</v>
      </c>
      <c r="J2206" s="79" t="s">
        <v>415</v>
      </c>
      <c r="K2206" s="79" t="s">
        <v>414</v>
      </c>
      <c r="L2206" s="79" t="s">
        <v>415</v>
      </c>
    </row>
    <row r="2207" spans="1:12" ht="12" customHeight="1" x14ac:dyDescent="0.35">
      <c r="B2207" s="451"/>
      <c r="C2207" s="451"/>
      <c r="D2207" s="453"/>
      <c r="E2207" s="451"/>
      <c r="F2207" s="451"/>
      <c r="G2207" s="77" t="s">
        <v>17</v>
      </c>
      <c r="H2207" s="77" t="s">
        <v>416</v>
      </c>
      <c r="I2207" s="78" t="s">
        <v>17</v>
      </c>
      <c r="J2207" s="79" t="s">
        <v>416</v>
      </c>
      <c r="K2207" s="79" t="s">
        <v>17</v>
      </c>
      <c r="L2207" s="79" t="s">
        <v>416</v>
      </c>
    </row>
    <row r="2208" spans="1:12" ht="12" customHeight="1" x14ac:dyDescent="0.35">
      <c r="B2208" s="451"/>
      <c r="C2208" s="451"/>
      <c r="D2208" s="454"/>
      <c r="E2208" s="451"/>
      <c r="F2208" s="451"/>
      <c r="G2208" s="106"/>
      <c r="H2208" s="77" t="s">
        <v>17</v>
      </c>
      <c r="I2208" s="94"/>
      <c r="J2208" s="79" t="s">
        <v>17</v>
      </c>
      <c r="K2208" s="85"/>
      <c r="L2208" s="79" t="s">
        <v>17</v>
      </c>
    </row>
    <row r="2209" spans="1:12" ht="12" customHeight="1" x14ac:dyDescent="0.35">
      <c r="B2209" s="80" t="s">
        <v>5</v>
      </c>
      <c r="C2209" s="81" t="s">
        <v>417</v>
      </c>
      <c r="D2209" s="82"/>
      <c r="E2209" s="82"/>
      <c r="F2209" s="82"/>
      <c r="G2209" s="82"/>
      <c r="H2209" s="82"/>
      <c r="I2209" s="83"/>
      <c r="J2209" s="83"/>
      <c r="K2209" s="83"/>
      <c r="L2209" s="83"/>
    </row>
    <row r="2210" spans="1:12" ht="12" customHeight="1" x14ac:dyDescent="0.35">
      <c r="A2210" s="134">
        <v>10130000</v>
      </c>
      <c r="B2210" s="84"/>
      <c r="C2210" s="85" t="s">
        <v>28</v>
      </c>
      <c r="D2210" s="84" t="s">
        <v>418</v>
      </c>
      <c r="E2210" s="84" t="str">
        <f>VLOOKUP(C2210,HSD!B:K,2,FALSE)</f>
        <v>OH</v>
      </c>
      <c r="F2210" s="128">
        <v>0.13</v>
      </c>
      <c r="G2210" s="87">
        <f>VLOOKUP(C2210,HSD!B:K,10,FALSE)</f>
        <v>120000</v>
      </c>
      <c r="H2210" s="87">
        <f>F2210*G2210</f>
        <v>15600</v>
      </c>
      <c r="I2210" s="87">
        <v>91500</v>
      </c>
      <c r="J2210" s="87">
        <f>F2210*I2210</f>
        <v>11895</v>
      </c>
      <c r="K2210" s="87">
        <v>91500</v>
      </c>
      <c r="L2210" s="87">
        <f>F2210*K2210</f>
        <v>11895</v>
      </c>
    </row>
    <row r="2211" spans="1:12" ht="12" customHeight="1" x14ac:dyDescent="0.35">
      <c r="A2211" s="134">
        <v>10143000</v>
      </c>
      <c r="B2211" s="84"/>
      <c r="C2211" s="85" t="s">
        <v>435</v>
      </c>
      <c r="D2211" s="84" t="s">
        <v>418</v>
      </c>
      <c r="E2211" s="84" t="str">
        <f>VLOOKUP(C2211,HSD!B:K,2,FALSE)</f>
        <v>OH</v>
      </c>
      <c r="F2211" s="128">
        <v>0.13</v>
      </c>
      <c r="G2211" s="87">
        <f>VLOOKUP(C2211,HSD!B:K,10,FALSE)</f>
        <v>250000</v>
      </c>
      <c r="H2211" s="87">
        <f>F2211*G2211</f>
        <v>32500</v>
      </c>
      <c r="I2211" s="87"/>
      <c r="J2211" s="87"/>
      <c r="K2211" s="87"/>
      <c r="L2211" s="87"/>
    </row>
    <row r="2212" spans="1:12" ht="12" customHeight="1" x14ac:dyDescent="0.35">
      <c r="A2212" s="134">
        <v>10120000</v>
      </c>
      <c r="B2212" s="84"/>
      <c r="C2212" s="85" t="s">
        <v>27</v>
      </c>
      <c r="D2212" s="84" t="s">
        <v>418</v>
      </c>
      <c r="E2212" s="84" t="str">
        <f>VLOOKUP(C2212,HSD!B:K,2,FALSE)</f>
        <v>OH</v>
      </c>
      <c r="F2212" s="128">
        <f>F2210/10</f>
        <v>1.3000000000000001E-2</v>
      </c>
      <c r="G2212" s="87">
        <f>VLOOKUP(C2212,HSD!B:K,10,FALSE)</f>
        <v>150000</v>
      </c>
      <c r="H2212" s="87">
        <f>F2212*G2212</f>
        <v>1950.0000000000002</v>
      </c>
      <c r="I2212" s="87">
        <v>78600</v>
      </c>
      <c r="J2212" s="87">
        <f>F2212*I2212</f>
        <v>1021.8000000000001</v>
      </c>
      <c r="K2212" s="87">
        <v>78600</v>
      </c>
      <c r="L2212" s="87">
        <f>F2212*K2212</f>
        <v>1021.8000000000001</v>
      </c>
    </row>
    <row r="2213" spans="1:12" ht="12" customHeight="1" x14ac:dyDescent="0.35">
      <c r="A2213" s="134">
        <v>10110000</v>
      </c>
      <c r="B2213" s="84"/>
      <c r="C2213" s="85" t="s">
        <v>30</v>
      </c>
      <c r="D2213" s="84" t="s">
        <v>418</v>
      </c>
      <c r="E2213" s="84" t="str">
        <f>VLOOKUP(C2213,HSD!B:K,2,FALSE)</f>
        <v>OH</v>
      </c>
      <c r="F2213" s="128">
        <f>F2211/10</f>
        <v>1.3000000000000001E-2</v>
      </c>
      <c r="G2213" s="87">
        <f>VLOOKUP(C2213,HSD!B:K,10,FALSE)</f>
        <v>150000</v>
      </c>
      <c r="H2213" s="87">
        <f>F2213*G2213</f>
        <v>1950.0000000000002</v>
      </c>
      <c r="I2213" s="87">
        <v>92500</v>
      </c>
      <c r="J2213" s="87">
        <f>F2213*I2213</f>
        <v>1202.5</v>
      </c>
      <c r="K2213" s="87">
        <v>92500</v>
      </c>
      <c r="L2213" s="87">
        <f>F2213*K2213</f>
        <v>1202.5</v>
      </c>
    </row>
    <row r="2214" spans="1:12" ht="12" customHeight="1" x14ac:dyDescent="0.35">
      <c r="B2214" s="84"/>
      <c r="C2214" s="85"/>
      <c r="D2214" s="84"/>
      <c r="E2214" s="84"/>
      <c r="F2214" s="86"/>
      <c r="G2214" s="87"/>
      <c r="H2214" s="87"/>
      <c r="I2214" s="87"/>
      <c r="J2214" s="87"/>
      <c r="K2214" s="87"/>
      <c r="L2214" s="87"/>
    </row>
    <row r="2215" spans="1:12" ht="12" customHeight="1" x14ac:dyDescent="0.35">
      <c r="B2215" s="84"/>
      <c r="C2215" s="88"/>
      <c r="D2215" s="79"/>
      <c r="E2215" s="79"/>
      <c r="F2215" s="89" t="s">
        <v>421</v>
      </c>
      <c r="G2215" s="101"/>
      <c r="H2215" s="87">
        <f>SUM(H2210:H2214)</f>
        <v>52000</v>
      </c>
      <c r="I2215" s="101"/>
      <c r="J2215" s="87">
        <f>SUM(J2212:J2214)</f>
        <v>2224.3000000000002</v>
      </c>
      <c r="K2215" s="101"/>
      <c r="L2215" s="87">
        <f>SUM(L2212:L2214)</f>
        <v>2224.3000000000002</v>
      </c>
    </row>
    <row r="2216" spans="1:12" ht="12" customHeight="1" x14ac:dyDescent="0.35">
      <c r="B2216" s="84" t="s">
        <v>6</v>
      </c>
      <c r="C2216" s="88" t="s">
        <v>422</v>
      </c>
      <c r="D2216" s="79"/>
      <c r="E2216" s="79"/>
      <c r="F2216" s="90"/>
      <c r="G2216" s="84"/>
      <c r="H2216" s="87"/>
      <c r="I2216" s="84"/>
      <c r="J2216" s="87"/>
      <c r="K2216" s="84"/>
      <c r="L2216" s="87"/>
    </row>
    <row r="2217" spans="1:12" ht="12" customHeight="1" x14ac:dyDescent="0.35">
      <c r="A2217" s="134">
        <v>211100113</v>
      </c>
      <c r="B2217" s="84"/>
      <c r="C2217" s="85" t="s">
        <v>49</v>
      </c>
      <c r="D2217" s="84" t="s">
        <v>418</v>
      </c>
      <c r="E2217" s="84" t="str">
        <f>VLOOKUP(C2217,HSD!B:K,2,FALSE)</f>
        <v>m3</v>
      </c>
      <c r="F2217" s="128">
        <v>2.5000000000000001E-2</v>
      </c>
      <c r="G2217" s="87">
        <f>VLOOKUP(C2217,HSD!B:K,10,FALSE)</f>
        <v>230880</v>
      </c>
      <c r="H2217" s="87">
        <f>F2217*G2217</f>
        <v>5772</v>
      </c>
      <c r="I2217" s="87">
        <v>232500</v>
      </c>
      <c r="J2217" s="87">
        <f>F2217*I2217</f>
        <v>5812.5</v>
      </c>
      <c r="K2217" s="87">
        <v>270000</v>
      </c>
      <c r="L2217" s="87">
        <f>F2217*K2217</f>
        <v>6750</v>
      </c>
    </row>
    <row r="2218" spans="1:12" ht="12" customHeight="1" x14ac:dyDescent="0.35">
      <c r="A2218" s="134">
        <v>21301000</v>
      </c>
      <c r="B2218" s="84"/>
      <c r="C2218" s="85" t="s">
        <v>60</v>
      </c>
      <c r="D2218" s="84" t="s">
        <v>418</v>
      </c>
      <c r="E2218" s="84" t="str">
        <f>VLOOKUP(C2218,HSD!B:K,2,FALSE)</f>
        <v>kg</v>
      </c>
      <c r="F2218" s="128">
        <v>6.24</v>
      </c>
      <c r="G2218" s="87">
        <f>VLOOKUP(C2218,HSD!B:K,10,FALSE)</f>
        <v>2331</v>
      </c>
      <c r="H2218" s="87">
        <f>F2218*G2218</f>
        <v>14545.44</v>
      </c>
      <c r="I2218" s="87">
        <v>1060</v>
      </c>
      <c r="J2218" s="87">
        <f>F2218*I2218</f>
        <v>6614.4000000000005</v>
      </c>
      <c r="K2218" s="87">
        <v>1060</v>
      </c>
      <c r="L2218" s="87">
        <f>F2218*K2218</f>
        <v>6614.4000000000005</v>
      </c>
    </row>
    <row r="2219" spans="1:12" ht="12" customHeight="1" x14ac:dyDescent="0.35">
      <c r="B2219" s="84"/>
      <c r="C2219" s="85"/>
      <c r="D2219" s="84"/>
      <c r="E2219" s="84"/>
      <c r="F2219" s="128"/>
      <c r="G2219" s="87"/>
      <c r="H2219" s="87">
        <f>F2219*G2219</f>
        <v>0</v>
      </c>
      <c r="I2219" s="87">
        <v>215000</v>
      </c>
      <c r="J2219" s="87">
        <f>F2219*I2219</f>
        <v>0</v>
      </c>
      <c r="K2219" s="87">
        <v>250000</v>
      </c>
      <c r="L2219" s="87">
        <f>F2219*K2219</f>
        <v>0</v>
      </c>
    </row>
    <row r="2220" spans="1:12" ht="12" customHeight="1" x14ac:dyDescent="0.35">
      <c r="B2220" s="84"/>
      <c r="C2220" s="85"/>
      <c r="D2220" s="84"/>
      <c r="E2220" s="84"/>
      <c r="F2220" s="128"/>
      <c r="G2220" s="87"/>
      <c r="H2220" s="87"/>
      <c r="I2220" s="87"/>
      <c r="J2220" s="87"/>
      <c r="K2220" s="87"/>
      <c r="L2220" s="87"/>
    </row>
    <row r="2221" spans="1:12" ht="12" customHeight="1" x14ac:dyDescent="0.35">
      <c r="B2221" s="84"/>
      <c r="C2221" s="88"/>
      <c r="D2221" s="79"/>
      <c r="E2221" s="79"/>
      <c r="F2221" s="129" t="s">
        <v>423</v>
      </c>
      <c r="G2221" s="129"/>
      <c r="H2221" s="87">
        <f>SUM(H2217:H2220)</f>
        <v>20317.440000000002</v>
      </c>
      <c r="I2221" s="101"/>
      <c r="J2221" s="87" t="e">
        <f>SUM(#REF!)</f>
        <v>#REF!</v>
      </c>
      <c r="K2221" s="101"/>
      <c r="L2221" s="87" t="e">
        <f>SUM(#REF!)</f>
        <v>#REF!</v>
      </c>
    </row>
    <row r="2222" spans="1:12" ht="12" customHeight="1" x14ac:dyDescent="0.35">
      <c r="B2222" s="84" t="s">
        <v>7</v>
      </c>
      <c r="C2222" s="88" t="s">
        <v>424</v>
      </c>
      <c r="D2222" s="79"/>
      <c r="E2222" s="79"/>
      <c r="F2222" s="90"/>
      <c r="G2222" s="84"/>
      <c r="H2222" s="87"/>
      <c r="I2222" s="84"/>
      <c r="J2222" s="87"/>
      <c r="K2222" s="84"/>
      <c r="L2222" s="87"/>
    </row>
    <row r="2223" spans="1:12" ht="12" customHeight="1" x14ac:dyDescent="0.35">
      <c r="B2223" s="84"/>
      <c r="C2223" s="85"/>
      <c r="D2223" s="84"/>
      <c r="E2223" s="84"/>
      <c r="F2223" s="128"/>
      <c r="G2223" s="87"/>
      <c r="H2223" s="87">
        <f>F2223*G2223</f>
        <v>0</v>
      </c>
      <c r="I2223" s="87"/>
      <c r="J2223" s="87">
        <f>H2223*I2223</f>
        <v>0</v>
      </c>
      <c r="K2223" s="87"/>
      <c r="L2223" s="87">
        <f>J2223*K2223</f>
        <v>0</v>
      </c>
    </row>
    <row r="2224" spans="1:12" ht="12" customHeight="1" x14ac:dyDescent="0.35">
      <c r="B2224" s="84"/>
      <c r="C2224" s="85"/>
      <c r="D2224" s="84"/>
      <c r="E2224" s="84"/>
      <c r="F2224" s="128"/>
      <c r="G2224" s="87"/>
      <c r="H2224" s="87">
        <f>F2224*G2224</f>
        <v>0</v>
      </c>
      <c r="I2224" s="87"/>
      <c r="J2224" s="87"/>
      <c r="K2224" s="87"/>
      <c r="L2224" s="87"/>
    </row>
    <row r="2225" spans="1:12" ht="12" customHeight="1" x14ac:dyDescent="0.35">
      <c r="B2225" s="84"/>
      <c r="C2225" s="88"/>
      <c r="D2225" s="79"/>
      <c r="E2225" s="79"/>
      <c r="F2225" s="89" t="s">
        <v>425</v>
      </c>
      <c r="G2225" s="101"/>
      <c r="H2225" s="87">
        <f>SUM(H2223:H2224)</f>
        <v>0</v>
      </c>
      <c r="I2225" s="101"/>
      <c r="J2225" s="87">
        <f>SUM(J2223)</f>
        <v>0</v>
      </c>
      <c r="K2225" s="101"/>
      <c r="L2225" s="87">
        <f>SUM(L2223)</f>
        <v>0</v>
      </c>
    </row>
    <row r="2226" spans="1:12" ht="12" customHeight="1" x14ac:dyDescent="0.35">
      <c r="B2226" s="84" t="s">
        <v>8</v>
      </c>
      <c r="C2226" s="103" t="s">
        <v>426</v>
      </c>
      <c r="D2226" s="104"/>
      <c r="E2226" s="104"/>
      <c r="F2226" s="104"/>
      <c r="G2226" s="105"/>
      <c r="H2226" s="87">
        <f>H2215+H2221+H2225</f>
        <v>72317.440000000002</v>
      </c>
      <c r="I2226" s="105"/>
      <c r="J2226" s="87" t="e">
        <f>J2215+J2221+J2225</f>
        <v>#REF!</v>
      </c>
      <c r="K2226" s="105"/>
      <c r="L2226" s="87" t="e">
        <f>L2215+L2221+L2225</f>
        <v>#REF!</v>
      </c>
    </row>
    <row r="2227" spans="1:12" ht="12" customHeight="1" x14ac:dyDescent="0.35">
      <c r="B2227" s="84" t="s">
        <v>9</v>
      </c>
      <c r="C2227" s="455" t="s">
        <v>427</v>
      </c>
      <c r="D2227" s="455"/>
      <c r="E2227" s="455"/>
      <c r="F2227" s="95">
        <f>0</f>
        <v>0</v>
      </c>
      <c r="G2227" s="85" t="s">
        <v>428</v>
      </c>
      <c r="H2227" s="87">
        <f>H2226*F2227</f>
        <v>0</v>
      </c>
      <c r="I2227" s="85" t="s">
        <v>428</v>
      </c>
      <c r="J2227" s="87" t="e">
        <f>J2226*F2227</f>
        <v>#REF!</v>
      </c>
      <c r="K2227" s="85" t="s">
        <v>428</v>
      </c>
      <c r="L2227" s="87" t="e">
        <f>L2226*F2227</f>
        <v>#REF!</v>
      </c>
    </row>
    <row r="2228" spans="1:12" ht="12" customHeight="1" x14ac:dyDescent="0.35">
      <c r="B2228" s="84" t="s">
        <v>10</v>
      </c>
      <c r="C2228" s="103" t="s">
        <v>429</v>
      </c>
      <c r="D2228" s="104"/>
      <c r="E2228" s="104"/>
      <c r="F2228" s="104"/>
      <c r="G2228" s="105"/>
      <c r="H2228" s="96">
        <f>H2226+H2227</f>
        <v>72317.440000000002</v>
      </c>
      <c r="I2228" s="97"/>
      <c r="J2228" s="96" t="e">
        <f>J2226+J2227</f>
        <v>#REF!</v>
      </c>
      <c r="K2228" s="97"/>
      <c r="L2228" s="96" t="e">
        <f>L2226+L2227</f>
        <v>#REF!</v>
      </c>
    </row>
    <row r="2230" spans="1:12" ht="37" customHeight="1" x14ac:dyDescent="0.35">
      <c r="B2230" s="76" t="s">
        <v>684</v>
      </c>
      <c r="C2230" s="458" t="s">
        <v>685</v>
      </c>
      <c r="D2230" s="459"/>
      <c r="E2230" s="459"/>
      <c r="F2230" s="459"/>
      <c r="G2230" s="456"/>
      <c r="H2230" s="457"/>
      <c r="I2230" s="455" t="s">
        <v>3</v>
      </c>
      <c r="J2230" s="455"/>
      <c r="K2230" s="455" t="s">
        <v>4</v>
      </c>
      <c r="L2230" s="455"/>
    </row>
    <row r="2231" spans="1:12" ht="12" customHeight="1" x14ac:dyDescent="0.35">
      <c r="B2231" s="451" t="s">
        <v>409</v>
      </c>
      <c r="C2231" s="451" t="s">
        <v>410</v>
      </c>
      <c r="D2231" s="452" t="s">
        <v>411</v>
      </c>
      <c r="E2231" s="451" t="s">
        <v>412</v>
      </c>
      <c r="F2231" s="451" t="s">
        <v>413</v>
      </c>
      <c r="G2231" s="77" t="s">
        <v>414</v>
      </c>
      <c r="H2231" s="77" t="s">
        <v>415</v>
      </c>
      <c r="I2231" s="78" t="s">
        <v>414</v>
      </c>
      <c r="J2231" s="79" t="s">
        <v>415</v>
      </c>
      <c r="K2231" s="79" t="s">
        <v>414</v>
      </c>
      <c r="L2231" s="79" t="s">
        <v>415</v>
      </c>
    </row>
    <row r="2232" spans="1:12" ht="12" customHeight="1" x14ac:dyDescent="0.35">
      <c r="B2232" s="451"/>
      <c r="C2232" s="451"/>
      <c r="D2232" s="453"/>
      <c r="E2232" s="451"/>
      <c r="F2232" s="451"/>
      <c r="G2232" s="77" t="s">
        <v>17</v>
      </c>
      <c r="H2232" s="77" t="s">
        <v>416</v>
      </c>
      <c r="I2232" s="78" t="s">
        <v>17</v>
      </c>
      <c r="J2232" s="79" t="s">
        <v>416</v>
      </c>
      <c r="K2232" s="79" t="s">
        <v>17</v>
      </c>
      <c r="L2232" s="79" t="s">
        <v>416</v>
      </c>
    </row>
    <row r="2233" spans="1:12" ht="12" customHeight="1" x14ac:dyDescent="0.35">
      <c r="B2233" s="451"/>
      <c r="C2233" s="451"/>
      <c r="D2233" s="454"/>
      <c r="E2233" s="451"/>
      <c r="F2233" s="451"/>
      <c r="G2233" s="106"/>
      <c r="H2233" s="77" t="s">
        <v>17</v>
      </c>
      <c r="I2233" s="94"/>
      <c r="J2233" s="79" t="s">
        <v>17</v>
      </c>
      <c r="K2233" s="85"/>
      <c r="L2233" s="79" t="s">
        <v>17</v>
      </c>
    </row>
    <row r="2234" spans="1:12" ht="12" customHeight="1" x14ac:dyDescent="0.35">
      <c r="B2234" s="80" t="s">
        <v>5</v>
      </c>
      <c r="C2234" s="81" t="s">
        <v>417</v>
      </c>
      <c r="D2234" s="82"/>
      <c r="E2234" s="82"/>
      <c r="F2234" s="82"/>
      <c r="G2234" s="82"/>
      <c r="H2234" s="82"/>
      <c r="I2234" s="83"/>
      <c r="J2234" s="83"/>
      <c r="K2234" s="83"/>
      <c r="L2234" s="83"/>
    </row>
    <row r="2235" spans="1:12" ht="12" customHeight="1" x14ac:dyDescent="0.35">
      <c r="A2235" s="134">
        <v>10130000</v>
      </c>
      <c r="B2235" s="84"/>
      <c r="C2235" s="85" t="s">
        <v>28</v>
      </c>
      <c r="D2235" s="84" t="s">
        <v>418</v>
      </c>
      <c r="E2235" s="84" t="str">
        <f>VLOOKUP(C2235,HSD!B:K,2,FALSE)</f>
        <v>OH</v>
      </c>
      <c r="F2235" s="128">
        <v>0.1</v>
      </c>
      <c r="G2235" s="87">
        <f>VLOOKUP(C2235,HSD!B:K,10,FALSE)</f>
        <v>120000</v>
      </c>
      <c r="H2235" s="87">
        <f>F2235*G2235</f>
        <v>12000</v>
      </c>
      <c r="I2235" s="87">
        <v>91500</v>
      </c>
      <c r="J2235" s="87">
        <f>F2235*I2235</f>
        <v>9150</v>
      </c>
      <c r="K2235" s="87">
        <v>91500</v>
      </c>
      <c r="L2235" s="87">
        <f>F2235*K2235</f>
        <v>9150</v>
      </c>
    </row>
    <row r="2236" spans="1:12" ht="12" customHeight="1" x14ac:dyDescent="0.35">
      <c r="A2236" s="134">
        <v>10143000</v>
      </c>
      <c r="B2236" s="84"/>
      <c r="C2236" s="85" t="s">
        <v>435</v>
      </c>
      <c r="D2236" s="84" t="s">
        <v>418</v>
      </c>
      <c r="E2236" s="84" t="str">
        <f>VLOOKUP(C2236,HSD!B:K,2,FALSE)</f>
        <v>OH</v>
      </c>
      <c r="F2236" s="128">
        <v>0.1</v>
      </c>
      <c r="G2236" s="87">
        <f>VLOOKUP(C2236,HSD!B:K,10,FALSE)</f>
        <v>250000</v>
      </c>
      <c r="H2236" s="87">
        <f>F2236*G2236</f>
        <v>25000</v>
      </c>
      <c r="I2236" s="87"/>
      <c r="J2236" s="87"/>
      <c r="K2236" s="87"/>
      <c r="L2236" s="87"/>
    </row>
    <row r="2237" spans="1:12" ht="12" customHeight="1" x14ac:dyDescent="0.35">
      <c r="A2237" s="134">
        <v>10120000</v>
      </c>
      <c r="B2237" s="84"/>
      <c r="C2237" s="85" t="s">
        <v>27</v>
      </c>
      <c r="D2237" s="84" t="s">
        <v>418</v>
      </c>
      <c r="E2237" s="84" t="str">
        <f>VLOOKUP(C2237,HSD!B:K,2,FALSE)</f>
        <v>OH</v>
      </c>
      <c r="F2237" s="128">
        <f>F2235/10</f>
        <v>0.01</v>
      </c>
      <c r="G2237" s="87">
        <f>VLOOKUP(C2237,HSD!B:K,10,FALSE)</f>
        <v>150000</v>
      </c>
      <c r="H2237" s="87">
        <f>F2237*G2237</f>
        <v>1500</v>
      </c>
      <c r="I2237" s="87">
        <v>78600</v>
      </c>
      <c r="J2237" s="87">
        <f>F2237*I2237</f>
        <v>786</v>
      </c>
      <c r="K2237" s="87">
        <v>78600</v>
      </c>
      <c r="L2237" s="87">
        <f>F2237*K2237</f>
        <v>786</v>
      </c>
    </row>
    <row r="2238" spans="1:12" ht="12" customHeight="1" x14ac:dyDescent="0.35">
      <c r="A2238" s="134">
        <v>10110000</v>
      </c>
      <c r="B2238" s="84"/>
      <c r="C2238" s="85" t="s">
        <v>30</v>
      </c>
      <c r="D2238" s="84" t="s">
        <v>418</v>
      </c>
      <c r="E2238" s="84" t="str">
        <f>VLOOKUP(C2238,HSD!B:K,2,FALSE)</f>
        <v>OH</v>
      </c>
      <c r="F2238" s="128">
        <f>F2236/10</f>
        <v>0.01</v>
      </c>
      <c r="G2238" s="87">
        <f>VLOOKUP(C2238,HSD!B:K,10,FALSE)</f>
        <v>150000</v>
      </c>
      <c r="H2238" s="87">
        <f>F2238*G2238</f>
        <v>1500</v>
      </c>
      <c r="I2238" s="87">
        <v>92500</v>
      </c>
      <c r="J2238" s="87">
        <f>F2238*I2238</f>
        <v>925</v>
      </c>
      <c r="K2238" s="87">
        <v>92500</v>
      </c>
      <c r="L2238" s="87">
        <f>F2238*K2238</f>
        <v>925</v>
      </c>
    </row>
    <row r="2239" spans="1:12" ht="12" customHeight="1" x14ac:dyDescent="0.35">
      <c r="B2239" s="84"/>
      <c r="C2239" s="85"/>
      <c r="D2239" s="84"/>
      <c r="E2239" s="84"/>
      <c r="F2239" s="86"/>
      <c r="G2239" s="87"/>
      <c r="H2239" s="87"/>
      <c r="I2239" s="87"/>
      <c r="J2239" s="87"/>
      <c r="K2239" s="87"/>
      <c r="L2239" s="87"/>
    </row>
    <row r="2240" spans="1:12" ht="12" customHeight="1" x14ac:dyDescent="0.35">
      <c r="B2240" s="84"/>
      <c r="C2240" s="88"/>
      <c r="D2240" s="79"/>
      <c r="E2240" s="79"/>
      <c r="F2240" s="89" t="s">
        <v>421</v>
      </c>
      <c r="G2240" s="101"/>
      <c r="H2240" s="87">
        <f>SUM(H2235:H2239)</f>
        <v>40000</v>
      </c>
      <c r="I2240" s="101"/>
      <c r="J2240" s="87">
        <f>SUM(J2237:J2239)</f>
        <v>1711</v>
      </c>
      <c r="K2240" s="101"/>
      <c r="L2240" s="87">
        <f>SUM(L2237:L2239)</f>
        <v>1711</v>
      </c>
    </row>
    <row r="2241" spans="1:12" ht="12" customHeight="1" x14ac:dyDescent="0.35">
      <c r="B2241" s="84" t="s">
        <v>6</v>
      </c>
      <c r="C2241" s="88" t="s">
        <v>422</v>
      </c>
      <c r="D2241" s="79"/>
      <c r="E2241" s="79"/>
      <c r="F2241" s="90"/>
      <c r="G2241" s="84"/>
      <c r="H2241" s="87"/>
      <c r="I2241" s="84"/>
      <c r="J2241" s="87"/>
      <c r="K2241" s="84"/>
      <c r="L2241" s="87"/>
    </row>
    <row r="2242" spans="1:12" ht="12" customHeight="1" x14ac:dyDescent="0.35">
      <c r="A2242" s="134">
        <v>21301000</v>
      </c>
      <c r="B2242" s="84"/>
      <c r="C2242" s="85" t="s">
        <v>60</v>
      </c>
      <c r="D2242" s="84" t="s">
        <v>418</v>
      </c>
      <c r="E2242" s="84" t="str">
        <f>VLOOKUP(C2242,HSD!B:K,2,FALSE)</f>
        <v>kg</v>
      </c>
      <c r="F2242" s="128">
        <v>3.25</v>
      </c>
      <c r="G2242" s="87">
        <f>VLOOKUP(C2242,HSD!B:K,10,FALSE)</f>
        <v>2331</v>
      </c>
      <c r="H2242" s="87">
        <f>F2242*G2242</f>
        <v>7575.75</v>
      </c>
      <c r="I2242" s="87">
        <v>1060</v>
      </c>
      <c r="J2242" s="87">
        <f>F2242*I2242</f>
        <v>3445</v>
      </c>
      <c r="K2242" s="87">
        <v>1060</v>
      </c>
      <c r="L2242" s="87">
        <f>F2242*K2242</f>
        <v>3445</v>
      </c>
    </row>
    <row r="2243" spans="1:12" ht="12" customHeight="1" x14ac:dyDescent="0.35">
      <c r="B2243" s="84"/>
      <c r="C2243" s="85"/>
      <c r="D2243" s="84"/>
      <c r="E2243" s="84"/>
      <c r="F2243" s="128"/>
      <c r="G2243" s="87"/>
      <c r="H2243" s="87">
        <f>F2243*G2243</f>
        <v>0</v>
      </c>
      <c r="I2243" s="87">
        <v>215000</v>
      </c>
      <c r="J2243" s="87">
        <f>F2243*I2243</f>
        <v>0</v>
      </c>
      <c r="K2243" s="87">
        <v>250000</v>
      </c>
      <c r="L2243" s="87">
        <f>F2243*K2243</f>
        <v>0</v>
      </c>
    </row>
    <row r="2244" spans="1:12" ht="12" customHeight="1" x14ac:dyDescent="0.35">
      <c r="B2244" s="84"/>
      <c r="C2244" s="85"/>
      <c r="D2244" s="84"/>
      <c r="E2244" s="84"/>
      <c r="F2244" s="128"/>
      <c r="G2244" s="87"/>
      <c r="H2244" s="87"/>
      <c r="I2244" s="87"/>
      <c r="J2244" s="87"/>
      <c r="K2244" s="87"/>
      <c r="L2244" s="87"/>
    </row>
    <row r="2245" spans="1:12" ht="12" customHeight="1" x14ac:dyDescent="0.35">
      <c r="B2245" s="84"/>
      <c r="C2245" s="88"/>
      <c r="D2245" s="79"/>
      <c r="E2245" s="79"/>
      <c r="F2245" s="129" t="s">
        <v>423</v>
      </c>
      <c r="G2245" s="129"/>
      <c r="H2245" s="87">
        <f>SUM(H2242:H2244)</f>
        <v>7575.75</v>
      </c>
      <c r="I2245" s="101"/>
      <c r="J2245" s="87" t="e">
        <f>SUM(#REF!)</f>
        <v>#REF!</v>
      </c>
      <c r="K2245" s="101"/>
      <c r="L2245" s="87" t="e">
        <f>SUM(#REF!)</f>
        <v>#REF!</v>
      </c>
    </row>
    <row r="2246" spans="1:12" ht="12" customHeight="1" x14ac:dyDescent="0.35">
      <c r="B2246" s="84" t="s">
        <v>7</v>
      </c>
      <c r="C2246" s="88" t="s">
        <v>424</v>
      </c>
      <c r="D2246" s="79"/>
      <c r="E2246" s="79"/>
      <c r="F2246" s="90"/>
      <c r="G2246" s="84"/>
      <c r="H2246" s="87"/>
      <c r="I2246" s="84"/>
      <c r="J2246" s="87"/>
      <c r="K2246" s="84"/>
      <c r="L2246" s="87"/>
    </row>
    <row r="2247" spans="1:12" ht="12" customHeight="1" x14ac:dyDescent="0.35">
      <c r="B2247" s="84"/>
      <c r="C2247" s="85"/>
      <c r="D2247" s="84"/>
      <c r="E2247" s="84"/>
      <c r="F2247" s="128"/>
      <c r="G2247" s="87"/>
      <c r="H2247" s="87">
        <f>F2247*G2247</f>
        <v>0</v>
      </c>
      <c r="I2247" s="87"/>
      <c r="J2247" s="87">
        <f>H2247*I2247</f>
        <v>0</v>
      </c>
      <c r="K2247" s="87"/>
      <c r="L2247" s="87">
        <f>J2247*K2247</f>
        <v>0</v>
      </c>
    </row>
    <row r="2248" spans="1:12" ht="12" customHeight="1" x14ac:dyDescent="0.35">
      <c r="B2248" s="84"/>
      <c r="C2248" s="85"/>
      <c r="D2248" s="84"/>
      <c r="E2248" s="84"/>
      <c r="F2248" s="128"/>
      <c r="G2248" s="87"/>
      <c r="H2248" s="87">
        <f>F2248*G2248</f>
        <v>0</v>
      </c>
      <c r="I2248" s="87"/>
      <c r="J2248" s="87"/>
      <c r="K2248" s="87"/>
      <c r="L2248" s="87"/>
    </row>
    <row r="2249" spans="1:12" ht="12" customHeight="1" x14ac:dyDescent="0.35">
      <c r="B2249" s="84"/>
      <c r="C2249" s="88"/>
      <c r="D2249" s="79"/>
      <c r="E2249" s="79"/>
      <c r="F2249" s="89" t="s">
        <v>425</v>
      </c>
      <c r="G2249" s="101"/>
      <c r="H2249" s="87">
        <f>SUM(H2247:H2248)</f>
        <v>0</v>
      </c>
      <c r="I2249" s="101"/>
      <c r="J2249" s="87">
        <f>SUM(J2247)</f>
        <v>0</v>
      </c>
      <c r="K2249" s="101"/>
      <c r="L2249" s="87">
        <f>SUM(L2247)</f>
        <v>0</v>
      </c>
    </row>
    <row r="2250" spans="1:12" ht="12" customHeight="1" x14ac:dyDescent="0.35">
      <c r="B2250" s="84" t="s">
        <v>8</v>
      </c>
      <c r="C2250" s="103" t="s">
        <v>426</v>
      </c>
      <c r="D2250" s="104"/>
      <c r="E2250" s="104"/>
      <c r="F2250" s="104"/>
      <c r="G2250" s="105"/>
      <c r="H2250" s="87">
        <f>H2240+H2245+H2249</f>
        <v>47575.75</v>
      </c>
      <c r="I2250" s="105"/>
      <c r="J2250" s="87" t="e">
        <f>J2240+J2245+J2249</f>
        <v>#REF!</v>
      </c>
      <c r="K2250" s="105"/>
      <c r="L2250" s="87" t="e">
        <f>L2240+L2245+L2249</f>
        <v>#REF!</v>
      </c>
    </row>
    <row r="2251" spans="1:12" ht="12" customHeight="1" x14ac:dyDescent="0.35">
      <c r="B2251" s="84" t="s">
        <v>9</v>
      </c>
      <c r="C2251" s="455" t="s">
        <v>427</v>
      </c>
      <c r="D2251" s="455"/>
      <c r="E2251" s="455"/>
      <c r="F2251" s="95">
        <f>0</f>
        <v>0</v>
      </c>
      <c r="G2251" s="85" t="s">
        <v>428</v>
      </c>
      <c r="H2251" s="87">
        <f>H2250*F2251</f>
        <v>0</v>
      </c>
      <c r="I2251" s="85" t="s">
        <v>428</v>
      </c>
      <c r="J2251" s="87" t="e">
        <f>J2250*F2251</f>
        <v>#REF!</v>
      </c>
      <c r="K2251" s="85" t="s">
        <v>428</v>
      </c>
      <c r="L2251" s="87" t="e">
        <f>L2250*F2251</f>
        <v>#REF!</v>
      </c>
    </row>
    <row r="2252" spans="1:12" ht="12" customHeight="1" x14ac:dyDescent="0.35">
      <c r="B2252" s="84" t="s">
        <v>10</v>
      </c>
      <c r="C2252" s="103" t="s">
        <v>429</v>
      </c>
      <c r="D2252" s="104"/>
      <c r="E2252" s="104"/>
      <c r="F2252" s="104"/>
      <c r="G2252" s="105"/>
      <c r="H2252" s="96">
        <f>H2250+H2251</f>
        <v>47575.75</v>
      </c>
      <c r="I2252" s="97"/>
      <c r="J2252" s="96" t="e">
        <f>J2250+J2251</f>
        <v>#REF!</v>
      </c>
      <c r="K2252" s="97"/>
      <c r="L2252" s="96" t="e">
        <f>L2250+L2251</f>
        <v>#REF!</v>
      </c>
    </row>
    <row r="2254" spans="1:12" ht="37" customHeight="1" x14ac:dyDescent="0.35">
      <c r="B2254" s="76" t="s">
        <v>691</v>
      </c>
      <c r="C2254" s="458" t="s">
        <v>686</v>
      </c>
      <c r="D2254" s="459"/>
      <c r="E2254" s="459"/>
      <c r="F2254" s="459"/>
      <c r="G2254" s="456"/>
      <c r="H2254" s="457"/>
      <c r="I2254" s="455" t="s">
        <v>3</v>
      </c>
      <c r="J2254" s="455"/>
      <c r="K2254" s="455" t="s">
        <v>4</v>
      </c>
      <c r="L2254" s="455"/>
    </row>
    <row r="2255" spans="1:12" ht="12" customHeight="1" x14ac:dyDescent="0.35">
      <c r="B2255" s="451" t="s">
        <v>409</v>
      </c>
      <c r="C2255" s="451" t="s">
        <v>410</v>
      </c>
      <c r="D2255" s="452" t="s">
        <v>411</v>
      </c>
      <c r="E2255" s="451" t="s">
        <v>412</v>
      </c>
      <c r="F2255" s="451" t="s">
        <v>413</v>
      </c>
      <c r="G2255" s="77" t="s">
        <v>414</v>
      </c>
      <c r="H2255" s="77" t="s">
        <v>415</v>
      </c>
      <c r="I2255" s="78" t="s">
        <v>414</v>
      </c>
      <c r="J2255" s="79" t="s">
        <v>415</v>
      </c>
      <c r="K2255" s="79" t="s">
        <v>414</v>
      </c>
      <c r="L2255" s="79" t="s">
        <v>415</v>
      </c>
    </row>
    <row r="2256" spans="1:12" ht="12" customHeight="1" x14ac:dyDescent="0.35">
      <c r="B2256" s="451"/>
      <c r="C2256" s="451"/>
      <c r="D2256" s="453"/>
      <c r="E2256" s="451"/>
      <c r="F2256" s="451"/>
      <c r="G2256" s="77" t="s">
        <v>17</v>
      </c>
      <c r="H2256" s="77" t="s">
        <v>416</v>
      </c>
      <c r="I2256" s="78" t="s">
        <v>17</v>
      </c>
      <c r="J2256" s="79" t="s">
        <v>416</v>
      </c>
      <c r="K2256" s="79" t="s">
        <v>17</v>
      </c>
      <c r="L2256" s="79" t="s">
        <v>416</v>
      </c>
    </row>
    <row r="2257" spans="1:12" ht="12" customHeight="1" x14ac:dyDescent="0.35">
      <c r="B2257" s="451"/>
      <c r="C2257" s="451"/>
      <c r="D2257" s="454"/>
      <c r="E2257" s="451"/>
      <c r="F2257" s="451"/>
      <c r="G2257" s="106"/>
      <c r="H2257" s="77" t="s">
        <v>17</v>
      </c>
      <c r="I2257" s="94"/>
      <c r="J2257" s="79" t="s">
        <v>17</v>
      </c>
      <c r="K2257" s="85"/>
      <c r="L2257" s="79" t="s">
        <v>17</v>
      </c>
    </row>
    <row r="2258" spans="1:12" ht="12" customHeight="1" x14ac:dyDescent="0.35">
      <c r="B2258" s="80" t="s">
        <v>5</v>
      </c>
      <c r="C2258" s="81" t="s">
        <v>417</v>
      </c>
      <c r="D2258" s="82"/>
      <c r="E2258" s="82"/>
      <c r="F2258" s="82"/>
      <c r="G2258" s="82"/>
      <c r="H2258" s="82"/>
      <c r="I2258" s="83"/>
      <c r="J2258" s="83"/>
      <c r="K2258" s="83"/>
      <c r="L2258" s="83"/>
    </row>
    <row r="2259" spans="1:12" ht="12" customHeight="1" x14ac:dyDescent="0.35">
      <c r="A2259" s="134">
        <v>10130000</v>
      </c>
      <c r="B2259" s="84"/>
      <c r="C2259" s="85" t="s">
        <v>28</v>
      </c>
      <c r="D2259" s="84" t="s">
        <v>418</v>
      </c>
      <c r="E2259" s="84" t="str">
        <f>VLOOKUP(C2259,HSD!B:K,2,FALSE)</f>
        <v>OH</v>
      </c>
      <c r="F2259" s="128">
        <v>0.8</v>
      </c>
      <c r="G2259" s="87">
        <f>VLOOKUP(C2259,HSD!B:K,10,FALSE)</f>
        <v>120000</v>
      </c>
      <c r="H2259" s="87">
        <f>F2259*G2259</f>
        <v>96000</v>
      </c>
      <c r="I2259" s="87">
        <v>91500</v>
      </c>
      <c r="J2259" s="87">
        <f>F2259*I2259</f>
        <v>73200</v>
      </c>
      <c r="K2259" s="87">
        <v>91500</v>
      </c>
      <c r="L2259" s="87">
        <f>F2259*K2259</f>
        <v>73200</v>
      </c>
    </row>
    <row r="2260" spans="1:12" ht="12" customHeight="1" x14ac:dyDescent="0.35">
      <c r="A2260" s="134">
        <v>10143000</v>
      </c>
      <c r="B2260" s="84"/>
      <c r="C2260" s="85" t="s">
        <v>435</v>
      </c>
      <c r="D2260" s="84" t="s">
        <v>418</v>
      </c>
      <c r="E2260" s="84" t="str">
        <f>VLOOKUP(C2260,HSD!B:K,2,FALSE)</f>
        <v>OH</v>
      </c>
      <c r="F2260" s="128">
        <v>0.4</v>
      </c>
      <c r="G2260" s="87">
        <f>VLOOKUP(C2260,HSD!B:K,10,FALSE)</f>
        <v>250000</v>
      </c>
      <c r="H2260" s="87">
        <f>F2260*G2260</f>
        <v>100000</v>
      </c>
      <c r="I2260" s="87"/>
      <c r="J2260" s="87"/>
      <c r="K2260" s="87"/>
      <c r="L2260" s="87"/>
    </row>
    <row r="2261" spans="1:12" ht="12" customHeight="1" x14ac:dyDescent="0.35">
      <c r="A2261" s="134">
        <v>10110000</v>
      </c>
      <c r="B2261" s="84"/>
      <c r="C2261" s="85" t="s">
        <v>30</v>
      </c>
      <c r="D2261" s="84" t="s">
        <v>418</v>
      </c>
      <c r="E2261" s="84" t="str">
        <f>VLOOKUP(C2261,HSD!B:K,2,FALSE)</f>
        <v>OH</v>
      </c>
      <c r="F2261" s="128">
        <f>F2259/10</f>
        <v>0.08</v>
      </c>
      <c r="G2261" s="87">
        <f>VLOOKUP(C2261,HSD!B:K,10,FALSE)</f>
        <v>150000</v>
      </c>
      <c r="H2261" s="87">
        <f>F2261*G2261</f>
        <v>12000</v>
      </c>
      <c r="I2261" s="87">
        <v>78600</v>
      </c>
      <c r="J2261" s="87">
        <f>F2261*I2261</f>
        <v>6288</v>
      </c>
      <c r="K2261" s="87">
        <v>78600</v>
      </c>
      <c r="L2261" s="87">
        <f>F2261*K2261</f>
        <v>6288</v>
      </c>
    </row>
    <row r="2262" spans="1:12" ht="12" customHeight="1" x14ac:dyDescent="0.35">
      <c r="B2262" s="84"/>
      <c r="C2262" s="85"/>
      <c r="D2262" s="84"/>
      <c r="E2262" s="84"/>
      <c r="F2262" s="86"/>
      <c r="G2262" s="87"/>
      <c r="H2262" s="87">
        <f>F2262*G2262</f>
        <v>0</v>
      </c>
      <c r="I2262" s="87">
        <v>92500</v>
      </c>
      <c r="J2262" s="87">
        <f>F2262*I2262</f>
        <v>0</v>
      </c>
      <c r="K2262" s="87">
        <v>92500</v>
      </c>
      <c r="L2262" s="87">
        <f>F2262*K2262</f>
        <v>0</v>
      </c>
    </row>
    <row r="2263" spans="1:12" ht="12" customHeight="1" x14ac:dyDescent="0.35">
      <c r="B2263" s="84"/>
      <c r="C2263" s="85"/>
      <c r="D2263" s="84"/>
      <c r="E2263" s="84"/>
      <c r="F2263" s="86"/>
      <c r="G2263" s="87"/>
      <c r="H2263" s="87"/>
      <c r="I2263" s="87"/>
      <c r="J2263" s="87"/>
      <c r="K2263" s="87"/>
      <c r="L2263" s="87"/>
    </row>
    <row r="2264" spans="1:12" ht="12" customHeight="1" x14ac:dyDescent="0.35">
      <c r="B2264" s="84"/>
      <c r="C2264" s="88"/>
      <c r="D2264" s="79"/>
      <c r="E2264" s="79"/>
      <c r="F2264" s="89" t="s">
        <v>421</v>
      </c>
      <c r="G2264" s="101"/>
      <c r="H2264" s="87">
        <f>SUM(H2259:H2263)</f>
        <v>208000</v>
      </c>
      <c r="I2264" s="101"/>
      <c r="J2264" s="87">
        <f>SUM(J2261:J2263)</f>
        <v>6288</v>
      </c>
      <c r="K2264" s="101"/>
      <c r="L2264" s="87">
        <f>SUM(L2261:L2263)</f>
        <v>6288</v>
      </c>
    </row>
    <row r="2265" spans="1:12" ht="12" customHeight="1" x14ac:dyDescent="0.35">
      <c r="B2265" s="84" t="s">
        <v>6</v>
      </c>
      <c r="C2265" s="88" t="s">
        <v>422</v>
      </c>
      <c r="D2265" s="79"/>
      <c r="E2265" s="79"/>
      <c r="F2265" s="90"/>
      <c r="G2265" s="84"/>
      <c r="H2265" s="87"/>
      <c r="I2265" s="84"/>
      <c r="J2265" s="87"/>
      <c r="K2265" s="84"/>
      <c r="L2265" s="87"/>
    </row>
    <row r="2266" spans="1:12" ht="12" customHeight="1" x14ac:dyDescent="0.35">
      <c r="A2266" s="134">
        <v>211100102</v>
      </c>
      <c r="B2266" s="84"/>
      <c r="C2266" s="85" t="s">
        <v>1794</v>
      </c>
      <c r="D2266" s="84" t="s">
        <v>418</v>
      </c>
      <c r="E2266" s="84" t="str">
        <f>VLOOKUP(C2266,HSD!B:K,2,FALSE)</f>
        <v>m3</v>
      </c>
      <c r="F2266" s="128">
        <v>1.25</v>
      </c>
      <c r="G2266" s="87">
        <f>VLOOKUP(C2266,HSD!B:K,10,FALSE)</f>
        <v>525030</v>
      </c>
      <c r="H2266" s="87">
        <f>F2266*G2266</f>
        <v>656287.5</v>
      </c>
      <c r="I2266" s="87">
        <v>232500</v>
      </c>
      <c r="J2266" s="87">
        <f>F2266*I2266</f>
        <v>290625</v>
      </c>
      <c r="K2266" s="87">
        <v>270000</v>
      </c>
      <c r="L2266" s="87">
        <f>F2266*K2266</f>
        <v>337500</v>
      </c>
    </row>
    <row r="2267" spans="1:12" ht="12" customHeight="1" x14ac:dyDescent="0.35">
      <c r="B2267" s="84"/>
      <c r="C2267" s="85"/>
      <c r="D2267" s="84"/>
      <c r="E2267" s="84"/>
      <c r="F2267" s="128"/>
      <c r="G2267" s="87"/>
      <c r="H2267" s="87">
        <f>F2267*G2267</f>
        <v>0</v>
      </c>
      <c r="I2267" s="87">
        <v>1060</v>
      </c>
      <c r="J2267" s="87">
        <f>F2267*I2267</f>
        <v>0</v>
      </c>
      <c r="K2267" s="87">
        <v>1060</v>
      </c>
      <c r="L2267" s="87">
        <f>F2267*K2267</f>
        <v>0</v>
      </c>
    </row>
    <row r="2268" spans="1:12" ht="12" customHeight="1" x14ac:dyDescent="0.35">
      <c r="B2268" s="84"/>
      <c r="C2268" s="85"/>
      <c r="D2268" s="84"/>
      <c r="E2268" s="84"/>
      <c r="F2268" s="128"/>
      <c r="G2268" s="87"/>
      <c r="H2268" s="87">
        <f>F2268*G2268</f>
        <v>0</v>
      </c>
      <c r="I2268" s="87">
        <v>215000</v>
      </c>
      <c r="J2268" s="87">
        <f>F2268*I2268</f>
        <v>0</v>
      </c>
      <c r="K2268" s="87">
        <v>250000</v>
      </c>
      <c r="L2268" s="87">
        <f>F2268*K2268</f>
        <v>0</v>
      </c>
    </row>
    <row r="2269" spans="1:12" ht="12" customHeight="1" x14ac:dyDescent="0.35">
      <c r="B2269" s="84"/>
      <c r="C2269" s="85"/>
      <c r="D2269" s="84"/>
      <c r="E2269" s="84"/>
      <c r="F2269" s="128"/>
      <c r="G2269" s="87"/>
      <c r="H2269" s="87"/>
      <c r="I2269" s="87"/>
      <c r="J2269" s="87"/>
      <c r="K2269" s="87"/>
      <c r="L2269" s="87"/>
    </row>
    <row r="2270" spans="1:12" ht="12" customHeight="1" x14ac:dyDescent="0.35">
      <c r="B2270" s="84"/>
      <c r="C2270" s="88"/>
      <c r="D2270" s="79"/>
      <c r="E2270" s="79"/>
      <c r="F2270" s="129" t="s">
        <v>423</v>
      </c>
      <c r="G2270" s="129"/>
      <c r="H2270" s="87">
        <f>SUM(H2266:H2269)</f>
        <v>656287.5</v>
      </c>
      <c r="I2270" s="101"/>
      <c r="J2270" s="87" t="e">
        <f>SUM(#REF!)</f>
        <v>#REF!</v>
      </c>
      <c r="K2270" s="101"/>
      <c r="L2270" s="87" t="e">
        <f>SUM(#REF!)</f>
        <v>#REF!</v>
      </c>
    </row>
    <row r="2271" spans="1:12" ht="12" customHeight="1" x14ac:dyDescent="0.35">
      <c r="B2271" s="84" t="s">
        <v>7</v>
      </c>
      <c r="C2271" s="88" t="s">
        <v>424</v>
      </c>
      <c r="D2271" s="79"/>
      <c r="E2271" s="79"/>
      <c r="F2271" s="90"/>
      <c r="G2271" s="84"/>
      <c r="H2271" s="87"/>
      <c r="I2271" s="84"/>
      <c r="J2271" s="87"/>
      <c r="K2271" s="84"/>
      <c r="L2271" s="87"/>
    </row>
    <row r="2272" spans="1:12" ht="12" customHeight="1" x14ac:dyDescent="0.35">
      <c r="B2272" s="84"/>
      <c r="C2272" s="85"/>
      <c r="D2272" s="84"/>
      <c r="E2272" s="84"/>
      <c r="F2272" s="128"/>
      <c r="G2272" s="87"/>
      <c r="H2272" s="87">
        <f>F2272*G2272</f>
        <v>0</v>
      </c>
      <c r="I2272" s="87"/>
      <c r="J2272" s="87">
        <f>H2272*I2272</f>
        <v>0</v>
      </c>
      <c r="K2272" s="87"/>
      <c r="L2272" s="87">
        <f>J2272*K2272</f>
        <v>0</v>
      </c>
    </row>
    <row r="2273" spans="1:12" ht="12" customHeight="1" x14ac:dyDescent="0.35">
      <c r="B2273" s="84"/>
      <c r="C2273" s="85"/>
      <c r="D2273" s="84"/>
      <c r="E2273" s="84"/>
      <c r="F2273" s="128"/>
      <c r="G2273" s="87"/>
      <c r="H2273" s="87">
        <f>F2273*G2273</f>
        <v>0</v>
      </c>
      <c r="I2273" s="87"/>
      <c r="J2273" s="87"/>
      <c r="K2273" s="87"/>
      <c r="L2273" s="87"/>
    </row>
    <row r="2274" spans="1:12" ht="12" customHeight="1" x14ac:dyDescent="0.35">
      <c r="B2274" s="84"/>
      <c r="C2274" s="88"/>
      <c r="D2274" s="79"/>
      <c r="E2274" s="79"/>
      <c r="F2274" s="89" t="s">
        <v>425</v>
      </c>
      <c r="G2274" s="101"/>
      <c r="H2274" s="87">
        <f>SUM(H2272:H2273)</f>
        <v>0</v>
      </c>
      <c r="I2274" s="101"/>
      <c r="J2274" s="87">
        <f>SUM(J2272)</f>
        <v>0</v>
      </c>
      <c r="K2274" s="101"/>
      <c r="L2274" s="87">
        <f>SUM(L2272)</f>
        <v>0</v>
      </c>
    </row>
    <row r="2275" spans="1:12" ht="12" customHeight="1" x14ac:dyDescent="0.35">
      <c r="B2275" s="84" t="s">
        <v>8</v>
      </c>
      <c r="C2275" s="103" t="s">
        <v>426</v>
      </c>
      <c r="D2275" s="104"/>
      <c r="E2275" s="104"/>
      <c r="F2275" s="104"/>
      <c r="G2275" s="105"/>
      <c r="H2275" s="87">
        <f>H2264+H2270+H2274</f>
        <v>864287.5</v>
      </c>
      <c r="I2275" s="105"/>
      <c r="J2275" s="87" t="e">
        <f>J2264+J2270+J2274</f>
        <v>#REF!</v>
      </c>
      <c r="K2275" s="105"/>
      <c r="L2275" s="87" t="e">
        <f>L2264+L2270+L2274</f>
        <v>#REF!</v>
      </c>
    </row>
    <row r="2276" spans="1:12" ht="12" customHeight="1" x14ac:dyDescent="0.35">
      <c r="B2276" s="84" t="s">
        <v>9</v>
      </c>
      <c r="C2276" s="455" t="s">
        <v>427</v>
      </c>
      <c r="D2276" s="455"/>
      <c r="E2276" s="455"/>
      <c r="F2276" s="95">
        <f>0</f>
        <v>0</v>
      </c>
      <c r="G2276" s="85" t="s">
        <v>428</v>
      </c>
      <c r="H2276" s="87">
        <f>H2275*F2276</f>
        <v>0</v>
      </c>
      <c r="I2276" s="85" t="s">
        <v>428</v>
      </c>
      <c r="J2276" s="87" t="e">
        <f>J2275*F2276</f>
        <v>#REF!</v>
      </c>
      <c r="K2276" s="85" t="s">
        <v>428</v>
      </c>
      <c r="L2276" s="87" t="e">
        <f>L2275*F2276</f>
        <v>#REF!</v>
      </c>
    </row>
    <row r="2277" spans="1:12" ht="12" customHeight="1" x14ac:dyDescent="0.35">
      <c r="B2277" s="84" t="s">
        <v>10</v>
      </c>
      <c r="C2277" s="103" t="s">
        <v>429</v>
      </c>
      <c r="D2277" s="104"/>
      <c r="E2277" s="104"/>
      <c r="F2277" s="104"/>
      <c r="G2277" s="105"/>
      <c r="H2277" s="96">
        <f>H2275+H2276</f>
        <v>864287.5</v>
      </c>
      <c r="I2277" s="97"/>
      <c r="J2277" s="96" t="e">
        <f>J2275+J2276</f>
        <v>#REF!</v>
      </c>
      <c r="K2277" s="97"/>
      <c r="L2277" s="96" t="e">
        <f>L2275+L2276</f>
        <v>#REF!</v>
      </c>
    </row>
    <row r="2279" spans="1:12" ht="37" customHeight="1" x14ac:dyDescent="0.35">
      <c r="B2279" s="76" t="s">
        <v>690</v>
      </c>
      <c r="C2279" s="458" t="s">
        <v>687</v>
      </c>
      <c r="D2279" s="459"/>
      <c r="E2279" s="459"/>
      <c r="F2279" s="459"/>
      <c r="G2279" s="456"/>
      <c r="H2279" s="457"/>
      <c r="I2279" s="455" t="s">
        <v>3</v>
      </c>
      <c r="J2279" s="455"/>
      <c r="K2279" s="455" t="s">
        <v>4</v>
      </c>
      <c r="L2279" s="455"/>
    </row>
    <row r="2280" spans="1:12" ht="12" customHeight="1" x14ac:dyDescent="0.35">
      <c r="B2280" s="451" t="s">
        <v>409</v>
      </c>
      <c r="C2280" s="451" t="s">
        <v>410</v>
      </c>
      <c r="D2280" s="452" t="s">
        <v>411</v>
      </c>
      <c r="E2280" s="451" t="s">
        <v>412</v>
      </c>
      <c r="F2280" s="451" t="s">
        <v>413</v>
      </c>
      <c r="G2280" s="77" t="s">
        <v>414</v>
      </c>
      <c r="H2280" s="77" t="s">
        <v>415</v>
      </c>
      <c r="I2280" s="78" t="s">
        <v>414</v>
      </c>
      <c r="J2280" s="79" t="s">
        <v>415</v>
      </c>
      <c r="K2280" s="79" t="s">
        <v>414</v>
      </c>
      <c r="L2280" s="79" t="s">
        <v>415</v>
      </c>
    </row>
    <row r="2281" spans="1:12" ht="12" customHeight="1" x14ac:dyDescent="0.35">
      <c r="B2281" s="451"/>
      <c r="C2281" s="451"/>
      <c r="D2281" s="453"/>
      <c r="E2281" s="451"/>
      <c r="F2281" s="451"/>
      <c r="G2281" s="77" t="s">
        <v>17</v>
      </c>
      <c r="H2281" s="77" t="s">
        <v>416</v>
      </c>
      <c r="I2281" s="78" t="s">
        <v>17</v>
      </c>
      <c r="J2281" s="79" t="s">
        <v>416</v>
      </c>
      <c r="K2281" s="79" t="s">
        <v>17</v>
      </c>
      <c r="L2281" s="79" t="s">
        <v>416</v>
      </c>
    </row>
    <row r="2282" spans="1:12" ht="12" customHeight="1" x14ac:dyDescent="0.35">
      <c r="B2282" s="451"/>
      <c r="C2282" s="451"/>
      <c r="D2282" s="454"/>
      <c r="E2282" s="451"/>
      <c r="F2282" s="451"/>
      <c r="G2282" s="106"/>
      <c r="H2282" s="77" t="s">
        <v>17</v>
      </c>
      <c r="I2282" s="94"/>
      <c r="J2282" s="79" t="s">
        <v>17</v>
      </c>
      <c r="K2282" s="85"/>
      <c r="L2282" s="79" t="s">
        <v>17</v>
      </c>
    </row>
    <row r="2283" spans="1:12" ht="12" customHeight="1" x14ac:dyDescent="0.35">
      <c r="B2283" s="80" t="s">
        <v>5</v>
      </c>
      <c r="C2283" s="81" t="s">
        <v>417</v>
      </c>
      <c r="D2283" s="82"/>
      <c r="E2283" s="82"/>
      <c r="F2283" s="82"/>
      <c r="G2283" s="82"/>
      <c r="H2283" s="82"/>
      <c r="I2283" s="83"/>
      <c r="J2283" s="83"/>
      <c r="K2283" s="83"/>
      <c r="L2283" s="83"/>
    </row>
    <row r="2284" spans="1:12" ht="12" customHeight="1" x14ac:dyDescent="0.35">
      <c r="A2284" s="134">
        <v>10130000</v>
      </c>
      <c r="B2284" s="84"/>
      <c r="C2284" s="85" t="s">
        <v>28</v>
      </c>
      <c r="D2284" s="84" t="s">
        <v>418</v>
      </c>
      <c r="E2284" s="84" t="str">
        <f>VLOOKUP(C2284,HSD!B:K,2,FALSE)</f>
        <v>OH</v>
      </c>
      <c r="F2284" s="128">
        <v>1.1416999999999999</v>
      </c>
      <c r="G2284" s="87">
        <f>VLOOKUP(C2284,HSD!B:K,10,FALSE)</f>
        <v>120000</v>
      </c>
      <c r="H2284" s="87">
        <f>F2284*G2284</f>
        <v>137004</v>
      </c>
      <c r="I2284" s="87">
        <v>91500</v>
      </c>
      <c r="J2284" s="87">
        <f>F2284*I2284</f>
        <v>104465.54999999999</v>
      </c>
      <c r="K2284" s="87">
        <v>91500</v>
      </c>
      <c r="L2284" s="87">
        <f>F2284*K2284</f>
        <v>104465.54999999999</v>
      </c>
    </row>
    <row r="2285" spans="1:12" ht="12" customHeight="1" x14ac:dyDescent="0.35">
      <c r="A2285" s="134">
        <v>10143000</v>
      </c>
      <c r="B2285" s="84"/>
      <c r="C2285" s="85" t="s">
        <v>435</v>
      </c>
      <c r="D2285" s="84" t="s">
        <v>418</v>
      </c>
      <c r="E2285" s="84" t="str">
        <f>VLOOKUP(C2285,HSD!B:K,2,FALSE)</f>
        <v>OH</v>
      </c>
      <c r="F2285" s="128">
        <v>0.57089999999999996</v>
      </c>
      <c r="G2285" s="87">
        <f>VLOOKUP(C2285,HSD!B:K,10,FALSE)</f>
        <v>250000</v>
      </c>
      <c r="H2285" s="87">
        <f>F2285*G2285</f>
        <v>142725</v>
      </c>
      <c r="I2285" s="87"/>
      <c r="J2285" s="87"/>
      <c r="K2285" s="87"/>
      <c r="L2285" s="87"/>
    </row>
    <row r="2286" spans="1:12" ht="12" customHeight="1" x14ac:dyDescent="0.35">
      <c r="A2286" s="134">
        <v>10110000</v>
      </c>
      <c r="B2286" s="84"/>
      <c r="C2286" s="85" t="s">
        <v>30</v>
      </c>
      <c r="D2286" s="84" t="s">
        <v>418</v>
      </c>
      <c r="E2286" s="84" t="str">
        <f>VLOOKUP(C2286,HSD!B:K,2,FALSE)</f>
        <v>OH</v>
      </c>
      <c r="F2286" s="128">
        <f>F2284/10</f>
        <v>0.11416999999999999</v>
      </c>
      <c r="G2286" s="87">
        <f>VLOOKUP(C2286,HSD!B:K,10,FALSE)</f>
        <v>150000</v>
      </c>
      <c r="H2286" s="87">
        <f>F2286*G2286</f>
        <v>17125.5</v>
      </c>
      <c r="I2286" s="87">
        <v>78600</v>
      </c>
      <c r="J2286" s="87">
        <f>F2286*I2286</f>
        <v>8973.7619999999988</v>
      </c>
      <c r="K2286" s="87">
        <v>78600</v>
      </c>
      <c r="L2286" s="87">
        <f>F2286*K2286</f>
        <v>8973.7619999999988</v>
      </c>
    </row>
    <row r="2287" spans="1:12" ht="12" customHeight="1" x14ac:dyDescent="0.35">
      <c r="B2287" s="84"/>
      <c r="C2287" s="85"/>
      <c r="D2287" s="84"/>
      <c r="E2287" s="84"/>
      <c r="F2287" s="86"/>
      <c r="G2287" s="87"/>
      <c r="H2287" s="87">
        <f>F2287*G2287</f>
        <v>0</v>
      </c>
      <c r="I2287" s="87">
        <v>92500</v>
      </c>
      <c r="J2287" s="87">
        <f>F2287*I2287</f>
        <v>0</v>
      </c>
      <c r="K2287" s="87">
        <v>92500</v>
      </c>
      <c r="L2287" s="87">
        <f>F2287*K2287</f>
        <v>0</v>
      </c>
    </row>
    <row r="2288" spans="1:12" ht="12" customHeight="1" x14ac:dyDescent="0.35">
      <c r="B2288" s="84"/>
      <c r="C2288" s="85"/>
      <c r="D2288" s="84"/>
      <c r="E2288" s="84"/>
      <c r="F2288" s="86"/>
      <c r="G2288" s="87"/>
      <c r="H2288" s="87"/>
      <c r="I2288" s="87"/>
      <c r="J2288" s="87"/>
      <c r="K2288" s="87"/>
      <c r="L2288" s="87"/>
    </row>
    <row r="2289" spans="1:12" ht="12" customHeight="1" x14ac:dyDescent="0.35">
      <c r="B2289" s="84"/>
      <c r="C2289" s="88"/>
      <c r="D2289" s="79"/>
      <c r="E2289" s="79"/>
      <c r="F2289" s="89" t="s">
        <v>421</v>
      </c>
      <c r="G2289" s="101"/>
      <c r="H2289" s="87">
        <f>SUM(H2284:H2288)</f>
        <v>296854.5</v>
      </c>
      <c r="I2289" s="101"/>
      <c r="J2289" s="87">
        <f>SUM(J2286:J2288)</f>
        <v>8973.7619999999988</v>
      </c>
      <c r="K2289" s="101"/>
      <c r="L2289" s="87">
        <f>SUM(L2286:L2288)</f>
        <v>8973.7619999999988</v>
      </c>
    </row>
    <row r="2290" spans="1:12" ht="12" customHeight="1" x14ac:dyDescent="0.35">
      <c r="B2290" s="84" t="s">
        <v>6</v>
      </c>
      <c r="C2290" s="88" t="s">
        <v>422</v>
      </c>
      <c r="D2290" s="79"/>
      <c r="E2290" s="79"/>
      <c r="F2290" s="90"/>
      <c r="G2290" s="84"/>
      <c r="H2290" s="87"/>
      <c r="I2290" s="84"/>
      <c r="J2290" s="87"/>
      <c r="K2290" s="84"/>
      <c r="L2290" s="87"/>
    </row>
    <row r="2291" spans="1:12" ht="12" customHeight="1" x14ac:dyDescent="0.35">
      <c r="A2291" s="134">
        <v>211100102</v>
      </c>
      <c r="B2291" s="84"/>
      <c r="C2291" s="85" t="s">
        <v>1794</v>
      </c>
      <c r="D2291" s="84" t="s">
        <v>418</v>
      </c>
      <c r="E2291" s="84" t="str">
        <f>VLOOKUP(C2291,HSD!B:K,2,FALSE)</f>
        <v>m3</v>
      </c>
      <c r="F2291" s="128">
        <v>1.25</v>
      </c>
      <c r="G2291" s="87">
        <f>VLOOKUP(C2291,HSD!B:K,10,FALSE)</f>
        <v>525030</v>
      </c>
      <c r="H2291" s="87">
        <f>F2291*G2291</f>
        <v>656287.5</v>
      </c>
      <c r="I2291" s="87">
        <v>232500</v>
      </c>
      <c r="J2291" s="87">
        <f>F2291*I2291</f>
        <v>290625</v>
      </c>
      <c r="K2291" s="87">
        <v>270000</v>
      </c>
      <c r="L2291" s="87">
        <f>F2291*K2291</f>
        <v>337500</v>
      </c>
    </row>
    <row r="2292" spans="1:12" ht="12" customHeight="1" x14ac:dyDescent="0.35">
      <c r="B2292" s="84"/>
      <c r="C2292" s="85"/>
      <c r="D2292" s="84"/>
      <c r="E2292" s="84"/>
      <c r="F2292" s="128"/>
      <c r="G2292" s="87"/>
      <c r="H2292" s="87">
        <f>F2292*G2292</f>
        <v>0</v>
      </c>
      <c r="I2292" s="87">
        <v>1060</v>
      </c>
      <c r="J2292" s="87">
        <f>F2292*I2292</f>
        <v>0</v>
      </c>
      <c r="K2292" s="87">
        <v>1060</v>
      </c>
      <c r="L2292" s="87">
        <f>F2292*K2292</f>
        <v>0</v>
      </c>
    </row>
    <row r="2293" spans="1:12" ht="12" customHeight="1" x14ac:dyDescent="0.35">
      <c r="B2293" s="84"/>
      <c r="C2293" s="85"/>
      <c r="D2293" s="84"/>
      <c r="E2293" s="84"/>
      <c r="F2293" s="128"/>
      <c r="G2293" s="87"/>
      <c r="H2293" s="87">
        <f>F2293*G2293</f>
        <v>0</v>
      </c>
      <c r="I2293" s="87">
        <v>215000</v>
      </c>
      <c r="J2293" s="87">
        <f>F2293*I2293</f>
        <v>0</v>
      </c>
      <c r="K2293" s="87">
        <v>250000</v>
      </c>
      <c r="L2293" s="87">
        <f>F2293*K2293</f>
        <v>0</v>
      </c>
    </row>
    <row r="2294" spans="1:12" ht="12" customHeight="1" x14ac:dyDescent="0.35">
      <c r="B2294" s="84"/>
      <c r="C2294" s="85"/>
      <c r="D2294" s="84"/>
      <c r="E2294" s="84"/>
      <c r="F2294" s="128"/>
      <c r="G2294" s="87"/>
      <c r="H2294" s="87"/>
      <c r="I2294" s="87"/>
      <c r="J2294" s="87"/>
      <c r="K2294" s="87"/>
      <c r="L2294" s="87"/>
    </row>
    <row r="2295" spans="1:12" ht="12" customHeight="1" x14ac:dyDescent="0.35">
      <c r="B2295" s="84"/>
      <c r="C2295" s="88"/>
      <c r="D2295" s="79"/>
      <c r="E2295" s="79"/>
      <c r="F2295" s="129" t="s">
        <v>423</v>
      </c>
      <c r="G2295" s="129"/>
      <c r="H2295" s="87">
        <f>SUM(H2291:H2294)</f>
        <v>656287.5</v>
      </c>
      <c r="I2295" s="101"/>
      <c r="J2295" s="87" t="e">
        <f>SUM(#REF!)</f>
        <v>#REF!</v>
      </c>
      <c r="K2295" s="101"/>
      <c r="L2295" s="87" t="e">
        <f>SUM(#REF!)</f>
        <v>#REF!</v>
      </c>
    </row>
    <row r="2296" spans="1:12" ht="12" customHeight="1" x14ac:dyDescent="0.35">
      <c r="B2296" s="84" t="s">
        <v>7</v>
      </c>
      <c r="C2296" s="88" t="s">
        <v>424</v>
      </c>
      <c r="D2296" s="79"/>
      <c r="E2296" s="79"/>
      <c r="F2296" s="90"/>
      <c r="G2296" s="84"/>
      <c r="H2296" s="87"/>
      <c r="I2296" s="84"/>
      <c r="J2296" s="87"/>
      <c r="K2296" s="84"/>
      <c r="L2296" s="87"/>
    </row>
    <row r="2297" spans="1:12" ht="12" customHeight="1" x14ac:dyDescent="0.35">
      <c r="B2297" s="84"/>
      <c r="C2297" s="85"/>
      <c r="D2297" s="84"/>
      <c r="E2297" s="84"/>
      <c r="F2297" s="128"/>
      <c r="G2297" s="87"/>
      <c r="H2297" s="87">
        <f>F2297*G2297</f>
        <v>0</v>
      </c>
      <c r="I2297" s="87"/>
      <c r="J2297" s="87">
        <f>H2297*I2297</f>
        <v>0</v>
      </c>
      <c r="K2297" s="87"/>
      <c r="L2297" s="87">
        <f>J2297*K2297</f>
        <v>0</v>
      </c>
    </row>
    <row r="2298" spans="1:12" ht="12" customHeight="1" x14ac:dyDescent="0.35">
      <c r="B2298" s="84"/>
      <c r="C2298" s="85"/>
      <c r="D2298" s="84"/>
      <c r="E2298" s="84"/>
      <c r="F2298" s="128"/>
      <c r="G2298" s="87"/>
      <c r="H2298" s="87">
        <f>F2298*G2298</f>
        <v>0</v>
      </c>
      <c r="I2298" s="87"/>
      <c r="J2298" s="87"/>
      <c r="K2298" s="87"/>
      <c r="L2298" s="87"/>
    </row>
    <row r="2299" spans="1:12" ht="12" customHeight="1" x14ac:dyDescent="0.35">
      <c r="B2299" s="84"/>
      <c r="C2299" s="88"/>
      <c r="D2299" s="79"/>
      <c r="E2299" s="79"/>
      <c r="F2299" s="89" t="s">
        <v>425</v>
      </c>
      <c r="G2299" s="101"/>
      <c r="H2299" s="87">
        <f>SUM(H2297:H2298)</f>
        <v>0</v>
      </c>
      <c r="I2299" s="101"/>
      <c r="J2299" s="87">
        <f>SUM(J2297)</f>
        <v>0</v>
      </c>
      <c r="K2299" s="101"/>
      <c r="L2299" s="87">
        <f>SUM(L2297)</f>
        <v>0</v>
      </c>
    </row>
    <row r="2300" spans="1:12" ht="12" customHeight="1" x14ac:dyDescent="0.35">
      <c r="B2300" s="84" t="s">
        <v>8</v>
      </c>
      <c r="C2300" s="103" t="s">
        <v>426</v>
      </c>
      <c r="D2300" s="104"/>
      <c r="E2300" s="104"/>
      <c r="F2300" s="104"/>
      <c r="G2300" s="105"/>
      <c r="H2300" s="87">
        <f>H2289+H2295+H2299</f>
        <v>953142</v>
      </c>
      <c r="I2300" s="105"/>
      <c r="J2300" s="87" t="e">
        <f>J2289+J2295+J2299</f>
        <v>#REF!</v>
      </c>
      <c r="K2300" s="105"/>
      <c r="L2300" s="87" t="e">
        <f>L2289+L2295+L2299</f>
        <v>#REF!</v>
      </c>
    </row>
    <row r="2301" spans="1:12" ht="12" customHeight="1" x14ac:dyDescent="0.35">
      <c r="B2301" s="84" t="s">
        <v>9</v>
      </c>
      <c r="C2301" s="455" t="s">
        <v>427</v>
      </c>
      <c r="D2301" s="455"/>
      <c r="E2301" s="455"/>
      <c r="F2301" s="95">
        <f>0</f>
        <v>0</v>
      </c>
      <c r="G2301" s="85" t="s">
        <v>428</v>
      </c>
      <c r="H2301" s="87">
        <f>H2300*F2301</f>
        <v>0</v>
      </c>
      <c r="I2301" s="85" t="s">
        <v>428</v>
      </c>
      <c r="J2301" s="87" t="e">
        <f>J2300*F2301</f>
        <v>#REF!</v>
      </c>
      <c r="K2301" s="85" t="s">
        <v>428</v>
      </c>
      <c r="L2301" s="87" t="e">
        <f>L2300*F2301</f>
        <v>#REF!</v>
      </c>
    </row>
    <row r="2302" spans="1:12" ht="12" customHeight="1" x14ac:dyDescent="0.35">
      <c r="B2302" s="84" t="s">
        <v>10</v>
      </c>
      <c r="C2302" s="103" t="s">
        <v>429</v>
      </c>
      <c r="D2302" s="104"/>
      <c r="E2302" s="104"/>
      <c r="F2302" s="104"/>
      <c r="G2302" s="105"/>
      <c r="H2302" s="96">
        <f>H2300+H2301</f>
        <v>953142</v>
      </c>
      <c r="I2302" s="97"/>
      <c r="J2302" s="96" t="e">
        <f>J2300+J2301</f>
        <v>#REF!</v>
      </c>
      <c r="K2302" s="97"/>
      <c r="L2302" s="96" t="e">
        <f>L2300+L2301</f>
        <v>#REF!</v>
      </c>
    </row>
    <row r="2304" spans="1:12" ht="37" customHeight="1" x14ac:dyDescent="0.35">
      <c r="B2304" s="76" t="s">
        <v>688</v>
      </c>
      <c r="C2304" s="458" t="s">
        <v>692</v>
      </c>
      <c r="D2304" s="459"/>
      <c r="E2304" s="459"/>
      <c r="F2304" s="459"/>
      <c r="G2304" s="456"/>
      <c r="H2304" s="457"/>
      <c r="I2304" s="455" t="s">
        <v>3</v>
      </c>
      <c r="J2304" s="455"/>
      <c r="K2304" s="455" t="s">
        <v>4</v>
      </c>
      <c r="L2304" s="455"/>
    </row>
    <row r="2305" spans="1:12" ht="12" customHeight="1" x14ac:dyDescent="0.35">
      <c r="B2305" s="451" t="s">
        <v>409</v>
      </c>
      <c r="C2305" s="451" t="s">
        <v>410</v>
      </c>
      <c r="D2305" s="452" t="s">
        <v>411</v>
      </c>
      <c r="E2305" s="451" t="s">
        <v>412</v>
      </c>
      <c r="F2305" s="451" t="s">
        <v>413</v>
      </c>
      <c r="G2305" s="77" t="s">
        <v>414</v>
      </c>
      <c r="H2305" s="77" t="s">
        <v>415</v>
      </c>
      <c r="I2305" s="78" t="s">
        <v>414</v>
      </c>
      <c r="J2305" s="79" t="s">
        <v>415</v>
      </c>
      <c r="K2305" s="79" t="s">
        <v>414</v>
      </c>
      <c r="L2305" s="79" t="s">
        <v>415</v>
      </c>
    </row>
    <row r="2306" spans="1:12" ht="12" customHeight="1" x14ac:dyDescent="0.35">
      <c r="B2306" s="451"/>
      <c r="C2306" s="451"/>
      <c r="D2306" s="453"/>
      <c r="E2306" s="451"/>
      <c r="F2306" s="451"/>
      <c r="G2306" s="77" t="s">
        <v>17</v>
      </c>
      <c r="H2306" s="77" t="s">
        <v>416</v>
      </c>
      <c r="I2306" s="78" t="s">
        <v>17</v>
      </c>
      <c r="J2306" s="79" t="s">
        <v>416</v>
      </c>
      <c r="K2306" s="79" t="s">
        <v>17</v>
      </c>
      <c r="L2306" s="79" t="s">
        <v>416</v>
      </c>
    </row>
    <row r="2307" spans="1:12" ht="12" customHeight="1" x14ac:dyDescent="0.35">
      <c r="B2307" s="451"/>
      <c r="C2307" s="451"/>
      <c r="D2307" s="454"/>
      <c r="E2307" s="451"/>
      <c r="F2307" s="451"/>
      <c r="G2307" s="106"/>
      <c r="H2307" s="77" t="s">
        <v>17</v>
      </c>
      <c r="I2307" s="94"/>
      <c r="J2307" s="79" t="s">
        <v>17</v>
      </c>
      <c r="K2307" s="85"/>
      <c r="L2307" s="79" t="s">
        <v>17</v>
      </c>
    </row>
    <row r="2308" spans="1:12" ht="12" customHeight="1" x14ac:dyDescent="0.35">
      <c r="B2308" s="80" t="s">
        <v>5</v>
      </c>
      <c r="C2308" s="81" t="s">
        <v>417</v>
      </c>
      <c r="D2308" s="82"/>
      <c r="E2308" s="82"/>
      <c r="F2308" s="82"/>
      <c r="G2308" s="82"/>
      <c r="H2308" s="82"/>
      <c r="I2308" s="83"/>
      <c r="J2308" s="83"/>
      <c r="K2308" s="83"/>
      <c r="L2308" s="83"/>
    </row>
    <row r="2309" spans="1:12" ht="12" customHeight="1" x14ac:dyDescent="0.35">
      <c r="A2309" s="134">
        <v>10130000</v>
      </c>
      <c r="B2309" s="84"/>
      <c r="C2309" s="85" t="s">
        <v>28</v>
      </c>
      <c r="D2309" s="84" t="s">
        <v>418</v>
      </c>
      <c r="E2309" s="84" t="str">
        <f>VLOOKUP(C2309,HSD!B:K,2,FALSE)</f>
        <v>OH</v>
      </c>
      <c r="F2309" s="128">
        <v>0.4</v>
      </c>
      <c r="G2309" s="87">
        <f>VLOOKUP(C2309,HSD!B:K,10,FALSE)</f>
        <v>120000</v>
      </c>
      <c r="H2309" s="87">
        <f>F2309*G2309</f>
        <v>48000</v>
      </c>
      <c r="I2309" s="87">
        <v>91500</v>
      </c>
      <c r="J2309" s="87">
        <f>F2309*I2309</f>
        <v>36600</v>
      </c>
      <c r="K2309" s="87">
        <v>91500</v>
      </c>
      <c r="L2309" s="87">
        <f>F2309*K2309</f>
        <v>36600</v>
      </c>
    </row>
    <row r="2310" spans="1:12" ht="12" customHeight="1" x14ac:dyDescent="0.35">
      <c r="A2310" s="134">
        <v>10143000</v>
      </c>
      <c r="B2310" s="84"/>
      <c r="C2310" s="85" t="s">
        <v>435</v>
      </c>
      <c r="D2310" s="84" t="s">
        <v>418</v>
      </c>
      <c r="E2310" s="84" t="str">
        <f>VLOOKUP(C2310,HSD!B:K,2,FALSE)</f>
        <v>OH</v>
      </c>
      <c r="F2310" s="128">
        <v>0.2</v>
      </c>
      <c r="G2310" s="87">
        <f>VLOOKUP(C2310,HSD!B:K,10,FALSE)</f>
        <v>250000</v>
      </c>
      <c r="H2310" s="87">
        <f>F2310*G2310</f>
        <v>50000</v>
      </c>
      <c r="I2310" s="87"/>
      <c r="J2310" s="87"/>
      <c r="K2310" s="87"/>
      <c r="L2310" s="87"/>
    </row>
    <row r="2311" spans="1:12" ht="12" customHeight="1" x14ac:dyDescent="0.35">
      <c r="A2311" s="134">
        <v>10110000</v>
      </c>
      <c r="B2311" s="84"/>
      <c r="C2311" s="85" t="s">
        <v>30</v>
      </c>
      <c r="D2311" s="84" t="s">
        <v>418</v>
      </c>
      <c r="E2311" s="84" t="str">
        <f>VLOOKUP(C2311,HSD!B:K,2,FALSE)</f>
        <v>OH</v>
      </c>
      <c r="F2311" s="128">
        <f>F2309/10</f>
        <v>0.04</v>
      </c>
      <c r="G2311" s="87">
        <f>VLOOKUP(C2311,HSD!B:K,10,FALSE)</f>
        <v>150000</v>
      </c>
      <c r="H2311" s="87">
        <f>F2311*G2311</f>
        <v>6000</v>
      </c>
      <c r="I2311" s="87">
        <v>78600</v>
      </c>
      <c r="J2311" s="87">
        <f>F2311*I2311</f>
        <v>3144</v>
      </c>
      <c r="K2311" s="87">
        <v>78600</v>
      </c>
      <c r="L2311" s="87">
        <f>F2311*K2311</f>
        <v>3144</v>
      </c>
    </row>
    <row r="2312" spans="1:12" ht="12" customHeight="1" x14ac:dyDescent="0.35">
      <c r="B2312" s="84"/>
      <c r="C2312" s="85"/>
      <c r="D2312" s="84"/>
      <c r="E2312" s="84"/>
      <c r="F2312" s="86"/>
      <c r="G2312" s="87"/>
      <c r="H2312" s="87">
        <f>F2312*G2312</f>
        <v>0</v>
      </c>
      <c r="I2312" s="87">
        <v>92500</v>
      </c>
      <c r="J2312" s="87">
        <f>F2312*I2312</f>
        <v>0</v>
      </c>
      <c r="K2312" s="87">
        <v>92500</v>
      </c>
      <c r="L2312" s="87">
        <f>F2312*K2312</f>
        <v>0</v>
      </c>
    </row>
    <row r="2313" spans="1:12" ht="12" customHeight="1" x14ac:dyDescent="0.35">
      <c r="B2313" s="84"/>
      <c r="C2313" s="85"/>
      <c r="D2313" s="84"/>
      <c r="E2313" s="84"/>
      <c r="F2313" s="86"/>
      <c r="G2313" s="87"/>
      <c r="H2313" s="87"/>
      <c r="I2313" s="87"/>
      <c r="J2313" s="87"/>
      <c r="K2313" s="87"/>
      <c r="L2313" s="87"/>
    </row>
    <row r="2314" spans="1:12" ht="12" customHeight="1" x14ac:dyDescent="0.35">
      <c r="B2314" s="84"/>
      <c r="C2314" s="88"/>
      <c r="D2314" s="79"/>
      <c r="E2314" s="79"/>
      <c r="F2314" s="89" t="s">
        <v>421</v>
      </c>
      <c r="G2314" s="101"/>
      <c r="H2314" s="87">
        <f>SUM(H2309:H2313)</f>
        <v>104000</v>
      </c>
      <c r="I2314" s="101"/>
      <c r="J2314" s="87">
        <f>SUM(J2311:J2313)</f>
        <v>3144</v>
      </c>
      <c r="K2314" s="101"/>
      <c r="L2314" s="87">
        <f>SUM(L2311:L2313)</f>
        <v>3144</v>
      </c>
    </row>
    <row r="2315" spans="1:12" ht="12" customHeight="1" x14ac:dyDescent="0.35">
      <c r="B2315" s="84" t="s">
        <v>6</v>
      </c>
      <c r="C2315" s="88" t="s">
        <v>422</v>
      </c>
      <c r="D2315" s="79"/>
      <c r="E2315" s="79"/>
      <c r="F2315" s="90"/>
      <c r="G2315" s="84"/>
      <c r="H2315" s="87"/>
      <c r="I2315" s="84"/>
      <c r="J2315" s="87"/>
      <c r="K2315" s="84"/>
      <c r="L2315" s="87"/>
    </row>
    <row r="2316" spans="1:12" ht="12" customHeight="1" x14ac:dyDescent="0.35">
      <c r="A2316" s="134">
        <v>211100102</v>
      </c>
      <c r="B2316" s="84"/>
      <c r="C2316" s="85" t="s">
        <v>1794</v>
      </c>
      <c r="D2316" s="84" t="s">
        <v>418</v>
      </c>
      <c r="E2316" s="84" t="str">
        <f>VLOOKUP(C2316,HSD!B:K,2,FALSE)</f>
        <v>m3</v>
      </c>
      <c r="F2316" s="128">
        <v>1.2</v>
      </c>
      <c r="G2316" s="87">
        <f>VLOOKUP(C2316,HSD!B:K,10,FALSE)</f>
        <v>525030</v>
      </c>
      <c r="H2316" s="87">
        <f>F2316*G2316</f>
        <v>630036</v>
      </c>
      <c r="I2316" s="87">
        <v>232500</v>
      </c>
      <c r="J2316" s="87">
        <f>F2316*I2316</f>
        <v>279000</v>
      </c>
      <c r="K2316" s="87">
        <v>270000</v>
      </c>
      <c r="L2316" s="87">
        <f>F2316*K2316</f>
        <v>324000</v>
      </c>
    </row>
    <row r="2317" spans="1:12" ht="12" customHeight="1" x14ac:dyDescent="0.35">
      <c r="B2317" s="84"/>
      <c r="C2317" s="85"/>
      <c r="D2317" s="84"/>
      <c r="E2317" s="84"/>
      <c r="F2317" s="128"/>
      <c r="G2317" s="87"/>
      <c r="H2317" s="87">
        <f>F2317*G2317</f>
        <v>0</v>
      </c>
      <c r="I2317" s="87">
        <v>1060</v>
      </c>
      <c r="J2317" s="87">
        <f>F2317*I2317</f>
        <v>0</v>
      </c>
      <c r="K2317" s="87">
        <v>1060</v>
      </c>
      <c r="L2317" s="87">
        <f>F2317*K2317</f>
        <v>0</v>
      </c>
    </row>
    <row r="2318" spans="1:12" ht="12" customHeight="1" x14ac:dyDescent="0.35">
      <c r="B2318" s="84"/>
      <c r="C2318" s="85"/>
      <c r="D2318" s="84"/>
      <c r="E2318" s="84"/>
      <c r="F2318" s="128"/>
      <c r="G2318" s="87"/>
      <c r="H2318" s="87">
        <f>F2318*G2318</f>
        <v>0</v>
      </c>
      <c r="I2318" s="87">
        <v>215000</v>
      </c>
      <c r="J2318" s="87">
        <f>F2318*I2318</f>
        <v>0</v>
      </c>
      <c r="K2318" s="87">
        <v>250000</v>
      </c>
      <c r="L2318" s="87">
        <f>F2318*K2318</f>
        <v>0</v>
      </c>
    </row>
    <row r="2319" spans="1:12" ht="12" customHeight="1" x14ac:dyDescent="0.35">
      <c r="B2319" s="84"/>
      <c r="C2319" s="85"/>
      <c r="D2319" s="84"/>
      <c r="E2319" s="84"/>
      <c r="F2319" s="128"/>
      <c r="G2319" s="87"/>
      <c r="H2319" s="87"/>
      <c r="I2319" s="87"/>
      <c r="J2319" s="87"/>
      <c r="K2319" s="87"/>
      <c r="L2319" s="87"/>
    </row>
    <row r="2320" spans="1:12" ht="12" customHeight="1" x14ac:dyDescent="0.35">
      <c r="B2320" s="84"/>
      <c r="C2320" s="88"/>
      <c r="D2320" s="79"/>
      <c r="E2320" s="79"/>
      <c r="F2320" s="129" t="s">
        <v>423</v>
      </c>
      <c r="G2320" s="129"/>
      <c r="H2320" s="87">
        <f>SUM(H2316:H2319)</f>
        <v>630036</v>
      </c>
      <c r="I2320" s="101"/>
      <c r="J2320" s="87" t="e">
        <f>SUM(#REF!)</f>
        <v>#REF!</v>
      </c>
      <c r="K2320" s="101"/>
      <c r="L2320" s="87" t="e">
        <f>SUM(#REF!)</f>
        <v>#REF!</v>
      </c>
    </row>
    <row r="2321" spans="1:12" ht="12" customHeight="1" x14ac:dyDescent="0.35">
      <c r="B2321" s="84" t="s">
        <v>7</v>
      </c>
      <c r="C2321" s="88" t="s">
        <v>424</v>
      </c>
      <c r="D2321" s="79"/>
      <c r="E2321" s="79"/>
      <c r="F2321" s="90"/>
      <c r="G2321" s="84"/>
      <c r="H2321" s="87"/>
      <c r="I2321" s="84"/>
      <c r="J2321" s="87"/>
      <c r="K2321" s="84"/>
      <c r="L2321" s="87"/>
    </row>
    <row r="2322" spans="1:12" ht="12" customHeight="1" x14ac:dyDescent="0.35">
      <c r="B2322" s="84"/>
      <c r="C2322" s="85"/>
      <c r="D2322" s="84"/>
      <c r="E2322" s="84"/>
      <c r="F2322" s="128"/>
      <c r="G2322" s="87"/>
      <c r="H2322" s="87">
        <f>F2322*G2322</f>
        <v>0</v>
      </c>
      <c r="I2322" s="87"/>
      <c r="J2322" s="87">
        <f>H2322*I2322</f>
        <v>0</v>
      </c>
      <c r="K2322" s="87"/>
      <c r="L2322" s="87">
        <f>J2322*K2322</f>
        <v>0</v>
      </c>
    </row>
    <row r="2323" spans="1:12" ht="12" customHeight="1" x14ac:dyDescent="0.35">
      <c r="B2323" s="84"/>
      <c r="C2323" s="85"/>
      <c r="D2323" s="84"/>
      <c r="E2323" s="84"/>
      <c r="F2323" s="128"/>
      <c r="G2323" s="87"/>
      <c r="H2323" s="87">
        <f>F2323*G2323</f>
        <v>0</v>
      </c>
      <c r="I2323" s="87"/>
      <c r="J2323" s="87"/>
      <c r="K2323" s="87"/>
      <c r="L2323" s="87"/>
    </row>
    <row r="2324" spans="1:12" ht="12" customHeight="1" x14ac:dyDescent="0.35">
      <c r="B2324" s="84"/>
      <c r="C2324" s="88"/>
      <c r="D2324" s="79"/>
      <c r="E2324" s="79"/>
      <c r="F2324" s="89" t="s">
        <v>425</v>
      </c>
      <c r="G2324" s="101"/>
      <c r="H2324" s="87">
        <f>SUM(H2322:H2323)</f>
        <v>0</v>
      </c>
      <c r="I2324" s="101"/>
      <c r="J2324" s="87">
        <f>SUM(J2322)</f>
        <v>0</v>
      </c>
      <c r="K2324" s="101"/>
      <c r="L2324" s="87">
        <f>SUM(L2322)</f>
        <v>0</v>
      </c>
    </row>
    <row r="2325" spans="1:12" ht="12" customHeight="1" x14ac:dyDescent="0.35">
      <c r="B2325" s="84" t="s">
        <v>8</v>
      </c>
      <c r="C2325" s="103" t="s">
        <v>426</v>
      </c>
      <c r="D2325" s="104"/>
      <c r="E2325" s="104"/>
      <c r="F2325" s="104"/>
      <c r="G2325" s="105"/>
      <c r="H2325" s="87">
        <f>H2314+H2320+H2324</f>
        <v>734036</v>
      </c>
      <c r="I2325" s="105"/>
      <c r="J2325" s="87" t="e">
        <f>J2314+J2320+J2324</f>
        <v>#REF!</v>
      </c>
      <c r="K2325" s="105"/>
      <c r="L2325" s="87" t="e">
        <f>L2314+L2320+L2324</f>
        <v>#REF!</v>
      </c>
    </row>
    <row r="2326" spans="1:12" ht="12" customHeight="1" x14ac:dyDescent="0.35">
      <c r="B2326" s="84" t="s">
        <v>9</v>
      </c>
      <c r="C2326" s="455" t="s">
        <v>427</v>
      </c>
      <c r="D2326" s="455"/>
      <c r="E2326" s="455"/>
      <c r="F2326" s="95">
        <f>0</f>
        <v>0</v>
      </c>
      <c r="G2326" s="85" t="s">
        <v>428</v>
      </c>
      <c r="H2326" s="87">
        <f>H2325*F2326</f>
        <v>0</v>
      </c>
      <c r="I2326" s="85" t="s">
        <v>428</v>
      </c>
      <c r="J2326" s="87" t="e">
        <f>J2325*F2326</f>
        <v>#REF!</v>
      </c>
      <c r="K2326" s="85" t="s">
        <v>428</v>
      </c>
      <c r="L2326" s="87" t="e">
        <f>L2325*F2326</f>
        <v>#REF!</v>
      </c>
    </row>
    <row r="2327" spans="1:12" ht="12" customHeight="1" x14ac:dyDescent="0.35">
      <c r="B2327" s="84" t="s">
        <v>10</v>
      </c>
      <c r="C2327" s="103" t="s">
        <v>429</v>
      </c>
      <c r="D2327" s="104"/>
      <c r="E2327" s="104"/>
      <c r="F2327" s="104"/>
      <c r="G2327" s="105"/>
      <c r="H2327" s="96">
        <f>H2325+H2326</f>
        <v>734036</v>
      </c>
      <c r="I2327" s="97"/>
      <c r="J2327" s="96" t="e">
        <f>J2325+J2326</f>
        <v>#REF!</v>
      </c>
      <c r="K2327" s="97"/>
      <c r="L2327" s="96" t="e">
        <f>L2325+L2326</f>
        <v>#REF!</v>
      </c>
    </row>
    <row r="2329" spans="1:12" ht="37" customHeight="1" x14ac:dyDescent="0.35">
      <c r="B2329" s="76" t="s">
        <v>689</v>
      </c>
      <c r="C2329" s="458" t="s">
        <v>693</v>
      </c>
      <c r="D2329" s="459"/>
      <c r="E2329" s="459"/>
      <c r="F2329" s="459"/>
      <c r="G2329" s="456"/>
      <c r="H2329" s="457"/>
      <c r="I2329" s="455" t="s">
        <v>3</v>
      </c>
      <c r="J2329" s="455"/>
      <c r="K2329" s="455" t="s">
        <v>4</v>
      </c>
      <c r="L2329" s="455"/>
    </row>
    <row r="2330" spans="1:12" ht="12" customHeight="1" x14ac:dyDescent="0.35">
      <c r="B2330" s="451" t="s">
        <v>409</v>
      </c>
      <c r="C2330" s="451" t="s">
        <v>410</v>
      </c>
      <c r="D2330" s="452" t="s">
        <v>411</v>
      </c>
      <c r="E2330" s="451" t="s">
        <v>412</v>
      </c>
      <c r="F2330" s="451" t="s">
        <v>413</v>
      </c>
      <c r="G2330" s="77" t="s">
        <v>414</v>
      </c>
      <c r="H2330" s="77" t="s">
        <v>415</v>
      </c>
      <c r="I2330" s="78" t="s">
        <v>414</v>
      </c>
      <c r="J2330" s="79" t="s">
        <v>415</v>
      </c>
      <c r="K2330" s="79" t="s">
        <v>414</v>
      </c>
      <c r="L2330" s="79" t="s">
        <v>415</v>
      </c>
    </row>
    <row r="2331" spans="1:12" ht="12" customHeight="1" x14ac:dyDescent="0.35">
      <c r="B2331" s="451"/>
      <c r="C2331" s="451"/>
      <c r="D2331" s="453"/>
      <c r="E2331" s="451"/>
      <c r="F2331" s="451"/>
      <c r="G2331" s="77" t="s">
        <v>17</v>
      </c>
      <c r="H2331" s="77" t="s">
        <v>416</v>
      </c>
      <c r="I2331" s="78" t="s">
        <v>17</v>
      </c>
      <c r="J2331" s="79" t="s">
        <v>416</v>
      </c>
      <c r="K2331" s="79" t="s">
        <v>17</v>
      </c>
      <c r="L2331" s="79" t="s">
        <v>416</v>
      </c>
    </row>
    <row r="2332" spans="1:12" ht="12" customHeight="1" x14ac:dyDescent="0.35">
      <c r="B2332" s="451"/>
      <c r="C2332" s="451"/>
      <c r="D2332" s="454"/>
      <c r="E2332" s="451"/>
      <c r="F2332" s="451"/>
      <c r="G2332" s="106"/>
      <c r="H2332" s="77" t="s">
        <v>17</v>
      </c>
      <c r="I2332" s="94"/>
      <c r="J2332" s="79" t="s">
        <v>17</v>
      </c>
      <c r="K2332" s="85"/>
      <c r="L2332" s="79" t="s">
        <v>17</v>
      </c>
    </row>
    <row r="2333" spans="1:12" ht="12" customHeight="1" x14ac:dyDescent="0.35">
      <c r="B2333" s="80" t="s">
        <v>5</v>
      </c>
      <c r="C2333" s="81" t="s">
        <v>417</v>
      </c>
      <c r="D2333" s="82"/>
      <c r="E2333" s="82"/>
      <c r="F2333" s="82"/>
      <c r="G2333" s="82"/>
      <c r="H2333" s="82"/>
      <c r="I2333" s="83"/>
      <c r="J2333" s="83"/>
      <c r="K2333" s="83"/>
      <c r="L2333" s="83"/>
    </row>
    <row r="2334" spans="1:12" ht="12" customHeight="1" x14ac:dyDescent="0.35">
      <c r="A2334" s="134">
        <v>10130000</v>
      </c>
      <c r="B2334" s="84"/>
      <c r="C2334" s="85" t="s">
        <v>28</v>
      </c>
      <c r="D2334" s="84" t="s">
        <v>418</v>
      </c>
      <c r="E2334" s="84" t="str">
        <f>VLOOKUP(C2334,HSD!B:K,2,FALSE)</f>
        <v>OH</v>
      </c>
      <c r="F2334" s="128">
        <v>0.74170000000000003</v>
      </c>
      <c r="G2334" s="87">
        <f>VLOOKUP(C2334,HSD!B:K,10,FALSE)</f>
        <v>120000</v>
      </c>
      <c r="H2334" s="87">
        <f>F2334*G2334</f>
        <v>89004</v>
      </c>
      <c r="I2334" s="87">
        <v>91500</v>
      </c>
      <c r="J2334" s="87">
        <f>F2334*I2334</f>
        <v>67865.55</v>
      </c>
      <c r="K2334" s="87">
        <v>91500</v>
      </c>
      <c r="L2334" s="87">
        <f>F2334*K2334</f>
        <v>67865.55</v>
      </c>
    </row>
    <row r="2335" spans="1:12" ht="12" customHeight="1" x14ac:dyDescent="0.35">
      <c r="A2335" s="134">
        <v>10143000</v>
      </c>
      <c r="B2335" s="84"/>
      <c r="C2335" s="85" t="s">
        <v>435</v>
      </c>
      <c r="D2335" s="84" t="s">
        <v>418</v>
      </c>
      <c r="E2335" s="84" t="str">
        <f>VLOOKUP(C2335,HSD!B:K,2,FALSE)</f>
        <v>OH</v>
      </c>
      <c r="F2335" s="128">
        <v>0.37090000000000001</v>
      </c>
      <c r="G2335" s="87">
        <f>VLOOKUP(C2335,HSD!B:K,10,FALSE)</f>
        <v>250000</v>
      </c>
      <c r="H2335" s="87">
        <f>F2335*G2335</f>
        <v>92725</v>
      </c>
      <c r="I2335" s="87"/>
      <c r="J2335" s="87"/>
      <c r="K2335" s="87"/>
      <c r="L2335" s="87"/>
    </row>
    <row r="2336" spans="1:12" ht="12" customHeight="1" x14ac:dyDescent="0.35">
      <c r="A2336" s="134">
        <v>10110000</v>
      </c>
      <c r="B2336" s="84"/>
      <c r="C2336" s="85" t="s">
        <v>30</v>
      </c>
      <c r="D2336" s="84" t="s">
        <v>418</v>
      </c>
      <c r="E2336" s="84" t="str">
        <f>VLOOKUP(C2336,HSD!B:K,2,FALSE)</f>
        <v>OH</v>
      </c>
      <c r="F2336" s="128">
        <f>F2334/10</f>
        <v>7.417E-2</v>
      </c>
      <c r="G2336" s="87">
        <f>VLOOKUP(C2336,HSD!B:K,10,FALSE)</f>
        <v>150000</v>
      </c>
      <c r="H2336" s="87">
        <f>F2336*G2336</f>
        <v>11125.5</v>
      </c>
      <c r="I2336" s="87">
        <v>78600</v>
      </c>
      <c r="J2336" s="87">
        <f>F2336*I2336</f>
        <v>5829.7619999999997</v>
      </c>
      <c r="K2336" s="87">
        <v>78600</v>
      </c>
      <c r="L2336" s="87">
        <f>F2336*K2336</f>
        <v>5829.7619999999997</v>
      </c>
    </row>
    <row r="2337" spans="1:12" ht="12" customHeight="1" x14ac:dyDescent="0.35">
      <c r="B2337" s="84"/>
      <c r="C2337" s="85"/>
      <c r="D2337" s="84"/>
      <c r="E2337" s="84"/>
      <c r="F2337" s="86"/>
      <c r="G2337" s="87"/>
      <c r="H2337" s="87">
        <f>F2337*G2337</f>
        <v>0</v>
      </c>
      <c r="I2337" s="87">
        <v>92500</v>
      </c>
      <c r="J2337" s="87">
        <f>F2337*I2337</f>
        <v>0</v>
      </c>
      <c r="K2337" s="87">
        <v>92500</v>
      </c>
      <c r="L2337" s="87">
        <f>F2337*K2337</f>
        <v>0</v>
      </c>
    </row>
    <row r="2338" spans="1:12" ht="12" customHeight="1" x14ac:dyDescent="0.35">
      <c r="B2338" s="84"/>
      <c r="C2338" s="85"/>
      <c r="D2338" s="84"/>
      <c r="E2338" s="84"/>
      <c r="F2338" s="86"/>
      <c r="G2338" s="87"/>
      <c r="H2338" s="87"/>
      <c r="I2338" s="87"/>
      <c r="J2338" s="87"/>
      <c r="K2338" s="87"/>
      <c r="L2338" s="87"/>
    </row>
    <row r="2339" spans="1:12" ht="12" customHeight="1" x14ac:dyDescent="0.35">
      <c r="B2339" s="84"/>
      <c r="C2339" s="88"/>
      <c r="D2339" s="79"/>
      <c r="E2339" s="79"/>
      <c r="F2339" s="89" t="s">
        <v>421</v>
      </c>
      <c r="G2339" s="101"/>
      <c r="H2339" s="87">
        <f>SUM(H2334:H2338)</f>
        <v>192854.5</v>
      </c>
      <c r="I2339" s="101"/>
      <c r="J2339" s="87">
        <f>SUM(J2336:J2338)</f>
        <v>5829.7619999999997</v>
      </c>
      <c r="K2339" s="101"/>
      <c r="L2339" s="87">
        <f>SUM(L2336:L2338)</f>
        <v>5829.7619999999997</v>
      </c>
    </row>
    <row r="2340" spans="1:12" ht="12" customHeight="1" x14ac:dyDescent="0.35">
      <c r="B2340" s="84" t="s">
        <v>6</v>
      </c>
      <c r="C2340" s="88" t="s">
        <v>422</v>
      </c>
      <c r="D2340" s="79"/>
      <c r="E2340" s="79"/>
      <c r="F2340" s="90"/>
      <c r="G2340" s="84"/>
      <c r="H2340" s="87"/>
      <c r="I2340" s="84"/>
      <c r="J2340" s="87"/>
      <c r="K2340" s="84"/>
      <c r="L2340" s="87"/>
    </row>
    <row r="2341" spans="1:12" ht="12" customHeight="1" x14ac:dyDescent="0.35">
      <c r="A2341" s="134">
        <v>211100102</v>
      </c>
      <c r="B2341" s="84"/>
      <c r="C2341" s="85" t="s">
        <v>1794</v>
      </c>
      <c r="D2341" s="84" t="s">
        <v>418</v>
      </c>
      <c r="E2341" s="84" t="str">
        <f>VLOOKUP(C2341,HSD!B:K,2,FALSE)</f>
        <v>m3</v>
      </c>
      <c r="F2341" s="128">
        <v>1.2</v>
      </c>
      <c r="G2341" s="87">
        <f>VLOOKUP(C2341,HSD!B:K,10,FALSE)</f>
        <v>525030</v>
      </c>
      <c r="H2341" s="87">
        <f>F2341*G2341</f>
        <v>630036</v>
      </c>
      <c r="I2341" s="87">
        <v>232500</v>
      </c>
      <c r="J2341" s="87">
        <f>F2341*I2341</f>
        <v>279000</v>
      </c>
      <c r="K2341" s="87">
        <v>270000</v>
      </c>
      <c r="L2341" s="87">
        <f>F2341*K2341</f>
        <v>324000</v>
      </c>
    </row>
    <row r="2342" spans="1:12" ht="12" customHeight="1" x14ac:dyDescent="0.35">
      <c r="B2342" s="84"/>
      <c r="C2342" s="85"/>
      <c r="D2342" s="84"/>
      <c r="E2342" s="84"/>
      <c r="F2342" s="128"/>
      <c r="G2342" s="87"/>
      <c r="H2342" s="87">
        <f>F2342*G2342</f>
        <v>0</v>
      </c>
      <c r="I2342" s="87">
        <v>1060</v>
      </c>
      <c r="J2342" s="87">
        <f>F2342*I2342</f>
        <v>0</v>
      </c>
      <c r="K2342" s="87">
        <v>1060</v>
      </c>
      <c r="L2342" s="87">
        <f>F2342*K2342</f>
        <v>0</v>
      </c>
    </row>
    <row r="2343" spans="1:12" ht="12" customHeight="1" x14ac:dyDescent="0.35">
      <c r="B2343" s="84"/>
      <c r="C2343" s="85"/>
      <c r="D2343" s="84"/>
      <c r="E2343" s="84"/>
      <c r="F2343" s="128"/>
      <c r="G2343" s="87"/>
      <c r="H2343" s="87">
        <f>F2343*G2343</f>
        <v>0</v>
      </c>
      <c r="I2343" s="87">
        <v>215000</v>
      </c>
      <c r="J2343" s="87">
        <f>F2343*I2343</f>
        <v>0</v>
      </c>
      <c r="K2343" s="87">
        <v>250000</v>
      </c>
      <c r="L2343" s="87">
        <f>F2343*K2343</f>
        <v>0</v>
      </c>
    </row>
    <row r="2344" spans="1:12" ht="12" customHeight="1" x14ac:dyDescent="0.35">
      <c r="B2344" s="84"/>
      <c r="C2344" s="85"/>
      <c r="D2344" s="84"/>
      <c r="E2344" s="84"/>
      <c r="F2344" s="128"/>
      <c r="G2344" s="87"/>
      <c r="H2344" s="87"/>
      <c r="I2344" s="87"/>
      <c r="J2344" s="87"/>
      <c r="K2344" s="87"/>
      <c r="L2344" s="87"/>
    </row>
    <row r="2345" spans="1:12" ht="12" customHeight="1" x14ac:dyDescent="0.35">
      <c r="B2345" s="84"/>
      <c r="C2345" s="88"/>
      <c r="D2345" s="79"/>
      <c r="E2345" s="79"/>
      <c r="F2345" s="129" t="s">
        <v>423</v>
      </c>
      <c r="G2345" s="129"/>
      <c r="H2345" s="87">
        <f>SUM(H2341:H2344)</f>
        <v>630036</v>
      </c>
      <c r="I2345" s="101"/>
      <c r="J2345" s="87" t="e">
        <f>SUM(#REF!)</f>
        <v>#REF!</v>
      </c>
      <c r="K2345" s="101"/>
      <c r="L2345" s="87" t="e">
        <f>SUM(#REF!)</f>
        <v>#REF!</v>
      </c>
    </row>
    <row r="2346" spans="1:12" ht="12" customHeight="1" x14ac:dyDescent="0.35">
      <c r="B2346" s="84" t="s">
        <v>7</v>
      </c>
      <c r="C2346" s="88" t="s">
        <v>424</v>
      </c>
      <c r="D2346" s="79"/>
      <c r="E2346" s="79"/>
      <c r="F2346" s="90"/>
      <c r="G2346" s="84"/>
      <c r="H2346" s="87"/>
      <c r="I2346" s="84"/>
      <c r="J2346" s="87"/>
      <c r="K2346" s="84"/>
      <c r="L2346" s="87"/>
    </row>
    <row r="2347" spans="1:12" ht="12" customHeight="1" x14ac:dyDescent="0.35">
      <c r="B2347" s="84"/>
      <c r="C2347" s="85"/>
      <c r="D2347" s="84"/>
      <c r="E2347" s="84"/>
      <c r="F2347" s="128"/>
      <c r="G2347" s="87"/>
      <c r="H2347" s="87">
        <f>F2347*G2347</f>
        <v>0</v>
      </c>
      <c r="I2347" s="87"/>
      <c r="J2347" s="87">
        <f>H2347*I2347</f>
        <v>0</v>
      </c>
      <c r="K2347" s="87"/>
      <c r="L2347" s="87">
        <f>J2347*K2347</f>
        <v>0</v>
      </c>
    </row>
    <row r="2348" spans="1:12" ht="12" customHeight="1" x14ac:dyDescent="0.35">
      <c r="B2348" s="84"/>
      <c r="C2348" s="85"/>
      <c r="D2348" s="84"/>
      <c r="E2348" s="84"/>
      <c r="F2348" s="128"/>
      <c r="G2348" s="87"/>
      <c r="H2348" s="87">
        <f>F2348*G2348</f>
        <v>0</v>
      </c>
      <c r="I2348" s="87"/>
      <c r="J2348" s="87"/>
      <c r="K2348" s="87"/>
      <c r="L2348" s="87"/>
    </row>
    <row r="2349" spans="1:12" ht="12" customHeight="1" x14ac:dyDescent="0.35">
      <c r="B2349" s="84"/>
      <c r="C2349" s="88"/>
      <c r="D2349" s="79"/>
      <c r="E2349" s="79"/>
      <c r="F2349" s="89" t="s">
        <v>425</v>
      </c>
      <c r="G2349" s="101"/>
      <c r="H2349" s="87">
        <f>SUM(H2347:H2348)</f>
        <v>0</v>
      </c>
      <c r="I2349" s="101"/>
      <c r="J2349" s="87">
        <f>SUM(J2347)</f>
        <v>0</v>
      </c>
      <c r="K2349" s="101"/>
      <c r="L2349" s="87">
        <f>SUM(L2347)</f>
        <v>0</v>
      </c>
    </row>
    <row r="2350" spans="1:12" ht="12" customHeight="1" x14ac:dyDescent="0.35">
      <c r="B2350" s="84" t="s">
        <v>8</v>
      </c>
      <c r="C2350" s="103" t="s">
        <v>426</v>
      </c>
      <c r="D2350" s="104"/>
      <c r="E2350" s="104"/>
      <c r="F2350" s="104"/>
      <c r="G2350" s="105"/>
      <c r="H2350" s="87">
        <f>H2339+H2345+H2349</f>
        <v>822890.5</v>
      </c>
      <c r="I2350" s="105"/>
      <c r="J2350" s="87" t="e">
        <f>J2339+J2345+J2349</f>
        <v>#REF!</v>
      </c>
      <c r="K2350" s="105"/>
      <c r="L2350" s="87" t="e">
        <f>L2339+L2345+L2349</f>
        <v>#REF!</v>
      </c>
    </row>
    <row r="2351" spans="1:12" ht="12" customHeight="1" x14ac:dyDescent="0.35">
      <c r="B2351" s="84" t="s">
        <v>9</v>
      </c>
      <c r="C2351" s="455" t="s">
        <v>427</v>
      </c>
      <c r="D2351" s="455"/>
      <c r="E2351" s="455"/>
      <c r="F2351" s="95">
        <f>0</f>
        <v>0</v>
      </c>
      <c r="G2351" s="85" t="s">
        <v>428</v>
      </c>
      <c r="H2351" s="87">
        <f>H2350*F2351</f>
        <v>0</v>
      </c>
      <c r="I2351" s="85" t="s">
        <v>428</v>
      </c>
      <c r="J2351" s="87" t="e">
        <f>J2350*F2351</f>
        <v>#REF!</v>
      </c>
      <c r="K2351" s="85" t="s">
        <v>428</v>
      </c>
      <c r="L2351" s="87" t="e">
        <f>L2350*F2351</f>
        <v>#REF!</v>
      </c>
    </row>
    <row r="2352" spans="1:12" ht="12" customHeight="1" x14ac:dyDescent="0.35">
      <c r="B2352" s="84" t="s">
        <v>10</v>
      </c>
      <c r="C2352" s="103" t="s">
        <v>429</v>
      </c>
      <c r="D2352" s="104"/>
      <c r="E2352" s="104"/>
      <c r="F2352" s="104"/>
      <c r="G2352" s="105"/>
      <c r="H2352" s="96">
        <f>H2350+H2351</f>
        <v>822890.5</v>
      </c>
      <c r="I2352" s="97"/>
      <c r="J2352" s="96" t="e">
        <f>J2350+J2351</f>
        <v>#REF!</v>
      </c>
      <c r="K2352" s="97"/>
      <c r="L2352" s="96" t="e">
        <f>L2350+L2351</f>
        <v>#REF!</v>
      </c>
    </row>
    <row r="2354" spans="1:12" ht="37" customHeight="1" x14ac:dyDescent="0.35">
      <c r="B2354" s="76" t="s">
        <v>701</v>
      </c>
      <c r="C2354" s="458" t="s">
        <v>698</v>
      </c>
      <c r="D2354" s="459"/>
      <c r="E2354" s="459"/>
      <c r="F2354" s="459"/>
      <c r="G2354" s="456"/>
      <c r="H2354" s="457"/>
      <c r="I2354" s="455" t="s">
        <v>3</v>
      </c>
      <c r="J2354" s="455"/>
      <c r="K2354" s="455" t="s">
        <v>4</v>
      </c>
      <c r="L2354" s="455"/>
    </row>
    <row r="2355" spans="1:12" ht="12" customHeight="1" x14ac:dyDescent="0.35">
      <c r="B2355" s="451" t="s">
        <v>409</v>
      </c>
      <c r="C2355" s="451" t="s">
        <v>410</v>
      </c>
      <c r="D2355" s="452" t="s">
        <v>411</v>
      </c>
      <c r="E2355" s="451" t="s">
        <v>412</v>
      </c>
      <c r="F2355" s="451" t="s">
        <v>413</v>
      </c>
      <c r="G2355" s="77" t="s">
        <v>414</v>
      </c>
      <c r="H2355" s="77" t="s">
        <v>415</v>
      </c>
      <c r="I2355" s="78" t="s">
        <v>414</v>
      </c>
      <c r="J2355" s="79" t="s">
        <v>415</v>
      </c>
      <c r="K2355" s="79" t="s">
        <v>414</v>
      </c>
      <c r="L2355" s="79" t="s">
        <v>415</v>
      </c>
    </row>
    <row r="2356" spans="1:12" ht="12" customHeight="1" x14ac:dyDescent="0.35">
      <c r="B2356" s="451"/>
      <c r="C2356" s="451"/>
      <c r="D2356" s="453"/>
      <c r="E2356" s="451"/>
      <c r="F2356" s="451"/>
      <c r="G2356" s="77" t="s">
        <v>17</v>
      </c>
      <c r="H2356" s="77" t="s">
        <v>416</v>
      </c>
      <c r="I2356" s="78" t="s">
        <v>17</v>
      </c>
      <c r="J2356" s="79" t="s">
        <v>416</v>
      </c>
      <c r="K2356" s="79" t="s">
        <v>17</v>
      </c>
      <c r="L2356" s="79" t="s">
        <v>416</v>
      </c>
    </row>
    <row r="2357" spans="1:12" ht="12" customHeight="1" x14ac:dyDescent="0.35">
      <c r="B2357" s="451"/>
      <c r="C2357" s="451"/>
      <c r="D2357" s="454"/>
      <c r="E2357" s="451"/>
      <c r="F2357" s="451"/>
      <c r="G2357" s="106"/>
      <c r="H2357" s="77" t="s">
        <v>17</v>
      </c>
      <c r="I2357" s="94"/>
      <c r="J2357" s="79" t="s">
        <v>17</v>
      </c>
      <c r="K2357" s="85"/>
      <c r="L2357" s="79" t="s">
        <v>17</v>
      </c>
    </row>
    <row r="2358" spans="1:12" ht="12" customHeight="1" x14ac:dyDescent="0.35">
      <c r="B2358" s="80" t="s">
        <v>5</v>
      </c>
      <c r="C2358" s="81" t="s">
        <v>417</v>
      </c>
      <c r="D2358" s="82"/>
      <c r="E2358" s="82"/>
      <c r="F2358" s="82"/>
      <c r="G2358" s="82"/>
      <c r="H2358" s="82"/>
      <c r="I2358" s="83"/>
      <c r="J2358" s="83"/>
      <c r="K2358" s="83"/>
      <c r="L2358" s="83"/>
    </row>
    <row r="2359" spans="1:12" ht="12" customHeight="1" x14ac:dyDescent="0.35">
      <c r="A2359" s="134">
        <v>10130000</v>
      </c>
      <c r="B2359" s="84"/>
      <c r="C2359" s="85" t="s">
        <v>28</v>
      </c>
      <c r="D2359" s="84" t="s">
        <v>418</v>
      </c>
      <c r="E2359" s="84" t="str">
        <f>VLOOKUP(C2359,HSD!B:K,2,FALSE)</f>
        <v>OH</v>
      </c>
      <c r="F2359" s="128">
        <v>0.36</v>
      </c>
      <c r="G2359" s="87">
        <f>VLOOKUP(C2359,HSD!B:K,10,FALSE)</f>
        <v>120000</v>
      </c>
      <c r="H2359" s="87">
        <f>F2359*G2359</f>
        <v>43200</v>
      </c>
      <c r="I2359" s="87">
        <v>91500</v>
      </c>
      <c r="J2359" s="87">
        <f>F2359*I2359</f>
        <v>32940</v>
      </c>
      <c r="K2359" s="87">
        <v>91500</v>
      </c>
      <c r="L2359" s="87">
        <f>F2359*K2359</f>
        <v>32940</v>
      </c>
    </row>
    <row r="2360" spans="1:12" ht="12" customHeight="1" x14ac:dyDescent="0.35">
      <c r="A2360" s="134">
        <v>10143000</v>
      </c>
      <c r="B2360" s="84"/>
      <c r="C2360" s="85" t="s">
        <v>435</v>
      </c>
      <c r="D2360" s="84" t="s">
        <v>418</v>
      </c>
      <c r="E2360" s="84" t="str">
        <f>VLOOKUP(C2360,HSD!B:K,2,FALSE)</f>
        <v>OH</v>
      </c>
      <c r="F2360" s="128">
        <v>0.12</v>
      </c>
      <c r="G2360" s="87">
        <f>VLOOKUP(C2360,HSD!B:K,10,FALSE)</f>
        <v>250000</v>
      </c>
      <c r="H2360" s="87">
        <f>F2360*G2360</f>
        <v>30000</v>
      </c>
      <c r="I2360" s="87"/>
      <c r="J2360" s="87"/>
      <c r="K2360" s="87"/>
      <c r="L2360" s="87"/>
    </row>
    <row r="2361" spans="1:12" ht="12" customHeight="1" x14ac:dyDescent="0.35">
      <c r="A2361" s="134">
        <v>10110000</v>
      </c>
      <c r="B2361" s="84"/>
      <c r="C2361" s="85" t="s">
        <v>30</v>
      </c>
      <c r="D2361" s="84" t="s">
        <v>418</v>
      </c>
      <c r="E2361" s="84" t="str">
        <f>VLOOKUP(C2361,HSD!B:K,2,FALSE)</f>
        <v>OH</v>
      </c>
      <c r="F2361" s="128">
        <f>F2359/10</f>
        <v>3.5999999999999997E-2</v>
      </c>
      <c r="G2361" s="87">
        <f>VLOOKUP(C2361,HSD!B:K,10,FALSE)</f>
        <v>150000</v>
      </c>
      <c r="H2361" s="87">
        <f>F2361*G2361</f>
        <v>5400</v>
      </c>
      <c r="I2361" s="87">
        <v>78600</v>
      </c>
      <c r="J2361" s="87">
        <f>F2361*I2361</f>
        <v>2829.6</v>
      </c>
      <c r="K2361" s="87">
        <v>78600</v>
      </c>
      <c r="L2361" s="87">
        <f>F2361*K2361</f>
        <v>2829.6</v>
      </c>
    </row>
    <row r="2362" spans="1:12" ht="12" customHeight="1" x14ac:dyDescent="0.35">
      <c r="B2362" s="84"/>
      <c r="C2362" s="85"/>
      <c r="D2362" s="84"/>
      <c r="E2362" s="84"/>
      <c r="F2362" s="86"/>
      <c r="G2362" s="87"/>
      <c r="H2362" s="87">
        <f>F2362*G2362</f>
        <v>0</v>
      </c>
      <c r="I2362" s="87">
        <v>92500</v>
      </c>
      <c r="J2362" s="87">
        <f>F2362*I2362</f>
        <v>0</v>
      </c>
      <c r="K2362" s="87">
        <v>92500</v>
      </c>
      <c r="L2362" s="87">
        <f>F2362*K2362</f>
        <v>0</v>
      </c>
    </row>
    <row r="2363" spans="1:12" ht="12" customHeight="1" x14ac:dyDescent="0.35">
      <c r="B2363" s="84"/>
      <c r="C2363" s="85"/>
      <c r="D2363" s="84"/>
      <c r="E2363" s="84"/>
      <c r="F2363" s="86"/>
      <c r="G2363" s="87"/>
      <c r="H2363" s="87"/>
      <c r="I2363" s="87"/>
      <c r="J2363" s="87"/>
      <c r="K2363" s="87"/>
      <c r="L2363" s="87"/>
    </row>
    <row r="2364" spans="1:12" ht="12" customHeight="1" x14ac:dyDescent="0.35">
      <c r="B2364" s="84"/>
      <c r="C2364" s="88"/>
      <c r="D2364" s="79"/>
      <c r="E2364" s="79"/>
      <c r="F2364" s="89" t="s">
        <v>421</v>
      </c>
      <c r="G2364" s="101"/>
      <c r="H2364" s="87">
        <f>SUM(H2359:H2363)</f>
        <v>78600</v>
      </c>
      <c r="I2364" s="101"/>
      <c r="J2364" s="87">
        <f>SUM(J2361:J2363)</f>
        <v>2829.6</v>
      </c>
      <c r="K2364" s="101"/>
      <c r="L2364" s="87">
        <f>SUM(L2361:L2363)</f>
        <v>2829.6</v>
      </c>
    </row>
    <row r="2365" spans="1:12" ht="12" customHeight="1" x14ac:dyDescent="0.35">
      <c r="B2365" s="84" t="s">
        <v>6</v>
      </c>
      <c r="C2365" s="88" t="s">
        <v>422</v>
      </c>
      <c r="D2365" s="79"/>
      <c r="E2365" s="79"/>
      <c r="F2365" s="90"/>
      <c r="G2365" s="84"/>
      <c r="H2365" s="87"/>
      <c r="I2365" s="84"/>
      <c r="J2365" s="87"/>
      <c r="K2365" s="84"/>
      <c r="L2365" s="87"/>
    </row>
    <row r="2366" spans="1:12" ht="12" customHeight="1" x14ac:dyDescent="0.35">
      <c r="A2366" s="134">
        <v>211100102</v>
      </c>
      <c r="B2366" s="84"/>
      <c r="C2366" s="85" t="s">
        <v>1794</v>
      </c>
      <c r="D2366" s="84" t="s">
        <v>418</v>
      </c>
      <c r="E2366" s="84" t="str">
        <f>VLOOKUP(C2366,HSD!B:K,2,FALSE)</f>
        <v>m3</v>
      </c>
      <c r="F2366" s="128">
        <v>1.3</v>
      </c>
      <c r="G2366" s="87">
        <f>VLOOKUP(C2366,HSD!B:K,10,FALSE)</f>
        <v>525030</v>
      </c>
      <c r="H2366" s="87">
        <f>F2366*G2366</f>
        <v>682539</v>
      </c>
      <c r="I2366" s="87">
        <v>232500</v>
      </c>
      <c r="J2366" s="87">
        <f>F2366*I2366</f>
        <v>302250</v>
      </c>
      <c r="K2366" s="87">
        <v>270000</v>
      </c>
      <c r="L2366" s="87">
        <f>F2366*K2366</f>
        <v>351000</v>
      </c>
    </row>
    <row r="2367" spans="1:12" ht="12" customHeight="1" x14ac:dyDescent="0.35">
      <c r="A2367" s="134">
        <v>21905011</v>
      </c>
      <c r="B2367" s="84"/>
      <c r="C2367" s="85" t="s">
        <v>1869</v>
      </c>
      <c r="D2367" s="84" t="s">
        <v>418</v>
      </c>
      <c r="E2367" s="84" t="str">
        <f>VLOOKUP(C2367,HSD!B:K,2,FALSE)</f>
        <v>kg</v>
      </c>
      <c r="F2367" s="128">
        <v>1</v>
      </c>
      <c r="G2367" s="87">
        <f>VLOOKUP(C2367,HSD!B:K,10,FALSE)</f>
        <v>25530</v>
      </c>
      <c r="H2367" s="87">
        <f>F2367*G2367</f>
        <v>25530</v>
      </c>
      <c r="I2367" s="87">
        <v>1060</v>
      </c>
      <c r="J2367" s="87">
        <f>F2367*I2367</f>
        <v>1060</v>
      </c>
      <c r="K2367" s="87">
        <v>1060</v>
      </c>
      <c r="L2367" s="87">
        <f>F2367*K2367</f>
        <v>1060</v>
      </c>
    </row>
    <row r="2368" spans="1:12" ht="12" customHeight="1" x14ac:dyDescent="0.35">
      <c r="A2368" s="134">
        <v>211100113</v>
      </c>
      <c r="B2368" s="84"/>
      <c r="C2368" s="130" t="s">
        <v>49</v>
      </c>
      <c r="D2368" s="131" t="s">
        <v>418</v>
      </c>
      <c r="E2368" s="131" t="str">
        <f>VLOOKUP(C2368,HSD!B:K,2,FALSE)</f>
        <v>m3</v>
      </c>
      <c r="F2368" s="132">
        <v>0.432</v>
      </c>
      <c r="G2368" s="133">
        <f>VLOOKUP(C2368,HSD!B:K,10,FALSE)</f>
        <v>230880</v>
      </c>
      <c r="H2368" s="133">
        <f>F2368*G2368</f>
        <v>99740.160000000003</v>
      </c>
      <c r="I2368" s="87">
        <v>215000</v>
      </c>
      <c r="J2368" s="87">
        <f>F2368*I2368</f>
        <v>92880</v>
      </c>
      <c r="K2368" s="87">
        <v>250000</v>
      </c>
      <c r="L2368" s="87">
        <f>F2368*K2368</f>
        <v>108000</v>
      </c>
    </row>
    <row r="2369" spans="2:12" ht="12" customHeight="1" x14ac:dyDescent="0.35">
      <c r="B2369" s="84"/>
      <c r="C2369" s="85"/>
      <c r="D2369" s="84"/>
      <c r="E2369" s="84"/>
      <c r="F2369" s="128"/>
      <c r="G2369" s="87"/>
      <c r="H2369" s="87"/>
      <c r="I2369" s="87"/>
      <c r="J2369" s="87"/>
      <c r="K2369" s="87"/>
      <c r="L2369" s="87"/>
    </row>
    <row r="2370" spans="2:12" ht="12" customHeight="1" x14ac:dyDescent="0.35">
      <c r="B2370" s="84"/>
      <c r="C2370" s="88"/>
      <c r="D2370" s="79"/>
      <c r="E2370" s="79"/>
      <c r="F2370" s="129" t="s">
        <v>423</v>
      </c>
      <c r="G2370" s="129"/>
      <c r="H2370" s="87">
        <f>SUM(H2366:H2369)</f>
        <v>807809.16</v>
      </c>
      <c r="I2370" s="101"/>
      <c r="J2370" s="87" t="e">
        <f>SUM(#REF!)</f>
        <v>#REF!</v>
      </c>
      <c r="K2370" s="101"/>
      <c r="L2370" s="87" t="e">
        <f>SUM(#REF!)</f>
        <v>#REF!</v>
      </c>
    </row>
    <row r="2371" spans="2:12" ht="12" customHeight="1" x14ac:dyDescent="0.35">
      <c r="B2371" s="84" t="s">
        <v>7</v>
      </c>
      <c r="C2371" s="88" t="s">
        <v>424</v>
      </c>
      <c r="D2371" s="79"/>
      <c r="E2371" s="79"/>
      <c r="F2371" s="90"/>
      <c r="G2371" s="84"/>
      <c r="H2371" s="87"/>
      <c r="I2371" s="84"/>
      <c r="J2371" s="87"/>
      <c r="K2371" s="84"/>
      <c r="L2371" s="87"/>
    </row>
    <row r="2372" spans="2:12" ht="12" customHeight="1" x14ac:dyDescent="0.35">
      <c r="B2372" s="84"/>
      <c r="C2372" s="85"/>
      <c r="D2372" s="84"/>
      <c r="E2372" s="84"/>
      <c r="F2372" s="128"/>
      <c r="G2372" s="87"/>
      <c r="H2372" s="87">
        <f>F2372*G2372</f>
        <v>0</v>
      </c>
      <c r="I2372" s="87"/>
      <c r="J2372" s="87">
        <f>H2372*I2372</f>
        <v>0</v>
      </c>
      <c r="K2372" s="87"/>
      <c r="L2372" s="87">
        <f>J2372*K2372</f>
        <v>0</v>
      </c>
    </row>
    <row r="2373" spans="2:12" ht="12" customHeight="1" x14ac:dyDescent="0.35">
      <c r="B2373" s="84"/>
      <c r="C2373" s="85"/>
      <c r="D2373" s="84"/>
      <c r="E2373" s="84"/>
      <c r="F2373" s="128"/>
      <c r="G2373" s="87"/>
      <c r="H2373" s="87">
        <f>F2373*G2373</f>
        <v>0</v>
      </c>
      <c r="I2373" s="87"/>
      <c r="J2373" s="87"/>
      <c r="K2373" s="87"/>
      <c r="L2373" s="87"/>
    </row>
    <row r="2374" spans="2:12" ht="12" customHeight="1" x14ac:dyDescent="0.35">
      <c r="B2374" s="84"/>
      <c r="C2374" s="88"/>
      <c r="D2374" s="79"/>
      <c r="E2374" s="79"/>
      <c r="F2374" s="89" t="s">
        <v>425</v>
      </c>
      <c r="G2374" s="101"/>
      <c r="H2374" s="87">
        <f>SUM(H2372:H2373)</f>
        <v>0</v>
      </c>
      <c r="I2374" s="101"/>
      <c r="J2374" s="87">
        <f>SUM(J2372)</f>
        <v>0</v>
      </c>
      <c r="K2374" s="101"/>
      <c r="L2374" s="87">
        <f>SUM(L2372)</f>
        <v>0</v>
      </c>
    </row>
    <row r="2375" spans="2:12" ht="12" customHeight="1" x14ac:dyDescent="0.35">
      <c r="B2375" s="84" t="s">
        <v>8</v>
      </c>
      <c r="C2375" s="103" t="s">
        <v>426</v>
      </c>
      <c r="D2375" s="104"/>
      <c r="E2375" s="104"/>
      <c r="F2375" s="104"/>
      <c r="G2375" s="105"/>
      <c r="H2375" s="87">
        <f>H2364+H2370+H2374</f>
        <v>886409.16</v>
      </c>
      <c r="I2375" s="105"/>
      <c r="J2375" s="87" t="e">
        <f>J2364+J2370+J2374</f>
        <v>#REF!</v>
      </c>
      <c r="K2375" s="105"/>
      <c r="L2375" s="87" t="e">
        <f>L2364+L2370+L2374</f>
        <v>#REF!</v>
      </c>
    </row>
    <row r="2376" spans="2:12" ht="12" customHeight="1" x14ac:dyDescent="0.35">
      <c r="B2376" s="84" t="s">
        <v>9</v>
      </c>
      <c r="C2376" s="455" t="s">
        <v>427</v>
      </c>
      <c r="D2376" s="455"/>
      <c r="E2376" s="455"/>
      <c r="F2376" s="95">
        <f>0</f>
        <v>0</v>
      </c>
      <c r="G2376" s="85" t="s">
        <v>428</v>
      </c>
      <c r="H2376" s="87">
        <f>H2375*F2376</f>
        <v>0</v>
      </c>
      <c r="I2376" s="85" t="s">
        <v>428</v>
      </c>
      <c r="J2376" s="87" t="e">
        <f>J2375*F2376</f>
        <v>#REF!</v>
      </c>
      <c r="K2376" s="85" t="s">
        <v>428</v>
      </c>
      <c r="L2376" s="87" t="e">
        <f>L2375*F2376</f>
        <v>#REF!</v>
      </c>
    </row>
    <row r="2377" spans="2:12" ht="12" customHeight="1" x14ac:dyDescent="0.35">
      <c r="B2377" s="84" t="s">
        <v>10</v>
      </c>
      <c r="C2377" s="103" t="s">
        <v>429</v>
      </c>
      <c r="D2377" s="104"/>
      <c r="E2377" s="104"/>
      <c r="F2377" s="104"/>
      <c r="G2377" s="105"/>
      <c r="H2377" s="96">
        <f>H2375+H2376</f>
        <v>886409.16</v>
      </c>
      <c r="I2377" s="97"/>
      <c r="J2377" s="96" t="e">
        <f>J2375+J2376</f>
        <v>#REF!</v>
      </c>
      <c r="K2377" s="97"/>
      <c r="L2377" s="96" t="e">
        <f>L2375+L2376</f>
        <v>#REF!</v>
      </c>
    </row>
    <row r="2378" spans="2:12" x14ac:dyDescent="0.35">
      <c r="B2378" s="75" t="s">
        <v>699</v>
      </c>
    </row>
    <row r="2379" spans="2:12" x14ac:dyDescent="0.35">
      <c r="B2379" s="75" t="s">
        <v>700</v>
      </c>
    </row>
    <row r="2381" spans="2:12" ht="37" customHeight="1" x14ac:dyDescent="0.35">
      <c r="B2381" s="76" t="s">
        <v>702</v>
      </c>
      <c r="C2381" s="458" t="s">
        <v>703</v>
      </c>
      <c r="D2381" s="459"/>
      <c r="E2381" s="459"/>
      <c r="F2381" s="459"/>
      <c r="G2381" s="456"/>
      <c r="H2381" s="457"/>
      <c r="I2381" s="455" t="s">
        <v>3</v>
      </c>
      <c r="J2381" s="455"/>
      <c r="K2381" s="455" t="s">
        <v>4</v>
      </c>
      <c r="L2381" s="455"/>
    </row>
    <row r="2382" spans="2:12" ht="12" customHeight="1" x14ac:dyDescent="0.35">
      <c r="B2382" s="451" t="s">
        <v>409</v>
      </c>
      <c r="C2382" s="451" t="s">
        <v>410</v>
      </c>
      <c r="D2382" s="452" t="s">
        <v>411</v>
      </c>
      <c r="E2382" s="451" t="s">
        <v>412</v>
      </c>
      <c r="F2382" s="451" t="s">
        <v>413</v>
      </c>
      <c r="G2382" s="77" t="s">
        <v>414</v>
      </c>
      <c r="H2382" s="77" t="s">
        <v>415</v>
      </c>
      <c r="I2382" s="78" t="s">
        <v>414</v>
      </c>
      <c r="J2382" s="79" t="s">
        <v>415</v>
      </c>
      <c r="K2382" s="79" t="s">
        <v>414</v>
      </c>
      <c r="L2382" s="79" t="s">
        <v>415</v>
      </c>
    </row>
    <row r="2383" spans="2:12" ht="12" customHeight="1" x14ac:dyDescent="0.35">
      <c r="B2383" s="451"/>
      <c r="C2383" s="451"/>
      <c r="D2383" s="453"/>
      <c r="E2383" s="451"/>
      <c r="F2383" s="451"/>
      <c r="G2383" s="77" t="s">
        <v>17</v>
      </c>
      <c r="H2383" s="77" t="s">
        <v>416</v>
      </c>
      <c r="I2383" s="78" t="s">
        <v>17</v>
      </c>
      <c r="J2383" s="79" t="s">
        <v>416</v>
      </c>
      <c r="K2383" s="79" t="s">
        <v>17</v>
      </c>
      <c r="L2383" s="79" t="s">
        <v>416</v>
      </c>
    </row>
    <row r="2384" spans="2:12" ht="12" customHeight="1" x14ac:dyDescent="0.35">
      <c r="B2384" s="451"/>
      <c r="C2384" s="451"/>
      <c r="D2384" s="454"/>
      <c r="E2384" s="451"/>
      <c r="F2384" s="451"/>
      <c r="G2384" s="106"/>
      <c r="H2384" s="77" t="s">
        <v>17</v>
      </c>
      <c r="I2384" s="94"/>
      <c r="J2384" s="79" t="s">
        <v>17</v>
      </c>
      <c r="K2384" s="85"/>
      <c r="L2384" s="79" t="s">
        <v>17</v>
      </c>
    </row>
    <row r="2385" spans="1:12" ht="12" customHeight="1" x14ac:dyDescent="0.35">
      <c r="B2385" s="80" t="s">
        <v>5</v>
      </c>
      <c r="C2385" s="81" t="s">
        <v>417</v>
      </c>
      <c r="D2385" s="82"/>
      <c r="E2385" s="82"/>
      <c r="F2385" s="82"/>
      <c r="G2385" s="82"/>
      <c r="H2385" s="82"/>
      <c r="I2385" s="83"/>
      <c r="J2385" s="83"/>
      <c r="K2385" s="83"/>
      <c r="L2385" s="83"/>
    </row>
    <row r="2386" spans="1:12" ht="12" customHeight="1" x14ac:dyDescent="0.35">
      <c r="A2386" s="134">
        <v>10130000</v>
      </c>
      <c r="B2386" s="84"/>
      <c r="C2386" s="85" t="s">
        <v>28</v>
      </c>
      <c r="D2386" s="84" t="s">
        <v>418</v>
      </c>
      <c r="E2386" s="84" t="str">
        <f>VLOOKUP(C2386,HSD!B:K,2,FALSE)</f>
        <v>OH</v>
      </c>
      <c r="F2386" s="128">
        <v>0.70169999999999999</v>
      </c>
      <c r="G2386" s="87">
        <f>VLOOKUP(C2386,HSD!B:K,10,FALSE)</f>
        <v>120000</v>
      </c>
      <c r="H2386" s="87">
        <f>F2386*G2386</f>
        <v>84204</v>
      </c>
      <c r="I2386" s="87">
        <v>91500</v>
      </c>
      <c r="J2386" s="87">
        <f>F2386*I2386</f>
        <v>64205.549999999996</v>
      </c>
      <c r="K2386" s="87">
        <v>91500</v>
      </c>
      <c r="L2386" s="87">
        <f>F2386*K2386</f>
        <v>64205.549999999996</v>
      </c>
    </row>
    <row r="2387" spans="1:12" ht="12" customHeight="1" x14ac:dyDescent="0.35">
      <c r="A2387" s="134">
        <v>10143000</v>
      </c>
      <c r="B2387" s="84"/>
      <c r="C2387" s="85" t="s">
        <v>435</v>
      </c>
      <c r="D2387" s="84" t="s">
        <v>418</v>
      </c>
      <c r="E2387" s="84" t="str">
        <f>VLOOKUP(C2387,HSD!B:K,2,FALSE)</f>
        <v>OH</v>
      </c>
      <c r="F2387" s="128">
        <v>0.2339</v>
      </c>
      <c r="G2387" s="87">
        <f>VLOOKUP(C2387,HSD!B:K,10,FALSE)</f>
        <v>250000</v>
      </c>
      <c r="H2387" s="87">
        <f>F2387*G2387</f>
        <v>58475</v>
      </c>
      <c r="I2387" s="87"/>
      <c r="J2387" s="87"/>
      <c r="K2387" s="87"/>
      <c r="L2387" s="87"/>
    </row>
    <row r="2388" spans="1:12" ht="12" customHeight="1" x14ac:dyDescent="0.35">
      <c r="A2388" s="134">
        <v>10110000</v>
      </c>
      <c r="B2388" s="84"/>
      <c r="C2388" s="85" t="s">
        <v>30</v>
      </c>
      <c r="D2388" s="84" t="s">
        <v>418</v>
      </c>
      <c r="E2388" s="84" t="str">
        <f>VLOOKUP(C2388,HSD!B:K,2,FALSE)</f>
        <v>OH</v>
      </c>
      <c r="F2388" s="128">
        <f>F2386/10</f>
        <v>7.0169999999999996E-2</v>
      </c>
      <c r="G2388" s="87">
        <f>VLOOKUP(C2388,HSD!B:K,10,FALSE)</f>
        <v>150000</v>
      </c>
      <c r="H2388" s="87">
        <f>F2388*G2388</f>
        <v>10525.5</v>
      </c>
      <c r="I2388" s="87">
        <v>78600</v>
      </c>
      <c r="J2388" s="87">
        <f>F2388*I2388</f>
        <v>5515.3620000000001</v>
      </c>
      <c r="K2388" s="87">
        <v>78600</v>
      </c>
      <c r="L2388" s="87">
        <f>F2388*K2388</f>
        <v>5515.3620000000001</v>
      </c>
    </row>
    <row r="2389" spans="1:12" ht="12" customHeight="1" x14ac:dyDescent="0.35">
      <c r="B2389" s="84"/>
      <c r="C2389" s="85"/>
      <c r="D2389" s="84"/>
      <c r="E2389" s="84"/>
      <c r="F2389" s="86"/>
      <c r="G2389" s="87"/>
      <c r="H2389" s="87">
        <f>F2389*G2389</f>
        <v>0</v>
      </c>
      <c r="I2389" s="87">
        <v>92500</v>
      </c>
      <c r="J2389" s="87">
        <f>F2389*I2389</f>
        <v>0</v>
      </c>
      <c r="K2389" s="87">
        <v>92500</v>
      </c>
      <c r="L2389" s="87">
        <f>F2389*K2389</f>
        <v>0</v>
      </c>
    </row>
    <row r="2390" spans="1:12" ht="12" customHeight="1" x14ac:dyDescent="0.35">
      <c r="B2390" s="84"/>
      <c r="C2390" s="85"/>
      <c r="D2390" s="84"/>
      <c r="E2390" s="84"/>
      <c r="F2390" s="86"/>
      <c r="G2390" s="87"/>
      <c r="H2390" s="87"/>
      <c r="I2390" s="87"/>
      <c r="J2390" s="87"/>
      <c r="K2390" s="87"/>
      <c r="L2390" s="87"/>
    </row>
    <row r="2391" spans="1:12" ht="12" customHeight="1" x14ac:dyDescent="0.35">
      <c r="B2391" s="84"/>
      <c r="C2391" s="88"/>
      <c r="D2391" s="79"/>
      <c r="E2391" s="79"/>
      <c r="F2391" s="89" t="s">
        <v>421</v>
      </c>
      <c r="G2391" s="101"/>
      <c r="H2391" s="87">
        <f>SUM(H2386:H2390)</f>
        <v>153204.5</v>
      </c>
      <c r="I2391" s="101"/>
      <c r="J2391" s="87">
        <f>SUM(J2388:J2390)</f>
        <v>5515.3620000000001</v>
      </c>
      <c r="K2391" s="101"/>
      <c r="L2391" s="87">
        <f>SUM(L2388:L2390)</f>
        <v>5515.3620000000001</v>
      </c>
    </row>
    <row r="2392" spans="1:12" ht="12" customHeight="1" x14ac:dyDescent="0.35">
      <c r="B2392" s="84" t="s">
        <v>6</v>
      </c>
      <c r="C2392" s="88" t="s">
        <v>422</v>
      </c>
      <c r="D2392" s="79"/>
      <c r="E2392" s="79"/>
      <c r="F2392" s="90"/>
      <c r="G2392" s="84"/>
      <c r="H2392" s="87"/>
      <c r="I2392" s="84"/>
      <c r="J2392" s="87"/>
      <c r="K2392" s="84"/>
      <c r="L2392" s="87"/>
    </row>
    <row r="2393" spans="1:12" ht="12" customHeight="1" x14ac:dyDescent="0.35">
      <c r="A2393" s="134">
        <v>211100102</v>
      </c>
      <c r="B2393" s="84"/>
      <c r="C2393" s="85" t="s">
        <v>1794</v>
      </c>
      <c r="D2393" s="84" t="s">
        <v>418</v>
      </c>
      <c r="E2393" s="84" t="str">
        <f>VLOOKUP(C2393,HSD!B:K,2,FALSE)</f>
        <v>m3</v>
      </c>
      <c r="F2393" s="128">
        <v>1.3</v>
      </c>
      <c r="G2393" s="87">
        <f>VLOOKUP(C2393,HSD!B:K,10,FALSE)</f>
        <v>525030</v>
      </c>
      <c r="H2393" s="87">
        <f>F2393*G2393</f>
        <v>682539</v>
      </c>
      <c r="I2393" s="87">
        <v>232500</v>
      </c>
      <c r="J2393" s="87">
        <f>F2393*I2393</f>
        <v>302250</v>
      </c>
      <c r="K2393" s="87">
        <v>270000</v>
      </c>
      <c r="L2393" s="87">
        <f>F2393*K2393</f>
        <v>351000</v>
      </c>
    </row>
    <row r="2394" spans="1:12" ht="12" customHeight="1" x14ac:dyDescent="0.35">
      <c r="A2394" s="134">
        <v>21905011</v>
      </c>
      <c r="B2394" s="84"/>
      <c r="C2394" s="85" t="s">
        <v>1869</v>
      </c>
      <c r="D2394" s="84" t="s">
        <v>418</v>
      </c>
      <c r="E2394" s="84" t="str">
        <f>VLOOKUP(C2394,HSD!B:K,2,FALSE)</f>
        <v>kg</v>
      </c>
      <c r="F2394" s="128">
        <v>1</v>
      </c>
      <c r="G2394" s="87">
        <f>VLOOKUP(C2394,HSD!B:K,10,FALSE)</f>
        <v>25530</v>
      </c>
      <c r="H2394" s="87">
        <f>F2394*G2394</f>
        <v>25530</v>
      </c>
      <c r="I2394" s="87">
        <v>1060</v>
      </c>
      <c r="J2394" s="87">
        <f>F2394*I2394</f>
        <v>1060</v>
      </c>
      <c r="K2394" s="87">
        <v>1060</v>
      </c>
      <c r="L2394" s="87">
        <f>F2394*K2394</f>
        <v>1060</v>
      </c>
    </row>
    <row r="2395" spans="1:12" ht="12" customHeight="1" x14ac:dyDescent="0.35">
      <c r="A2395" s="134">
        <v>211100113</v>
      </c>
      <c r="B2395" s="84"/>
      <c r="C2395" s="130" t="s">
        <v>49</v>
      </c>
      <c r="D2395" s="131" t="s">
        <v>418</v>
      </c>
      <c r="E2395" s="131" t="str">
        <f>VLOOKUP(C2395,HSD!B:K,2,FALSE)</f>
        <v>m3</v>
      </c>
      <c r="F2395" s="132">
        <v>0.432</v>
      </c>
      <c r="G2395" s="133">
        <f>VLOOKUP(C2395,HSD!B:K,10,FALSE)</f>
        <v>230880</v>
      </c>
      <c r="H2395" s="133">
        <f>F2395*G2395</f>
        <v>99740.160000000003</v>
      </c>
      <c r="I2395" s="87">
        <v>215000</v>
      </c>
      <c r="J2395" s="87">
        <f>F2395*I2395</f>
        <v>92880</v>
      </c>
      <c r="K2395" s="87">
        <v>250000</v>
      </c>
      <c r="L2395" s="87">
        <f>F2395*K2395</f>
        <v>108000</v>
      </c>
    </row>
    <row r="2396" spans="1:12" ht="12" customHeight="1" x14ac:dyDescent="0.35">
      <c r="B2396" s="84"/>
      <c r="C2396" s="85"/>
      <c r="D2396" s="84"/>
      <c r="E2396" s="84"/>
      <c r="F2396" s="128"/>
      <c r="G2396" s="87"/>
      <c r="H2396" s="87"/>
      <c r="I2396" s="87"/>
      <c r="J2396" s="87"/>
      <c r="K2396" s="87"/>
      <c r="L2396" s="87"/>
    </row>
    <row r="2397" spans="1:12" ht="12" customHeight="1" x14ac:dyDescent="0.35">
      <c r="B2397" s="84"/>
      <c r="C2397" s="88"/>
      <c r="D2397" s="79"/>
      <c r="E2397" s="79"/>
      <c r="F2397" s="129" t="s">
        <v>423</v>
      </c>
      <c r="G2397" s="129"/>
      <c r="H2397" s="87">
        <f>SUM(H2393:H2396)</f>
        <v>807809.16</v>
      </c>
      <c r="I2397" s="101"/>
      <c r="J2397" s="87" t="e">
        <f>SUM(#REF!)</f>
        <v>#REF!</v>
      </c>
      <c r="K2397" s="101"/>
      <c r="L2397" s="87" t="e">
        <f>SUM(#REF!)</f>
        <v>#REF!</v>
      </c>
    </row>
    <row r="2398" spans="1:12" ht="12" customHeight="1" x14ac:dyDescent="0.35">
      <c r="B2398" s="84" t="s">
        <v>7</v>
      </c>
      <c r="C2398" s="88" t="s">
        <v>424</v>
      </c>
      <c r="D2398" s="79"/>
      <c r="E2398" s="79"/>
      <c r="F2398" s="90"/>
      <c r="G2398" s="84"/>
      <c r="H2398" s="87"/>
      <c r="I2398" s="84"/>
      <c r="J2398" s="87"/>
      <c r="K2398" s="84"/>
      <c r="L2398" s="87"/>
    </row>
    <row r="2399" spans="1:12" ht="12" customHeight="1" x14ac:dyDescent="0.35">
      <c r="B2399" s="84"/>
      <c r="C2399" s="85"/>
      <c r="D2399" s="84"/>
      <c r="E2399" s="84"/>
      <c r="F2399" s="128"/>
      <c r="G2399" s="87"/>
      <c r="H2399" s="87">
        <f>F2399*G2399</f>
        <v>0</v>
      </c>
      <c r="I2399" s="87"/>
      <c r="J2399" s="87">
        <f>H2399*I2399</f>
        <v>0</v>
      </c>
      <c r="K2399" s="87"/>
      <c r="L2399" s="87">
        <f>J2399*K2399</f>
        <v>0</v>
      </c>
    </row>
    <row r="2400" spans="1:12" ht="12" customHeight="1" x14ac:dyDescent="0.35">
      <c r="B2400" s="84"/>
      <c r="C2400" s="85"/>
      <c r="D2400" s="84"/>
      <c r="E2400" s="84"/>
      <c r="F2400" s="128"/>
      <c r="G2400" s="87"/>
      <c r="H2400" s="87">
        <f>F2400*G2400</f>
        <v>0</v>
      </c>
      <c r="I2400" s="87"/>
      <c r="J2400" s="87"/>
      <c r="K2400" s="87"/>
      <c r="L2400" s="87"/>
    </row>
    <row r="2401" spans="1:12" ht="12" customHeight="1" x14ac:dyDescent="0.35">
      <c r="B2401" s="84"/>
      <c r="C2401" s="88"/>
      <c r="D2401" s="79"/>
      <c r="E2401" s="79"/>
      <c r="F2401" s="89" t="s">
        <v>425</v>
      </c>
      <c r="G2401" s="101"/>
      <c r="H2401" s="87">
        <f>SUM(H2399:H2400)</f>
        <v>0</v>
      </c>
      <c r="I2401" s="101"/>
      <c r="J2401" s="87">
        <f>SUM(J2399)</f>
        <v>0</v>
      </c>
      <c r="K2401" s="101"/>
      <c r="L2401" s="87">
        <f>SUM(L2399)</f>
        <v>0</v>
      </c>
    </row>
    <row r="2402" spans="1:12" ht="12" customHeight="1" x14ac:dyDescent="0.35">
      <c r="B2402" s="84" t="s">
        <v>8</v>
      </c>
      <c r="C2402" s="103" t="s">
        <v>426</v>
      </c>
      <c r="D2402" s="104"/>
      <c r="E2402" s="104"/>
      <c r="F2402" s="104"/>
      <c r="G2402" s="105"/>
      <c r="H2402" s="87">
        <f>H2391+H2397+H2401</f>
        <v>961013.66</v>
      </c>
      <c r="I2402" s="105"/>
      <c r="J2402" s="87" t="e">
        <f>J2391+J2397+J2401</f>
        <v>#REF!</v>
      </c>
      <c r="K2402" s="105"/>
      <c r="L2402" s="87" t="e">
        <f>L2391+L2397+L2401</f>
        <v>#REF!</v>
      </c>
    </row>
    <row r="2403" spans="1:12" ht="12" customHeight="1" x14ac:dyDescent="0.35">
      <c r="B2403" s="84" t="s">
        <v>9</v>
      </c>
      <c r="C2403" s="455" t="s">
        <v>427</v>
      </c>
      <c r="D2403" s="455"/>
      <c r="E2403" s="455"/>
      <c r="F2403" s="95">
        <f>0</f>
        <v>0</v>
      </c>
      <c r="G2403" s="85" t="s">
        <v>428</v>
      </c>
      <c r="H2403" s="87">
        <f>H2402*F2403</f>
        <v>0</v>
      </c>
      <c r="I2403" s="85" t="s">
        <v>428</v>
      </c>
      <c r="J2403" s="87" t="e">
        <f>J2402*F2403</f>
        <v>#REF!</v>
      </c>
      <c r="K2403" s="85" t="s">
        <v>428</v>
      </c>
      <c r="L2403" s="87" t="e">
        <f>L2402*F2403</f>
        <v>#REF!</v>
      </c>
    </row>
    <row r="2404" spans="1:12" ht="12" customHeight="1" x14ac:dyDescent="0.35">
      <c r="B2404" s="84" t="s">
        <v>10</v>
      </c>
      <c r="C2404" s="103" t="s">
        <v>429</v>
      </c>
      <c r="D2404" s="104"/>
      <c r="E2404" s="104"/>
      <c r="F2404" s="104"/>
      <c r="G2404" s="105"/>
      <c r="H2404" s="96">
        <f>H2402+H2403</f>
        <v>961013.66</v>
      </c>
      <c r="I2404" s="97"/>
      <c r="J2404" s="96" t="e">
        <f>J2402+J2403</f>
        <v>#REF!</v>
      </c>
      <c r="K2404" s="97"/>
      <c r="L2404" s="96" t="e">
        <f>L2402+L2403</f>
        <v>#REF!</v>
      </c>
    </row>
    <row r="2405" spans="1:12" x14ac:dyDescent="0.35">
      <c r="B2405" s="75" t="s">
        <v>699</v>
      </c>
    </row>
    <row r="2406" spans="1:12" x14ac:dyDescent="0.35">
      <c r="B2406" s="75" t="s">
        <v>700</v>
      </c>
    </row>
    <row r="2408" spans="1:12" ht="37" customHeight="1" x14ac:dyDescent="0.35">
      <c r="B2408" s="76" t="s">
        <v>704</v>
      </c>
      <c r="C2408" s="458" t="s">
        <v>705</v>
      </c>
      <c r="D2408" s="459"/>
      <c r="E2408" s="459"/>
      <c r="F2408" s="459"/>
      <c r="G2408" s="456"/>
      <c r="H2408" s="457"/>
      <c r="I2408" s="455" t="s">
        <v>3</v>
      </c>
      <c r="J2408" s="455"/>
      <c r="K2408" s="455" t="s">
        <v>4</v>
      </c>
      <c r="L2408" s="455"/>
    </row>
    <row r="2409" spans="1:12" ht="12" customHeight="1" x14ac:dyDescent="0.35">
      <c r="B2409" s="451" t="s">
        <v>409</v>
      </c>
      <c r="C2409" s="451" t="s">
        <v>410</v>
      </c>
      <c r="D2409" s="452" t="s">
        <v>411</v>
      </c>
      <c r="E2409" s="451" t="s">
        <v>412</v>
      </c>
      <c r="F2409" s="451" t="s">
        <v>413</v>
      </c>
      <c r="G2409" s="77" t="s">
        <v>414</v>
      </c>
      <c r="H2409" s="77" t="s">
        <v>415</v>
      </c>
      <c r="I2409" s="78" t="s">
        <v>414</v>
      </c>
      <c r="J2409" s="79" t="s">
        <v>415</v>
      </c>
      <c r="K2409" s="79" t="s">
        <v>414</v>
      </c>
      <c r="L2409" s="79" t="s">
        <v>415</v>
      </c>
    </row>
    <row r="2410" spans="1:12" ht="12" customHeight="1" x14ac:dyDescent="0.35">
      <c r="B2410" s="451"/>
      <c r="C2410" s="451"/>
      <c r="D2410" s="453"/>
      <c r="E2410" s="451"/>
      <c r="F2410" s="451"/>
      <c r="G2410" s="77" t="s">
        <v>17</v>
      </c>
      <c r="H2410" s="77" t="s">
        <v>416</v>
      </c>
      <c r="I2410" s="78" t="s">
        <v>17</v>
      </c>
      <c r="J2410" s="79" t="s">
        <v>416</v>
      </c>
      <c r="K2410" s="79" t="s">
        <v>17</v>
      </c>
      <c r="L2410" s="79" t="s">
        <v>416</v>
      </c>
    </row>
    <row r="2411" spans="1:12" ht="12" customHeight="1" x14ac:dyDescent="0.35">
      <c r="B2411" s="451"/>
      <c r="C2411" s="451"/>
      <c r="D2411" s="454"/>
      <c r="E2411" s="451"/>
      <c r="F2411" s="451"/>
      <c r="G2411" s="106"/>
      <c r="H2411" s="77" t="s">
        <v>17</v>
      </c>
      <c r="I2411" s="94"/>
      <c r="J2411" s="79" t="s">
        <v>17</v>
      </c>
      <c r="K2411" s="85"/>
      <c r="L2411" s="79" t="s">
        <v>17</v>
      </c>
    </row>
    <row r="2412" spans="1:12" ht="12" customHeight="1" x14ac:dyDescent="0.35">
      <c r="B2412" s="80" t="s">
        <v>5</v>
      </c>
      <c r="C2412" s="81" t="s">
        <v>417</v>
      </c>
      <c r="D2412" s="82"/>
      <c r="E2412" s="82"/>
      <c r="F2412" s="82"/>
      <c r="G2412" s="82"/>
      <c r="H2412" s="82"/>
      <c r="I2412" s="83"/>
      <c r="J2412" s="83"/>
      <c r="K2412" s="83"/>
      <c r="L2412" s="83"/>
    </row>
    <row r="2413" spans="1:12" ht="12" customHeight="1" x14ac:dyDescent="0.35">
      <c r="A2413" s="134">
        <v>10130000</v>
      </c>
      <c r="B2413" s="84"/>
      <c r="C2413" s="85" t="s">
        <v>28</v>
      </c>
      <c r="D2413" s="84" t="s">
        <v>418</v>
      </c>
      <c r="E2413" s="84" t="str">
        <f>VLOOKUP(C2413,HSD!B:K,2,FALSE)</f>
        <v>OH</v>
      </c>
      <c r="F2413" s="128">
        <v>0.24</v>
      </c>
      <c r="G2413" s="87">
        <f>VLOOKUP(C2413,HSD!B:K,10,FALSE)</f>
        <v>120000</v>
      </c>
      <c r="H2413" s="87">
        <f>F2413*G2413</f>
        <v>28800</v>
      </c>
      <c r="I2413" s="87">
        <v>91500</v>
      </c>
      <c r="J2413" s="87">
        <f>F2413*I2413</f>
        <v>21960</v>
      </c>
      <c r="K2413" s="87">
        <v>91500</v>
      </c>
      <c r="L2413" s="87">
        <f>F2413*K2413</f>
        <v>21960</v>
      </c>
    </row>
    <row r="2414" spans="1:12" ht="12" customHeight="1" x14ac:dyDescent="0.35">
      <c r="A2414" s="134">
        <v>10143000</v>
      </c>
      <c r="B2414" s="84"/>
      <c r="C2414" s="85" t="s">
        <v>435</v>
      </c>
      <c r="D2414" s="84" t="s">
        <v>418</v>
      </c>
      <c r="E2414" s="84" t="str">
        <f>VLOOKUP(C2414,HSD!B:K,2,FALSE)</f>
        <v>OH</v>
      </c>
      <c r="F2414" s="128">
        <v>0.12</v>
      </c>
      <c r="G2414" s="87">
        <f>VLOOKUP(C2414,HSD!B:K,10,FALSE)</f>
        <v>250000</v>
      </c>
      <c r="H2414" s="87">
        <f>F2414*G2414</f>
        <v>30000</v>
      </c>
      <c r="I2414" s="87"/>
      <c r="J2414" s="87"/>
      <c r="K2414" s="87"/>
      <c r="L2414" s="87"/>
    </row>
    <row r="2415" spans="1:12" ht="12" customHeight="1" x14ac:dyDescent="0.35">
      <c r="A2415" s="134">
        <v>10120000</v>
      </c>
      <c r="B2415" s="84"/>
      <c r="C2415" s="85" t="s">
        <v>27</v>
      </c>
      <c r="D2415" s="84" t="s">
        <v>418</v>
      </c>
      <c r="E2415" s="84" t="str">
        <f>VLOOKUP(C2415,HSD!B:K,2,FALSE)</f>
        <v>OH</v>
      </c>
      <c r="F2415" s="128">
        <f>F2414/10</f>
        <v>1.2E-2</v>
      </c>
      <c r="G2415" s="87">
        <f>VLOOKUP(C2415,HSD!B:K,10,FALSE)</f>
        <v>150000</v>
      </c>
      <c r="H2415" s="87">
        <f>F2415*G2415</f>
        <v>1800</v>
      </c>
      <c r="I2415" s="87"/>
      <c r="J2415" s="87"/>
      <c r="K2415" s="87"/>
      <c r="L2415" s="87"/>
    </row>
    <row r="2416" spans="1:12" ht="12" customHeight="1" x14ac:dyDescent="0.35">
      <c r="A2416" s="134">
        <v>10110000</v>
      </c>
      <c r="B2416" s="84"/>
      <c r="C2416" s="85" t="s">
        <v>30</v>
      </c>
      <c r="D2416" s="84" t="s">
        <v>418</v>
      </c>
      <c r="E2416" s="84" t="str">
        <f>VLOOKUP(C2416,HSD!B:K,2,FALSE)</f>
        <v>OH</v>
      </c>
      <c r="F2416" s="128">
        <f>F2413/10</f>
        <v>2.4E-2</v>
      </c>
      <c r="G2416" s="87">
        <f>VLOOKUP(C2416,HSD!B:K,10,FALSE)</f>
        <v>150000</v>
      </c>
      <c r="H2416" s="87">
        <f>F2416*G2416</f>
        <v>3600</v>
      </c>
      <c r="I2416" s="87">
        <v>78600</v>
      </c>
      <c r="J2416" s="87">
        <f>F2416*I2416</f>
        <v>1886.4</v>
      </c>
      <c r="K2416" s="87">
        <v>78600</v>
      </c>
      <c r="L2416" s="87">
        <f>F2416*K2416</f>
        <v>1886.4</v>
      </c>
    </row>
    <row r="2417" spans="1:12" ht="12" customHeight="1" x14ac:dyDescent="0.35">
      <c r="B2417" s="84"/>
      <c r="C2417" s="85"/>
      <c r="D2417" s="84"/>
      <c r="E2417" s="84"/>
      <c r="F2417" s="86"/>
      <c r="G2417" s="87"/>
      <c r="H2417" s="87">
        <f>F2417*G2417</f>
        <v>0</v>
      </c>
      <c r="I2417" s="87">
        <v>92500</v>
      </c>
      <c r="J2417" s="87">
        <f>F2417*I2417</f>
        <v>0</v>
      </c>
      <c r="K2417" s="87">
        <v>92500</v>
      </c>
      <c r="L2417" s="87">
        <f>F2417*K2417</f>
        <v>0</v>
      </c>
    </row>
    <row r="2418" spans="1:12" ht="12" customHeight="1" x14ac:dyDescent="0.35">
      <c r="B2418" s="84"/>
      <c r="C2418" s="85"/>
      <c r="D2418" s="84"/>
      <c r="E2418" s="84"/>
      <c r="F2418" s="86"/>
      <c r="G2418" s="87"/>
      <c r="H2418" s="87"/>
      <c r="I2418" s="87"/>
      <c r="J2418" s="87"/>
      <c r="K2418" s="87"/>
      <c r="L2418" s="87"/>
    </row>
    <row r="2419" spans="1:12" ht="12" customHeight="1" x14ac:dyDescent="0.35">
      <c r="B2419" s="84"/>
      <c r="C2419" s="88"/>
      <c r="D2419" s="79"/>
      <c r="E2419" s="79"/>
      <c r="F2419" s="89" t="s">
        <v>421</v>
      </c>
      <c r="G2419" s="101"/>
      <c r="H2419" s="87">
        <f>SUM(H2413:H2418)</f>
        <v>64200</v>
      </c>
      <c r="I2419" s="101"/>
      <c r="J2419" s="87">
        <f>SUM(J2416:J2418)</f>
        <v>1886.4</v>
      </c>
      <c r="K2419" s="101"/>
      <c r="L2419" s="87">
        <f>SUM(L2416:L2418)</f>
        <v>1886.4</v>
      </c>
    </row>
    <row r="2420" spans="1:12" ht="12" customHeight="1" x14ac:dyDescent="0.35">
      <c r="B2420" s="84" t="s">
        <v>6</v>
      </c>
      <c r="C2420" s="88" t="s">
        <v>422</v>
      </c>
      <c r="D2420" s="79"/>
      <c r="E2420" s="79"/>
      <c r="F2420" s="90"/>
      <c r="G2420" s="84"/>
      <c r="H2420" s="87"/>
      <c r="I2420" s="84"/>
      <c r="J2420" s="87"/>
      <c r="K2420" s="84"/>
      <c r="L2420" s="87"/>
    </row>
    <row r="2421" spans="1:12" ht="12" customHeight="1" x14ac:dyDescent="0.35">
      <c r="A2421" s="134">
        <v>211102116</v>
      </c>
      <c r="B2421" s="84"/>
      <c r="C2421" s="85" t="s">
        <v>706</v>
      </c>
      <c r="D2421" s="84" t="s">
        <v>418</v>
      </c>
      <c r="E2421" s="84" t="str">
        <f>VLOOKUP(C2421,HSD!B:K,2,FALSE)</f>
        <v>m2</v>
      </c>
      <c r="F2421" s="128">
        <v>1.25</v>
      </c>
      <c r="G2421" s="87">
        <f>VLOOKUP(C2421,HSD!B:K,10,FALSE)</f>
        <v>299700</v>
      </c>
      <c r="H2421" s="87">
        <f>F2421*G2421</f>
        <v>374625</v>
      </c>
      <c r="I2421" s="87">
        <v>232500</v>
      </c>
      <c r="J2421" s="87">
        <f>F2421*I2421</f>
        <v>290625</v>
      </c>
      <c r="K2421" s="87">
        <v>270000</v>
      </c>
      <c r="L2421" s="87">
        <f>F2421*K2421</f>
        <v>337500</v>
      </c>
    </row>
    <row r="2422" spans="1:12" ht="12" customHeight="1" x14ac:dyDescent="0.35">
      <c r="A2422" s="134">
        <v>211100113</v>
      </c>
      <c r="B2422" s="84"/>
      <c r="C2422" s="85" t="s">
        <v>49</v>
      </c>
      <c r="D2422" s="84" t="s">
        <v>418</v>
      </c>
      <c r="E2422" s="84" t="str">
        <f>VLOOKUP(C2422,HSD!B:K,2,FALSE)</f>
        <v>m3</v>
      </c>
      <c r="F2422" s="128">
        <v>2.5000000000000001E-2</v>
      </c>
      <c r="G2422" s="87">
        <f>VLOOKUP(C2422,HSD!B:K,10,FALSE)</f>
        <v>230880</v>
      </c>
      <c r="H2422" s="87">
        <f>F2422*G2422</f>
        <v>5772</v>
      </c>
      <c r="I2422" s="87">
        <v>1060</v>
      </c>
      <c r="J2422" s="87">
        <f>F2422*I2422</f>
        <v>26.5</v>
      </c>
      <c r="K2422" s="87">
        <v>1060</v>
      </c>
      <c r="L2422" s="87">
        <f>F2422*K2422</f>
        <v>26.5</v>
      </c>
    </row>
    <row r="2423" spans="1:12" ht="12" customHeight="1" x14ac:dyDescent="0.35">
      <c r="A2423" s="134">
        <v>21301000</v>
      </c>
      <c r="B2423" s="84"/>
      <c r="C2423" s="85" t="s">
        <v>60</v>
      </c>
      <c r="D2423" s="84" t="s">
        <v>418</v>
      </c>
      <c r="E2423" s="84" t="str">
        <f>VLOOKUP(C2423,HSD!B:K,2,FALSE)</f>
        <v>kg</v>
      </c>
      <c r="F2423" s="128">
        <v>5</v>
      </c>
      <c r="G2423" s="87">
        <f>VLOOKUP(C2423,HSD!B:K,10,FALSE)</f>
        <v>2331</v>
      </c>
      <c r="H2423" s="87">
        <f>F2423*G2423</f>
        <v>11655</v>
      </c>
      <c r="I2423" s="87">
        <v>215000</v>
      </c>
      <c r="J2423" s="87">
        <f>F2423*I2423</f>
        <v>1075000</v>
      </c>
      <c r="K2423" s="87">
        <v>250000</v>
      </c>
      <c r="L2423" s="87">
        <f>F2423*K2423</f>
        <v>1250000</v>
      </c>
    </row>
    <row r="2424" spans="1:12" ht="12" customHeight="1" x14ac:dyDescent="0.35">
      <c r="B2424" s="84"/>
      <c r="C2424" s="85"/>
      <c r="D2424" s="84"/>
      <c r="E2424" s="84"/>
      <c r="F2424" s="128"/>
      <c r="G2424" s="87"/>
      <c r="H2424" s="87"/>
      <c r="I2424" s="87"/>
      <c r="J2424" s="87"/>
      <c r="K2424" s="87"/>
      <c r="L2424" s="87"/>
    </row>
    <row r="2425" spans="1:12" ht="12" customHeight="1" x14ac:dyDescent="0.35">
      <c r="B2425" s="84"/>
      <c r="C2425" s="88"/>
      <c r="D2425" s="79"/>
      <c r="E2425" s="79"/>
      <c r="F2425" s="129" t="s">
        <v>423</v>
      </c>
      <c r="G2425" s="129"/>
      <c r="H2425" s="87">
        <f>SUM(H2421:H2424)</f>
        <v>392052</v>
      </c>
      <c r="I2425" s="101"/>
      <c r="J2425" s="87" t="e">
        <f>SUM(#REF!)</f>
        <v>#REF!</v>
      </c>
      <c r="K2425" s="101"/>
      <c r="L2425" s="87" t="e">
        <f>SUM(#REF!)</f>
        <v>#REF!</v>
      </c>
    </row>
    <row r="2426" spans="1:12" ht="12" customHeight="1" x14ac:dyDescent="0.35">
      <c r="B2426" s="84" t="s">
        <v>7</v>
      </c>
      <c r="C2426" s="88" t="s">
        <v>424</v>
      </c>
      <c r="D2426" s="79"/>
      <c r="E2426" s="79"/>
      <c r="F2426" s="90"/>
      <c r="G2426" s="84"/>
      <c r="H2426" s="87"/>
      <c r="I2426" s="84"/>
      <c r="J2426" s="87"/>
      <c r="K2426" s="84"/>
      <c r="L2426" s="87"/>
    </row>
    <row r="2427" spans="1:12" ht="12" customHeight="1" x14ac:dyDescent="0.35">
      <c r="B2427" s="84"/>
      <c r="C2427" s="85"/>
      <c r="D2427" s="84"/>
      <c r="E2427" s="84"/>
      <c r="F2427" s="128"/>
      <c r="G2427" s="87"/>
      <c r="H2427" s="87">
        <f>F2427*G2427</f>
        <v>0</v>
      </c>
      <c r="I2427" s="87"/>
      <c r="J2427" s="87">
        <f>H2427*I2427</f>
        <v>0</v>
      </c>
      <c r="K2427" s="87"/>
      <c r="L2427" s="87">
        <f>J2427*K2427</f>
        <v>0</v>
      </c>
    </row>
    <row r="2428" spans="1:12" ht="12" customHeight="1" x14ac:dyDescent="0.35">
      <c r="B2428" s="84"/>
      <c r="C2428" s="85"/>
      <c r="D2428" s="84"/>
      <c r="E2428" s="84"/>
      <c r="F2428" s="128"/>
      <c r="G2428" s="87"/>
      <c r="H2428" s="87">
        <f>F2428*G2428</f>
        <v>0</v>
      </c>
      <c r="I2428" s="87"/>
      <c r="J2428" s="87"/>
      <c r="K2428" s="87"/>
      <c r="L2428" s="87"/>
    </row>
    <row r="2429" spans="1:12" ht="12" customHeight="1" x14ac:dyDescent="0.35">
      <c r="B2429" s="84"/>
      <c r="C2429" s="88"/>
      <c r="D2429" s="79"/>
      <c r="E2429" s="79"/>
      <c r="F2429" s="89" t="s">
        <v>425</v>
      </c>
      <c r="G2429" s="101"/>
      <c r="H2429" s="87">
        <f>SUM(H2427:H2428)</f>
        <v>0</v>
      </c>
      <c r="I2429" s="101"/>
      <c r="J2429" s="87">
        <f>SUM(J2427)</f>
        <v>0</v>
      </c>
      <c r="K2429" s="101"/>
      <c r="L2429" s="87">
        <f>SUM(L2427)</f>
        <v>0</v>
      </c>
    </row>
    <row r="2430" spans="1:12" ht="12" customHeight="1" x14ac:dyDescent="0.35">
      <c r="B2430" s="84" t="s">
        <v>8</v>
      </c>
      <c r="C2430" s="103" t="s">
        <v>426</v>
      </c>
      <c r="D2430" s="104"/>
      <c r="E2430" s="104"/>
      <c r="F2430" s="104"/>
      <c r="G2430" s="105"/>
      <c r="H2430" s="87">
        <f>H2419+H2425+H2429</f>
        <v>456252</v>
      </c>
      <c r="I2430" s="105"/>
      <c r="J2430" s="87" t="e">
        <f>J2419+J2425+J2429</f>
        <v>#REF!</v>
      </c>
      <c r="K2430" s="105"/>
      <c r="L2430" s="87" t="e">
        <f>L2419+L2425+L2429</f>
        <v>#REF!</v>
      </c>
    </row>
    <row r="2431" spans="1:12" ht="12" customHeight="1" x14ac:dyDescent="0.35">
      <c r="B2431" s="84" t="s">
        <v>9</v>
      </c>
      <c r="C2431" s="455" t="s">
        <v>427</v>
      </c>
      <c r="D2431" s="455"/>
      <c r="E2431" s="455"/>
      <c r="F2431" s="95">
        <f>0</f>
        <v>0</v>
      </c>
      <c r="G2431" s="85" t="s">
        <v>428</v>
      </c>
      <c r="H2431" s="87">
        <f>H2430*F2431</f>
        <v>0</v>
      </c>
      <c r="I2431" s="85" t="s">
        <v>428</v>
      </c>
      <c r="J2431" s="87" t="e">
        <f>J2430*F2431</f>
        <v>#REF!</v>
      </c>
      <c r="K2431" s="85" t="s">
        <v>428</v>
      </c>
      <c r="L2431" s="87" t="e">
        <f>L2430*F2431</f>
        <v>#REF!</v>
      </c>
    </row>
    <row r="2432" spans="1:12" ht="12" customHeight="1" x14ac:dyDescent="0.35">
      <c r="B2432" s="84" t="s">
        <v>10</v>
      </c>
      <c r="C2432" s="103" t="s">
        <v>429</v>
      </c>
      <c r="D2432" s="104"/>
      <c r="E2432" s="104"/>
      <c r="F2432" s="104"/>
      <c r="G2432" s="105"/>
      <c r="H2432" s="96">
        <f>H2430+H2431</f>
        <v>456252</v>
      </c>
      <c r="I2432" s="97"/>
      <c r="J2432" s="96" t="e">
        <f>J2430+J2431</f>
        <v>#REF!</v>
      </c>
      <c r="K2432" s="97"/>
      <c r="L2432" s="96" t="e">
        <f>L2430+L2431</f>
        <v>#REF!</v>
      </c>
    </row>
    <row r="2434" spans="1:12" ht="37" customHeight="1" x14ac:dyDescent="0.35">
      <c r="B2434" s="76" t="s">
        <v>708</v>
      </c>
      <c r="C2434" s="458" t="s">
        <v>709</v>
      </c>
      <c r="D2434" s="459"/>
      <c r="E2434" s="459"/>
      <c r="F2434" s="459"/>
      <c r="G2434" s="456"/>
      <c r="H2434" s="457"/>
      <c r="I2434" s="455" t="s">
        <v>3</v>
      </c>
      <c r="J2434" s="455"/>
      <c r="K2434" s="455" t="s">
        <v>4</v>
      </c>
      <c r="L2434" s="455"/>
    </row>
    <row r="2435" spans="1:12" ht="12" customHeight="1" x14ac:dyDescent="0.35">
      <c r="B2435" s="451" t="s">
        <v>409</v>
      </c>
      <c r="C2435" s="451" t="s">
        <v>410</v>
      </c>
      <c r="D2435" s="452" t="s">
        <v>411</v>
      </c>
      <c r="E2435" s="451" t="s">
        <v>412</v>
      </c>
      <c r="F2435" s="451" t="s">
        <v>413</v>
      </c>
      <c r="G2435" s="77" t="s">
        <v>414</v>
      </c>
      <c r="H2435" s="77" t="s">
        <v>415</v>
      </c>
      <c r="I2435" s="78" t="s">
        <v>414</v>
      </c>
      <c r="J2435" s="79" t="s">
        <v>415</v>
      </c>
      <c r="K2435" s="79" t="s">
        <v>414</v>
      </c>
      <c r="L2435" s="79" t="s">
        <v>415</v>
      </c>
    </row>
    <row r="2436" spans="1:12" ht="12" customHeight="1" x14ac:dyDescent="0.35">
      <c r="B2436" s="451"/>
      <c r="C2436" s="451"/>
      <c r="D2436" s="453"/>
      <c r="E2436" s="451"/>
      <c r="F2436" s="451"/>
      <c r="G2436" s="77" t="s">
        <v>17</v>
      </c>
      <c r="H2436" s="77" t="s">
        <v>416</v>
      </c>
      <c r="I2436" s="78" t="s">
        <v>17</v>
      </c>
      <c r="J2436" s="79" t="s">
        <v>416</v>
      </c>
      <c r="K2436" s="79" t="s">
        <v>17</v>
      </c>
      <c r="L2436" s="79" t="s">
        <v>416</v>
      </c>
    </row>
    <row r="2437" spans="1:12" ht="12" customHeight="1" x14ac:dyDescent="0.35">
      <c r="B2437" s="451"/>
      <c r="C2437" s="451"/>
      <c r="D2437" s="454"/>
      <c r="E2437" s="451"/>
      <c r="F2437" s="451"/>
      <c r="G2437" s="106"/>
      <c r="H2437" s="77" t="s">
        <v>17</v>
      </c>
      <c r="I2437" s="94"/>
      <c r="J2437" s="79" t="s">
        <v>17</v>
      </c>
      <c r="K2437" s="85"/>
      <c r="L2437" s="79" t="s">
        <v>17</v>
      </c>
    </row>
    <row r="2438" spans="1:12" ht="12" customHeight="1" x14ac:dyDescent="0.35">
      <c r="B2438" s="80" t="s">
        <v>5</v>
      </c>
      <c r="C2438" s="81" t="s">
        <v>417</v>
      </c>
      <c r="D2438" s="82"/>
      <c r="E2438" s="82"/>
      <c r="F2438" s="82"/>
      <c r="G2438" s="82"/>
      <c r="H2438" s="82"/>
      <c r="I2438" s="83"/>
      <c r="J2438" s="83"/>
      <c r="K2438" s="83"/>
      <c r="L2438" s="83"/>
    </row>
    <row r="2439" spans="1:12" ht="12" customHeight="1" x14ac:dyDescent="0.35">
      <c r="A2439" s="134">
        <v>10130000</v>
      </c>
      <c r="B2439" s="84"/>
      <c r="C2439" s="85" t="s">
        <v>28</v>
      </c>
      <c r="D2439" s="84" t="s">
        <v>418</v>
      </c>
      <c r="E2439" s="84" t="str">
        <f>VLOOKUP(C2439,HSD!B:K,2,FALSE)</f>
        <v>OH</v>
      </c>
      <c r="F2439" s="128">
        <v>0.24</v>
      </c>
      <c r="G2439" s="87">
        <f>VLOOKUP(C2439,HSD!B:K,10,FALSE)</f>
        <v>120000</v>
      </c>
      <c r="H2439" s="87">
        <f>F2439*G2439</f>
        <v>28800</v>
      </c>
      <c r="I2439" s="87">
        <v>91500</v>
      </c>
      <c r="J2439" s="87">
        <f>F2439*I2439</f>
        <v>21960</v>
      </c>
      <c r="K2439" s="87">
        <v>91500</v>
      </c>
      <c r="L2439" s="87">
        <f>F2439*K2439</f>
        <v>21960</v>
      </c>
    </row>
    <row r="2440" spans="1:12" ht="12" customHeight="1" x14ac:dyDescent="0.35">
      <c r="A2440" s="134">
        <v>10143000</v>
      </c>
      <c r="B2440" s="84"/>
      <c r="C2440" s="85" t="s">
        <v>435</v>
      </c>
      <c r="D2440" s="84" t="s">
        <v>418</v>
      </c>
      <c r="E2440" s="84" t="str">
        <f>VLOOKUP(C2440,HSD!B:K,2,FALSE)</f>
        <v>OH</v>
      </c>
      <c r="F2440" s="128">
        <v>0.12</v>
      </c>
      <c r="G2440" s="87">
        <f>VLOOKUP(C2440,HSD!B:K,10,FALSE)</f>
        <v>250000</v>
      </c>
      <c r="H2440" s="87">
        <f>F2440*G2440</f>
        <v>30000</v>
      </c>
      <c r="I2440" s="87"/>
      <c r="J2440" s="87"/>
      <c r="K2440" s="87"/>
      <c r="L2440" s="87"/>
    </row>
    <row r="2441" spans="1:12" ht="12" customHeight="1" x14ac:dyDescent="0.35">
      <c r="A2441" s="134">
        <v>10120000</v>
      </c>
      <c r="B2441" s="84"/>
      <c r="C2441" s="85" t="s">
        <v>27</v>
      </c>
      <c r="D2441" s="84" t="s">
        <v>418</v>
      </c>
      <c r="E2441" s="84" t="str">
        <f>VLOOKUP(C2441,HSD!B:K,2,FALSE)</f>
        <v>OH</v>
      </c>
      <c r="F2441" s="128">
        <f>F2440/10</f>
        <v>1.2E-2</v>
      </c>
      <c r="G2441" s="87">
        <f>VLOOKUP(C2441,HSD!B:K,10,FALSE)</f>
        <v>150000</v>
      </c>
      <c r="H2441" s="87">
        <f>F2441*G2441</f>
        <v>1800</v>
      </c>
      <c r="I2441" s="87"/>
      <c r="J2441" s="87"/>
      <c r="K2441" s="87"/>
      <c r="L2441" s="87"/>
    </row>
    <row r="2442" spans="1:12" ht="12" customHeight="1" x14ac:dyDescent="0.35">
      <c r="A2442" s="134">
        <v>10110000</v>
      </c>
      <c r="B2442" s="84"/>
      <c r="C2442" s="85" t="s">
        <v>30</v>
      </c>
      <c r="D2442" s="84" t="s">
        <v>418</v>
      </c>
      <c r="E2442" s="84" t="str">
        <f>VLOOKUP(C2442,HSD!B:K,2,FALSE)</f>
        <v>OH</v>
      </c>
      <c r="F2442" s="128">
        <f>F2439/10</f>
        <v>2.4E-2</v>
      </c>
      <c r="G2442" s="87">
        <f>VLOOKUP(C2442,HSD!B:K,10,FALSE)</f>
        <v>150000</v>
      </c>
      <c r="H2442" s="87">
        <f>F2442*G2442</f>
        <v>3600</v>
      </c>
      <c r="I2442" s="87">
        <v>78600</v>
      </c>
      <c r="J2442" s="87">
        <f>F2442*I2442</f>
        <v>1886.4</v>
      </c>
      <c r="K2442" s="87">
        <v>78600</v>
      </c>
      <c r="L2442" s="87">
        <f>F2442*K2442</f>
        <v>1886.4</v>
      </c>
    </row>
    <row r="2443" spans="1:12" ht="12" customHeight="1" x14ac:dyDescent="0.35">
      <c r="B2443" s="84"/>
      <c r="C2443" s="85"/>
      <c r="D2443" s="84"/>
      <c r="E2443" s="84"/>
      <c r="F2443" s="86"/>
      <c r="G2443" s="87"/>
      <c r="H2443" s="87">
        <f>F2443*G2443</f>
        <v>0</v>
      </c>
      <c r="I2443" s="87">
        <v>92500</v>
      </c>
      <c r="J2443" s="87">
        <f>F2443*I2443</f>
        <v>0</v>
      </c>
      <c r="K2443" s="87">
        <v>92500</v>
      </c>
      <c r="L2443" s="87">
        <f>F2443*K2443</f>
        <v>0</v>
      </c>
    </row>
    <row r="2444" spans="1:12" ht="12" customHeight="1" x14ac:dyDescent="0.35">
      <c r="B2444" s="84"/>
      <c r="C2444" s="85"/>
      <c r="D2444" s="84"/>
      <c r="E2444" s="84"/>
      <c r="F2444" s="86"/>
      <c r="G2444" s="87"/>
      <c r="H2444" s="87"/>
      <c r="I2444" s="87"/>
      <c r="J2444" s="87"/>
      <c r="K2444" s="87"/>
      <c r="L2444" s="87"/>
    </row>
    <row r="2445" spans="1:12" ht="12" customHeight="1" x14ac:dyDescent="0.35">
      <c r="B2445" s="84"/>
      <c r="C2445" s="88"/>
      <c r="D2445" s="79"/>
      <c r="E2445" s="79"/>
      <c r="F2445" s="89" t="s">
        <v>421</v>
      </c>
      <c r="G2445" s="101"/>
      <c r="H2445" s="87">
        <f>SUM(H2439:H2444)</f>
        <v>64200</v>
      </c>
      <c r="I2445" s="101"/>
      <c r="J2445" s="87">
        <f>SUM(J2442:J2444)</f>
        <v>1886.4</v>
      </c>
      <c r="K2445" s="101"/>
      <c r="L2445" s="87">
        <f>SUM(L2442:L2444)</f>
        <v>1886.4</v>
      </c>
    </row>
    <row r="2446" spans="1:12" ht="12" customHeight="1" x14ac:dyDescent="0.35">
      <c r="B2446" s="84" t="s">
        <v>6</v>
      </c>
      <c r="C2446" s="88" t="s">
        <v>422</v>
      </c>
      <c r="D2446" s="79"/>
      <c r="E2446" s="79"/>
      <c r="F2446" s="90"/>
      <c r="G2446" s="84"/>
      <c r="H2446" s="87"/>
      <c r="I2446" s="84"/>
      <c r="J2446" s="87"/>
      <c r="K2446" s="84"/>
      <c r="L2446" s="87"/>
    </row>
    <row r="2447" spans="1:12" ht="12" customHeight="1" x14ac:dyDescent="0.35">
      <c r="A2447" s="134">
        <v>211102120</v>
      </c>
      <c r="B2447" s="84"/>
      <c r="C2447" s="85" t="s">
        <v>1797</v>
      </c>
      <c r="D2447" s="84" t="s">
        <v>418</v>
      </c>
      <c r="E2447" s="84" t="str">
        <f>VLOOKUP(C2447,HSD!B:K,2,FALSE)</f>
        <v>m2</v>
      </c>
      <c r="F2447" s="128">
        <v>1.25</v>
      </c>
      <c r="G2447" s="87">
        <f>VLOOKUP(C2447,HSD!B:K,10,FALSE)</f>
        <v>299700</v>
      </c>
      <c r="H2447" s="87">
        <f>F2447*G2447</f>
        <v>374625</v>
      </c>
      <c r="I2447" s="87">
        <v>232500</v>
      </c>
      <c r="J2447" s="87">
        <f>F2447*I2447</f>
        <v>290625</v>
      </c>
      <c r="K2447" s="87">
        <v>270000</v>
      </c>
      <c r="L2447" s="87">
        <f>F2447*K2447</f>
        <v>337500</v>
      </c>
    </row>
    <row r="2448" spans="1:12" ht="12" customHeight="1" x14ac:dyDescent="0.35">
      <c r="A2448" s="134">
        <v>211100113</v>
      </c>
      <c r="B2448" s="84"/>
      <c r="C2448" s="85" t="s">
        <v>49</v>
      </c>
      <c r="D2448" s="84" t="s">
        <v>418</v>
      </c>
      <c r="E2448" s="84" t="str">
        <f>VLOOKUP(C2448,HSD!B:K,2,FALSE)</f>
        <v>m3</v>
      </c>
      <c r="F2448" s="128">
        <v>2.5000000000000001E-2</v>
      </c>
      <c r="G2448" s="87">
        <f>VLOOKUP(C2448,HSD!B:K,10,FALSE)</f>
        <v>230880</v>
      </c>
      <c r="H2448" s="87">
        <f>F2448*G2448</f>
        <v>5772</v>
      </c>
      <c r="I2448" s="87">
        <v>1060</v>
      </c>
      <c r="J2448" s="87">
        <f>F2448*I2448</f>
        <v>26.5</v>
      </c>
      <c r="K2448" s="87">
        <v>1060</v>
      </c>
      <c r="L2448" s="87">
        <f>F2448*K2448</f>
        <v>26.5</v>
      </c>
    </row>
    <row r="2449" spans="1:12" ht="12" customHeight="1" x14ac:dyDescent="0.35">
      <c r="A2449" s="134">
        <v>21301000</v>
      </c>
      <c r="B2449" s="84"/>
      <c r="C2449" s="85" t="s">
        <v>60</v>
      </c>
      <c r="D2449" s="84" t="s">
        <v>418</v>
      </c>
      <c r="E2449" s="84" t="str">
        <f>VLOOKUP(C2449,HSD!B:K,2,FALSE)</f>
        <v>kg</v>
      </c>
      <c r="F2449" s="128">
        <v>5</v>
      </c>
      <c r="G2449" s="87">
        <f>VLOOKUP(C2449,HSD!B:K,10,FALSE)</f>
        <v>2331</v>
      </c>
      <c r="H2449" s="87">
        <f>F2449*G2449</f>
        <v>11655</v>
      </c>
      <c r="I2449" s="87">
        <v>215000</v>
      </c>
      <c r="J2449" s="87">
        <f>F2449*I2449</f>
        <v>1075000</v>
      </c>
      <c r="K2449" s="87">
        <v>250000</v>
      </c>
      <c r="L2449" s="87">
        <f>F2449*K2449</f>
        <v>1250000</v>
      </c>
    </row>
    <row r="2450" spans="1:12" ht="12" customHeight="1" x14ac:dyDescent="0.35">
      <c r="B2450" s="84"/>
      <c r="C2450" s="85"/>
      <c r="D2450" s="84"/>
      <c r="E2450" s="84"/>
      <c r="F2450" s="128"/>
      <c r="G2450" s="87"/>
      <c r="H2450" s="87"/>
      <c r="I2450" s="87"/>
      <c r="J2450" s="87"/>
      <c r="K2450" s="87"/>
      <c r="L2450" s="87"/>
    </row>
    <row r="2451" spans="1:12" ht="12" customHeight="1" x14ac:dyDescent="0.35">
      <c r="B2451" s="84"/>
      <c r="C2451" s="88"/>
      <c r="D2451" s="79"/>
      <c r="E2451" s="79"/>
      <c r="F2451" s="129" t="s">
        <v>423</v>
      </c>
      <c r="G2451" s="129"/>
      <c r="H2451" s="87">
        <f>SUM(H2447:H2450)</f>
        <v>392052</v>
      </c>
      <c r="I2451" s="101"/>
      <c r="J2451" s="87" t="e">
        <f>SUM(#REF!)</f>
        <v>#REF!</v>
      </c>
      <c r="K2451" s="101"/>
      <c r="L2451" s="87" t="e">
        <f>SUM(#REF!)</f>
        <v>#REF!</v>
      </c>
    </row>
    <row r="2452" spans="1:12" ht="12" customHeight="1" x14ac:dyDescent="0.35">
      <c r="B2452" s="84" t="s">
        <v>7</v>
      </c>
      <c r="C2452" s="88" t="s">
        <v>424</v>
      </c>
      <c r="D2452" s="79"/>
      <c r="E2452" s="79"/>
      <c r="F2452" s="90"/>
      <c r="G2452" s="84"/>
      <c r="H2452" s="87"/>
      <c r="I2452" s="84"/>
      <c r="J2452" s="87"/>
      <c r="K2452" s="84"/>
      <c r="L2452" s="87"/>
    </row>
    <row r="2453" spans="1:12" ht="12" customHeight="1" x14ac:dyDescent="0.35">
      <c r="B2453" s="84"/>
      <c r="C2453" s="85"/>
      <c r="D2453" s="84"/>
      <c r="E2453" s="84"/>
      <c r="F2453" s="128"/>
      <c r="G2453" s="87"/>
      <c r="H2453" s="87">
        <f>F2453*G2453</f>
        <v>0</v>
      </c>
      <c r="I2453" s="87"/>
      <c r="J2453" s="87">
        <f>H2453*I2453</f>
        <v>0</v>
      </c>
      <c r="K2453" s="87"/>
      <c r="L2453" s="87">
        <f>J2453*K2453</f>
        <v>0</v>
      </c>
    </row>
    <row r="2454" spans="1:12" ht="12" customHeight="1" x14ac:dyDescent="0.35">
      <c r="B2454" s="84"/>
      <c r="C2454" s="85"/>
      <c r="D2454" s="84"/>
      <c r="E2454" s="84"/>
      <c r="F2454" s="128"/>
      <c r="G2454" s="87"/>
      <c r="H2454" s="87">
        <f>F2454*G2454</f>
        <v>0</v>
      </c>
      <c r="I2454" s="87"/>
      <c r="J2454" s="87"/>
      <c r="K2454" s="87"/>
      <c r="L2454" s="87"/>
    </row>
    <row r="2455" spans="1:12" ht="12" customHeight="1" x14ac:dyDescent="0.35">
      <c r="B2455" s="84"/>
      <c r="C2455" s="88"/>
      <c r="D2455" s="79"/>
      <c r="E2455" s="79"/>
      <c r="F2455" s="89" t="s">
        <v>425</v>
      </c>
      <c r="G2455" s="101"/>
      <c r="H2455" s="87">
        <f>SUM(H2453:H2454)</f>
        <v>0</v>
      </c>
      <c r="I2455" s="101"/>
      <c r="J2455" s="87">
        <f>SUM(J2453)</f>
        <v>0</v>
      </c>
      <c r="K2455" s="101"/>
      <c r="L2455" s="87">
        <f>SUM(L2453)</f>
        <v>0</v>
      </c>
    </row>
    <row r="2456" spans="1:12" ht="12" customHeight="1" x14ac:dyDescent="0.35">
      <c r="B2456" s="84" t="s">
        <v>8</v>
      </c>
      <c r="C2456" s="103" t="s">
        <v>426</v>
      </c>
      <c r="D2456" s="104"/>
      <c r="E2456" s="104"/>
      <c r="F2456" s="104"/>
      <c r="G2456" s="105"/>
      <c r="H2456" s="87">
        <f>H2445+H2451+H2455</f>
        <v>456252</v>
      </c>
      <c r="I2456" s="105"/>
      <c r="J2456" s="87" t="e">
        <f>J2445+J2451+J2455</f>
        <v>#REF!</v>
      </c>
      <c r="K2456" s="105"/>
      <c r="L2456" s="87" t="e">
        <f>L2445+L2451+L2455</f>
        <v>#REF!</v>
      </c>
    </row>
    <row r="2457" spans="1:12" ht="12" customHeight="1" x14ac:dyDescent="0.35">
      <c r="B2457" s="84" t="s">
        <v>9</v>
      </c>
      <c r="C2457" s="455" t="s">
        <v>427</v>
      </c>
      <c r="D2457" s="455"/>
      <c r="E2457" s="455"/>
      <c r="F2457" s="95">
        <f>0</f>
        <v>0</v>
      </c>
      <c r="G2457" s="85" t="s">
        <v>428</v>
      </c>
      <c r="H2457" s="87">
        <f>H2456*F2457</f>
        <v>0</v>
      </c>
      <c r="I2457" s="85" t="s">
        <v>428</v>
      </c>
      <c r="J2457" s="87" t="e">
        <f>J2456*F2457</f>
        <v>#REF!</v>
      </c>
      <c r="K2457" s="85" t="s">
        <v>428</v>
      </c>
      <c r="L2457" s="87" t="e">
        <f>L2456*F2457</f>
        <v>#REF!</v>
      </c>
    </row>
    <row r="2458" spans="1:12" ht="12" customHeight="1" x14ac:dyDescent="0.35">
      <c r="B2458" s="84" t="s">
        <v>10</v>
      </c>
      <c r="C2458" s="103" t="s">
        <v>429</v>
      </c>
      <c r="D2458" s="104"/>
      <c r="E2458" s="104"/>
      <c r="F2458" s="104"/>
      <c r="G2458" s="105"/>
      <c r="H2458" s="96">
        <f>H2456+H2457</f>
        <v>456252</v>
      </c>
      <c r="I2458" s="97"/>
      <c r="J2458" s="96" t="e">
        <f>J2456+J2457</f>
        <v>#REF!</v>
      </c>
      <c r="K2458" s="97"/>
      <c r="L2458" s="96" t="e">
        <f>L2456+L2457</f>
        <v>#REF!</v>
      </c>
    </row>
    <row r="2460" spans="1:12" ht="37" customHeight="1" x14ac:dyDescent="0.35">
      <c r="B2460" s="76" t="s">
        <v>710</v>
      </c>
      <c r="C2460" s="458" t="s">
        <v>711</v>
      </c>
      <c r="D2460" s="459"/>
      <c r="E2460" s="459"/>
      <c r="F2460" s="459"/>
      <c r="G2460" s="456"/>
      <c r="H2460" s="457"/>
      <c r="I2460" s="455" t="s">
        <v>3</v>
      </c>
      <c r="J2460" s="455"/>
      <c r="K2460" s="455" t="s">
        <v>4</v>
      </c>
      <c r="L2460" s="455"/>
    </row>
    <row r="2461" spans="1:12" ht="12" customHeight="1" x14ac:dyDescent="0.35">
      <c r="B2461" s="451" t="s">
        <v>409</v>
      </c>
      <c r="C2461" s="451" t="s">
        <v>410</v>
      </c>
      <c r="D2461" s="452" t="s">
        <v>411</v>
      </c>
      <c r="E2461" s="451" t="s">
        <v>412</v>
      </c>
      <c r="F2461" s="451" t="s">
        <v>413</v>
      </c>
      <c r="G2461" s="77" t="s">
        <v>414</v>
      </c>
      <c r="H2461" s="77" t="s">
        <v>415</v>
      </c>
      <c r="I2461" s="78" t="s">
        <v>414</v>
      </c>
      <c r="J2461" s="79" t="s">
        <v>415</v>
      </c>
      <c r="K2461" s="79" t="s">
        <v>414</v>
      </c>
      <c r="L2461" s="79" t="s">
        <v>415</v>
      </c>
    </row>
    <row r="2462" spans="1:12" ht="12" customHeight="1" x14ac:dyDescent="0.35">
      <c r="B2462" s="451"/>
      <c r="C2462" s="451"/>
      <c r="D2462" s="453"/>
      <c r="E2462" s="451"/>
      <c r="F2462" s="451"/>
      <c r="G2462" s="77" t="s">
        <v>17</v>
      </c>
      <c r="H2462" s="77" t="s">
        <v>416</v>
      </c>
      <c r="I2462" s="78" t="s">
        <v>17</v>
      </c>
      <c r="J2462" s="79" t="s">
        <v>416</v>
      </c>
      <c r="K2462" s="79" t="s">
        <v>17</v>
      </c>
      <c r="L2462" s="79" t="s">
        <v>416</v>
      </c>
    </row>
    <row r="2463" spans="1:12" ht="12" customHeight="1" x14ac:dyDescent="0.35">
      <c r="B2463" s="451"/>
      <c r="C2463" s="451"/>
      <c r="D2463" s="454"/>
      <c r="E2463" s="451"/>
      <c r="F2463" s="451"/>
      <c r="G2463" s="106"/>
      <c r="H2463" s="77" t="s">
        <v>17</v>
      </c>
      <c r="I2463" s="94"/>
      <c r="J2463" s="79" t="s">
        <v>17</v>
      </c>
      <c r="K2463" s="85"/>
      <c r="L2463" s="79" t="s">
        <v>17</v>
      </c>
    </row>
    <row r="2464" spans="1:12" ht="12" customHeight="1" x14ac:dyDescent="0.35">
      <c r="B2464" s="80" t="s">
        <v>5</v>
      </c>
      <c r="C2464" s="81" t="s">
        <v>417</v>
      </c>
      <c r="D2464" s="82"/>
      <c r="E2464" s="82"/>
      <c r="F2464" s="82"/>
      <c r="G2464" s="82"/>
      <c r="H2464" s="82"/>
      <c r="I2464" s="83"/>
      <c r="J2464" s="83"/>
      <c r="K2464" s="83"/>
      <c r="L2464" s="83"/>
    </row>
    <row r="2465" spans="1:12" ht="12" customHeight="1" x14ac:dyDescent="0.35">
      <c r="A2465" s="134">
        <v>10130000</v>
      </c>
      <c r="B2465" s="84"/>
      <c r="C2465" s="85" t="s">
        <v>28</v>
      </c>
      <c r="D2465" s="84" t="s">
        <v>418</v>
      </c>
      <c r="E2465" s="84" t="str">
        <f>VLOOKUP(C2465,HSD!B:K,2,FALSE)</f>
        <v>OH</v>
      </c>
      <c r="F2465" s="128">
        <v>1.2E-2</v>
      </c>
      <c r="G2465" s="87">
        <f>VLOOKUP(C2465,HSD!B:K,10,FALSE)</f>
        <v>120000</v>
      </c>
      <c r="H2465" s="87">
        <f>F2465*G2465</f>
        <v>1440</v>
      </c>
      <c r="I2465" s="87">
        <v>91500</v>
      </c>
      <c r="J2465" s="87">
        <f>F2465*I2465</f>
        <v>1098</v>
      </c>
      <c r="K2465" s="87">
        <v>91500</v>
      </c>
      <c r="L2465" s="87">
        <f>F2465*K2465</f>
        <v>1098</v>
      </c>
    </row>
    <row r="2466" spans="1:12" ht="12" customHeight="1" x14ac:dyDescent="0.35">
      <c r="A2466" s="134">
        <v>10121100</v>
      </c>
      <c r="B2466" s="84"/>
      <c r="C2466" s="85" t="s">
        <v>515</v>
      </c>
      <c r="D2466" s="84" t="s">
        <v>418</v>
      </c>
      <c r="E2466" s="84" t="str">
        <f>VLOOKUP(C2466,HSD!B:K,2,FALSE)</f>
        <v>OH</v>
      </c>
      <c r="F2466" s="128">
        <v>2.3999999999999998E-3</v>
      </c>
      <c r="G2466" s="87">
        <f>VLOOKUP(C2466,HSD!B:K,10,FALSE)</f>
        <v>130000</v>
      </c>
      <c r="H2466" s="87">
        <f>F2466*G2466</f>
        <v>312</v>
      </c>
      <c r="I2466" s="87"/>
      <c r="J2466" s="87"/>
      <c r="K2466" s="87"/>
      <c r="L2466" s="87"/>
    </row>
    <row r="2467" spans="1:12" ht="12" customHeight="1" x14ac:dyDescent="0.35">
      <c r="A2467" s="134">
        <v>10110000</v>
      </c>
      <c r="B2467" s="84"/>
      <c r="C2467" s="85" t="s">
        <v>30</v>
      </c>
      <c r="D2467" s="84" t="s">
        <v>418</v>
      </c>
      <c r="E2467" s="84" t="str">
        <f>VLOOKUP(C2467,HSD!B:K,2,FALSE)</f>
        <v>OH</v>
      </c>
      <c r="F2467" s="128">
        <f>F2465/10</f>
        <v>1.2000000000000001E-3</v>
      </c>
      <c r="G2467" s="87">
        <f>VLOOKUP(C2467,HSD!B:K,10,FALSE)</f>
        <v>150000</v>
      </c>
      <c r="H2467" s="87">
        <f>F2467*G2467</f>
        <v>180.00000000000003</v>
      </c>
      <c r="I2467" s="87">
        <v>78600</v>
      </c>
      <c r="J2467" s="87">
        <f>F2467*I2467</f>
        <v>94.320000000000007</v>
      </c>
      <c r="K2467" s="87">
        <v>78600</v>
      </c>
      <c r="L2467" s="87">
        <f>F2467*K2467</f>
        <v>94.320000000000007</v>
      </c>
    </row>
    <row r="2468" spans="1:12" ht="12" customHeight="1" x14ac:dyDescent="0.35">
      <c r="B2468" s="84"/>
      <c r="C2468" s="85"/>
      <c r="D2468" s="84"/>
      <c r="E2468" s="84"/>
      <c r="F2468" s="86"/>
      <c r="G2468" s="87"/>
      <c r="H2468" s="87">
        <f>F2468*G2468</f>
        <v>0</v>
      </c>
      <c r="I2468" s="87">
        <v>92500</v>
      </c>
      <c r="J2468" s="87">
        <f>F2468*I2468</f>
        <v>0</v>
      </c>
      <c r="K2468" s="87">
        <v>92500</v>
      </c>
      <c r="L2468" s="87">
        <f>F2468*K2468</f>
        <v>0</v>
      </c>
    </row>
    <row r="2469" spans="1:12" ht="12" customHeight="1" x14ac:dyDescent="0.35">
      <c r="B2469" s="84"/>
      <c r="C2469" s="85"/>
      <c r="D2469" s="84"/>
      <c r="E2469" s="84"/>
      <c r="F2469" s="86"/>
      <c r="G2469" s="87"/>
      <c r="H2469" s="87"/>
      <c r="I2469" s="87"/>
      <c r="J2469" s="87"/>
      <c r="K2469" s="87"/>
      <c r="L2469" s="87"/>
    </row>
    <row r="2470" spans="1:12" ht="12" customHeight="1" x14ac:dyDescent="0.35">
      <c r="B2470" s="84"/>
      <c r="C2470" s="88"/>
      <c r="D2470" s="79"/>
      <c r="E2470" s="79"/>
      <c r="F2470" s="89" t="s">
        <v>421</v>
      </c>
      <c r="G2470" s="101"/>
      <c r="H2470" s="87">
        <f>SUM(H2465:H2469)</f>
        <v>1932</v>
      </c>
      <c r="I2470" s="101"/>
      <c r="J2470" s="87">
        <f>SUM(J2467:J2469)</f>
        <v>94.320000000000007</v>
      </c>
      <c r="K2470" s="101"/>
      <c r="L2470" s="87">
        <f>SUM(L2467:L2469)</f>
        <v>94.320000000000007</v>
      </c>
    </row>
    <row r="2471" spans="1:12" ht="12" customHeight="1" x14ac:dyDescent="0.35">
      <c r="B2471" s="84" t="s">
        <v>6</v>
      </c>
      <c r="C2471" s="88" t="s">
        <v>422</v>
      </c>
      <c r="D2471" s="79"/>
      <c r="E2471" s="79"/>
      <c r="F2471" s="90"/>
      <c r="G2471" s="84"/>
      <c r="H2471" s="87"/>
      <c r="I2471" s="84"/>
      <c r="J2471" s="87"/>
      <c r="K2471" s="84"/>
      <c r="L2471" s="87"/>
    </row>
    <row r="2472" spans="1:12" ht="26" customHeight="1" x14ac:dyDescent="0.35">
      <c r="A2472" s="134">
        <v>21603004</v>
      </c>
      <c r="B2472" s="84"/>
      <c r="C2472" s="85" t="s">
        <v>1847</v>
      </c>
      <c r="D2472" s="84" t="s">
        <v>418</v>
      </c>
      <c r="E2472" s="84" t="str">
        <f>VLOOKUP(C2472,HSD!B:K,2,FALSE)</f>
        <v>m2</v>
      </c>
      <c r="F2472" s="128">
        <v>1.07</v>
      </c>
      <c r="G2472" s="87">
        <f>VLOOKUP(C2472,HSD!B:K,10,FALSE)</f>
        <v>138750</v>
      </c>
      <c r="H2472" s="87">
        <f>F2472*G2472</f>
        <v>148462.5</v>
      </c>
      <c r="I2472" s="87">
        <v>232500</v>
      </c>
      <c r="J2472" s="87">
        <f>F2472*I2472</f>
        <v>248775</v>
      </c>
      <c r="K2472" s="87">
        <v>270000</v>
      </c>
      <c r="L2472" s="87">
        <f>F2472*K2472</f>
        <v>288900</v>
      </c>
    </row>
    <row r="2473" spans="1:12" ht="12" customHeight="1" x14ac:dyDescent="0.35">
      <c r="B2473" s="84"/>
      <c r="C2473" s="85"/>
      <c r="D2473" s="84"/>
      <c r="E2473" s="84"/>
      <c r="F2473" s="128"/>
      <c r="G2473" s="87"/>
      <c r="H2473" s="87">
        <f>F2473*G2473</f>
        <v>0</v>
      </c>
      <c r="I2473" s="87">
        <v>1060</v>
      </c>
      <c r="J2473" s="87">
        <f>F2473*I2473</f>
        <v>0</v>
      </c>
      <c r="K2473" s="87">
        <v>1060</v>
      </c>
      <c r="L2473" s="87">
        <f>F2473*K2473</f>
        <v>0</v>
      </c>
    </row>
    <row r="2474" spans="1:12" ht="12" customHeight="1" x14ac:dyDescent="0.35">
      <c r="B2474" s="84"/>
      <c r="C2474" s="85"/>
      <c r="D2474" s="84"/>
      <c r="E2474" s="84"/>
      <c r="F2474" s="128"/>
      <c r="G2474" s="87"/>
      <c r="H2474" s="87">
        <f>F2474*G2474</f>
        <v>0</v>
      </c>
      <c r="I2474" s="87">
        <v>215000</v>
      </c>
      <c r="J2474" s="87">
        <f>F2474*I2474</f>
        <v>0</v>
      </c>
      <c r="K2474" s="87">
        <v>250000</v>
      </c>
      <c r="L2474" s="87">
        <f>F2474*K2474</f>
        <v>0</v>
      </c>
    </row>
    <row r="2475" spans="1:12" ht="12" customHeight="1" x14ac:dyDescent="0.35">
      <c r="B2475" s="84"/>
      <c r="C2475" s="85"/>
      <c r="D2475" s="84"/>
      <c r="E2475" s="84"/>
      <c r="F2475" s="128"/>
      <c r="G2475" s="87"/>
      <c r="H2475" s="87"/>
      <c r="I2475" s="87"/>
      <c r="J2475" s="87"/>
      <c r="K2475" s="87"/>
      <c r="L2475" s="87"/>
    </row>
    <row r="2476" spans="1:12" ht="12" customHeight="1" x14ac:dyDescent="0.35">
      <c r="B2476" s="84"/>
      <c r="C2476" s="88"/>
      <c r="D2476" s="79"/>
      <c r="E2476" s="79"/>
      <c r="F2476" s="129" t="s">
        <v>423</v>
      </c>
      <c r="G2476" s="129"/>
      <c r="H2476" s="87">
        <f>SUM(H2472:H2475)</f>
        <v>148462.5</v>
      </c>
      <c r="I2476" s="101"/>
      <c r="J2476" s="87" t="e">
        <f>SUM(#REF!)</f>
        <v>#REF!</v>
      </c>
      <c r="K2476" s="101"/>
      <c r="L2476" s="87" t="e">
        <f>SUM(#REF!)</f>
        <v>#REF!</v>
      </c>
    </row>
    <row r="2477" spans="1:12" ht="12" customHeight="1" x14ac:dyDescent="0.35">
      <c r="B2477" s="84" t="s">
        <v>7</v>
      </c>
      <c r="C2477" s="88" t="s">
        <v>424</v>
      </c>
      <c r="D2477" s="79"/>
      <c r="E2477" s="79"/>
      <c r="F2477" s="90"/>
      <c r="G2477" s="84"/>
      <c r="H2477" s="87"/>
      <c r="I2477" s="84"/>
      <c r="J2477" s="87"/>
      <c r="K2477" s="84"/>
      <c r="L2477" s="87"/>
    </row>
    <row r="2478" spans="1:12" ht="12" customHeight="1" x14ac:dyDescent="0.35">
      <c r="B2478" s="84"/>
      <c r="C2478" s="85"/>
      <c r="D2478" s="84"/>
      <c r="E2478" s="84"/>
      <c r="F2478" s="128"/>
      <c r="G2478" s="87"/>
      <c r="H2478" s="87">
        <f>F2478*G2478</f>
        <v>0</v>
      </c>
      <c r="I2478" s="87"/>
      <c r="J2478" s="87">
        <f>H2478*I2478</f>
        <v>0</v>
      </c>
      <c r="K2478" s="87"/>
      <c r="L2478" s="87">
        <f>J2478*K2478</f>
        <v>0</v>
      </c>
    </row>
    <row r="2479" spans="1:12" ht="12" customHeight="1" x14ac:dyDescent="0.35">
      <c r="B2479" s="84"/>
      <c r="C2479" s="85"/>
      <c r="D2479" s="84"/>
      <c r="E2479" s="84"/>
      <c r="F2479" s="128"/>
      <c r="G2479" s="87"/>
      <c r="H2479" s="87">
        <f>F2479*G2479</f>
        <v>0</v>
      </c>
      <c r="I2479" s="87"/>
      <c r="J2479" s="87"/>
      <c r="K2479" s="87"/>
      <c r="L2479" s="87"/>
    </row>
    <row r="2480" spans="1:12" ht="12" customHeight="1" x14ac:dyDescent="0.35">
      <c r="B2480" s="84"/>
      <c r="C2480" s="88"/>
      <c r="D2480" s="79"/>
      <c r="E2480" s="79"/>
      <c r="F2480" s="89" t="s">
        <v>425</v>
      </c>
      <c r="G2480" s="101"/>
      <c r="H2480" s="87">
        <f>SUM(H2478:H2479)</f>
        <v>0</v>
      </c>
      <c r="I2480" s="101"/>
      <c r="J2480" s="87">
        <f>SUM(J2478)</f>
        <v>0</v>
      </c>
      <c r="K2480" s="101"/>
      <c r="L2480" s="87">
        <f>SUM(L2478)</f>
        <v>0</v>
      </c>
    </row>
    <row r="2481" spans="1:12" ht="12" customHeight="1" x14ac:dyDescent="0.35">
      <c r="B2481" s="84" t="s">
        <v>8</v>
      </c>
      <c r="C2481" s="103" t="s">
        <v>426</v>
      </c>
      <c r="D2481" s="104"/>
      <c r="E2481" s="104"/>
      <c r="F2481" s="104"/>
      <c r="G2481" s="105"/>
      <c r="H2481" s="87">
        <f>H2470+H2476+H2480</f>
        <v>150394.5</v>
      </c>
      <c r="I2481" s="105"/>
      <c r="J2481" s="87" t="e">
        <f>J2470+J2476+J2480</f>
        <v>#REF!</v>
      </c>
      <c r="K2481" s="105"/>
      <c r="L2481" s="87" t="e">
        <f>L2470+L2476+L2480</f>
        <v>#REF!</v>
      </c>
    </row>
    <row r="2482" spans="1:12" ht="12" customHeight="1" x14ac:dyDescent="0.35">
      <c r="B2482" s="84" t="s">
        <v>9</v>
      </c>
      <c r="C2482" s="455" t="s">
        <v>427</v>
      </c>
      <c r="D2482" s="455"/>
      <c r="E2482" s="455"/>
      <c r="F2482" s="95">
        <f>0</f>
        <v>0</v>
      </c>
      <c r="G2482" s="85" t="s">
        <v>428</v>
      </c>
      <c r="H2482" s="87">
        <f>H2481*F2482</f>
        <v>0</v>
      </c>
      <c r="I2482" s="85" t="s">
        <v>428</v>
      </c>
      <c r="J2482" s="87" t="e">
        <f>J2481*F2482</f>
        <v>#REF!</v>
      </c>
      <c r="K2482" s="85" t="s">
        <v>428</v>
      </c>
      <c r="L2482" s="87" t="e">
        <f>L2481*F2482</f>
        <v>#REF!</v>
      </c>
    </row>
    <row r="2483" spans="1:12" ht="12" customHeight="1" x14ac:dyDescent="0.35">
      <c r="B2483" s="84" t="s">
        <v>10</v>
      </c>
      <c r="C2483" s="103" t="s">
        <v>429</v>
      </c>
      <c r="D2483" s="104"/>
      <c r="E2483" s="104"/>
      <c r="F2483" s="104"/>
      <c r="G2483" s="105"/>
      <c r="H2483" s="96">
        <f>H2481+H2482</f>
        <v>150394.5</v>
      </c>
      <c r="I2483" s="97"/>
      <c r="J2483" s="96" t="e">
        <f>J2481+J2482</f>
        <v>#REF!</v>
      </c>
      <c r="K2483" s="97"/>
      <c r="L2483" s="96" t="e">
        <f>L2481+L2482</f>
        <v>#REF!</v>
      </c>
    </row>
    <row r="2485" spans="1:12" ht="37" customHeight="1" x14ac:dyDescent="0.35">
      <c r="B2485" s="76" t="s">
        <v>715</v>
      </c>
      <c r="C2485" s="458" t="s">
        <v>716</v>
      </c>
      <c r="D2485" s="459"/>
      <c r="E2485" s="459"/>
      <c r="F2485" s="459"/>
      <c r="G2485" s="456"/>
      <c r="H2485" s="457"/>
      <c r="I2485" s="455" t="s">
        <v>3</v>
      </c>
      <c r="J2485" s="455"/>
      <c r="K2485" s="455" t="s">
        <v>4</v>
      </c>
      <c r="L2485" s="455"/>
    </row>
    <row r="2486" spans="1:12" ht="12" customHeight="1" x14ac:dyDescent="0.35">
      <c r="B2486" s="451" t="s">
        <v>409</v>
      </c>
      <c r="C2486" s="451" t="s">
        <v>410</v>
      </c>
      <c r="D2486" s="452" t="s">
        <v>411</v>
      </c>
      <c r="E2486" s="451" t="s">
        <v>412</v>
      </c>
      <c r="F2486" s="451" t="s">
        <v>413</v>
      </c>
      <c r="G2486" s="77" t="s">
        <v>414</v>
      </c>
      <c r="H2486" s="77" t="s">
        <v>415</v>
      </c>
      <c r="I2486" s="78" t="s">
        <v>414</v>
      </c>
      <c r="J2486" s="79" t="s">
        <v>415</v>
      </c>
      <c r="K2486" s="79" t="s">
        <v>414</v>
      </c>
      <c r="L2486" s="79" t="s">
        <v>415</v>
      </c>
    </row>
    <row r="2487" spans="1:12" ht="12" customHeight="1" x14ac:dyDescent="0.35">
      <c r="B2487" s="451"/>
      <c r="C2487" s="451"/>
      <c r="D2487" s="453"/>
      <c r="E2487" s="451"/>
      <c r="F2487" s="451"/>
      <c r="G2487" s="77" t="s">
        <v>17</v>
      </c>
      <c r="H2487" s="77" t="s">
        <v>416</v>
      </c>
      <c r="I2487" s="78" t="s">
        <v>17</v>
      </c>
      <c r="J2487" s="79" t="s">
        <v>416</v>
      </c>
      <c r="K2487" s="79" t="s">
        <v>17</v>
      </c>
      <c r="L2487" s="79" t="s">
        <v>416</v>
      </c>
    </row>
    <row r="2488" spans="1:12" ht="12" customHeight="1" x14ac:dyDescent="0.35">
      <c r="B2488" s="451"/>
      <c r="C2488" s="451"/>
      <c r="D2488" s="454"/>
      <c r="E2488" s="451"/>
      <c r="F2488" s="451"/>
      <c r="G2488" s="106"/>
      <c r="H2488" s="77" t="s">
        <v>17</v>
      </c>
      <c r="I2488" s="94"/>
      <c r="J2488" s="79" t="s">
        <v>17</v>
      </c>
      <c r="K2488" s="85"/>
      <c r="L2488" s="79" t="s">
        <v>17</v>
      </c>
    </row>
    <row r="2489" spans="1:12" ht="12" customHeight="1" x14ac:dyDescent="0.35">
      <c r="B2489" s="80" t="s">
        <v>5</v>
      </c>
      <c r="C2489" s="81" t="s">
        <v>417</v>
      </c>
      <c r="D2489" s="82"/>
      <c r="E2489" s="82"/>
      <c r="F2489" s="82"/>
      <c r="G2489" s="82"/>
      <c r="H2489" s="82"/>
      <c r="I2489" s="83"/>
      <c r="J2489" s="83"/>
      <c r="K2489" s="83"/>
      <c r="L2489" s="83"/>
    </row>
    <row r="2490" spans="1:12" ht="12" customHeight="1" x14ac:dyDescent="0.35">
      <c r="A2490" s="134">
        <v>10130000</v>
      </c>
      <c r="B2490" s="84"/>
      <c r="C2490" s="85" t="s">
        <v>28</v>
      </c>
      <c r="D2490" s="84" t="s">
        <v>418</v>
      </c>
      <c r="E2490" s="84" t="str">
        <f>VLOOKUP(C2490,HSD!B:K,2,FALSE)</f>
        <v>OH</v>
      </c>
      <c r="F2490" s="128">
        <v>1.6E-2</v>
      </c>
      <c r="G2490" s="87">
        <f>VLOOKUP(C2490,HSD!B:K,10,FALSE)</f>
        <v>120000</v>
      </c>
      <c r="H2490" s="87">
        <f>F2490*G2490</f>
        <v>1920</v>
      </c>
      <c r="I2490" s="87">
        <v>91500</v>
      </c>
      <c r="J2490" s="87">
        <f>F2490*I2490</f>
        <v>1464</v>
      </c>
      <c r="K2490" s="87">
        <v>91500</v>
      </c>
      <c r="L2490" s="87">
        <f>F2490*K2490</f>
        <v>1464</v>
      </c>
    </row>
    <row r="2491" spans="1:12" ht="12" customHeight="1" x14ac:dyDescent="0.35">
      <c r="A2491" s="134">
        <v>10121100</v>
      </c>
      <c r="B2491" s="84"/>
      <c r="C2491" s="85" t="s">
        <v>515</v>
      </c>
      <c r="D2491" s="84" t="s">
        <v>418</v>
      </c>
      <c r="E2491" s="84" t="str">
        <f>VLOOKUP(C2491,HSD!B:K,2,FALSE)</f>
        <v>OH</v>
      </c>
      <c r="F2491" s="128">
        <v>3.2000000000000002E-3</v>
      </c>
      <c r="G2491" s="87">
        <f>VLOOKUP(C2491,HSD!B:K,10,FALSE)</f>
        <v>130000</v>
      </c>
      <c r="H2491" s="87">
        <f>F2491*G2491</f>
        <v>416</v>
      </c>
      <c r="I2491" s="87"/>
      <c r="J2491" s="87"/>
      <c r="K2491" s="87"/>
      <c r="L2491" s="87"/>
    </row>
    <row r="2492" spans="1:12" ht="12" customHeight="1" x14ac:dyDescent="0.35">
      <c r="A2492" s="134">
        <v>10110000</v>
      </c>
      <c r="B2492" s="84"/>
      <c r="C2492" s="85" t="s">
        <v>30</v>
      </c>
      <c r="D2492" s="84" t="s">
        <v>418</v>
      </c>
      <c r="E2492" s="84" t="str">
        <f>VLOOKUP(C2492,HSD!B:K,2,FALSE)</f>
        <v>OH</v>
      </c>
      <c r="F2492" s="128">
        <f>F2490/10</f>
        <v>1.6000000000000001E-3</v>
      </c>
      <c r="G2492" s="87">
        <f>VLOOKUP(C2492,HSD!B:K,10,FALSE)</f>
        <v>150000</v>
      </c>
      <c r="H2492" s="87">
        <f>F2492*G2492</f>
        <v>240</v>
      </c>
      <c r="I2492" s="87">
        <v>78600</v>
      </c>
      <c r="J2492" s="87">
        <f>F2492*I2492</f>
        <v>125.76</v>
      </c>
      <c r="K2492" s="87">
        <v>78600</v>
      </c>
      <c r="L2492" s="87">
        <f>F2492*K2492</f>
        <v>125.76</v>
      </c>
    </row>
    <row r="2493" spans="1:12" ht="12" customHeight="1" x14ac:dyDescent="0.35">
      <c r="B2493" s="84"/>
      <c r="C2493" s="85"/>
      <c r="D2493" s="84"/>
      <c r="E2493" s="84"/>
      <c r="F2493" s="86"/>
      <c r="G2493" s="87"/>
      <c r="H2493" s="87">
        <f>F2493*G2493</f>
        <v>0</v>
      </c>
      <c r="I2493" s="87">
        <v>92500</v>
      </c>
      <c r="J2493" s="87">
        <f>F2493*I2493</f>
        <v>0</v>
      </c>
      <c r="K2493" s="87">
        <v>92500</v>
      </c>
      <c r="L2493" s="87">
        <f>F2493*K2493</f>
        <v>0</v>
      </c>
    </row>
    <row r="2494" spans="1:12" ht="12" customHeight="1" x14ac:dyDescent="0.35">
      <c r="B2494" s="84"/>
      <c r="C2494" s="85"/>
      <c r="D2494" s="84"/>
      <c r="E2494" s="84"/>
      <c r="F2494" s="86"/>
      <c r="G2494" s="87"/>
      <c r="H2494" s="87"/>
      <c r="I2494" s="87"/>
      <c r="J2494" s="87"/>
      <c r="K2494" s="87"/>
      <c r="L2494" s="87"/>
    </row>
    <row r="2495" spans="1:12" ht="12" customHeight="1" x14ac:dyDescent="0.35">
      <c r="B2495" s="84"/>
      <c r="C2495" s="88"/>
      <c r="D2495" s="79"/>
      <c r="E2495" s="79"/>
      <c r="F2495" s="89" t="s">
        <v>421</v>
      </c>
      <c r="G2495" s="101"/>
      <c r="H2495" s="87">
        <f>SUM(H2490:H2494)</f>
        <v>2576</v>
      </c>
      <c r="I2495" s="101"/>
      <c r="J2495" s="87">
        <f>SUM(J2492:J2494)</f>
        <v>125.76</v>
      </c>
      <c r="K2495" s="101"/>
      <c r="L2495" s="87">
        <f>SUM(L2492:L2494)</f>
        <v>125.76</v>
      </c>
    </row>
    <row r="2496" spans="1:12" ht="12" customHeight="1" x14ac:dyDescent="0.35">
      <c r="B2496" s="84" t="s">
        <v>6</v>
      </c>
      <c r="C2496" s="88" t="s">
        <v>422</v>
      </c>
      <c r="D2496" s="79"/>
      <c r="E2496" s="79"/>
      <c r="F2496" s="90"/>
      <c r="G2496" s="84"/>
      <c r="H2496" s="87"/>
      <c r="I2496" s="84"/>
      <c r="J2496" s="87"/>
      <c r="K2496" s="84"/>
      <c r="L2496" s="87"/>
    </row>
    <row r="2497" spans="1:12" ht="26" customHeight="1" x14ac:dyDescent="0.35">
      <c r="A2497" s="134">
        <v>21603010</v>
      </c>
      <c r="B2497" s="84"/>
      <c r="C2497" s="85" t="s">
        <v>1844</v>
      </c>
      <c r="D2497" s="84" t="s">
        <v>418</v>
      </c>
      <c r="E2497" s="84" t="str">
        <f>VLOOKUP(C2497,HSD!B:K,2,FALSE)</f>
        <v>m2</v>
      </c>
      <c r="F2497" s="128">
        <v>1.1399999999999999</v>
      </c>
      <c r="G2497" s="87">
        <f>VLOOKUP(C2497,HSD!B:K,10,FALSE)</f>
        <v>138750</v>
      </c>
      <c r="H2497" s="87">
        <f>F2497*G2497</f>
        <v>158175</v>
      </c>
      <c r="I2497" s="87">
        <v>232500</v>
      </c>
      <c r="J2497" s="87">
        <f>F2497*I2497</f>
        <v>265050</v>
      </c>
      <c r="K2497" s="87">
        <v>270000</v>
      </c>
      <c r="L2497" s="87">
        <f>F2497*K2497</f>
        <v>307800</v>
      </c>
    </row>
    <row r="2498" spans="1:12" ht="12" customHeight="1" x14ac:dyDescent="0.35">
      <c r="B2498" s="84"/>
      <c r="C2498" s="85"/>
      <c r="D2498" s="84"/>
      <c r="E2498" s="84"/>
      <c r="F2498" s="128"/>
      <c r="G2498" s="87"/>
      <c r="H2498" s="87">
        <f>F2498*G2498</f>
        <v>0</v>
      </c>
      <c r="I2498" s="87">
        <v>1060</v>
      </c>
      <c r="J2498" s="87">
        <f>F2498*I2498</f>
        <v>0</v>
      </c>
      <c r="K2498" s="87">
        <v>1060</v>
      </c>
      <c r="L2498" s="87">
        <f>F2498*K2498</f>
        <v>0</v>
      </c>
    </row>
    <row r="2499" spans="1:12" ht="12" customHeight="1" x14ac:dyDescent="0.35">
      <c r="B2499" s="84"/>
      <c r="C2499" s="85"/>
      <c r="D2499" s="84"/>
      <c r="E2499" s="84"/>
      <c r="F2499" s="128"/>
      <c r="G2499" s="87"/>
      <c r="H2499" s="87">
        <f>F2499*G2499</f>
        <v>0</v>
      </c>
      <c r="I2499" s="87">
        <v>215000</v>
      </c>
      <c r="J2499" s="87">
        <f>F2499*I2499</f>
        <v>0</v>
      </c>
      <c r="K2499" s="87">
        <v>250000</v>
      </c>
      <c r="L2499" s="87">
        <f>F2499*K2499</f>
        <v>0</v>
      </c>
    </row>
    <row r="2500" spans="1:12" ht="12" customHeight="1" x14ac:dyDescent="0.35">
      <c r="B2500" s="84"/>
      <c r="C2500" s="85"/>
      <c r="D2500" s="84"/>
      <c r="E2500" s="84"/>
      <c r="F2500" s="128"/>
      <c r="G2500" s="87"/>
      <c r="H2500" s="87"/>
      <c r="I2500" s="87"/>
      <c r="J2500" s="87"/>
      <c r="K2500" s="87"/>
      <c r="L2500" s="87"/>
    </row>
    <row r="2501" spans="1:12" ht="12" customHeight="1" x14ac:dyDescent="0.35">
      <c r="B2501" s="84"/>
      <c r="C2501" s="88"/>
      <c r="D2501" s="79"/>
      <c r="E2501" s="79"/>
      <c r="F2501" s="129" t="s">
        <v>423</v>
      </c>
      <c r="G2501" s="129"/>
      <c r="H2501" s="87">
        <f>SUM(H2497:H2500)</f>
        <v>158175</v>
      </c>
      <c r="I2501" s="101"/>
      <c r="J2501" s="87" t="e">
        <f>SUM(#REF!)</f>
        <v>#REF!</v>
      </c>
      <c r="K2501" s="101"/>
      <c r="L2501" s="87" t="e">
        <f>SUM(#REF!)</f>
        <v>#REF!</v>
      </c>
    </row>
    <row r="2502" spans="1:12" ht="12" customHeight="1" x14ac:dyDescent="0.35">
      <c r="B2502" s="84" t="s">
        <v>7</v>
      </c>
      <c r="C2502" s="88" t="s">
        <v>424</v>
      </c>
      <c r="D2502" s="79"/>
      <c r="E2502" s="79"/>
      <c r="F2502" s="90"/>
      <c r="G2502" s="84"/>
      <c r="H2502" s="87"/>
      <c r="I2502" s="84"/>
      <c r="J2502" s="87"/>
      <c r="K2502" s="84"/>
      <c r="L2502" s="87"/>
    </row>
    <row r="2503" spans="1:12" ht="12" customHeight="1" x14ac:dyDescent="0.35">
      <c r="B2503" s="84"/>
      <c r="C2503" s="85"/>
      <c r="D2503" s="84"/>
      <c r="E2503" s="84"/>
      <c r="F2503" s="128"/>
      <c r="G2503" s="87"/>
      <c r="H2503" s="87">
        <f>F2503*G2503</f>
        <v>0</v>
      </c>
      <c r="I2503" s="87"/>
      <c r="J2503" s="87">
        <f>H2503*I2503</f>
        <v>0</v>
      </c>
      <c r="K2503" s="87"/>
      <c r="L2503" s="87">
        <f>J2503*K2503</f>
        <v>0</v>
      </c>
    </row>
    <row r="2504" spans="1:12" ht="12" customHeight="1" x14ac:dyDescent="0.35">
      <c r="B2504" s="84"/>
      <c r="C2504" s="85"/>
      <c r="D2504" s="84"/>
      <c r="E2504" s="84"/>
      <c r="F2504" s="128"/>
      <c r="G2504" s="87"/>
      <c r="H2504" s="87">
        <f>F2504*G2504</f>
        <v>0</v>
      </c>
      <c r="I2504" s="87"/>
      <c r="J2504" s="87"/>
      <c r="K2504" s="87"/>
      <c r="L2504" s="87"/>
    </row>
    <row r="2505" spans="1:12" ht="12" customHeight="1" x14ac:dyDescent="0.35">
      <c r="B2505" s="84"/>
      <c r="C2505" s="88"/>
      <c r="D2505" s="79"/>
      <c r="E2505" s="79"/>
      <c r="F2505" s="89" t="s">
        <v>425</v>
      </c>
      <c r="G2505" s="101"/>
      <c r="H2505" s="87">
        <f>SUM(H2503:H2504)</f>
        <v>0</v>
      </c>
      <c r="I2505" s="101"/>
      <c r="J2505" s="87">
        <f>SUM(J2503)</f>
        <v>0</v>
      </c>
      <c r="K2505" s="101"/>
      <c r="L2505" s="87">
        <f>SUM(L2503)</f>
        <v>0</v>
      </c>
    </row>
    <row r="2506" spans="1:12" ht="12" customHeight="1" x14ac:dyDescent="0.35">
      <c r="B2506" s="84" t="s">
        <v>8</v>
      </c>
      <c r="C2506" s="103" t="s">
        <v>426</v>
      </c>
      <c r="D2506" s="104"/>
      <c r="E2506" s="104"/>
      <c r="F2506" s="104"/>
      <c r="G2506" s="105"/>
      <c r="H2506" s="87">
        <f>H2495+H2501+H2505</f>
        <v>160751</v>
      </c>
      <c r="I2506" s="105"/>
      <c r="J2506" s="87" t="e">
        <f>J2495+J2501+J2505</f>
        <v>#REF!</v>
      </c>
      <c r="K2506" s="105"/>
      <c r="L2506" s="87" t="e">
        <f>L2495+L2501+L2505</f>
        <v>#REF!</v>
      </c>
    </row>
    <row r="2507" spans="1:12" ht="12" customHeight="1" x14ac:dyDescent="0.35">
      <c r="B2507" s="84" t="s">
        <v>9</v>
      </c>
      <c r="C2507" s="455" t="s">
        <v>427</v>
      </c>
      <c r="D2507" s="455"/>
      <c r="E2507" s="455"/>
      <c r="F2507" s="95">
        <f>0</f>
        <v>0</v>
      </c>
      <c r="G2507" s="85" t="s">
        <v>428</v>
      </c>
      <c r="H2507" s="87">
        <f>H2506*F2507</f>
        <v>0</v>
      </c>
      <c r="I2507" s="85" t="s">
        <v>428</v>
      </c>
      <c r="J2507" s="87" t="e">
        <f>J2506*F2507</f>
        <v>#REF!</v>
      </c>
      <c r="K2507" s="85" t="s">
        <v>428</v>
      </c>
      <c r="L2507" s="87" t="e">
        <f>L2506*F2507</f>
        <v>#REF!</v>
      </c>
    </row>
    <row r="2508" spans="1:12" ht="12" customHeight="1" x14ac:dyDescent="0.35">
      <c r="B2508" s="84" t="s">
        <v>10</v>
      </c>
      <c r="C2508" s="103" t="s">
        <v>429</v>
      </c>
      <c r="D2508" s="104"/>
      <c r="E2508" s="104"/>
      <c r="F2508" s="104"/>
      <c r="G2508" s="105"/>
      <c r="H2508" s="96">
        <f>H2506+H2507</f>
        <v>160751</v>
      </c>
      <c r="I2508" s="97"/>
      <c r="J2508" s="96" t="e">
        <f>J2506+J2507</f>
        <v>#REF!</v>
      </c>
      <c r="K2508" s="97"/>
      <c r="L2508" s="96" t="e">
        <f>L2506+L2507</f>
        <v>#REF!</v>
      </c>
    </row>
    <row r="2510" spans="1:12" ht="37" customHeight="1" x14ac:dyDescent="0.35">
      <c r="B2510" s="76" t="s">
        <v>719</v>
      </c>
      <c r="C2510" s="458" t="s">
        <v>720</v>
      </c>
      <c r="D2510" s="459"/>
      <c r="E2510" s="459"/>
      <c r="F2510" s="459"/>
      <c r="G2510" s="456"/>
      <c r="H2510" s="457"/>
      <c r="I2510" s="455" t="s">
        <v>3</v>
      </c>
      <c r="J2510" s="455"/>
      <c r="K2510" s="455" t="s">
        <v>4</v>
      </c>
      <c r="L2510" s="455"/>
    </row>
    <row r="2511" spans="1:12" ht="12" customHeight="1" x14ac:dyDescent="0.35">
      <c r="B2511" s="451" t="s">
        <v>409</v>
      </c>
      <c r="C2511" s="451" t="s">
        <v>410</v>
      </c>
      <c r="D2511" s="452" t="s">
        <v>411</v>
      </c>
      <c r="E2511" s="451" t="s">
        <v>412</v>
      </c>
      <c r="F2511" s="451" t="s">
        <v>413</v>
      </c>
      <c r="G2511" s="77" t="s">
        <v>414</v>
      </c>
      <c r="H2511" s="77" t="s">
        <v>415</v>
      </c>
      <c r="I2511" s="78" t="s">
        <v>414</v>
      </c>
      <c r="J2511" s="79" t="s">
        <v>415</v>
      </c>
      <c r="K2511" s="79" t="s">
        <v>414</v>
      </c>
      <c r="L2511" s="79" t="s">
        <v>415</v>
      </c>
    </row>
    <row r="2512" spans="1:12" ht="12" customHeight="1" x14ac:dyDescent="0.35">
      <c r="B2512" s="451"/>
      <c r="C2512" s="451"/>
      <c r="D2512" s="453"/>
      <c r="E2512" s="451"/>
      <c r="F2512" s="451"/>
      <c r="G2512" s="77" t="s">
        <v>17</v>
      </c>
      <c r="H2512" s="77" t="s">
        <v>416</v>
      </c>
      <c r="I2512" s="78" t="s">
        <v>17</v>
      </c>
      <c r="J2512" s="79" t="s">
        <v>416</v>
      </c>
      <c r="K2512" s="79" t="s">
        <v>17</v>
      </c>
      <c r="L2512" s="79" t="s">
        <v>416</v>
      </c>
    </row>
    <row r="2513" spans="1:12" ht="12" customHeight="1" x14ac:dyDescent="0.35">
      <c r="B2513" s="451"/>
      <c r="C2513" s="451"/>
      <c r="D2513" s="454"/>
      <c r="E2513" s="451"/>
      <c r="F2513" s="451"/>
      <c r="G2513" s="106"/>
      <c r="H2513" s="77" t="s">
        <v>17</v>
      </c>
      <c r="I2513" s="94"/>
      <c r="J2513" s="79" t="s">
        <v>17</v>
      </c>
      <c r="K2513" s="85"/>
      <c r="L2513" s="79" t="s">
        <v>17</v>
      </c>
    </row>
    <row r="2514" spans="1:12" ht="12" customHeight="1" x14ac:dyDescent="0.35">
      <c r="B2514" s="80" t="s">
        <v>5</v>
      </c>
      <c r="C2514" s="81" t="s">
        <v>417</v>
      </c>
      <c r="D2514" s="82"/>
      <c r="E2514" s="82"/>
      <c r="F2514" s="82"/>
      <c r="G2514" s="82"/>
      <c r="H2514" s="82"/>
      <c r="I2514" s="83"/>
      <c r="J2514" s="83"/>
      <c r="K2514" s="83"/>
      <c r="L2514" s="83"/>
    </row>
    <row r="2515" spans="1:12" ht="12" customHeight="1" x14ac:dyDescent="0.35">
      <c r="A2515" s="134">
        <v>10130000</v>
      </c>
      <c r="B2515" s="84"/>
      <c r="C2515" s="85" t="s">
        <v>28</v>
      </c>
      <c r="D2515" s="84" t="s">
        <v>418</v>
      </c>
      <c r="E2515" s="84" t="str">
        <f>VLOOKUP(C2515,HSD!B:K,2,FALSE)</f>
        <v>OH</v>
      </c>
      <c r="F2515" s="128">
        <v>9.2899999999999996E-3</v>
      </c>
      <c r="G2515" s="87">
        <f>VLOOKUP(C2515,HSD!B:K,10,FALSE)</f>
        <v>120000</v>
      </c>
      <c r="H2515" s="87">
        <f>F2515*G2515</f>
        <v>1114.8</v>
      </c>
      <c r="I2515" s="87">
        <v>91500</v>
      </c>
      <c r="J2515" s="87">
        <f>F2515*I2515</f>
        <v>850.03499999999997</v>
      </c>
      <c r="K2515" s="87">
        <v>91500</v>
      </c>
      <c r="L2515" s="87">
        <f>F2515*K2515</f>
        <v>850.03499999999997</v>
      </c>
    </row>
    <row r="2516" spans="1:12" ht="12" customHeight="1" x14ac:dyDescent="0.35">
      <c r="A2516" s="134">
        <v>10121100</v>
      </c>
      <c r="B2516" s="84"/>
      <c r="C2516" s="85" t="s">
        <v>515</v>
      </c>
      <c r="D2516" s="84" t="s">
        <v>418</v>
      </c>
      <c r="E2516" s="84" t="str">
        <f>VLOOKUP(C2516,HSD!B:K,2,FALSE)</f>
        <v>OH</v>
      </c>
      <c r="F2516" s="128"/>
      <c r="G2516" s="87">
        <f>VLOOKUP(C2516,HSD!B:K,10,FALSE)</f>
        <v>130000</v>
      </c>
      <c r="H2516" s="87">
        <f>F2516*G2516</f>
        <v>0</v>
      </c>
      <c r="I2516" s="87"/>
      <c r="J2516" s="87"/>
      <c r="K2516" s="87"/>
      <c r="L2516" s="87"/>
    </row>
    <row r="2517" spans="1:12" ht="12" customHeight="1" x14ac:dyDescent="0.35">
      <c r="A2517" s="134">
        <v>10110000</v>
      </c>
      <c r="B2517" s="84"/>
      <c r="C2517" s="85" t="s">
        <v>30</v>
      </c>
      <c r="D2517" s="84" t="s">
        <v>418</v>
      </c>
      <c r="E2517" s="84" t="str">
        <f>VLOOKUP(C2517,HSD!B:K,2,FALSE)</f>
        <v>OH</v>
      </c>
      <c r="F2517" s="128">
        <f>F2515/10</f>
        <v>9.2899999999999992E-4</v>
      </c>
      <c r="G2517" s="87">
        <f>VLOOKUP(C2517,HSD!B:K,10,FALSE)</f>
        <v>150000</v>
      </c>
      <c r="H2517" s="87">
        <f>F2517*G2517</f>
        <v>139.35</v>
      </c>
      <c r="I2517" s="87">
        <v>78600</v>
      </c>
      <c r="J2517" s="87">
        <f>F2517*I2517</f>
        <v>73.01939999999999</v>
      </c>
      <c r="K2517" s="87">
        <v>78600</v>
      </c>
      <c r="L2517" s="87">
        <f>F2517*K2517</f>
        <v>73.01939999999999</v>
      </c>
    </row>
    <row r="2518" spans="1:12" ht="12" customHeight="1" x14ac:dyDescent="0.35">
      <c r="B2518" s="84"/>
      <c r="C2518" s="85"/>
      <c r="D2518" s="84"/>
      <c r="E2518" s="84"/>
      <c r="F2518" s="86"/>
      <c r="G2518" s="87"/>
      <c r="H2518" s="87">
        <f>F2518*G2518</f>
        <v>0</v>
      </c>
      <c r="I2518" s="87">
        <v>92500</v>
      </c>
      <c r="J2518" s="87">
        <f>F2518*I2518</f>
        <v>0</v>
      </c>
      <c r="K2518" s="87">
        <v>92500</v>
      </c>
      <c r="L2518" s="87">
        <f>F2518*K2518</f>
        <v>0</v>
      </c>
    </row>
    <row r="2519" spans="1:12" ht="12" customHeight="1" x14ac:dyDescent="0.35">
      <c r="B2519" s="84"/>
      <c r="C2519" s="85"/>
      <c r="D2519" s="84"/>
      <c r="E2519" s="84"/>
      <c r="F2519" s="86"/>
      <c r="G2519" s="87"/>
      <c r="H2519" s="87"/>
      <c r="I2519" s="87"/>
      <c r="J2519" s="87"/>
      <c r="K2519" s="87"/>
      <c r="L2519" s="87"/>
    </row>
    <row r="2520" spans="1:12" ht="12" customHeight="1" x14ac:dyDescent="0.35">
      <c r="B2520" s="84"/>
      <c r="C2520" s="88"/>
      <c r="D2520" s="79"/>
      <c r="E2520" s="79"/>
      <c r="F2520" s="89" t="s">
        <v>421</v>
      </c>
      <c r="G2520" s="101"/>
      <c r="H2520" s="87">
        <f>SUM(H2515:H2519)</f>
        <v>1254.1499999999999</v>
      </c>
      <c r="I2520" s="101"/>
      <c r="J2520" s="87">
        <f>SUM(J2517:J2519)</f>
        <v>73.01939999999999</v>
      </c>
      <c r="K2520" s="101"/>
      <c r="L2520" s="87">
        <f>SUM(L2517:L2519)</f>
        <v>73.01939999999999</v>
      </c>
    </row>
    <row r="2521" spans="1:12" ht="12" customHeight="1" x14ac:dyDescent="0.35">
      <c r="B2521" s="84" t="s">
        <v>6</v>
      </c>
      <c r="C2521" s="88" t="s">
        <v>422</v>
      </c>
      <c r="D2521" s="79"/>
      <c r="E2521" s="79"/>
      <c r="F2521" s="90"/>
      <c r="G2521" s="84"/>
      <c r="H2521" s="87"/>
      <c r="I2521" s="84"/>
      <c r="J2521" s="87"/>
      <c r="K2521" s="84"/>
      <c r="L2521" s="87"/>
    </row>
    <row r="2522" spans="1:12" ht="26" customHeight="1" x14ac:dyDescent="0.35">
      <c r="A2522" s="134">
        <v>21603111</v>
      </c>
      <c r="B2522" s="84"/>
      <c r="C2522" s="85" t="s">
        <v>721</v>
      </c>
      <c r="D2522" s="84" t="s">
        <v>418</v>
      </c>
      <c r="E2522" s="84" t="str">
        <f>VLOOKUP(C2522,HSD!B:K,2,FALSE)</f>
        <v>m</v>
      </c>
      <c r="F2522" s="128">
        <v>5</v>
      </c>
      <c r="G2522" s="87">
        <f>VLOOKUP(C2522,HSD!B:K,10,FALSE)</f>
        <v>123</v>
      </c>
      <c r="H2522" s="87">
        <f>F2522*G2522</f>
        <v>615</v>
      </c>
      <c r="I2522" s="87">
        <v>232500</v>
      </c>
      <c r="J2522" s="87">
        <f>F2522*I2522</f>
        <v>1162500</v>
      </c>
      <c r="K2522" s="87">
        <v>270000</v>
      </c>
      <c r="L2522" s="87">
        <f>F2522*K2522</f>
        <v>1350000</v>
      </c>
    </row>
    <row r="2523" spans="1:12" ht="12" customHeight="1" x14ac:dyDescent="0.35">
      <c r="B2523" s="84"/>
      <c r="C2523" s="85"/>
      <c r="D2523" s="84"/>
      <c r="E2523" s="84"/>
      <c r="F2523" s="128"/>
      <c r="G2523" s="87"/>
      <c r="H2523" s="87">
        <f>F2523*G2523</f>
        <v>0</v>
      </c>
      <c r="I2523" s="87">
        <v>1060</v>
      </c>
      <c r="J2523" s="87">
        <f>F2523*I2523</f>
        <v>0</v>
      </c>
      <c r="K2523" s="87">
        <v>1060</v>
      </c>
      <c r="L2523" s="87">
        <f>F2523*K2523</f>
        <v>0</v>
      </c>
    </row>
    <row r="2524" spans="1:12" ht="12" customHeight="1" x14ac:dyDescent="0.35">
      <c r="B2524" s="84"/>
      <c r="C2524" s="85"/>
      <c r="D2524" s="84"/>
      <c r="E2524" s="84"/>
      <c r="F2524" s="128"/>
      <c r="G2524" s="87"/>
      <c r="H2524" s="87">
        <f>F2524*G2524</f>
        <v>0</v>
      </c>
      <c r="I2524" s="87">
        <v>215000</v>
      </c>
      <c r="J2524" s="87">
        <f>F2524*I2524</f>
        <v>0</v>
      </c>
      <c r="K2524" s="87">
        <v>250000</v>
      </c>
      <c r="L2524" s="87">
        <f>F2524*K2524</f>
        <v>0</v>
      </c>
    </row>
    <row r="2525" spans="1:12" ht="12" customHeight="1" x14ac:dyDescent="0.35">
      <c r="B2525" s="84"/>
      <c r="C2525" s="85"/>
      <c r="D2525" s="84"/>
      <c r="E2525" s="84"/>
      <c r="F2525" s="128"/>
      <c r="G2525" s="87"/>
      <c r="H2525" s="87"/>
      <c r="I2525" s="87"/>
      <c r="J2525" s="87"/>
      <c r="K2525" s="87"/>
      <c r="L2525" s="87"/>
    </row>
    <row r="2526" spans="1:12" ht="12" customHeight="1" x14ac:dyDescent="0.35">
      <c r="B2526" s="84"/>
      <c r="C2526" s="88"/>
      <c r="D2526" s="79"/>
      <c r="E2526" s="79"/>
      <c r="F2526" s="129" t="s">
        <v>423</v>
      </c>
      <c r="G2526" s="129"/>
      <c r="H2526" s="87">
        <f>SUM(H2522:H2525)</f>
        <v>615</v>
      </c>
      <c r="I2526" s="101"/>
      <c r="J2526" s="87" t="e">
        <f>SUM(#REF!)</f>
        <v>#REF!</v>
      </c>
      <c r="K2526" s="101"/>
      <c r="L2526" s="87" t="e">
        <f>SUM(#REF!)</f>
        <v>#REF!</v>
      </c>
    </row>
    <row r="2527" spans="1:12" ht="12" customHeight="1" x14ac:dyDescent="0.35">
      <c r="B2527" s="84" t="s">
        <v>7</v>
      </c>
      <c r="C2527" s="88" t="s">
        <v>424</v>
      </c>
      <c r="D2527" s="79"/>
      <c r="E2527" s="79"/>
      <c r="F2527" s="90"/>
      <c r="G2527" s="84"/>
      <c r="H2527" s="87"/>
      <c r="I2527" s="84"/>
      <c r="J2527" s="87"/>
      <c r="K2527" s="84"/>
      <c r="L2527" s="87"/>
    </row>
    <row r="2528" spans="1:12" ht="12" customHeight="1" x14ac:dyDescent="0.35">
      <c r="A2528" s="134">
        <v>31220000</v>
      </c>
      <c r="B2528" s="84"/>
      <c r="C2528" s="85" t="s">
        <v>723</v>
      </c>
      <c r="D2528" s="84" t="s">
        <v>418</v>
      </c>
      <c r="E2528" s="84" t="str">
        <f>VLOOKUP(C2528,HSD!B:K,2,FALSE)</f>
        <v>Sewa-hari</v>
      </c>
      <c r="F2528" s="128">
        <v>9.2999999999999992E-3</v>
      </c>
      <c r="G2528" s="87">
        <f>VLOOKUP(C2528,HSD!B:K,10,FALSE)</f>
        <v>75000</v>
      </c>
      <c r="H2528" s="87">
        <f>F2528*G2528</f>
        <v>697.49999999999989</v>
      </c>
      <c r="I2528" s="87"/>
      <c r="J2528" s="87">
        <f>H2528*I2528</f>
        <v>0</v>
      </c>
      <c r="K2528" s="87"/>
      <c r="L2528" s="87">
        <f>J2528*K2528</f>
        <v>0</v>
      </c>
    </row>
    <row r="2529" spans="1:12" ht="12" customHeight="1" x14ac:dyDescent="0.35">
      <c r="B2529" s="84"/>
      <c r="C2529" s="85"/>
      <c r="D2529" s="84"/>
      <c r="E2529" s="84"/>
      <c r="F2529" s="128"/>
      <c r="G2529" s="87"/>
      <c r="H2529" s="87">
        <f>F2529*G2529</f>
        <v>0</v>
      </c>
      <c r="I2529" s="87"/>
      <c r="J2529" s="87"/>
      <c r="K2529" s="87"/>
      <c r="L2529" s="87"/>
    </row>
    <row r="2530" spans="1:12" ht="12" customHeight="1" x14ac:dyDescent="0.35">
      <c r="B2530" s="84"/>
      <c r="C2530" s="88"/>
      <c r="D2530" s="79"/>
      <c r="E2530" s="79"/>
      <c r="F2530" s="89" t="s">
        <v>425</v>
      </c>
      <c r="G2530" s="101"/>
      <c r="H2530" s="87">
        <f>SUM(H2528:H2529)</f>
        <v>697.49999999999989</v>
      </c>
      <c r="I2530" s="101"/>
      <c r="J2530" s="87">
        <f>SUM(J2528)</f>
        <v>0</v>
      </c>
      <c r="K2530" s="101"/>
      <c r="L2530" s="87">
        <f>SUM(L2528)</f>
        <v>0</v>
      </c>
    </row>
    <row r="2531" spans="1:12" ht="12" customHeight="1" x14ac:dyDescent="0.35">
      <c r="B2531" s="84" t="s">
        <v>8</v>
      </c>
      <c r="C2531" s="103" t="s">
        <v>426</v>
      </c>
      <c r="D2531" s="104"/>
      <c r="E2531" s="104"/>
      <c r="F2531" s="104"/>
      <c r="G2531" s="105"/>
      <c r="H2531" s="87">
        <f>H2520+H2526+H2530</f>
        <v>2566.6499999999996</v>
      </c>
      <c r="I2531" s="105"/>
      <c r="J2531" s="87" t="e">
        <f>J2520+J2526+J2530</f>
        <v>#REF!</v>
      </c>
      <c r="K2531" s="105"/>
      <c r="L2531" s="87" t="e">
        <f>L2520+L2526+L2530</f>
        <v>#REF!</v>
      </c>
    </row>
    <row r="2532" spans="1:12" ht="12" customHeight="1" x14ac:dyDescent="0.35">
      <c r="B2532" s="84" t="s">
        <v>9</v>
      </c>
      <c r="C2532" s="455" t="s">
        <v>427</v>
      </c>
      <c r="D2532" s="455"/>
      <c r="E2532" s="455"/>
      <c r="F2532" s="95">
        <f>0</f>
        <v>0</v>
      </c>
      <c r="G2532" s="85" t="s">
        <v>428</v>
      </c>
      <c r="H2532" s="87">
        <f>H2531*F2532</f>
        <v>0</v>
      </c>
      <c r="I2532" s="85" t="s">
        <v>428</v>
      </c>
      <c r="J2532" s="87" t="e">
        <f>J2531*F2532</f>
        <v>#REF!</v>
      </c>
      <c r="K2532" s="85" t="s">
        <v>428</v>
      </c>
      <c r="L2532" s="87" t="e">
        <f>L2531*F2532</f>
        <v>#REF!</v>
      </c>
    </row>
    <row r="2533" spans="1:12" ht="12" customHeight="1" x14ac:dyDescent="0.35">
      <c r="B2533" s="84" t="s">
        <v>10</v>
      </c>
      <c r="C2533" s="103" t="s">
        <v>429</v>
      </c>
      <c r="D2533" s="104"/>
      <c r="E2533" s="104"/>
      <c r="F2533" s="104"/>
      <c r="G2533" s="105"/>
      <c r="H2533" s="96">
        <f>H2531+H2532</f>
        <v>2566.6499999999996</v>
      </c>
      <c r="I2533" s="97"/>
      <c r="J2533" s="96" t="e">
        <f>J2531+J2532</f>
        <v>#REF!</v>
      </c>
      <c r="K2533" s="97"/>
      <c r="L2533" s="96" t="e">
        <f>L2531+L2532</f>
        <v>#REF!</v>
      </c>
    </row>
    <row r="2535" spans="1:12" ht="37" customHeight="1" x14ac:dyDescent="0.35">
      <c r="B2535" s="76" t="s">
        <v>725</v>
      </c>
      <c r="C2535" s="458" t="s">
        <v>724</v>
      </c>
      <c r="D2535" s="459"/>
      <c r="E2535" s="459"/>
      <c r="F2535" s="459"/>
      <c r="G2535" s="456"/>
      <c r="H2535" s="457"/>
      <c r="I2535" s="455" t="s">
        <v>3</v>
      </c>
      <c r="J2535" s="455"/>
      <c r="K2535" s="455" t="s">
        <v>4</v>
      </c>
      <c r="L2535" s="455"/>
    </row>
    <row r="2536" spans="1:12" ht="12" customHeight="1" x14ac:dyDescent="0.35">
      <c r="B2536" s="451" t="s">
        <v>409</v>
      </c>
      <c r="C2536" s="451" t="s">
        <v>410</v>
      </c>
      <c r="D2536" s="452" t="s">
        <v>411</v>
      </c>
      <c r="E2536" s="451" t="s">
        <v>412</v>
      </c>
      <c r="F2536" s="451" t="s">
        <v>413</v>
      </c>
      <c r="G2536" s="77" t="s">
        <v>414</v>
      </c>
      <c r="H2536" s="77" t="s">
        <v>415</v>
      </c>
      <c r="I2536" s="78" t="s">
        <v>414</v>
      </c>
      <c r="J2536" s="79" t="s">
        <v>415</v>
      </c>
      <c r="K2536" s="79" t="s">
        <v>414</v>
      </c>
      <c r="L2536" s="79" t="s">
        <v>415</v>
      </c>
    </row>
    <row r="2537" spans="1:12" ht="12" customHeight="1" x14ac:dyDescent="0.35">
      <c r="B2537" s="451"/>
      <c r="C2537" s="451"/>
      <c r="D2537" s="453"/>
      <c r="E2537" s="451"/>
      <c r="F2537" s="451"/>
      <c r="G2537" s="77" t="s">
        <v>17</v>
      </c>
      <c r="H2537" s="77" t="s">
        <v>416</v>
      </c>
      <c r="I2537" s="78" t="s">
        <v>17</v>
      </c>
      <c r="J2537" s="79" t="s">
        <v>416</v>
      </c>
      <c r="K2537" s="79" t="s">
        <v>17</v>
      </c>
      <c r="L2537" s="79" t="s">
        <v>416</v>
      </c>
    </row>
    <row r="2538" spans="1:12" ht="12" customHeight="1" x14ac:dyDescent="0.35">
      <c r="B2538" s="451"/>
      <c r="C2538" s="451"/>
      <c r="D2538" s="454"/>
      <c r="E2538" s="451"/>
      <c r="F2538" s="451"/>
      <c r="G2538" s="106"/>
      <c r="H2538" s="77" t="s">
        <v>17</v>
      </c>
      <c r="I2538" s="94"/>
      <c r="J2538" s="79" t="s">
        <v>17</v>
      </c>
      <c r="K2538" s="85"/>
      <c r="L2538" s="79" t="s">
        <v>17</v>
      </c>
    </row>
    <row r="2539" spans="1:12" ht="12" customHeight="1" x14ac:dyDescent="0.35">
      <c r="B2539" s="80" t="s">
        <v>5</v>
      </c>
      <c r="C2539" s="81" t="s">
        <v>417</v>
      </c>
      <c r="D2539" s="82"/>
      <c r="E2539" s="82"/>
      <c r="F2539" s="82"/>
      <c r="G2539" s="82"/>
      <c r="H2539" s="82"/>
      <c r="I2539" s="83"/>
      <c r="J2539" s="83"/>
      <c r="K2539" s="83"/>
      <c r="L2539" s="83"/>
    </row>
    <row r="2540" spans="1:12" ht="12" customHeight="1" x14ac:dyDescent="0.35">
      <c r="A2540" s="134">
        <v>10130000</v>
      </c>
      <c r="B2540" s="84"/>
      <c r="C2540" s="85" t="s">
        <v>28</v>
      </c>
      <c r="D2540" s="84" t="s">
        <v>418</v>
      </c>
      <c r="E2540" s="84" t="str">
        <f>VLOOKUP(C2540,HSD!B:K,2,FALSE)</f>
        <v>OH</v>
      </c>
      <c r="F2540" s="128">
        <v>3.2140000000000002E-2</v>
      </c>
      <c r="G2540" s="87">
        <f>VLOOKUP(C2540,HSD!B:K,10,FALSE)</f>
        <v>120000</v>
      </c>
      <c r="H2540" s="87">
        <f>F2540*G2540</f>
        <v>3856.8</v>
      </c>
      <c r="I2540" s="87">
        <v>91500</v>
      </c>
      <c r="J2540" s="87">
        <f>F2540*I2540</f>
        <v>2940.8100000000004</v>
      </c>
      <c r="K2540" s="87">
        <v>91500</v>
      </c>
      <c r="L2540" s="87">
        <f>F2540*K2540</f>
        <v>2940.8100000000004</v>
      </c>
    </row>
    <row r="2541" spans="1:12" ht="12" customHeight="1" x14ac:dyDescent="0.35">
      <c r="A2541" s="134">
        <v>10121100</v>
      </c>
      <c r="B2541" s="84"/>
      <c r="C2541" s="85" t="s">
        <v>515</v>
      </c>
      <c r="D2541" s="84" t="s">
        <v>418</v>
      </c>
      <c r="E2541" s="84" t="str">
        <f>VLOOKUP(C2541,HSD!B:K,2,FALSE)</f>
        <v>OH</v>
      </c>
      <c r="F2541" s="128"/>
      <c r="G2541" s="87">
        <f>VLOOKUP(C2541,HSD!B:K,10,FALSE)</f>
        <v>130000</v>
      </c>
      <c r="H2541" s="87">
        <f>F2541*G2541</f>
        <v>0</v>
      </c>
      <c r="I2541" s="87"/>
      <c r="J2541" s="87"/>
      <c r="K2541" s="87"/>
      <c r="L2541" s="87"/>
    </row>
    <row r="2542" spans="1:12" ht="12" customHeight="1" x14ac:dyDescent="0.35">
      <c r="A2542" s="134">
        <v>10110000</v>
      </c>
      <c r="B2542" s="84"/>
      <c r="C2542" s="85" t="s">
        <v>30</v>
      </c>
      <c r="D2542" s="84" t="s">
        <v>418</v>
      </c>
      <c r="E2542" s="84" t="str">
        <f>VLOOKUP(C2542,HSD!B:K,2,FALSE)</f>
        <v>OH</v>
      </c>
      <c r="F2542" s="128">
        <f>F2540/10</f>
        <v>3.2140000000000003E-3</v>
      </c>
      <c r="G2542" s="87">
        <f>VLOOKUP(C2542,HSD!B:K,10,FALSE)</f>
        <v>150000</v>
      </c>
      <c r="H2542" s="87">
        <f>F2542*G2542</f>
        <v>482.1</v>
      </c>
      <c r="I2542" s="87">
        <v>78600</v>
      </c>
      <c r="J2542" s="87">
        <f>F2542*I2542</f>
        <v>252.62040000000002</v>
      </c>
      <c r="K2542" s="87">
        <v>78600</v>
      </c>
      <c r="L2542" s="87">
        <f>F2542*K2542</f>
        <v>252.62040000000002</v>
      </c>
    </row>
    <row r="2543" spans="1:12" ht="12" customHeight="1" x14ac:dyDescent="0.35">
      <c r="B2543" s="84"/>
      <c r="C2543" s="85"/>
      <c r="D2543" s="84"/>
      <c r="E2543" s="84"/>
      <c r="F2543" s="86"/>
      <c r="G2543" s="87"/>
      <c r="H2543" s="87">
        <f>F2543*G2543</f>
        <v>0</v>
      </c>
      <c r="I2543" s="87">
        <v>92500</v>
      </c>
      <c r="J2543" s="87">
        <f>F2543*I2543</f>
        <v>0</v>
      </c>
      <c r="K2543" s="87">
        <v>92500</v>
      </c>
      <c r="L2543" s="87">
        <f>F2543*K2543</f>
        <v>0</v>
      </c>
    </row>
    <row r="2544" spans="1:12" ht="12" customHeight="1" x14ac:dyDescent="0.35">
      <c r="B2544" s="84"/>
      <c r="C2544" s="85"/>
      <c r="D2544" s="84"/>
      <c r="E2544" s="84"/>
      <c r="F2544" s="86"/>
      <c r="G2544" s="87"/>
      <c r="H2544" s="87"/>
      <c r="I2544" s="87"/>
      <c r="J2544" s="87"/>
      <c r="K2544" s="87"/>
      <c r="L2544" s="87"/>
    </row>
    <row r="2545" spans="1:12" ht="12" customHeight="1" x14ac:dyDescent="0.35">
      <c r="B2545" s="84"/>
      <c r="C2545" s="88"/>
      <c r="D2545" s="79"/>
      <c r="E2545" s="79"/>
      <c r="F2545" s="89" t="s">
        <v>421</v>
      </c>
      <c r="G2545" s="101"/>
      <c r="H2545" s="87">
        <f>SUM(H2540:H2544)</f>
        <v>4338.9000000000005</v>
      </c>
      <c r="I2545" s="101"/>
      <c r="J2545" s="87">
        <f>SUM(J2542:J2544)</f>
        <v>252.62040000000002</v>
      </c>
      <c r="K2545" s="101"/>
      <c r="L2545" s="87">
        <f>SUM(L2542:L2544)</f>
        <v>252.62040000000002</v>
      </c>
    </row>
    <row r="2546" spans="1:12" ht="12" customHeight="1" x14ac:dyDescent="0.35">
      <c r="B2546" s="84" t="s">
        <v>6</v>
      </c>
      <c r="C2546" s="88" t="s">
        <v>422</v>
      </c>
      <c r="D2546" s="79"/>
      <c r="E2546" s="79"/>
      <c r="F2546" s="90"/>
      <c r="G2546" s="84"/>
      <c r="H2546" s="87"/>
      <c r="I2546" s="84"/>
      <c r="J2546" s="87"/>
      <c r="K2546" s="84"/>
      <c r="L2546" s="87"/>
    </row>
    <row r="2547" spans="1:12" ht="26" customHeight="1" x14ac:dyDescent="0.35">
      <c r="A2547" s="134">
        <v>21603111</v>
      </c>
      <c r="B2547" s="84"/>
      <c r="C2547" s="85" t="s">
        <v>721</v>
      </c>
      <c r="D2547" s="84" t="s">
        <v>418</v>
      </c>
      <c r="E2547" s="84" t="str">
        <f>VLOOKUP(C2547,HSD!B:K,2,FALSE)</f>
        <v>m</v>
      </c>
      <c r="F2547" s="128">
        <v>4.0999999999999996</v>
      </c>
      <c r="G2547" s="87">
        <f>VLOOKUP(C2547,HSD!B:K,10,FALSE)</f>
        <v>123</v>
      </c>
      <c r="H2547" s="87">
        <f>F2547*G2547</f>
        <v>504.29999999999995</v>
      </c>
      <c r="I2547" s="87">
        <v>232500</v>
      </c>
      <c r="J2547" s="87">
        <f>F2547*I2547</f>
        <v>953249.99999999988</v>
      </c>
      <c r="K2547" s="87">
        <v>270000</v>
      </c>
      <c r="L2547" s="87">
        <f>F2547*K2547</f>
        <v>1107000</v>
      </c>
    </row>
    <row r="2548" spans="1:12" ht="12" customHeight="1" x14ac:dyDescent="0.35">
      <c r="B2548" s="84"/>
      <c r="C2548" s="85"/>
      <c r="D2548" s="84"/>
      <c r="E2548" s="84"/>
      <c r="F2548" s="128"/>
      <c r="G2548" s="87"/>
      <c r="H2548" s="87">
        <f>F2548*G2548</f>
        <v>0</v>
      </c>
      <c r="I2548" s="87">
        <v>1060</v>
      </c>
      <c r="J2548" s="87">
        <f>F2548*I2548</f>
        <v>0</v>
      </c>
      <c r="K2548" s="87">
        <v>1060</v>
      </c>
      <c r="L2548" s="87">
        <f>F2548*K2548</f>
        <v>0</v>
      </c>
    </row>
    <row r="2549" spans="1:12" ht="12" customHeight="1" x14ac:dyDescent="0.35">
      <c r="B2549" s="84"/>
      <c r="C2549" s="85"/>
      <c r="D2549" s="84"/>
      <c r="E2549" s="84"/>
      <c r="F2549" s="128"/>
      <c r="G2549" s="87"/>
      <c r="H2549" s="87">
        <f>F2549*G2549</f>
        <v>0</v>
      </c>
      <c r="I2549" s="87">
        <v>215000</v>
      </c>
      <c r="J2549" s="87">
        <f>F2549*I2549</f>
        <v>0</v>
      </c>
      <c r="K2549" s="87">
        <v>250000</v>
      </c>
      <c r="L2549" s="87">
        <f>F2549*K2549</f>
        <v>0</v>
      </c>
    </row>
    <row r="2550" spans="1:12" ht="12" customHeight="1" x14ac:dyDescent="0.35">
      <c r="B2550" s="84"/>
      <c r="C2550" s="85"/>
      <c r="D2550" s="84"/>
      <c r="E2550" s="84"/>
      <c r="F2550" s="128"/>
      <c r="G2550" s="87"/>
      <c r="H2550" s="87"/>
      <c r="I2550" s="87"/>
      <c r="J2550" s="87"/>
      <c r="K2550" s="87"/>
      <c r="L2550" s="87"/>
    </row>
    <row r="2551" spans="1:12" ht="12" customHeight="1" x14ac:dyDescent="0.35">
      <c r="B2551" s="84"/>
      <c r="C2551" s="88"/>
      <c r="D2551" s="79"/>
      <c r="E2551" s="79"/>
      <c r="F2551" s="129" t="s">
        <v>423</v>
      </c>
      <c r="G2551" s="129"/>
      <c r="H2551" s="87">
        <f>SUM(H2547:H2550)</f>
        <v>504.29999999999995</v>
      </c>
      <c r="I2551" s="101"/>
      <c r="J2551" s="87" t="e">
        <f>SUM(#REF!)</f>
        <v>#REF!</v>
      </c>
      <c r="K2551" s="101"/>
      <c r="L2551" s="87" t="e">
        <f>SUM(#REF!)</f>
        <v>#REF!</v>
      </c>
    </row>
    <row r="2552" spans="1:12" ht="12" customHeight="1" x14ac:dyDescent="0.35">
      <c r="B2552" s="84" t="s">
        <v>7</v>
      </c>
      <c r="C2552" s="88" t="s">
        <v>424</v>
      </c>
      <c r="D2552" s="79"/>
      <c r="E2552" s="79"/>
      <c r="F2552" s="90"/>
      <c r="G2552" s="84"/>
      <c r="H2552" s="87"/>
      <c r="I2552" s="84"/>
      <c r="J2552" s="87"/>
      <c r="K2552" s="84"/>
      <c r="L2552" s="87"/>
    </row>
    <row r="2553" spans="1:12" ht="12" customHeight="1" x14ac:dyDescent="0.35">
      <c r="A2553" s="134">
        <v>31220000</v>
      </c>
      <c r="B2553" s="84"/>
      <c r="C2553" s="85" t="s">
        <v>723</v>
      </c>
      <c r="D2553" s="84" t="s">
        <v>418</v>
      </c>
      <c r="E2553" s="84" t="str">
        <f>VLOOKUP(C2553,HSD!B:K,2,FALSE)</f>
        <v>Sewa-hari</v>
      </c>
      <c r="F2553" s="128">
        <v>3.2099999999999997E-2</v>
      </c>
      <c r="G2553" s="87">
        <f>VLOOKUP(C2553,HSD!B:K,10,FALSE)</f>
        <v>75000</v>
      </c>
      <c r="H2553" s="87">
        <f>F2553*G2553</f>
        <v>2407.4999999999995</v>
      </c>
      <c r="I2553" s="87"/>
      <c r="J2553" s="87">
        <f>H2553*I2553</f>
        <v>0</v>
      </c>
      <c r="K2553" s="87"/>
      <c r="L2553" s="87">
        <f>J2553*K2553</f>
        <v>0</v>
      </c>
    </row>
    <row r="2554" spans="1:12" ht="12" customHeight="1" x14ac:dyDescent="0.35">
      <c r="B2554" s="84"/>
      <c r="C2554" s="85"/>
      <c r="D2554" s="84"/>
      <c r="E2554" s="84"/>
      <c r="F2554" s="128"/>
      <c r="G2554" s="87"/>
      <c r="H2554" s="87">
        <f>F2554*G2554</f>
        <v>0</v>
      </c>
      <c r="I2554" s="87"/>
      <c r="J2554" s="87"/>
      <c r="K2554" s="87"/>
      <c r="L2554" s="87"/>
    </row>
    <row r="2555" spans="1:12" ht="12" customHeight="1" x14ac:dyDescent="0.35">
      <c r="B2555" s="84"/>
      <c r="C2555" s="88"/>
      <c r="D2555" s="79"/>
      <c r="E2555" s="79"/>
      <c r="F2555" s="89" t="s">
        <v>425</v>
      </c>
      <c r="G2555" s="101"/>
      <c r="H2555" s="87">
        <f>SUM(H2553:H2554)</f>
        <v>2407.4999999999995</v>
      </c>
      <c r="I2555" s="101"/>
      <c r="J2555" s="87">
        <f>SUM(J2553)</f>
        <v>0</v>
      </c>
      <c r="K2555" s="101"/>
      <c r="L2555" s="87">
        <f>SUM(L2553)</f>
        <v>0</v>
      </c>
    </row>
    <row r="2556" spans="1:12" ht="12" customHeight="1" x14ac:dyDescent="0.35">
      <c r="B2556" s="84" t="s">
        <v>8</v>
      </c>
      <c r="C2556" s="103" t="s">
        <v>426</v>
      </c>
      <c r="D2556" s="104"/>
      <c r="E2556" s="104"/>
      <c r="F2556" s="104"/>
      <c r="G2556" s="105"/>
      <c r="H2556" s="87">
        <f>H2545+H2551+H2555</f>
        <v>7250.7000000000007</v>
      </c>
      <c r="I2556" s="105"/>
      <c r="J2556" s="87" t="e">
        <f>J2545+J2551+J2555</f>
        <v>#REF!</v>
      </c>
      <c r="K2556" s="105"/>
      <c r="L2556" s="87" t="e">
        <f>L2545+L2551+L2555</f>
        <v>#REF!</v>
      </c>
    </row>
    <row r="2557" spans="1:12" ht="12" customHeight="1" x14ac:dyDescent="0.35">
      <c r="B2557" s="84" t="s">
        <v>9</v>
      </c>
      <c r="C2557" s="455" t="s">
        <v>427</v>
      </c>
      <c r="D2557" s="455"/>
      <c r="E2557" s="455"/>
      <c r="F2557" s="95">
        <f>0</f>
        <v>0</v>
      </c>
      <c r="G2557" s="85" t="s">
        <v>428</v>
      </c>
      <c r="H2557" s="87">
        <f>H2556*F2557</f>
        <v>0</v>
      </c>
      <c r="I2557" s="85" t="s">
        <v>428</v>
      </c>
      <c r="J2557" s="87" t="e">
        <f>J2556*F2557</f>
        <v>#REF!</v>
      </c>
      <c r="K2557" s="85" t="s">
        <v>428</v>
      </c>
      <c r="L2557" s="87" t="e">
        <f>L2556*F2557</f>
        <v>#REF!</v>
      </c>
    </row>
    <row r="2558" spans="1:12" ht="12" customHeight="1" x14ac:dyDescent="0.35">
      <c r="B2558" s="84" t="s">
        <v>10</v>
      </c>
      <c r="C2558" s="103" t="s">
        <v>429</v>
      </c>
      <c r="D2558" s="104"/>
      <c r="E2558" s="104"/>
      <c r="F2558" s="104"/>
      <c r="G2558" s="105"/>
      <c r="H2558" s="96">
        <f>H2556+H2557</f>
        <v>7250.7000000000007</v>
      </c>
      <c r="I2558" s="97"/>
      <c r="J2558" s="96" t="e">
        <f>J2556+J2557</f>
        <v>#REF!</v>
      </c>
      <c r="K2558" s="97"/>
      <c r="L2558" s="96" t="e">
        <f>L2556+L2557</f>
        <v>#REF!</v>
      </c>
    </row>
    <row r="2560" spans="1:12" ht="37" customHeight="1" x14ac:dyDescent="0.35">
      <c r="B2560" s="76" t="s">
        <v>726</v>
      </c>
      <c r="C2560" s="458" t="s">
        <v>727</v>
      </c>
      <c r="D2560" s="459"/>
      <c r="E2560" s="459"/>
      <c r="F2560" s="459"/>
      <c r="G2560" s="456"/>
      <c r="H2560" s="457"/>
      <c r="I2560" s="455" t="s">
        <v>3</v>
      </c>
      <c r="J2560" s="455"/>
      <c r="K2560" s="455" t="s">
        <v>4</v>
      </c>
      <c r="L2560" s="455"/>
    </row>
    <row r="2561" spans="1:12" ht="12" customHeight="1" x14ac:dyDescent="0.35">
      <c r="B2561" s="451" t="s">
        <v>409</v>
      </c>
      <c r="C2561" s="451" t="s">
        <v>410</v>
      </c>
      <c r="D2561" s="452" t="s">
        <v>411</v>
      </c>
      <c r="E2561" s="451" t="s">
        <v>412</v>
      </c>
      <c r="F2561" s="451" t="s">
        <v>413</v>
      </c>
      <c r="G2561" s="77" t="s">
        <v>414</v>
      </c>
      <c r="H2561" s="77" t="s">
        <v>415</v>
      </c>
      <c r="I2561" s="78" t="s">
        <v>414</v>
      </c>
      <c r="J2561" s="79" t="s">
        <v>415</v>
      </c>
      <c r="K2561" s="79" t="s">
        <v>414</v>
      </c>
      <c r="L2561" s="79" t="s">
        <v>415</v>
      </c>
    </row>
    <row r="2562" spans="1:12" ht="12" customHeight="1" x14ac:dyDescent="0.35">
      <c r="B2562" s="451"/>
      <c r="C2562" s="451"/>
      <c r="D2562" s="453"/>
      <c r="E2562" s="451"/>
      <c r="F2562" s="451"/>
      <c r="G2562" s="77" t="s">
        <v>17</v>
      </c>
      <c r="H2562" s="77" t="s">
        <v>416</v>
      </c>
      <c r="I2562" s="78" t="s">
        <v>17</v>
      </c>
      <c r="J2562" s="79" t="s">
        <v>416</v>
      </c>
      <c r="K2562" s="79" t="s">
        <v>17</v>
      </c>
      <c r="L2562" s="79" t="s">
        <v>416</v>
      </c>
    </row>
    <row r="2563" spans="1:12" ht="12" customHeight="1" x14ac:dyDescent="0.35">
      <c r="B2563" s="451"/>
      <c r="C2563" s="451"/>
      <c r="D2563" s="454"/>
      <c r="E2563" s="451"/>
      <c r="F2563" s="451"/>
      <c r="G2563" s="106"/>
      <c r="H2563" s="77" t="s">
        <v>17</v>
      </c>
      <c r="I2563" s="94"/>
      <c r="J2563" s="79" t="s">
        <v>17</v>
      </c>
      <c r="K2563" s="85"/>
      <c r="L2563" s="79" t="s">
        <v>17</v>
      </c>
    </row>
    <row r="2564" spans="1:12" ht="12" customHeight="1" x14ac:dyDescent="0.35">
      <c r="B2564" s="80" t="s">
        <v>5</v>
      </c>
      <c r="C2564" s="81" t="s">
        <v>417</v>
      </c>
      <c r="D2564" s="82"/>
      <c r="E2564" s="82"/>
      <c r="F2564" s="82"/>
      <c r="G2564" s="82"/>
      <c r="H2564" s="82"/>
      <c r="I2564" s="83"/>
      <c r="J2564" s="83"/>
      <c r="K2564" s="83"/>
      <c r="L2564" s="83"/>
    </row>
    <row r="2565" spans="1:12" ht="12" customHeight="1" x14ac:dyDescent="0.35">
      <c r="A2565" s="134">
        <v>10130000</v>
      </c>
      <c r="B2565" s="84"/>
      <c r="C2565" s="85" t="s">
        <v>28</v>
      </c>
      <c r="D2565" s="84" t="s">
        <v>418</v>
      </c>
      <c r="E2565" s="84" t="str">
        <f>VLOOKUP(C2565,HSD!B:K,2,FALSE)</f>
        <v>OH</v>
      </c>
      <c r="F2565" s="128">
        <v>0.75</v>
      </c>
      <c r="G2565" s="87">
        <f>VLOOKUP(C2565,HSD!B:K,10,FALSE)</f>
        <v>120000</v>
      </c>
      <c r="H2565" s="87">
        <f>F2565*G2565</f>
        <v>90000</v>
      </c>
      <c r="I2565" s="87">
        <v>91500</v>
      </c>
      <c r="J2565" s="87">
        <f>F2565*I2565</f>
        <v>68625</v>
      </c>
      <c r="K2565" s="87">
        <v>91500</v>
      </c>
      <c r="L2565" s="87">
        <f>F2565*K2565</f>
        <v>68625</v>
      </c>
    </row>
    <row r="2566" spans="1:12" ht="12" customHeight="1" x14ac:dyDescent="0.35">
      <c r="A2566" s="134">
        <v>10143000</v>
      </c>
      <c r="B2566" s="84"/>
      <c r="C2566" s="85" t="s">
        <v>435</v>
      </c>
      <c r="D2566" s="84" t="s">
        <v>418</v>
      </c>
      <c r="E2566" s="84" t="str">
        <f>VLOOKUP(C2566,HSD!B:K,2,FALSE)</f>
        <v>OH</v>
      </c>
      <c r="F2566" s="128">
        <v>0.25</v>
      </c>
      <c r="G2566" s="87">
        <f>VLOOKUP(C2566,HSD!B:K,10,FALSE)</f>
        <v>250000</v>
      </c>
      <c r="H2566" s="87">
        <f>F2566*G2566</f>
        <v>62500</v>
      </c>
      <c r="I2566" s="87"/>
      <c r="J2566" s="87"/>
      <c r="K2566" s="87"/>
      <c r="L2566" s="87"/>
    </row>
    <row r="2567" spans="1:12" ht="12" customHeight="1" x14ac:dyDescent="0.35">
      <c r="A2567" s="134">
        <v>10120000</v>
      </c>
      <c r="B2567" s="84"/>
      <c r="C2567" s="85" t="s">
        <v>27</v>
      </c>
      <c r="D2567" s="84" t="s">
        <v>418</v>
      </c>
      <c r="E2567" s="84" t="str">
        <f>VLOOKUP(C2567,HSD!B:K,2,FALSE)</f>
        <v>OH</v>
      </c>
      <c r="F2567" s="128">
        <v>2.5000000000000001E-2</v>
      </c>
      <c r="G2567" s="87">
        <f>VLOOKUP(C2567,HSD!B:K,10,FALSE)</f>
        <v>150000</v>
      </c>
      <c r="H2567" s="87">
        <f t="shared" ref="H2567:H2568" si="5">F2567*G2567</f>
        <v>3750</v>
      </c>
      <c r="I2567" s="87"/>
      <c r="J2567" s="87"/>
      <c r="K2567" s="87"/>
      <c r="L2567" s="87"/>
    </row>
    <row r="2568" spans="1:12" ht="12" customHeight="1" x14ac:dyDescent="0.35">
      <c r="A2568" s="134">
        <v>10146000</v>
      </c>
      <c r="B2568" s="84"/>
      <c r="C2568" s="85" t="s">
        <v>438</v>
      </c>
      <c r="D2568" s="84" t="s">
        <v>418</v>
      </c>
      <c r="E2568" s="84" t="str">
        <f>VLOOKUP(C2568,HSD!B:K,2,FALSE)</f>
        <v>OH</v>
      </c>
      <c r="F2568" s="128">
        <v>0.15</v>
      </c>
      <c r="G2568" s="87">
        <f>VLOOKUP(C2568,HSD!B:K,10,FALSE)</f>
        <v>250000</v>
      </c>
      <c r="H2568" s="87">
        <f t="shared" si="5"/>
        <v>37500</v>
      </c>
      <c r="I2568" s="87"/>
      <c r="J2568" s="87"/>
      <c r="K2568" s="87"/>
      <c r="L2568" s="87"/>
    </row>
    <row r="2569" spans="1:12" ht="12" customHeight="1" x14ac:dyDescent="0.35">
      <c r="A2569" s="134">
        <v>10110000</v>
      </c>
      <c r="B2569" s="84"/>
      <c r="C2569" s="85" t="s">
        <v>30</v>
      </c>
      <c r="D2569" s="84" t="s">
        <v>418</v>
      </c>
      <c r="E2569" s="84" t="str">
        <f>VLOOKUP(C2569,HSD!B:K,2,FALSE)</f>
        <v>OH</v>
      </c>
      <c r="F2569" s="128">
        <f>F2565/10</f>
        <v>7.4999999999999997E-2</v>
      </c>
      <c r="G2569" s="87">
        <f>VLOOKUP(C2569,HSD!B:K,10,FALSE)</f>
        <v>150000</v>
      </c>
      <c r="H2569" s="87">
        <f>F2569*G2569</f>
        <v>11250</v>
      </c>
      <c r="I2569" s="87">
        <v>78600</v>
      </c>
      <c r="J2569" s="87">
        <f>F2569*I2569</f>
        <v>5895</v>
      </c>
      <c r="K2569" s="87">
        <v>78600</v>
      </c>
      <c r="L2569" s="87">
        <f>F2569*K2569</f>
        <v>5895</v>
      </c>
    </row>
    <row r="2570" spans="1:12" ht="12" customHeight="1" x14ac:dyDescent="0.35">
      <c r="B2570" s="84"/>
      <c r="C2570" s="85"/>
      <c r="D2570" s="84"/>
      <c r="E2570" s="84"/>
      <c r="F2570" s="86"/>
      <c r="G2570" s="87"/>
      <c r="H2570" s="87">
        <f>F2570*G2570</f>
        <v>0</v>
      </c>
      <c r="I2570" s="87">
        <v>92500</v>
      </c>
      <c r="J2570" s="87">
        <f>F2570*I2570</f>
        <v>0</v>
      </c>
      <c r="K2570" s="87">
        <v>92500</v>
      </c>
      <c r="L2570" s="87">
        <f>F2570*K2570</f>
        <v>0</v>
      </c>
    </row>
    <row r="2571" spans="1:12" ht="12" customHeight="1" x14ac:dyDescent="0.35">
      <c r="B2571" s="84"/>
      <c r="C2571" s="85"/>
      <c r="D2571" s="84"/>
      <c r="E2571" s="84"/>
      <c r="F2571" s="86"/>
      <c r="G2571" s="87"/>
      <c r="H2571" s="87"/>
      <c r="I2571" s="87"/>
      <c r="J2571" s="87"/>
      <c r="K2571" s="87"/>
      <c r="L2571" s="87"/>
    </row>
    <row r="2572" spans="1:12" ht="12" customHeight="1" x14ac:dyDescent="0.35">
      <c r="B2572" s="84"/>
      <c r="C2572" s="88"/>
      <c r="D2572" s="79"/>
      <c r="E2572" s="79"/>
      <c r="F2572" s="89" t="s">
        <v>421</v>
      </c>
      <c r="G2572" s="101"/>
      <c r="H2572" s="87">
        <f>SUM(H2565:H2571)</f>
        <v>205000</v>
      </c>
      <c r="I2572" s="101"/>
      <c r="J2572" s="87">
        <f>SUM(J2569:J2571)</f>
        <v>5895</v>
      </c>
      <c r="K2572" s="101"/>
      <c r="L2572" s="87">
        <f>SUM(L2569:L2571)</f>
        <v>5895</v>
      </c>
    </row>
    <row r="2573" spans="1:12" ht="12" customHeight="1" x14ac:dyDescent="0.35">
      <c r="B2573" s="84" t="s">
        <v>6</v>
      </c>
      <c r="C2573" s="88" t="s">
        <v>422</v>
      </c>
      <c r="D2573" s="79"/>
      <c r="E2573" s="79"/>
      <c r="F2573" s="90"/>
      <c r="G2573" s="84"/>
      <c r="H2573" s="87"/>
      <c r="I2573" s="84"/>
      <c r="J2573" s="87"/>
      <c r="K2573" s="84"/>
      <c r="L2573" s="87"/>
    </row>
    <row r="2574" spans="1:12" ht="26" customHeight="1" x14ac:dyDescent="0.35">
      <c r="A2574" s="134">
        <v>21901000</v>
      </c>
      <c r="B2574" s="84"/>
      <c r="C2574" s="85" t="s">
        <v>1802</v>
      </c>
      <c r="D2574" s="84" t="s">
        <v>418</v>
      </c>
      <c r="E2574" s="84" t="str">
        <f>VLOOKUP(C2574,HSD!B:K,2,FALSE)</f>
        <v>kg</v>
      </c>
      <c r="F2574" s="128">
        <v>30</v>
      </c>
      <c r="G2574" s="87">
        <f>VLOOKUP(C2574,HSD!B:K,10,FALSE)</f>
        <v>0</v>
      </c>
      <c r="H2574" s="87">
        <f>F2574*G2574</f>
        <v>0</v>
      </c>
      <c r="I2574" s="87">
        <v>232500</v>
      </c>
      <c r="J2574" s="87">
        <f>F2574*I2574</f>
        <v>6975000</v>
      </c>
      <c r="K2574" s="87">
        <v>270000</v>
      </c>
      <c r="L2574" s="87">
        <f>F2574*K2574</f>
        <v>8100000</v>
      </c>
    </row>
    <row r="2575" spans="1:12" ht="12" customHeight="1" x14ac:dyDescent="0.35">
      <c r="A2575" s="134">
        <v>21904003</v>
      </c>
      <c r="B2575" s="84"/>
      <c r="C2575" s="85" t="s">
        <v>1806</v>
      </c>
      <c r="D2575" s="84" t="s">
        <v>418</v>
      </c>
      <c r="E2575" s="84" t="str">
        <f>VLOOKUP(C2575,HSD!B:K,2,FALSE)</f>
        <v>btg</v>
      </c>
      <c r="F2575" s="128">
        <v>4</v>
      </c>
      <c r="G2575" s="87">
        <f>VLOOKUP(C2575,HSD!B:K,10,FALSE)</f>
        <v>15000</v>
      </c>
      <c r="H2575" s="87">
        <f>F2575*G2575</f>
        <v>60000</v>
      </c>
      <c r="I2575" s="87">
        <v>1060</v>
      </c>
      <c r="J2575" s="87">
        <f>F2575*I2575</f>
        <v>4240</v>
      </c>
      <c r="K2575" s="87">
        <v>1060</v>
      </c>
      <c r="L2575" s="87">
        <f>F2575*K2575</f>
        <v>4240</v>
      </c>
    </row>
    <row r="2576" spans="1:12" ht="12" customHeight="1" x14ac:dyDescent="0.35">
      <c r="A2576" s="134">
        <v>23100103</v>
      </c>
      <c r="B2576" s="84"/>
      <c r="C2576" s="85" t="s">
        <v>1871</v>
      </c>
      <c r="D2576" s="84" t="s">
        <v>418</v>
      </c>
      <c r="E2576" s="84" t="str">
        <f>VLOOKUP(C2576,HSD!B:K,2,FALSE)</f>
        <v>kg</v>
      </c>
      <c r="F2576" s="128">
        <v>5.4</v>
      </c>
      <c r="G2576" s="87">
        <f>VLOOKUP(C2576,HSD!B:K,10,FALSE)</f>
        <v>46620</v>
      </c>
      <c r="H2576" s="87">
        <f>F2576*G2576</f>
        <v>251748.00000000003</v>
      </c>
      <c r="I2576" s="87">
        <v>215000</v>
      </c>
      <c r="J2576" s="87">
        <f>F2576*I2576</f>
        <v>1161000</v>
      </c>
      <c r="K2576" s="87">
        <v>250000</v>
      </c>
      <c r="L2576" s="87">
        <f>F2576*K2576</f>
        <v>1350000</v>
      </c>
    </row>
    <row r="2577" spans="1:12" ht="12" customHeight="1" x14ac:dyDescent="0.35">
      <c r="B2577" s="84"/>
      <c r="C2577" s="85"/>
      <c r="D2577" s="84"/>
      <c r="E2577" s="84"/>
      <c r="F2577" s="128"/>
      <c r="G2577" s="87"/>
      <c r="H2577" s="87"/>
      <c r="I2577" s="87"/>
      <c r="J2577" s="87"/>
      <c r="K2577" s="87"/>
      <c r="L2577" s="87"/>
    </row>
    <row r="2578" spans="1:12" ht="12" customHeight="1" x14ac:dyDescent="0.35">
      <c r="B2578" s="84"/>
      <c r="C2578" s="88"/>
      <c r="D2578" s="79"/>
      <c r="E2578" s="79"/>
      <c r="F2578" s="129" t="s">
        <v>423</v>
      </c>
      <c r="G2578" s="129"/>
      <c r="H2578" s="87">
        <f>SUM(H2574:H2577)</f>
        <v>311748</v>
      </c>
      <c r="I2578" s="101"/>
      <c r="J2578" s="87" t="e">
        <f>SUM(#REF!)</f>
        <v>#REF!</v>
      </c>
      <c r="K2578" s="101"/>
      <c r="L2578" s="87" t="e">
        <f>SUM(#REF!)</f>
        <v>#REF!</v>
      </c>
    </row>
    <row r="2579" spans="1:12" ht="12" customHeight="1" x14ac:dyDescent="0.35">
      <c r="B2579" s="84" t="s">
        <v>7</v>
      </c>
      <c r="C2579" s="88" t="s">
        <v>424</v>
      </c>
      <c r="D2579" s="79"/>
      <c r="E2579" s="79"/>
      <c r="F2579" s="90"/>
      <c r="G2579" s="84"/>
      <c r="H2579" s="87"/>
      <c r="I2579" s="84"/>
      <c r="J2579" s="87"/>
      <c r="K2579" s="84"/>
      <c r="L2579" s="87"/>
    </row>
    <row r="2580" spans="1:12" ht="12" customHeight="1" x14ac:dyDescent="0.35">
      <c r="A2580" s="134">
        <v>31220101</v>
      </c>
      <c r="B2580" s="84"/>
      <c r="C2580" s="85" t="s">
        <v>728</v>
      </c>
      <c r="D2580" s="84" t="s">
        <v>418</v>
      </c>
      <c r="E2580" s="84" t="str">
        <f>VLOOKUP(C2580,HSD!B:K,2,FALSE)</f>
        <v>jam</v>
      </c>
      <c r="F2580" s="128">
        <v>0.15</v>
      </c>
      <c r="G2580" s="87">
        <f>VLOOKUP(C2580,HSD!B:K,10,FALSE)</f>
        <v>50000</v>
      </c>
      <c r="H2580" s="87">
        <f>F2580*G2580</f>
        <v>7500</v>
      </c>
      <c r="I2580" s="87"/>
      <c r="J2580" s="87">
        <f>H2580*I2580</f>
        <v>0</v>
      </c>
      <c r="K2580" s="87"/>
      <c r="L2580" s="87">
        <f>J2580*K2580</f>
        <v>0</v>
      </c>
    </row>
    <row r="2581" spans="1:12" ht="12" customHeight="1" x14ac:dyDescent="0.35">
      <c r="A2581" s="134">
        <v>31220105</v>
      </c>
      <c r="B2581" s="84"/>
      <c r="C2581" s="85" t="s">
        <v>729</v>
      </c>
      <c r="D2581" s="84" t="s">
        <v>418</v>
      </c>
      <c r="E2581" s="84" t="str">
        <f>VLOOKUP(C2581,HSD!B:K,2,FALSE)</f>
        <v>jam</v>
      </c>
      <c r="F2581" s="128">
        <v>0.15</v>
      </c>
      <c r="G2581" s="87">
        <f>VLOOKUP(C2581,HSD!B:K,10,FALSE)</f>
        <v>115440</v>
      </c>
      <c r="H2581" s="87">
        <f>F2581*G2581</f>
        <v>17316</v>
      </c>
      <c r="I2581" s="87"/>
      <c r="J2581" s="87"/>
      <c r="K2581" s="87"/>
      <c r="L2581" s="87"/>
    </row>
    <row r="2582" spans="1:12" ht="12" customHeight="1" x14ac:dyDescent="0.35">
      <c r="B2582" s="84"/>
      <c r="C2582" s="85"/>
      <c r="D2582" s="84"/>
      <c r="E2582" s="84"/>
      <c r="F2582" s="128"/>
      <c r="G2582" s="87"/>
      <c r="H2582" s="87">
        <f>F2582*G2582</f>
        <v>0</v>
      </c>
      <c r="I2582" s="87"/>
      <c r="J2582" s="87"/>
      <c r="K2582" s="87"/>
      <c r="L2582" s="87"/>
    </row>
    <row r="2583" spans="1:12" ht="12" customHeight="1" x14ac:dyDescent="0.35">
      <c r="B2583" s="84"/>
      <c r="C2583" s="88"/>
      <c r="D2583" s="79"/>
      <c r="E2583" s="79"/>
      <c r="F2583" s="89" t="s">
        <v>425</v>
      </c>
      <c r="G2583" s="101"/>
      <c r="H2583" s="87">
        <f>SUM(H2580:H2582)</f>
        <v>24816</v>
      </c>
      <c r="I2583" s="101"/>
      <c r="J2583" s="87">
        <f>SUM(J2580)</f>
        <v>0</v>
      </c>
      <c r="K2583" s="101"/>
      <c r="L2583" s="87">
        <f>SUM(L2580)</f>
        <v>0</v>
      </c>
    </row>
    <row r="2584" spans="1:12" ht="12" customHeight="1" x14ac:dyDescent="0.35">
      <c r="B2584" s="84" t="s">
        <v>8</v>
      </c>
      <c r="C2584" s="103" t="s">
        <v>426</v>
      </c>
      <c r="D2584" s="104"/>
      <c r="E2584" s="104"/>
      <c r="F2584" s="104"/>
      <c r="G2584" s="105"/>
      <c r="H2584" s="87">
        <f>H2572+H2578+H2583</f>
        <v>541564</v>
      </c>
      <c r="I2584" s="105"/>
      <c r="J2584" s="87" t="e">
        <f>J2572+J2578+J2583</f>
        <v>#REF!</v>
      </c>
      <c r="K2584" s="105"/>
      <c r="L2584" s="87" t="e">
        <f>L2572+L2578+L2583</f>
        <v>#REF!</v>
      </c>
    </row>
    <row r="2585" spans="1:12" ht="12" customHeight="1" x14ac:dyDescent="0.35">
      <c r="B2585" s="84" t="s">
        <v>9</v>
      </c>
      <c r="C2585" s="455" t="s">
        <v>427</v>
      </c>
      <c r="D2585" s="455"/>
      <c r="E2585" s="455"/>
      <c r="F2585" s="95">
        <f>0</f>
        <v>0</v>
      </c>
      <c r="G2585" s="85" t="s">
        <v>428</v>
      </c>
      <c r="H2585" s="87">
        <f>H2584*F2585</f>
        <v>0</v>
      </c>
      <c r="I2585" s="85" t="s">
        <v>428</v>
      </c>
      <c r="J2585" s="87" t="e">
        <f>J2584*F2585</f>
        <v>#REF!</v>
      </c>
      <c r="K2585" s="85" t="s">
        <v>428</v>
      </c>
      <c r="L2585" s="87" t="e">
        <f>L2584*F2585</f>
        <v>#REF!</v>
      </c>
    </row>
    <row r="2586" spans="1:12" ht="12" customHeight="1" x14ac:dyDescent="0.35">
      <c r="B2586" s="84" t="s">
        <v>10</v>
      </c>
      <c r="C2586" s="103" t="s">
        <v>429</v>
      </c>
      <c r="D2586" s="104"/>
      <c r="E2586" s="104"/>
      <c r="F2586" s="104"/>
      <c r="G2586" s="105"/>
      <c r="H2586" s="96">
        <f>H2584+H2585</f>
        <v>541564</v>
      </c>
      <c r="I2586" s="97"/>
      <c r="J2586" s="96" t="e">
        <f>J2584+J2585</f>
        <v>#REF!</v>
      </c>
      <c r="K2586" s="97"/>
      <c r="L2586" s="96" t="e">
        <f>L2584+L2585</f>
        <v>#REF!</v>
      </c>
    </row>
    <row r="2588" spans="1:12" ht="37" customHeight="1" x14ac:dyDescent="0.35">
      <c r="B2588" s="76" t="s">
        <v>730</v>
      </c>
      <c r="C2588" s="458" t="s">
        <v>731</v>
      </c>
      <c r="D2588" s="459"/>
      <c r="E2588" s="459"/>
      <c r="F2588" s="459"/>
      <c r="G2588" s="456"/>
      <c r="H2588" s="457"/>
      <c r="I2588" s="455" t="s">
        <v>3</v>
      </c>
      <c r="J2588" s="455"/>
      <c r="K2588" s="455" t="s">
        <v>4</v>
      </c>
      <c r="L2588" s="455"/>
    </row>
    <row r="2589" spans="1:12" ht="12" customHeight="1" x14ac:dyDescent="0.35">
      <c r="B2589" s="451" t="s">
        <v>409</v>
      </c>
      <c r="C2589" s="451" t="s">
        <v>410</v>
      </c>
      <c r="D2589" s="452" t="s">
        <v>411</v>
      </c>
      <c r="E2589" s="451" t="s">
        <v>412</v>
      </c>
      <c r="F2589" s="451" t="s">
        <v>413</v>
      </c>
      <c r="G2589" s="77" t="s">
        <v>414</v>
      </c>
      <c r="H2589" s="77" t="s">
        <v>415</v>
      </c>
      <c r="I2589" s="78" t="s">
        <v>414</v>
      </c>
      <c r="J2589" s="79" t="s">
        <v>415</v>
      </c>
      <c r="K2589" s="79" t="s">
        <v>414</v>
      </c>
      <c r="L2589" s="79" t="s">
        <v>415</v>
      </c>
    </row>
    <row r="2590" spans="1:12" ht="12" customHeight="1" x14ac:dyDescent="0.35">
      <c r="B2590" s="451"/>
      <c r="C2590" s="451"/>
      <c r="D2590" s="453"/>
      <c r="E2590" s="451"/>
      <c r="F2590" s="451"/>
      <c r="G2590" s="77" t="s">
        <v>17</v>
      </c>
      <c r="H2590" s="77" t="s">
        <v>416</v>
      </c>
      <c r="I2590" s="78" t="s">
        <v>17</v>
      </c>
      <c r="J2590" s="79" t="s">
        <v>416</v>
      </c>
      <c r="K2590" s="79" t="s">
        <v>17</v>
      </c>
      <c r="L2590" s="79" t="s">
        <v>416</v>
      </c>
    </row>
    <row r="2591" spans="1:12" ht="12" customHeight="1" x14ac:dyDescent="0.35">
      <c r="B2591" s="451"/>
      <c r="C2591" s="451"/>
      <c r="D2591" s="454"/>
      <c r="E2591" s="451"/>
      <c r="F2591" s="451"/>
      <c r="G2591" s="106"/>
      <c r="H2591" s="77" t="s">
        <v>17</v>
      </c>
      <c r="I2591" s="94"/>
      <c r="J2591" s="79" t="s">
        <v>17</v>
      </c>
      <c r="K2591" s="85"/>
      <c r="L2591" s="79" t="s">
        <v>17</v>
      </c>
    </row>
    <row r="2592" spans="1:12" ht="12" customHeight="1" x14ac:dyDescent="0.35">
      <c r="B2592" s="80" t="s">
        <v>5</v>
      </c>
      <c r="C2592" s="81" t="s">
        <v>417</v>
      </c>
      <c r="D2592" s="82"/>
      <c r="E2592" s="82"/>
      <c r="F2592" s="82"/>
      <c r="G2592" s="82"/>
      <c r="H2592" s="82"/>
      <c r="I2592" s="83"/>
      <c r="J2592" s="83"/>
      <c r="K2592" s="83"/>
      <c r="L2592" s="83"/>
    </row>
    <row r="2593" spans="1:12" ht="12" customHeight="1" x14ac:dyDescent="0.35">
      <c r="A2593" s="134">
        <v>10130000</v>
      </c>
      <c r="B2593" s="84"/>
      <c r="C2593" s="85" t="s">
        <v>28</v>
      </c>
      <c r="D2593" s="84" t="s">
        <v>418</v>
      </c>
      <c r="E2593" s="84" t="str">
        <f>VLOOKUP(C2593,HSD!B:K,2,FALSE)</f>
        <v>OH</v>
      </c>
      <c r="F2593" s="128">
        <v>0.25</v>
      </c>
      <c r="G2593" s="87">
        <f>VLOOKUP(C2593,HSD!B:K,10,FALSE)</f>
        <v>120000</v>
      </c>
      <c r="H2593" s="87">
        <f>F2593*G2593</f>
        <v>30000</v>
      </c>
      <c r="I2593" s="87">
        <v>91500</v>
      </c>
      <c r="J2593" s="87">
        <f>F2593*I2593</f>
        <v>22875</v>
      </c>
      <c r="K2593" s="87">
        <v>91500</v>
      </c>
      <c r="L2593" s="87">
        <f>F2593*K2593</f>
        <v>22875</v>
      </c>
    </row>
    <row r="2594" spans="1:12" ht="12" customHeight="1" x14ac:dyDescent="0.35">
      <c r="A2594" s="134">
        <v>10143000</v>
      </c>
      <c r="B2594" s="84"/>
      <c r="C2594" s="85" t="s">
        <v>435</v>
      </c>
      <c r="D2594" s="84" t="s">
        <v>418</v>
      </c>
      <c r="E2594" s="84" t="str">
        <f>VLOOKUP(C2594,HSD!B:K,2,FALSE)</f>
        <v>OH</v>
      </c>
      <c r="F2594" s="128">
        <v>0.11</v>
      </c>
      <c r="G2594" s="87">
        <f>VLOOKUP(C2594,HSD!B:K,10,FALSE)</f>
        <v>250000</v>
      </c>
      <c r="H2594" s="87">
        <f>F2594*G2594</f>
        <v>27500</v>
      </c>
      <c r="I2594" s="87"/>
      <c r="J2594" s="87"/>
      <c r="K2594" s="87"/>
      <c r="L2594" s="87"/>
    </row>
    <row r="2595" spans="1:12" ht="12" customHeight="1" x14ac:dyDescent="0.35">
      <c r="A2595" s="134">
        <v>10120000</v>
      </c>
      <c r="B2595" s="84"/>
      <c r="C2595" s="85" t="s">
        <v>27</v>
      </c>
      <c r="D2595" s="84" t="s">
        <v>418</v>
      </c>
      <c r="E2595" s="84" t="str">
        <f>VLOOKUP(C2595,HSD!B:K,2,FALSE)</f>
        <v>OH</v>
      </c>
      <c r="F2595" s="128">
        <v>0.125</v>
      </c>
      <c r="G2595" s="87">
        <f>VLOOKUP(C2595,HSD!B:K,10,FALSE)</f>
        <v>150000</v>
      </c>
      <c r="H2595" s="87">
        <f t="shared" ref="H2595:H2596" si="6">F2595*G2595</f>
        <v>18750</v>
      </c>
      <c r="I2595" s="87"/>
      <c r="J2595" s="87"/>
      <c r="K2595" s="87"/>
      <c r="L2595" s="87"/>
    </row>
    <row r="2596" spans="1:12" ht="12" customHeight="1" x14ac:dyDescent="0.35">
      <c r="A2596" s="134">
        <v>10146000</v>
      </c>
      <c r="B2596" s="84"/>
      <c r="C2596" s="85" t="s">
        <v>438</v>
      </c>
      <c r="D2596" s="84" t="s">
        <v>418</v>
      </c>
      <c r="E2596" s="84" t="str">
        <f>VLOOKUP(C2596,HSD!B:K,2,FALSE)</f>
        <v>OH</v>
      </c>
      <c r="F2596" s="128">
        <v>1.2999999999999999E-2</v>
      </c>
      <c r="G2596" s="87">
        <f>VLOOKUP(C2596,HSD!B:K,10,FALSE)</f>
        <v>250000</v>
      </c>
      <c r="H2596" s="87">
        <f t="shared" si="6"/>
        <v>3250</v>
      </c>
      <c r="I2596" s="87"/>
      <c r="J2596" s="87"/>
      <c r="K2596" s="87"/>
      <c r="L2596" s="87"/>
    </row>
    <row r="2597" spans="1:12" ht="12" customHeight="1" x14ac:dyDescent="0.35">
      <c r="A2597" s="134">
        <v>10110000</v>
      </c>
      <c r="B2597" s="84"/>
      <c r="C2597" s="85" t="s">
        <v>30</v>
      </c>
      <c r="D2597" s="84" t="s">
        <v>418</v>
      </c>
      <c r="E2597" s="84" t="str">
        <f>VLOOKUP(C2597,HSD!B:K,2,FALSE)</f>
        <v>OH</v>
      </c>
      <c r="F2597" s="128">
        <f>F2593/10</f>
        <v>2.5000000000000001E-2</v>
      </c>
      <c r="G2597" s="87">
        <f>VLOOKUP(C2597,HSD!B:K,10,FALSE)</f>
        <v>150000</v>
      </c>
      <c r="H2597" s="87">
        <f>F2597*G2597</f>
        <v>3750</v>
      </c>
      <c r="I2597" s="87">
        <v>78600</v>
      </c>
      <c r="J2597" s="87">
        <f>F2597*I2597</f>
        <v>1965</v>
      </c>
      <c r="K2597" s="87">
        <v>78600</v>
      </c>
      <c r="L2597" s="87">
        <f>F2597*K2597</f>
        <v>1965</v>
      </c>
    </row>
    <row r="2598" spans="1:12" ht="12" customHeight="1" x14ac:dyDescent="0.35">
      <c r="B2598" s="84"/>
      <c r="C2598" s="85"/>
      <c r="D2598" s="84"/>
      <c r="E2598" s="84"/>
      <c r="F2598" s="86"/>
      <c r="G2598" s="87"/>
      <c r="H2598" s="87">
        <f>F2598*G2598</f>
        <v>0</v>
      </c>
      <c r="I2598" s="87">
        <v>92500</v>
      </c>
      <c r="J2598" s="87">
        <f>F2598*I2598</f>
        <v>0</v>
      </c>
      <c r="K2598" s="87">
        <v>92500</v>
      </c>
      <c r="L2598" s="87">
        <f>F2598*K2598</f>
        <v>0</v>
      </c>
    </row>
    <row r="2599" spans="1:12" ht="12" customHeight="1" x14ac:dyDescent="0.35">
      <c r="B2599" s="84"/>
      <c r="C2599" s="85"/>
      <c r="D2599" s="84"/>
      <c r="E2599" s="84"/>
      <c r="F2599" s="86"/>
      <c r="G2599" s="87"/>
      <c r="H2599" s="87"/>
      <c r="I2599" s="87"/>
      <c r="J2599" s="87"/>
      <c r="K2599" s="87"/>
      <c r="L2599" s="87"/>
    </row>
    <row r="2600" spans="1:12" ht="12" customHeight="1" x14ac:dyDescent="0.35">
      <c r="B2600" s="84"/>
      <c r="C2600" s="88"/>
      <c r="D2600" s="79"/>
      <c r="E2600" s="79"/>
      <c r="F2600" s="89" t="s">
        <v>421</v>
      </c>
      <c r="G2600" s="101"/>
      <c r="H2600" s="87">
        <f>SUM(H2593:H2599)</f>
        <v>83250</v>
      </c>
      <c r="I2600" s="101"/>
      <c r="J2600" s="87">
        <f>SUM(J2597:J2599)</f>
        <v>1965</v>
      </c>
      <c r="K2600" s="101"/>
      <c r="L2600" s="87">
        <f>SUM(L2597:L2599)</f>
        <v>1965</v>
      </c>
    </row>
    <row r="2601" spans="1:12" ht="12" customHeight="1" x14ac:dyDescent="0.35">
      <c r="B2601" s="84" t="s">
        <v>6</v>
      </c>
      <c r="C2601" s="88" t="s">
        <v>422</v>
      </c>
      <c r="D2601" s="79"/>
      <c r="E2601" s="79"/>
      <c r="F2601" s="90"/>
      <c r="G2601" s="84"/>
      <c r="H2601" s="87"/>
      <c r="I2601" s="84"/>
      <c r="J2601" s="87"/>
      <c r="K2601" s="84"/>
      <c r="L2601" s="87"/>
    </row>
    <row r="2602" spans="1:12" ht="26" customHeight="1" x14ac:dyDescent="0.35">
      <c r="A2602" s="134">
        <v>21912008</v>
      </c>
      <c r="B2602" s="84"/>
      <c r="C2602" s="85" t="s">
        <v>1835</v>
      </c>
      <c r="D2602" s="84" t="s">
        <v>418</v>
      </c>
      <c r="E2602" s="84" t="str">
        <f>VLOOKUP(C2602,HSD!B:K,2,FALSE)</f>
        <v>kg</v>
      </c>
      <c r="F2602" s="128">
        <v>20</v>
      </c>
      <c r="G2602" s="87">
        <f>VLOOKUP(C2602,HSD!B:K,10,FALSE)</f>
        <v>28860</v>
      </c>
      <c r="H2602" s="87">
        <f>F2602*G2602</f>
        <v>577200</v>
      </c>
      <c r="I2602" s="87">
        <v>232500</v>
      </c>
      <c r="J2602" s="87">
        <f>F2602*I2602</f>
        <v>4650000</v>
      </c>
      <c r="K2602" s="87">
        <v>270000</v>
      </c>
      <c r="L2602" s="87">
        <f>F2602*K2602</f>
        <v>5400000</v>
      </c>
    </row>
    <row r="2603" spans="1:12" ht="12" customHeight="1" x14ac:dyDescent="0.35">
      <c r="A2603" s="134" t="s">
        <v>740</v>
      </c>
      <c r="B2603" s="84"/>
      <c r="C2603" s="85" t="s">
        <v>1806</v>
      </c>
      <c r="D2603" s="84" t="s">
        <v>418</v>
      </c>
      <c r="E2603" s="84" t="str">
        <f>VLOOKUP(C2603,HSD!B:K,2,FALSE)</f>
        <v>btg</v>
      </c>
      <c r="F2603" s="128">
        <v>4</v>
      </c>
      <c r="G2603" s="87">
        <f>VLOOKUP(C2603,HSD!B:K,10,FALSE)</f>
        <v>15000</v>
      </c>
      <c r="H2603" s="87">
        <f>F2603*G2603</f>
        <v>60000</v>
      </c>
      <c r="I2603" s="87">
        <v>1060</v>
      </c>
      <c r="J2603" s="87">
        <f>F2603*I2603</f>
        <v>4240</v>
      </c>
      <c r="K2603" s="87">
        <v>1060</v>
      </c>
      <c r="L2603" s="87">
        <f>F2603*K2603</f>
        <v>4240</v>
      </c>
    </row>
    <row r="2604" spans="1:12" ht="12" customHeight="1" x14ac:dyDescent="0.35">
      <c r="A2604" s="134">
        <v>23100103</v>
      </c>
      <c r="B2604" s="84"/>
      <c r="C2604" s="85" t="s">
        <v>1871</v>
      </c>
      <c r="D2604" s="84" t="s">
        <v>418</v>
      </c>
      <c r="E2604" s="84" t="str">
        <f>VLOOKUP(C2604,HSD!B:K,2,FALSE)</f>
        <v>kg</v>
      </c>
      <c r="F2604" s="128">
        <v>0.02</v>
      </c>
      <c r="G2604" s="87">
        <f>VLOOKUP(C2604,HSD!B:K,10,FALSE)</f>
        <v>46620</v>
      </c>
      <c r="H2604" s="87">
        <f>F2604*G2604</f>
        <v>932.4</v>
      </c>
      <c r="I2604" s="87">
        <v>215000</v>
      </c>
      <c r="J2604" s="87">
        <f>F2604*I2604</f>
        <v>4300</v>
      </c>
      <c r="K2604" s="87">
        <v>250000</v>
      </c>
      <c r="L2604" s="87">
        <f>F2604*K2604</f>
        <v>5000</v>
      </c>
    </row>
    <row r="2605" spans="1:12" ht="12" customHeight="1" x14ac:dyDescent="0.35">
      <c r="B2605" s="84"/>
      <c r="C2605" s="85"/>
      <c r="D2605" s="84"/>
      <c r="E2605" s="84"/>
      <c r="F2605" s="128"/>
      <c r="G2605" s="87"/>
      <c r="H2605" s="87"/>
      <c r="I2605" s="87"/>
      <c r="J2605" s="87"/>
      <c r="K2605" s="87"/>
      <c r="L2605" s="87"/>
    </row>
    <row r="2606" spans="1:12" ht="12" customHeight="1" x14ac:dyDescent="0.35">
      <c r="B2606" s="84"/>
      <c r="C2606" s="88"/>
      <c r="D2606" s="79"/>
      <c r="E2606" s="79"/>
      <c r="F2606" s="129" t="s">
        <v>423</v>
      </c>
      <c r="G2606" s="129"/>
      <c r="H2606" s="87">
        <f>SUM(H2602:H2605)</f>
        <v>638132.4</v>
      </c>
      <c r="I2606" s="101"/>
      <c r="J2606" s="87" t="e">
        <f>SUM(#REF!)</f>
        <v>#REF!</v>
      </c>
      <c r="K2606" s="101"/>
      <c r="L2606" s="87" t="e">
        <f>SUM(#REF!)</f>
        <v>#REF!</v>
      </c>
    </row>
    <row r="2607" spans="1:12" ht="12" customHeight="1" x14ac:dyDescent="0.35">
      <c r="B2607" s="84" t="s">
        <v>7</v>
      </c>
      <c r="C2607" s="88" t="s">
        <v>424</v>
      </c>
      <c r="D2607" s="79"/>
      <c r="E2607" s="79"/>
      <c r="F2607" s="90"/>
      <c r="G2607" s="84"/>
      <c r="H2607" s="87"/>
      <c r="I2607" s="84"/>
      <c r="J2607" s="87"/>
      <c r="K2607" s="84"/>
      <c r="L2607" s="87"/>
    </row>
    <row r="2608" spans="1:12" ht="12" customHeight="1" x14ac:dyDescent="0.35">
      <c r="A2608" s="134">
        <v>31220101</v>
      </c>
      <c r="B2608" s="84"/>
      <c r="C2608" s="85" t="s">
        <v>728</v>
      </c>
      <c r="D2608" s="84" t="s">
        <v>418</v>
      </c>
      <c r="E2608" s="84" t="str">
        <f>VLOOKUP(C2608,HSD!B:K,2,FALSE)</f>
        <v>jam</v>
      </c>
      <c r="F2608" s="128">
        <v>0.05</v>
      </c>
      <c r="G2608" s="87">
        <f>VLOOKUP(C2608,HSD!B:K,10,FALSE)</f>
        <v>50000</v>
      </c>
      <c r="H2608" s="87">
        <f>F2608*G2608</f>
        <v>2500</v>
      </c>
      <c r="I2608" s="87"/>
      <c r="J2608" s="87">
        <f>H2608*I2608</f>
        <v>0</v>
      </c>
      <c r="K2608" s="87"/>
      <c r="L2608" s="87">
        <f>J2608*K2608</f>
        <v>0</v>
      </c>
    </row>
    <row r="2609" spans="1:12" ht="12" customHeight="1" x14ac:dyDescent="0.35">
      <c r="A2609" s="134">
        <v>31220105</v>
      </c>
      <c r="B2609" s="84"/>
      <c r="C2609" s="85" t="s">
        <v>729</v>
      </c>
      <c r="D2609" s="84" t="s">
        <v>418</v>
      </c>
      <c r="E2609" s="84" t="str">
        <f>VLOOKUP(C2609,HSD!B:K,2,FALSE)</f>
        <v>jam</v>
      </c>
      <c r="F2609" s="128">
        <v>0.05</v>
      </c>
      <c r="G2609" s="87">
        <f>VLOOKUP(C2609,HSD!B:K,10,FALSE)</f>
        <v>115440</v>
      </c>
      <c r="H2609" s="87">
        <f>F2609*G2609</f>
        <v>5772</v>
      </c>
      <c r="I2609" s="87"/>
      <c r="J2609" s="87"/>
      <c r="K2609" s="87"/>
      <c r="L2609" s="87"/>
    </row>
    <row r="2610" spans="1:12" ht="12" customHeight="1" x14ac:dyDescent="0.35">
      <c r="B2610" s="84"/>
      <c r="C2610" s="85"/>
      <c r="D2610" s="84"/>
      <c r="E2610" s="84"/>
      <c r="F2610" s="128"/>
      <c r="G2610" s="87"/>
      <c r="H2610" s="87">
        <f>F2610*G2610</f>
        <v>0</v>
      </c>
      <c r="I2610" s="87"/>
      <c r="J2610" s="87"/>
      <c r="K2610" s="87"/>
      <c r="L2610" s="87"/>
    </row>
    <row r="2611" spans="1:12" ht="12" customHeight="1" x14ac:dyDescent="0.35">
      <c r="B2611" s="84"/>
      <c r="C2611" s="88"/>
      <c r="D2611" s="79"/>
      <c r="E2611" s="79"/>
      <c r="F2611" s="89" t="s">
        <v>425</v>
      </c>
      <c r="G2611" s="101"/>
      <c r="H2611" s="87">
        <f>SUM(H2608:H2610)</f>
        <v>8272</v>
      </c>
      <c r="I2611" s="101"/>
      <c r="J2611" s="87">
        <f>SUM(J2608)</f>
        <v>0</v>
      </c>
      <c r="K2611" s="101"/>
      <c r="L2611" s="87">
        <f>SUM(L2608)</f>
        <v>0</v>
      </c>
    </row>
    <row r="2612" spans="1:12" ht="12" customHeight="1" x14ac:dyDescent="0.35">
      <c r="B2612" s="84" t="s">
        <v>8</v>
      </c>
      <c r="C2612" s="103" t="s">
        <v>426</v>
      </c>
      <c r="D2612" s="104"/>
      <c r="E2612" s="104"/>
      <c r="F2612" s="104"/>
      <c r="G2612" s="105"/>
      <c r="H2612" s="87">
        <f>H2600+H2606+H2611</f>
        <v>729654.4</v>
      </c>
      <c r="I2612" s="105"/>
      <c r="J2612" s="87" t="e">
        <f>J2600+J2606+J2611</f>
        <v>#REF!</v>
      </c>
      <c r="K2612" s="105"/>
      <c r="L2612" s="87" t="e">
        <f>L2600+L2606+L2611</f>
        <v>#REF!</v>
      </c>
    </row>
    <row r="2613" spans="1:12" ht="12" customHeight="1" x14ac:dyDescent="0.35">
      <c r="B2613" s="84" t="s">
        <v>9</v>
      </c>
      <c r="C2613" s="455" t="s">
        <v>427</v>
      </c>
      <c r="D2613" s="455"/>
      <c r="E2613" s="455"/>
      <c r="F2613" s="95">
        <f>0</f>
        <v>0</v>
      </c>
      <c r="G2613" s="85" t="s">
        <v>428</v>
      </c>
      <c r="H2613" s="87">
        <f>H2612*F2613</f>
        <v>0</v>
      </c>
      <c r="I2613" s="85" t="s">
        <v>428</v>
      </c>
      <c r="J2613" s="87" t="e">
        <f>J2612*F2613</f>
        <v>#REF!</v>
      </c>
      <c r="K2613" s="85" t="s">
        <v>428</v>
      </c>
      <c r="L2613" s="87" t="e">
        <f>L2612*F2613</f>
        <v>#REF!</v>
      </c>
    </row>
    <row r="2614" spans="1:12" ht="12" customHeight="1" x14ac:dyDescent="0.35">
      <c r="B2614" s="84" t="s">
        <v>10</v>
      </c>
      <c r="C2614" s="103" t="s">
        <v>429</v>
      </c>
      <c r="D2614" s="104"/>
      <c r="E2614" s="104"/>
      <c r="F2614" s="104"/>
      <c r="G2614" s="105"/>
      <c r="H2614" s="96">
        <f>H2612+H2613</f>
        <v>729654.4</v>
      </c>
      <c r="I2614" s="97"/>
      <c r="J2614" s="96" t="e">
        <f>J2612+J2613</f>
        <v>#REF!</v>
      </c>
      <c r="K2614" s="97"/>
      <c r="L2614" s="96" t="e">
        <f>L2612+L2613</f>
        <v>#REF!</v>
      </c>
    </row>
    <row r="2615" spans="1:12" ht="14" customHeight="1" x14ac:dyDescent="0.35"/>
    <row r="2616" spans="1:12" ht="37" customHeight="1" x14ac:dyDescent="0.35">
      <c r="B2616" s="76" t="s">
        <v>742</v>
      </c>
      <c r="C2616" s="458" t="s">
        <v>743</v>
      </c>
      <c r="D2616" s="459"/>
      <c r="E2616" s="459"/>
      <c r="F2616" s="459"/>
      <c r="G2616" s="456"/>
      <c r="H2616" s="457"/>
      <c r="I2616" s="455" t="s">
        <v>3</v>
      </c>
      <c r="J2616" s="455"/>
      <c r="K2616" s="455" t="s">
        <v>4</v>
      </c>
      <c r="L2616" s="455"/>
    </row>
    <row r="2617" spans="1:12" ht="12" customHeight="1" x14ac:dyDescent="0.35">
      <c r="B2617" s="451" t="s">
        <v>409</v>
      </c>
      <c r="C2617" s="451" t="s">
        <v>410</v>
      </c>
      <c r="D2617" s="452" t="s">
        <v>411</v>
      </c>
      <c r="E2617" s="451" t="s">
        <v>412</v>
      </c>
      <c r="F2617" s="451" t="s">
        <v>413</v>
      </c>
      <c r="G2617" s="77" t="s">
        <v>414</v>
      </c>
      <c r="H2617" s="77" t="s">
        <v>415</v>
      </c>
      <c r="I2617" s="78" t="s">
        <v>414</v>
      </c>
      <c r="J2617" s="79" t="s">
        <v>415</v>
      </c>
      <c r="K2617" s="79" t="s">
        <v>414</v>
      </c>
      <c r="L2617" s="79" t="s">
        <v>415</v>
      </c>
    </row>
    <row r="2618" spans="1:12" ht="12" customHeight="1" x14ac:dyDescent="0.35">
      <c r="B2618" s="451"/>
      <c r="C2618" s="451"/>
      <c r="D2618" s="453"/>
      <c r="E2618" s="451"/>
      <c r="F2618" s="451"/>
      <c r="G2618" s="77" t="s">
        <v>17</v>
      </c>
      <c r="H2618" s="77" t="s">
        <v>416</v>
      </c>
      <c r="I2618" s="78" t="s">
        <v>17</v>
      </c>
      <c r="J2618" s="79" t="s">
        <v>416</v>
      </c>
      <c r="K2618" s="79" t="s">
        <v>17</v>
      </c>
      <c r="L2618" s="79" t="s">
        <v>416</v>
      </c>
    </row>
    <row r="2619" spans="1:12" ht="12" customHeight="1" x14ac:dyDescent="0.35">
      <c r="B2619" s="451"/>
      <c r="C2619" s="451"/>
      <c r="D2619" s="454"/>
      <c r="E2619" s="451"/>
      <c r="F2619" s="451"/>
      <c r="G2619" s="106"/>
      <c r="H2619" s="77" t="s">
        <v>17</v>
      </c>
      <c r="I2619" s="94"/>
      <c r="J2619" s="79" t="s">
        <v>17</v>
      </c>
      <c r="K2619" s="85"/>
      <c r="L2619" s="79" t="s">
        <v>17</v>
      </c>
    </row>
    <row r="2620" spans="1:12" ht="12" customHeight="1" x14ac:dyDescent="0.35">
      <c r="B2620" s="80" t="s">
        <v>5</v>
      </c>
      <c r="C2620" s="81" t="s">
        <v>417</v>
      </c>
      <c r="D2620" s="82"/>
      <c r="E2620" s="82"/>
      <c r="F2620" s="82"/>
      <c r="G2620" s="82"/>
      <c r="H2620" s="82"/>
      <c r="I2620" s="83"/>
      <c r="J2620" s="83"/>
      <c r="K2620" s="83"/>
      <c r="L2620" s="83"/>
    </row>
    <row r="2621" spans="1:12" ht="12" customHeight="1" x14ac:dyDescent="0.35">
      <c r="A2621" s="134">
        <v>10130000</v>
      </c>
      <c r="B2621" s="84"/>
      <c r="C2621" s="85" t="s">
        <v>28</v>
      </c>
      <c r="D2621" s="84" t="s">
        <v>418</v>
      </c>
      <c r="E2621" s="84" t="str">
        <f>VLOOKUP(C2621,HSD!B:K,2,FALSE)</f>
        <v>OH</v>
      </c>
      <c r="F2621" s="128">
        <v>0.25</v>
      </c>
      <c r="G2621" s="87">
        <f>VLOOKUP(C2621,HSD!B:K,10,FALSE)</f>
        <v>120000</v>
      </c>
      <c r="H2621" s="87">
        <f>F2621*G2621</f>
        <v>30000</v>
      </c>
      <c r="I2621" s="87">
        <v>91500</v>
      </c>
      <c r="J2621" s="87">
        <f>F2621*I2621</f>
        <v>22875</v>
      </c>
      <c r="K2621" s="87">
        <v>91500</v>
      </c>
      <c r="L2621" s="87">
        <f>F2621*K2621</f>
        <v>22875</v>
      </c>
    </row>
    <row r="2622" spans="1:12" ht="12" customHeight="1" x14ac:dyDescent="0.35">
      <c r="A2622" s="134">
        <v>10110000</v>
      </c>
      <c r="B2622" s="84"/>
      <c r="C2622" s="85" t="s">
        <v>30</v>
      </c>
      <c r="D2622" s="84" t="s">
        <v>418</v>
      </c>
      <c r="E2622" s="84" t="str">
        <f>VLOOKUP(C2622,HSD!B:K,2,FALSE)</f>
        <v>OH</v>
      </c>
      <c r="F2622" s="128">
        <v>2.5000000000000001E-2</v>
      </c>
      <c r="G2622" s="87">
        <f>VLOOKUP(C2622,HSD!B:K,10,FALSE)</f>
        <v>150000</v>
      </c>
      <c r="H2622" s="87">
        <f>F2622*G2622</f>
        <v>3750</v>
      </c>
      <c r="I2622" s="87"/>
      <c r="J2622" s="87"/>
      <c r="K2622" s="87"/>
      <c r="L2622" s="87"/>
    </row>
    <row r="2623" spans="1:12" ht="12" customHeight="1" x14ac:dyDescent="0.35">
      <c r="A2623" s="134">
        <v>11200003</v>
      </c>
      <c r="B2623" s="84"/>
      <c r="C2623" s="85" t="s">
        <v>747</v>
      </c>
      <c r="D2623" s="84" t="s">
        <v>418</v>
      </c>
      <c r="E2623" s="84" t="str">
        <f>VLOOKUP(C2623,HSD!B:K,2,FALSE)</f>
        <v>OH</v>
      </c>
      <c r="F2623" s="128">
        <v>2.5000000000000001E-2</v>
      </c>
      <c r="G2623" s="87">
        <f>VLOOKUP(C2623,HSD!B:K,10,FALSE)</f>
        <v>450000</v>
      </c>
      <c r="H2623" s="87">
        <f t="shared" ref="H2623" si="7">F2623*G2623</f>
        <v>11250</v>
      </c>
      <c r="I2623" s="87"/>
      <c r="J2623" s="87"/>
      <c r="K2623" s="87"/>
      <c r="L2623" s="87"/>
    </row>
    <row r="2624" spans="1:12" ht="12" customHeight="1" x14ac:dyDescent="0.35">
      <c r="B2624" s="84"/>
      <c r="C2624" s="85"/>
      <c r="D2624" s="84"/>
      <c r="E2624" s="84"/>
      <c r="F2624" s="86"/>
      <c r="G2624" s="87"/>
      <c r="H2624" s="87">
        <f>F2624*G2624</f>
        <v>0</v>
      </c>
      <c r="I2624" s="87">
        <v>92500</v>
      </c>
      <c r="J2624" s="87">
        <f>F2624*I2624</f>
        <v>0</v>
      </c>
      <c r="K2624" s="87">
        <v>92500</v>
      </c>
      <c r="L2624" s="87">
        <f>F2624*K2624</f>
        <v>0</v>
      </c>
    </row>
    <row r="2625" spans="1:12" ht="12" customHeight="1" x14ac:dyDescent="0.35">
      <c r="B2625" s="84"/>
      <c r="C2625" s="85"/>
      <c r="D2625" s="84"/>
      <c r="E2625" s="84"/>
      <c r="F2625" s="86"/>
      <c r="G2625" s="87"/>
      <c r="H2625" s="87"/>
      <c r="I2625" s="87"/>
      <c r="J2625" s="87"/>
      <c r="K2625" s="87"/>
      <c r="L2625" s="87"/>
    </row>
    <row r="2626" spans="1:12" ht="12" customHeight="1" x14ac:dyDescent="0.35">
      <c r="B2626" s="84"/>
      <c r="C2626" s="88"/>
      <c r="D2626" s="79"/>
      <c r="E2626" s="79"/>
      <c r="F2626" s="89" t="s">
        <v>421</v>
      </c>
      <c r="G2626" s="101"/>
      <c r="H2626" s="87">
        <f>SUM(H2621:H2625)</f>
        <v>45000</v>
      </c>
      <c r="I2626" s="101"/>
      <c r="J2626" s="87">
        <f>SUM(J2624:J2625)</f>
        <v>0</v>
      </c>
      <c r="K2626" s="101"/>
      <c r="L2626" s="87">
        <f>SUM(L2624:L2625)</f>
        <v>0</v>
      </c>
    </row>
    <row r="2627" spans="1:12" ht="12" customHeight="1" x14ac:dyDescent="0.35">
      <c r="B2627" s="84" t="s">
        <v>6</v>
      </c>
      <c r="C2627" s="88" t="s">
        <v>422</v>
      </c>
      <c r="D2627" s="79"/>
      <c r="E2627" s="79"/>
      <c r="F2627" s="90"/>
      <c r="G2627" s="84"/>
      <c r="H2627" s="87"/>
      <c r="I2627" s="84"/>
      <c r="J2627" s="87"/>
      <c r="K2627" s="84"/>
      <c r="L2627" s="87"/>
    </row>
    <row r="2628" spans="1:12" ht="26" customHeight="1" x14ac:dyDescent="0.35">
      <c r="A2628" s="134">
        <v>21912008</v>
      </c>
      <c r="B2628" s="84"/>
      <c r="C2628" s="85" t="s">
        <v>1835</v>
      </c>
      <c r="D2628" s="84" t="s">
        <v>418</v>
      </c>
      <c r="E2628" s="84" t="str">
        <f>VLOOKUP(C2628,HSD!B:K,2,FALSE)</f>
        <v>kg</v>
      </c>
      <c r="F2628" s="128">
        <v>4</v>
      </c>
      <c r="G2628" s="87">
        <f>VLOOKUP(C2628,HSD!B:K,10,FALSE)</f>
        <v>28860</v>
      </c>
      <c r="H2628" s="87">
        <f>F2628*G2628</f>
        <v>115440</v>
      </c>
      <c r="I2628" s="87">
        <v>232500</v>
      </c>
      <c r="J2628" s="87">
        <f>F2628*I2628</f>
        <v>930000</v>
      </c>
      <c r="K2628" s="87">
        <v>270000</v>
      </c>
      <c r="L2628" s="87">
        <f>F2628*K2628</f>
        <v>1080000</v>
      </c>
    </row>
    <row r="2629" spans="1:12" ht="12" customHeight="1" x14ac:dyDescent="0.35">
      <c r="A2629" s="134">
        <v>21904003</v>
      </c>
      <c r="B2629" s="84"/>
      <c r="C2629" s="85" t="s">
        <v>1806</v>
      </c>
      <c r="D2629" s="84" t="s">
        <v>418</v>
      </c>
      <c r="E2629" s="84" t="str">
        <f>VLOOKUP(C2629,HSD!B:K,2,FALSE)</f>
        <v>btg</v>
      </c>
      <c r="F2629" s="128">
        <v>5.5</v>
      </c>
      <c r="G2629" s="87">
        <f>VLOOKUP(C2629,HSD!B:K,10,FALSE)</f>
        <v>15000</v>
      </c>
      <c r="H2629" s="87">
        <f>F2629*G2629</f>
        <v>82500</v>
      </c>
      <c r="I2629" s="87">
        <v>1060</v>
      </c>
      <c r="J2629" s="87">
        <f>F2629*I2629</f>
        <v>5830</v>
      </c>
      <c r="K2629" s="87">
        <v>1060</v>
      </c>
      <c r="L2629" s="87">
        <f>F2629*K2629</f>
        <v>5830</v>
      </c>
    </row>
    <row r="2630" spans="1:12" ht="12" customHeight="1" x14ac:dyDescent="0.35">
      <c r="A2630" s="134">
        <v>91112013</v>
      </c>
      <c r="B2630" s="84"/>
      <c r="C2630" s="85" t="s">
        <v>1909</v>
      </c>
      <c r="D2630" s="84" t="s">
        <v>418</v>
      </c>
      <c r="E2630" s="84" t="str">
        <f>VLOOKUP(C2630,HSD!B:K,2,FALSE)</f>
        <v>m3</v>
      </c>
      <c r="F2630" s="128">
        <v>0.09</v>
      </c>
      <c r="G2630" s="87">
        <f>VLOOKUP(C2630,HSD!B:K,10,FALSE)</f>
        <v>1408994.28</v>
      </c>
      <c r="H2630" s="87">
        <f>F2630*G2630</f>
        <v>126809.4852</v>
      </c>
      <c r="I2630" s="87">
        <v>215000</v>
      </c>
      <c r="J2630" s="87">
        <f>F2630*I2630</f>
        <v>19350</v>
      </c>
      <c r="K2630" s="87">
        <v>250000</v>
      </c>
      <c r="L2630" s="87">
        <f>F2630*K2630</f>
        <v>22500</v>
      </c>
    </row>
    <row r="2631" spans="1:12" ht="12" customHeight="1" x14ac:dyDescent="0.35">
      <c r="A2631" s="134">
        <v>21904004</v>
      </c>
      <c r="B2631" s="84"/>
      <c r="C2631" s="85" t="s">
        <v>1809</v>
      </c>
      <c r="D2631" s="84" t="s">
        <v>418</v>
      </c>
      <c r="E2631" s="84" t="str">
        <f>VLOOKUP(C2631,HSD!B:K,2,FALSE)</f>
        <v>kg</v>
      </c>
      <c r="F2631" s="128">
        <v>0.09</v>
      </c>
      <c r="G2631" s="87">
        <f>VLOOKUP(C2631,HSD!B:K,10,FALSE)</f>
        <v>32190</v>
      </c>
      <c r="H2631" s="87">
        <f>F2631*G2631</f>
        <v>2897.1</v>
      </c>
      <c r="I2631" s="87"/>
      <c r="J2631" s="87"/>
      <c r="K2631" s="87"/>
      <c r="L2631" s="87"/>
    </row>
    <row r="2632" spans="1:12" ht="12" customHeight="1" x14ac:dyDescent="0.35">
      <c r="A2632" s="134">
        <v>21920001</v>
      </c>
      <c r="B2632" s="84"/>
      <c r="C2632" s="85" t="s">
        <v>759</v>
      </c>
      <c r="D2632" s="84" t="s">
        <v>418</v>
      </c>
      <c r="E2632" s="84" t="str">
        <f>VLOOKUP(C2632,HSD!B:K,2,FALSE)</f>
        <v>unit</v>
      </c>
      <c r="F2632" s="128">
        <v>1</v>
      </c>
      <c r="G2632" s="87">
        <f>VLOOKUP(C2632,HSD!B:K,10,FALSE)</f>
        <v>250000</v>
      </c>
      <c r="H2632" s="87">
        <f>F2632*G2632</f>
        <v>250000</v>
      </c>
      <c r="I2632" s="87"/>
      <c r="J2632" s="87"/>
      <c r="K2632" s="87"/>
      <c r="L2632" s="87"/>
    </row>
    <row r="2633" spans="1:12" ht="12" customHeight="1" x14ac:dyDescent="0.35">
      <c r="B2633" s="84"/>
      <c r="C2633" s="85"/>
      <c r="D2633" s="84"/>
      <c r="E2633" s="84"/>
      <c r="F2633" s="128"/>
      <c r="G2633" s="87"/>
      <c r="H2633" s="87"/>
      <c r="I2633" s="87"/>
      <c r="J2633" s="87"/>
      <c r="K2633" s="87"/>
      <c r="L2633" s="87"/>
    </row>
    <row r="2634" spans="1:12" ht="12" customHeight="1" x14ac:dyDescent="0.35">
      <c r="B2634" s="84"/>
      <c r="C2634" s="88"/>
      <c r="D2634" s="79"/>
      <c r="E2634" s="79"/>
      <c r="F2634" s="129" t="s">
        <v>423</v>
      </c>
      <c r="G2634" s="129"/>
      <c r="H2634" s="87">
        <f>SUM(H2628:H2633)</f>
        <v>577646.58519999997</v>
      </c>
      <c r="I2634" s="101"/>
      <c r="J2634" s="87" t="e">
        <f>SUM(#REF!)</f>
        <v>#REF!</v>
      </c>
      <c r="K2634" s="101"/>
      <c r="L2634" s="87" t="e">
        <f>SUM(#REF!)</f>
        <v>#REF!</v>
      </c>
    </row>
    <row r="2635" spans="1:12" ht="12" customHeight="1" x14ac:dyDescent="0.35">
      <c r="B2635" s="84" t="s">
        <v>7</v>
      </c>
      <c r="C2635" s="88" t="s">
        <v>424</v>
      </c>
      <c r="D2635" s="79"/>
      <c r="E2635" s="79"/>
      <c r="F2635" s="90"/>
      <c r="G2635" s="84"/>
      <c r="H2635" s="87"/>
      <c r="I2635" s="84"/>
      <c r="J2635" s="87"/>
      <c r="K2635" s="84"/>
      <c r="L2635" s="87"/>
    </row>
    <row r="2636" spans="1:12" ht="12" customHeight="1" x14ac:dyDescent="0.35">
      <c r="B2636" s="84"/>
      <c r="C2636" s="85"/>
      <c r="D2636" s="84"/>
      <c r="E2636" s="84"/>
      <c r="F2636" s="128"/>
      <c r="G2636" s="87"/>
      <c r="H2636" s="87">
        <f>F2636*G2636</f>
        <v>0</v>
      </c>
      <c r="I2636" s="87"/>
      <c r="J2636" s="87">
        <f>H2636*I2636</f>
        <v>0</v>
      </c>
      <c r="K2636" s="87"/>
      <c r="L2636" s="87">
        <f>J2636*K2636</f>
        <v>0</v>
      </c>
    </row>
    <row r="2637" spans="1:12" ht="12" customHeight="1" x14ac:dyDescent="0.35">
      <c r="B2637" s="84"/>
      <c r="C2637" s="85"/>
      <c r="D2637" s="84"/>
      <c r="E2637" s="84"/>
      <c r="F2637" s="128"/>
      <c r="G2637" s="87"/>
      <c r="H2637" s="87">
        <f>F2637*G2637</f>
        <v>0</v>
      </c>
      <c r="I2637" s="87"/>
      <c r="J2637" s="87"/>
      <c r="K2637" s="87"/>
      <c r="L2637" s="87"/>
    </row>
    <row r="2638" spans="1:12" ht="12" customHeight="1" x14ac:dyDescent="0.35">
      <c r="B2638" s="84"/>
      <c r="C2638" s="85"/>
      <c r="D2638" s="84"/>
      <c r="E2638" s="84"/>
      <c r="F2638" s="128"/>
      <c r="G2638" s="87"/>
      <c r="H2638" s="87">
        <f>F2638*G2638</f>
        <v>0</v>
      </c>
      <c r="I2638" s="87"/>
      <c r="J2638" s="87"/>
      <c r="K2638" s="87"/>
      <c r="L2638" s="87"/>
    </row>
    <row r="2639" spans="1:12" ht="12" customHeight="1" x14ac:dyDescent="0.35">
      <c r="B2639" s="84"/>
      <c r="C2639" s="88"/>
      <c r="D2639" s="79"/>
      <c r="E2639" s="79"/>
      <c r="F2639" s="89" t="s">
        <v>425</v>
      </c>
      <c r="G2639" s="101"/>
      <c r="H2639" s="87">
        <f>SUM(H2636:H2638)</f>
        <v>0</v>
      </c>
      <c r="I2639" s="101"/>
      <c r="J2639" s="87">
        <f>SUM(J2636)</f>
        <v>0</v>
      </c>
      <c r="K2639" s="101"/>
      <c r="L2639" s="87">
        <f>SUM(L2636)</f>
        <v>0</v>
      </c>
    </row>
    <row r="2640" spans="1:12" ht="12" customHeight="1" x14ac:dyDescent="0.35">
      <c r="B2640" s="84" t="s">
        <v>8</v>
      </c>
      <c r="C2640" s="103" t="s">
        <v>426</v>
      </c>
      <c r="D2640" s="104"/>
      <c r="E2640" s="104"/>
      <c r="F2640" s="104"/>
      <c r="G2640" s="105"/>
      <c r="H2640" s="87">
        <f>H2626+H2634+H2639</f>
        <v>622646.58519999997</v>
      </c>
      <c r="I2640" s="105"/>
      <c r="J2640" s="87" t="e">
        <f>J2626+J2634+J2639</f>
        <v>#REF!</v>
      </c>
      <c r="K2640" s="105"/>
      <c r="L2640" s="87" t="e">
        <f>L2626+L2634+L2639</f>
        <v>#REF!</v>
      </c>
    </row>
    <row r="2641" spans="1:12" ht="12" customHeight="1" x14ac:dyDescent="0.35">
      <c r="B2641" s="84" t="s">
        <v>9</v>
      </c>
      <c r="C2641" s="455" t="s">
        <v>427</v>
      </c>
      <c r="D2641" s="455"/>
      <c r="E2641" s="455"/>
      <c r="F2641" s="95">
        <f>0</f>
        <v>0</v>
      </c>
      <c r="G2641" s="85" t="s">
        <v>428</v>
      </c>
      <c r="H2641" s="87">
        <f>H2640*F2641</f>
        <v>0</v>
      </c>
      <c r="I2641" s="85" t="s">
        <v>428</v>
      </c>
      <c r="J2641" s="87" t="e">
        <f>J2640*F2641</f>
        <v>#REF!</v>
      </c>
      <c r="K2641" s="85" t="s">
        <v>428</v>
      </c>
      <c r="L2641" s="87" t="e">
        <f>L2640*F2641</f>
        <v>#REF!</v>
      </c>
    </row>
    <row r="2642" spans="1:12" ht="12" customHeight="1" x14ac:dyDescent="0.35">
      <c r="B2642" s="84" t="s">
        <v>10</v>
      </c>
      <c r="C2642" s="103" t="s">
        <v>429</v>
      </c>
      <c r="D2642" s="104"/>
      <c r="E2642" s="104"/>
      <c r="F2642" s="104"/>
      <c r="G2642" s="105"/>
      <c r="H2642" s="96">
        <f>H2640+H2641</f>
        <v>622646.58519999997</v>
      </c>
      <c r="I2642" s="97"/>
      <c r="J2642" s="96" t="e">
        <f>J2640+J2641</f>
        <v>#REF!</v>
      </c>
      <c r="K2642" s="97"/>
      <c r="L2642" s="96" t="e">
        <f>L2640+L2641</f>
        <v>#REF!</v>
      </c>
    </row>
    <row r="2643" spans="1:12" ht="14" customHeight="1" x14ac:dyDescent="0.35"/>
    <row r="2644" spans="1:12" ht="37" customHeight="1" x14ac:dyDescent="0.35">
      <c r="B2644" s="76" t="s">
        <v>761</v>
      </c>
      <c r="C2644" s="458" t="s">
        <v>762</v>
      </c>
      <c r="D2644" s="459"/>
      <c r="E2644" s="459"/>
      <c r="F2644" s="459"/>
      <c r="G2644" s="456"/>
      <c r="H2644" s="457"/>
      <c r="I2644" s="455" t="s">
        <v>3</v>
      </c>
      <c r="J2644" s="455"/>
      <c r="K2644" s="455" t="s">
        <v>4</v>
      </c>
      <c r="L2644" s="455"/>
    </row>
    <row r="2645" spans="1:12" ht="12" customHeight="1" x14ac:dyDescent="0.35">
      <c r="B2645" s="451" t="s">
        <v>409</v>
      </c>
      <c r="C2645" s="451" t="s">
        <v>410</v>
      </c>
      <c r="D2645" s="452" t="s">
        <v>411</v>
      </c>
      <c r="E2645" s="451" t="s">
        <v>412</v>
      </c>
      <c r="F2645" s="451" t="s">
        <v>413</v>
      </c>
      <c r="G2645" s="77" t="s">
        <v>414</v>
      </c>
      <c r="H2645" s="77" t="s">
        <v>415</v>
      </c>
      <c r="I2645" s="78" t="s">
        <v>414</v>
      </c>
      <c r="J2645" s="79" t="s">
        <v>415</v>
      </c>
      <c r="K2645" s="79" t="s">
        <v>414</v>
      </c>
      <c r="L2645" s="79" t="s">
        <v>415</v>
      </c>
    </row>
    <row r="2646" spans="1:12" ht="12" customHeight="1" x14ac:dyDescent="0.35">
      <c r="B2646" s="451"/>
      <c r="C2646" s="451"/>
      <c r="D2646" s="453"/>
      <c r="E2646" s="451"/>
      <c r="F2646" s="451"/>
      <c r="G2646" s="77" t="s">
        <v>17</v>
      </c>
      <c r="H2646" s="77" t="s">
        <v>416</v>
      </c>
      <c r="I2646" s="78" t="s">
        <v>17</v>
      </c>
      <c r="J2646" s="79" t="s">
        <v>416</v>
      </c>
      <c r="K2646" s="79" t="s">
        <v>17</v>
      </c>
      <c r="L2646" s="79" t="s">
        <v>416</v>
      </c>
    </row>
    <row r="2647" spans="1:12" ht="12" customHeight="1" x14ac:dyDescent="0.35">
      <c r="B2647" s="451"/>
      <c r="C2647" s="451"/>
      <c r="D2647" s="454"/>
      <c r="E2647" s="451"/>
      <c r="F2647" s="451"/>
      <c r="G2647" s="106"/>
      <c r="H2647" s="77" t="s">
        <v>17</v>
      </c>
      <c r="I2647" s="94"/>
      <c r="J2647" s="79" t="s">
        <v>17</v>
      </c>
      <c r="K2647" s="85"/>
      <c r="L2647" s="79" t="s">
        <v>17</v>
      </c>
    </row>
    <row r="2648" spans="1:12" ht="12" customHeight="1" x14ac:dyDescent="0.35">
      <c r="B2648" s="80" t="s">
        <v>5</v>
      </c>
      <c r="C2648" s="81" t="s">
        <v>417</v>
      </c>
      <c r="D2648" s="82"/>
      <c r="E2648" s="82"/>
      <c r="F2648" s="82"/>
      <c r="G2648" s="82"/>
      <c r="H2648" s="82"/>
      <c r="I2648" s="83"/>
      <c r="J2648" s="83"/>
      <c r="K2648" s="83"/>
      <c r="L2648" s="83"/>
    </row>
    <row r="2649" spans="1:12" ht="12" customHeight="1" x14ac:dyDescent="0.35">
      <c r="A2649" s="134">
        <v>10130000</v>
      </c>
      <c r="B2649" s="84"/>
      <c r="C2649" s="85" t="s">
        <v>28</v>
      </c>
      <c r="D2649" s="84" t="s">
        <v>418</v>
      </c>
      <c r="E2649" s="84" t="str">
        <f>VLOOKUP(C2649,HSD!B:K,2,FALSE)</f>
        <v>OH</v>
      </c>
      <c r="F2649" s="128">
        <v>0.1</v>
      </c>
      <c r="G2649" s="87">
        <f>VLOOKUP(C2649,HSD!B:K,10,FALSE)</f>
        <v>120000</v>
      </c>
      <c r="H2649" s="87">
        <f>F2649*G2649</f>
        <v>12000</v>
      </c>
      <c r="I2649" s="87">
        <v>91500</v>
      </c>
      <c r="J2649" s="87">
        <f>F2649*I2649</f>
        <v>9150</v>
      </c>
      <c r="K2649" s="87">
        <v>91500</v>
      </c>
      <c r="L2649" s="87">
        <f>F2649*K2649</f>
        <v>9150</v>
      </c>
    </row>
    <row r="2650" spans="1:12" ht="12" customHeight="1" x14ac:dyDescent="0.35">
      <c r="A2650" s="134">
        <v>10130000</v>
      </c>
      <c r="B2650" s="84"/>
      <c r="C2650" s="85" t="s">
        <v>28</v>
      </c>
      <c r="D2650" s="84" t="s">
        <v>418</v>
      </c>
      <c r="E2650" s="84" t="str">
        <f>VLOOKUP(C2650,HSD!B:K,2,FALSE)</f>
        <v>OH</v>
      </c>
      <c r="F2650" s="128">
        <v>0.01</v>
      </c>
      <c r="G2650" s="87">
        <f>VLOOKUP(C2650,HSD!B:K,10,FALSE)</f>
        <v>120000</v>
      </c>
      <c r="H2650" s="87">
        <f>F2650*G2650</f>
        <v>1200</v>
      </c>
      <c r="I2650" s="87"/>
      <c r="J2650" s="87"/>
      <c r="K2650" s="87"/>
      <c r="L2650" s="87"/>
    </row>
    <row r="2651" spans="1:12" ht="12" customHeight="1" x14ac:dyDescent="0.35">
      <c r="A2651" s="134">
        <v>10110000</v>
      </c>
      <c r="B2651" s="84"/>
      <c r="C2651" s="85" t="s">
        <v>30</v>
      </c>
      <c r="D2651" s="84" t="s">
        <v>418</v>
      </c>
      <c r="E2651" s="84" t="str">
        <f>VLOOKUP(C2651,HSD!B:K,2,FALSE)</f>
        <v>OH</v>
      </c>
      <c r="F2651" s="128">
        <v>1E-3</v>
      </c>
      <c r="G2651" s="87">
        <f>VLOOKUP(C2651,HSD!B:K,10,FALSE)</f>
        <v>150000</v>
      </c>
      <c r="H2651" s="87">
        <f>F2651*G2651</f>
        <v>150</v>
      </c>
      <c r="I2651" s="87"/>
      <c r="J2651" s="87"/>
      <c r="K2651" s="87"/>
      <c r="L2651" s="87"/>
    </row>
    <row r="2652" spans="1:12" ht="12" customHeight="1" x14ac:dyDescent="0.35">
      <c r="B2652" s="84"/>
      <c r="C2652" s="85"/>
      <c r="D2652" s="84"/>
      <c r="E2652" s="84"/>
      <c r="F2652" s="86"/>
      <c r="G2652" s="87"/>
      <c r="H2652" s="87">
        <f>F2652*G2652</f>
        <v>0</v>
      </c>
      <c r="I2652" s="87">
        <v>92500</v>
      </c>
      <c r="J2652" s="87">
        <f>F2652*I2652</f>
        <v>0</v>
      </c>
      <c r="K2652" s="87">
        <v>92500</v>
      </c>
      <c r="L2652" s="87">
        <f>F2652*K2652</f>
        <v>0</v>
      </c>
    </row>
    <row r="2653" spans="1:12" ht="12" customHeight="1" x14ac:dyDescent="0.35">
      <c r="B2653" s="84"/>
      <c r="C2653" s="85"/>
      <c r="D2653" s="84"/>
      <c r="E2653" s="84"/>
      <c r="F2653" s="86"/>
      <c r="G2653" s="87"/>
      <c r="H2653" s="87"/>
      <c r="I2653" s="87"/>
      <c r="J2653" s="87"/>
      <c r="K2653" s="87"/>
      <c r="L2653" s="87"/>
    </row>
    <row r="2654" spans="1:12" ht="12" customHeight="1" x14ac:dyDescent="0.35">
      <c r="B2654" s="84"/>
      <c r="C2654" s="88"/>
      <c r="D2654" s="79"/>
      <c r="E2654" s="79"/>
      <c r="F2654" s="89" t="s">
        <v>421</v>
      </c>
      <c r="G2654" s="101"/>
      <c r="H2654" s="87">
        <f>SUM(H2649:H2653)</f>
        <v>13350</v>
      </c>
      <c r="I2654" s="101"/>
      <c r="J2654" s="87">
        <f>SUM(J2652:J2653)</f>
        <v>0</v>
      </c>
      <c r="K2654" s="101"/>
      <c r="L2654" s="87">
        <f>SUM(L2652:L2653)</f>
        <v>0</v>
      </c>
    </row>
    <row r="2655" spans="1:12" ht="12" customHeight="1" x14ac:dyDescent="0.35">
      <c r="B2655" s="84" t="s">
        <v>6</v>
      </c>
      <c r="C2655" s="88" t="s">
        <v>422</v>
      </c>
      <c r="D2655" s="79"/>
      <c r="E2655" s="79"/>
      <c r="F2655" s="90"/>
      <c r="G2655" s="84"/>
      <c r="H2655" s="87"/>
      <c r="I2655" s="84"/>
      <c r="J2655" s="87"/>
      <c r="K2655" s="84"/>
      <c r="L2655" s="87"/>
    </row>
    <row r="2656" spans="1:12" ht="26" customHeight="1" x14ac:dyDescent="0.35">
      <c r="A2656" s="134">
        <v>21981013</v>
      </c>
      <c r="B2656" s="84"/>
      <c r="C2656" s="85" t="s">
        <v>1878</v>
      </c>
      <c r="D2656" s="84" t="s">
        <v>418</v>
      </c>
      <c r="E2656" s="84" t="str">
        <f>VLOOKUP(C2656,HSD!B:K,2,FALSE)</f>
        <v>m'</v>
      </c>
      <c r="F2656" s="128">
        <v>1.05</v>
      </c>
      <c r="G2656" s="87">
        <f>VLOOKUP(C2656,HSD!B:K,10,FALSE)</f>
        <v>87600</v>
      </c>
      <c r="H2656" s="87">
        <f>F2656*G2656</f>
        <v>91980</v>
      </c>
      <c r="I2656" s="87">
        <v>232500</v>
      </c>
      <c r="J2656" s="87">
        <f>F2656*I2656</f>
        <v>244125</v>
      </c>
      <c r="K2656" s="87">
        <v>270000</v>
      </c>
      <c r="L2656" s="87">
        <f>F2656*K2656</f>
        <v>283500</v>
      </c>
    </row>
    <row r="2657" spans="1:12" ht="12" customHeight="1" x14ac:dyDescent="0.35">
      <c r="A2657" s="134">
        <v>24100000</v>
      </c>
      <c r="B2657" s="84"/>
      <c r="C2657" s="85" t="s">
        <v>1856</v>
      </c>
      <c r="D2657" s="84" t="s">
        <v>418</v>
      </c>
      <c r="E2657" s="84" t="str">
        <f>VLOOKUP(C2657,HSD!B:K,2,FALSE)</f>
        <v>kg</v>
      </c>
      <c r="F2657" s="128">
        <v>0.6774</v>
      </c>
      <c r="G2657" s="87">
        <f>VLOOKUP(C2657,HSD!B:K,10,FALSE)</f>
        <v>46176</v>
      </c>
      <c r="H2657" s="87">
        <f>F2657*G2657</f>
        <v>31279.6224</v>
      </c>
      <c r="I2657" s="87">
        <v>1060</v>
      </c>
      <c r="J2657" s="87">
        <f>F2657*I2657</f>
        <v>718.04399999999998</v>
      </c>
      <c r="K2657" s="87">
        <v>1060</v>
      </c>
      <c r="L2657" s="87">
        <f>F2657*K2657</f>
        <v>718.04399999999998</v>
      </c>
    </row>
    <row r="2658" spans="1:12" ht="12" customHeight="1" x14ac:dyDescent="0.35">
      <c r="A2658" s="134">
        <v>211100108</v>
      </c>
      <c r="B2658" s="84"/>
      <c r="C2658" s="85" t="s">
        <v>1800</v>
      </c>
      <c r="D2658" s="84" t="s">
        <v>418</v>
      </c>
      <c r="E2658" s="84" t="str">
        <f>VLOOKUP(C2658,HSD!B:K,2,FALSE)</f>
        <v>kg</v>
      </c>
      <c r="F2658" s="128">
        <v>2.3599999999999999E-2</v>
      </c>
      <c r="G2658" s="87">
        <f>VLOOKUP(C2658,HSD!B:K,10,FALSE)</f>
        <v>242.61</v>
      </c>
      <c r="H2658" s="87">
        <f>F2658*G2658</f>
        <v>5.7255960000000004</v>
      </c>
      <c r="I2658" s="87">
        <v>215000</v>
      </c>
      <c r="J2658" s="87">
        <f>F2658*I2658</f>
        <v>5074</v>
      </c>
      <c r="K2658" s="87">
        <v>250000</v>
      </c>
      <c r="L2658" s="87">
        <f>F2658*K2658</f>
        <v>5900</v>
      </c>
    </row>
    <row r="2659" spans="1:12" ht="12" customHeight="1" x14ac:dyDescent="0.35">
      <c r="B2659" s="84"/>
      <c r="C2659" s="85"/>
      <c r="D2659" s="84"/>
      <c r="E2659" s="84"/>
      <c r="F2659" s="128"/>
      <c r="G2659" s="87"/>
      <c r="H2659" s="87"/>
      <c r="I2659" s="87"/>
      <c r="J2659" s="87"/>
      <c r="K2659" s="87"/>
      <c r="L2659" s="87"/>
    </row>
    <row r="2660" spans="1:12" ht="12" customHeight="1" x14ac:dyDescent="0.35">
      <c r="B2660" s="84"/>
      <c r="C2660" s="88"/>
      <c r="D2660" s="79"/>
      <c r="E2660" s="79"/>
      <c r="F2660" s="129" t="s">
        <v>423</v>
      </c>
      <c r="G2660" s="129"/>
      <c r="H2660" s="87">
        <f>SUM(H2656:H2659)</f>
        <v>123265.347996</v>
      </c>
      <c r="I2660" s="101"/>
      <c r="J2660" s="87" t="e">
        <f>SUM(#REF!)</f>
        <v>#REF!</v>
      </c>
      <c r="K2660" s="101"/>
      <c r="L2660" s="87" t="e">
        <f>SUM(#REF!)</f>
        <v>#REF!</v>
      </c>
    </row>
    <row r="2661" spans="1:12" ht="12" customHeight="1" x14ac:dyDescent="0.35">
      <c r="B2661" s="84" t="s">
        <v>7</v>
      </c>
      <c r="C2661" s="88" t="s">
        <v>424</v>
      </c>
      <c r="D2661" s="79"/>
      <c r="E2661" s="79"/>
      <c r="F2661" s="90"/>
      <c r="G2661" s="84"/>
      <c r="H2661" s="87"/>
      <c r="I2661" s="84"/>
      <c r="J2661" s="87"/>
      <c r="K2661" s="84"/>
      <c r="L2661" s="87"/>
    </row>
    <row r="2662" spans="1:12" ht="12" customHeight="1" x14ac:dyDescent="0.35">
      <c r="B2662" s="84"/>
      <c r="C2662" s="85"/>
      <c r="D2662" s="84"/>
      <c r="E2662" s="84"/>
      <c r="F2662" s="128"/>
      <c r="G2662" s="87"/>
      <c r="H2662" s="87">
        <f>F2662*G2662</f>
        <v>0</v>
      </c>
      <c r="I2662" s="87"/>
      <c r="J2662" s="87">
        <f>H2662*I2662</f>
        <v>0</v>
      </c>
      <c r="K2662" s="87"/>
      <c r="L2662" s="87">
        <f>J2662*K2662</f>
        <v>0</v>
      </c>
    </row>
    <row r="2663" spans="1:12" ht="12" customHeight="1" x14ac:dyDescent="0.35">
      <c r="B2663" s="84"/>
      <c r="C2663" s="85"/>
      <c r="D2663" s="84"/>
      <c r="E2663" s="84"/>
      <c r="F2663" s="128"/>
      <c r="G2663" s="87"/>
      <c r="H2663" s="87">
        <f>F2663*G2663</f>
        <v>0</v>
      </c>
      <c r="I2663" s="87"/>
      <c r="J2663" s="87"/>
      <c r="K2663" s="87"/>
      <c r="L2663" s="87"/>
    </row>
    <row r="2664" spans="1:12" ht="12" customHeight="1" x14ac:dyDescent="0.35">
      <c r="B2664" s="84"/>
      <c r="C2664" s="85"/>
      <c r="D2664" s="84"/>
      <c r="E2664" s="84"/>
      <c r="F2664" s="128"/>
      <c r="G2664" s="87"/>
      <c r="H2664" s="87">
        <f>F2664*G2664</f>
        <v>0</v>
      </c>
      <c r="I2664" s="87"/>
      <c r="J2664" s="87"/>
      <c r="K2664" s="87"/>
      <c r="L2664" s="87"/>
    </row>
    <row r="2665" spans="1:12" ht="12" customHeight="1" x14ac:dyDescent="0.35">
      <c r="B2665" s="84"/>
      <c r="C2665" s="88"/>
      <c r="D2665" s="79"/>
      <c r="E2665" s="79"/>
      <c r="F2665" s="89" t="s">
        <v>425</v>
      </c>
      <c r="G2665" s="101"/>
      <c r="H2665" s="87">
        <f>SUM(H2662:H2664)</f>
        <v>0</v>
      </c>
      <c r="I2665" s="101"/>
      <c r="J2665" s="87">
        <f>SUM(J2662)</f>
        <v>0</v>
      </c>
      <c r="K2665" s="101"/>
      <c r="L2665" s="87">
        <f>SUM(L2662)</f>
        <v>0</v>
      </c>
    </row>
    <row r="2666" spans="1:12" ht="12" customHeight="1" x14ac:dyDescent="0.35">
      <c r="B2666" s="84" t="s">
        <v>8</v>
      </c>
      <c r="C2666" s="103" t="s">
        <v>426</v>
      </c>
      <c r="D2666" s="104"/>
      <c r="E2666" s="104"/>
      <c r="F2666" s="104"/>
      <c r="G2666" s="105"/>
      <c r="H2666" s="87">
        <f>H2654+H2660+H2665</f>
        <v>136615.347996</v>
      </c>
      <c r="I2666" s="105"/>
      <c r="J2666" s="87" t="e">
        <f>J2654+J2660+J2665</f>
        <v>#REF!</v>
      </c>
      <c r="K2666" s="105"/>
      <c r="L2666" s="87" t="e">
        <f>L2654+L2660+L2665</f>
        <v>#REF!</v>
      </c>
    </row>
    <row r="2667" spans="1:12" ht="12" customHeight="1" x14ac:dyDescent="0.35">
      <c r="B2667" s="84" t="s">
        <v>9</v>
      </c>
      <c r="C2667" s="455" t="s">
        <v>427</v>
      </c>
      <c r="D2667" s="455"/>
      <c r="E2667" s="455"/>
      <c r="F2667" s="95">
        <f>0</f>
        <v>0</v>
      </c>
      <c r="G2667" s="85" t="s">
        <v>428</v>
      </c>
      <c r="H2667" s="87">
        <f>H2666*F2667</f>
        <v>0</v>
      </c>
      <c r="I2667" s="85" t="s">
        <v>428</v>
      </c>
      <c r="J2667" s="87" t="e">
        <f>J2666*F2667</f>
        <v>#REF!</v>
      </c>
      <c r="K2667" s="85" t="s">
        <v>428</v>
      </c>
      <c r="L2667" s="87" t="e">
        <f>L2666*F2667</f>
        <v>#REF!</v>
      </c>
    </row>
    <row r="2668" spans="1:12" ht="12" customHeight="1" x14ac:dyDescent="0.35">
      <c r="B2668" s="84" t="s">
        <v>10</v>
      </c>
      <c r="C2668" s="103" t="s">
        <v>429</v>
      </c>
      <c r="D2668" s="104"/>
      <c r="E2668" s="104"/>
      <c r="F2668" s="104"/>
      <c r="G2668" s="105"/>
      <c r="H2668" s="96">
        <f>H2666+H2667</f>
        <v>136615.347996</v>
      </c>
      <c r="I2668" s="97"/>
      <c r="J2668" s="96" t="e">
        <f>J2666+J2667</f>
        <v>#REF!</v>
      </c>
      <c r="K2668" s="97"/>
      <c r="L2668" s="96" t="e">
        <f>L2666+L2667</f>
        <v>#REF!</v>
      </c>
    </row>
    <row r="2669" spans="1:12" ht="14" customHeight="1" x14ac:dyDescent="0.35"/>
    <row r="2670" spans="1:12" ht="37" customHeight="1" x14ac:dyDescent="0.35">
      <c r="B2670" s="76" t="s">
        <v>763</v>
      </c>
      <c r="C2670" s="458" t="s">
        <v>764</v>
      </c>
      <c r="D2670" s="459"/>
      <c r="E2670" s="459"/>
      <c r="F2670" s="459"/>
      <c r="G2670" s="456"/>
      <c r="H2670" s="457"/>
      <c r="I2670" s="455" t="s">
        <v>3</v>
      </c>
      <c r="J2670" s="455"/>
      <c r="K2670" s="455" t="s">
        <v>4</v>
      </c>
      <c r="L2670" s="455"/>
    </row>
    <row r="2671" spans="1:12" ht="12" customHeight="1" x14ac:dyDescent="0.35">
      <c r="B2671" s="451" t="s">
        <v>409</v>
      </c>
      <c r="C2671" s="451" t="s">
        <v>410</v>
      </c>
      <c r="D2671" s="452" t="s">
        <v>411</v>
      </c>
      <c r="E2671" s="451" t="s">
        <v>412</v>
      </c>
      <c r="F2671" s="451" t="s">
        <v>413</v>
      </c>
      <c r="G2671" s="77" t="s">
        <v>414</v>
      </c>
      <c r="H2671" s="77" t="s">
        <v>415</v>
      </c>
      <c r="I2671" s="78" t="s">
        <v>414</v>
      </c>
      <c r="J2671" s="79" t="s">
        <v>415</v>
      </c>
      <c r="K2671" s="79" t="s">
        <v>414</v>
      </c>
      <c r="L2671" s="79" t="s">
        <v>415</v>
      </c>
    </row>
    <row r="2672" spans="1:12" ht="12" customHeight="1" x14ac:dyDescent="0.35">
      <c r="B2672" s="451"/>
      <c r="C2672" s="451"/>
      <c r="D2672" s="453"/>
      <c r="E2672" s="451"/>
      <c r="F2672" s="451"/>
      <c r="G2672" s="77" t="s">
        <v>17</v>
      </c>
      <c r="H2672" s="77" t="s">
        <v>416</v>
      </c>
      <c r="I2672" s="78" t="s">
        <v>17</v>
      </c>
      <c r="J2672" s="79" t="s">
        <v>416</v>
      </c>
      <c r="K2672" s="79" t="s">
        <v>17</v>
      </c>
      <c r="L2672" s="79" t="s">
        <v>416</v>
      </c>
    </row>
    <row r="2673" spans="1:18" ht="12" customHeight="1" x14ac:dyDescent="0.35">
      <c r="B2673" s="451"/>
      <c r="C2673" s="451"/>
      <c r="D2673" s="454"/>
      <c r="E2673" s="451"/>
      <c r="F2673" s="451"/>
      <c r="G2673" s="106"/>
      <c r="H2673" s="77" t="s">
        <v>17</v>
      </c>
      <c r="I2673" s="94"/>
      <c r="J2673" s="79" t="s">
        <v>17</v>
      </c>
      <c r="K2673" s="85"/>
      <c r="L2673" s="79" t="s">
        <v>17</v>
      </c>
    </row>
    <row r="2674" spans="1:18" ht="12" customHeight="1" x14ac:dyDescent="0.35">
      <c r="B2674" s="80" t="s">
        <v>5</v>
      </c>
      <c r="C2674" s="81" t="s">
        <v>417</v>
      </c>
      <c r="D2674" s="82"/>
      <c r="E2674" s="82"/>
      <c r="F2674" s="82"/>
      <c r="G2674" s="82"/>
      <c r="H2674" s="82"/>
      <c r="I2674" s="83"/>
      <c r="J2674" s="83"/>
      <c r="K2674" s="83"/>
      <c r="L2674" s="83"/>
    </row>
    <row r="2675" spans="1:18" ht="12" customHeight="1" x14ac:dyDescent="0.35">
      <c r="A2675" s="134">
        <v>10130000</v>
      </c>
      <c r="B2675" s="84"/>
      <c r="C2675" s="85" t="s">
        <v>28</v>
      </c>
      <c r="D2675" s="84" t="s">
        <v>418</v>
      </c>
      <c r="E2675" s="84" t="s">
        <v>18</v>
      </c>
      <c r="F2675" s="128">
        <v>1.65</v>
      </c>
      <c r="G2675" s="87">
        <f>VLOOKUP(C2675,HSD!B:K,10,FALSE)</f>
        <v>120000</v>
      </c>
      <c r="H2675" s="87">
        <f>F2675*G2675</f>
        <v>198000</v>
      </c>
      <c r="I2675" s="87">
        <v>91500</v>
      </c>
      <c r="J2675" s="87">
        <f>F2675*I2675</f>
        <v>150975</v>
      </c>
      <c r="K2675" s="87">
        <v>91500</v>
      </c>
      <c r="L2675" s="87">
        <f>F2675*K2675</f>
        <v>150975</v>
      </c>
    </row>
    <row r="2676" spans="1:18" ht="12" customHeight="1" x14ac:dyDescent="0.35">
      <c r="A2676" s="134">
        <v>10143000</v>
      </c>
      <c r="B2676" s="84"/>
      <c r="C2676" s="85" t="s">
        <v>435</v>
      </c>
      <c r="D2676" s="84" t="s">
        <v>418</v>
      </c>
      <c r="E2676" s="84" t="s">
        <v>18</v>
      </c>
      <c r="F2676" s="128">
        <v>0.27500000000000002</v>
      </c>
      <c r="G2676" s="87">
        <f>VLOOKUP(C2676,HSD!B:K,10,FALSE)</f>
        <v>250000</v>
      </c>
      <c r="H2676" s="87">
        <f>F2676*G2676</f>
        <v>68750</v>
      </c>
      <c r="I2676" s="87"/>
      <c r="J2676" s="87"/>
      <c r="K2676" s="87"/>
      <c r="L2676" s="87"/>
    </row>
    <row r="2677" spans="1:18" ht="12" customHeight="1" x14ac:dyDescent="0.35">
      <c r="A2677" s="134">
        <v>10120000</v>
      </c>
      <c r="B2677" s="84"/>
      <c r="C2677" s="85" t="s">
        <v>27</v>
      </c>
      <c r="D2677" s="84" t="s">
        <v>418</v>
      </c>
      <c r="E2677" s="84" t="s">
        <v>18</v>
      </c>
      <c r="F2677" s="128">
        <f>F2676/10</f>
        <v>2.7500000000000004E-2</v>
      </c>
      <c r="G2677" s="87">
        <f>VLOOKUP(C2677,HSD!B:K,10,FALSE)</f>
        <v>150000</v>
      </c>
      <c r="H2677" s="87">
        <f>F2677*G2677</f>
        <v>4125.0000000000009</v>
      </c>
      <c r="I2677" s="87"/>
      <c r="J2677" s="87"/>
      <c r="K2677" s="87"/>
      <c r="L2677" s="87"/>
    </row>
    <row r="2678" spans="1:18" ht="12" customHeight="1" x14ac:dyDescent="0.35">
      <c r="A2678" s="134">
        <v>10110000</v>
      </c>
      <c r="B2678" s="84"/>
      <c r="C2678" s="85" t="s">
        <v>30</v>
      </c>
      <c r="D2678" s="84" t="s">
        <v>418</v>
      </c>
      <c r="E2678" s="84" t="s">
        <v>18</v>
      </c>
      <c r="F2678" s="128">
        <f>F2675/10</f>
        <v>0.16499999999999998</v>
      </c>
      <c r="G2678" s="87">
        <f>VLOOKUP(C2678,HSD!B:K,10,FALSE)</f>
        <v>150000</v>
      </c>
      <c r="H2678" s="87">
        <f>F2678*G2678</f>
        <v>24749.999999999996</v>
      </c>
      <c r="I2678" s="87">
        <v>92500</v>
      </c>
      <c r="J2678" s="87">
        <f>F2678*I2678</f>
        <v>15262.499999999998</v>
      </c>
      <c r="K2678" s="87">
        <v>92500</v>
      </c>
      <c r="L2678" s="87">
        <f>F2678*K2678</f>
        <v>15262.499999999998</v>
      </c>
    </row>
    <row r="2679" spans="1:18" ht="12" customHeight="1" x14ac:dyDescent="0.35">
      <c r="B2679" s="84"/>
      <c r="C2679" s="85"/>
      <c r="D2679" s="84"/>
      <c r="E2679" s="84"/>
      <c r="F2679" s="86"/>
      <c r="G2679" s="87"/>
      <c r="H2679" s="87"/>
      <c r="I2679" s="87"/>
      <c r="J2679" s="87"/>
      <c r="K2679" s="87"/>
      <c r="L2679" s="87"/>
    </row>
    <row r="2680" spans="1:18" ht="12" customHeight="1" x14ac:dyDescent="0.35">
      <c r="B2680" s="84"/>
      <c r="C2680" s="88"/>
      <c r="D2680" s="79"/>
      <c r="E2680" s="79"/>
      <c r="F2680" s="89" t="s">
        <v>421</v>
      </c>
      <c r="G2680" s="101"/>
      <c r="H2680" s="87">
        <f>SUM(H2675:H2679)</f>
        <v>295625</v>
      </c>
      <c r="I2680" s="101"/>
      <c r="J2680" s="87">
        <f>SUM(J2678:J2679)</f>
        <v>15262.499999999998</v>
      </c>
      <c r="K2680" s="101"/>
      <c r="L2680" s="87">
        <f>SUM(L2678:L2679)</f>
        <v>15262.499999999998</v>
      </c>
    </row>
    <row r="2681" spans="1:18" ht="12" customHeight="1" x14ac:dyDescent="0.35">
      <c r="B2681" s="84" t="s">
        <v>6</v>
      </c>
      <c r="C2681" s="88" t="s">
        <v>422</v>
      </c>
      <c r="D2681" s="79"/>
      <c r="E2681" s="79"/>
      <c r="F2681" s="90"/>
      <c r="G2681" s="84"/>
      <c r="H2681" s="87"/>
      <c r="I2681" s="84"/>
      <c r="J2681" s="87"/>
      <c r="K2681" s="84"/>
      <c r="L2681" s="87"/>
    </row>
    <row r="2682" spans="1:18" ht="26" customHeight="1" x14ac:dyDescent="0.35">
      <c r="A2682" s="134">
        <v>21301000</v>
      </c>
      <c r="B2682" s="84"/>
      <c r="C2682" s="85" t="s">
        <v>60</v>
      </c>
      <c r="D2682" s="84" t="s">
        <v>418</v>
      </c>
      <c r="E2682" s="84" t="str">
        <f>VLOOKUP(C2682,HSD!B:K,2,FALSE)</f>
        <v>kg</v>
      </c>
      <c r="F2682" s="128">
        <v>267</v>
      </c>
      <c r="G2682" s="87">
        <f>VLOOKUP(C2682,HSD!B:K,10,FALSE)</f>
        <v>2331</v>
      </c>
      <c r="H2682" s="87">
        <f>F2682*G2682</f>
        <v>622377</v>
      </c>
      <c r="I2682" s="87">
        <v>232500</v>
      </c>
      <c r="J2682" s="87">
        <f>F2682*I2682</f>
        <v>62077500</v>
      </c>
      <c r="K2682" s="87">
        <v>270000</v>
      </c>
      <c r="L2682" s="87">
        <f>F2682*K2682</f>
        <v>72090000</v>
      </c>
    </row>
    <row r="2683" spans="1:18" ht="12" customHeight="1" x14ac:dyDescent="0.35">
      <c r="A2683" s="134">
        <v>211100115</v>
      </c>
      <c r="B2683" s="84"/>
      <c r="C2683" s="85" t="s">
        <v>51</v>
      </c>
      <c r="D2683" s="84" t="s">
        <v>418</v>
      </c>
      <c r="E2683" s="84" t="str">
        <f>VLOOKUP(C2683,HSD!B:K,2,FALSE)</f>
        <v>kg</v>
      </c>
      <c r="F2683" s="128">
        <v>871</v>
      </c>
      <c r="G2683" s="87">
        <f>VLOOKUP(C2683,HSD!B:K,10,FALSE)</f>
        <v>203</v>
      </c>
      <c r="H2683" s="87">
        <f>F2683*G2683</f>
        <v>176813</v>
      </c>
      <c r="I2683" s="87">
        <v>1060</v>
      </c>
      <c r="J2683" s="87">
        <f>F2683*I2683</f>
        <v>923260</v>
      </c>
      <c r="K2683" s="87">
        <v>1060</v>
      </c>
      <c r="L2683" s="87">
        <f>F2683*K2683</f>
        <v>923260</v>
      </c>
      <c r="N2683" s="75">
        <v>1</v>
      </c>
      <c r="O2683" s="75" t="s">
        <v>40</v>
      </c>
      <c r="P2683" s="75" t="s">
        <v>765</v>
      </c>
      <c r="Q2683" s="75">
        <v>6.2500000000000001E-4</v>
      </c>
      <c r="R2683" s="75" t="s">
        <v>43</v>
      </c>
    </row>
    <row r="2684" spans="1:18" ht="12" customHeight="1" x14ac:dyDescent="0.35">
      <c r="A2684" s="134" t="s">
        <v>766</v>
      </c>
      <c r="B2684" s="84"/>
      <c r="C2684" s="85" t="s">
        <v>1800</v>
      </c>
      <c r="D2684" s="84" t="s">
        <v>418</v>
      </c>
      <c r="E2684" s="84" t="str">
        <f>VLOOKUP(C2684,HSD!B:K,2,FALSE)</f>
        <v>kg</v>
      </c>
      <c r="F2684" s="128">
        <v>1009</v>
      </c>
      <c r="G2684" s="87">
        <f>VLOOKUP(C2684,HSD!B:K,10,FALSE)</f>
        <v>242.61</v>
      </c>
      <c r="H2684" s="87">
        <f>F2684*G2684</f>
        <v>244793.49000000002</v>
      </c>
      <c r="I2684" s="87">
        <v>215000</v>
      </c>
      <c r="J2684" s="87">
        <f>F2684*I2684</f>
        <v>216935000</v>
      </c>
      <c r="K2684" s="87">
        <v>250000</v>
      </c>
      <c r="L2684" s="87">
        <f>F2684*K2684</f>
        <v>252250000</v>
      </c>
      <c r="N2684" s="75">
        <f>N2683/Q2683</f>
        <v>1600</v>
      </c>
      <c r="O2684" s="75" t="s">
        <v>40</v>
      </c>
      <c r="P2684" s="75" t="s">
        <v>765</v>
      </c>
      <c r="Q2684" s="75">
        <v>1</v>
      </c>
      <c r="R2684" s="75" t="s">
        <v>43</v>
      </c>
    </row>
    <row r="2685" spans="1:18" ht="12" customHeight="1" x14ac:dyDescent="0.35">
      <c r="A2685" s="134">
        <v>21962000</v>
      </c>
      <c r="B2685" s="84"/>
      <c r="C2685" s="85" t="s">
        <v>212</v>
      </c>
      <c r="D2685" s="84" t="s">
        <v>418</v>
      </c>
      <c r="E2685" s="84" t="str">
        <f>VLOOKUP(C2685,HSD!B:K,2,FALSE)</f>
        <v>liter</v>
      </c>
      <c r="F2685" s="128">
        <v>202</v>
      </c>
      <c r="G2685" s="87">
        <f>VLOOKUP(C2685,HSD!B:K,10,FALSE)</f>
        <v>74</v>
      </c>
      <c r="H2685" s="87">
        <f>F2685*G2685</f>
        <v>14948</v>
      </c>
      <c r="I2685" s="87"/>
      <c r="J2685" s="87"/>
      <c r="K2685" s="87"/>
      <c r="L2685" s="87"/>
    </row>
    <row r="2686" spans="1:18" ht="12" customHeight="1" x14ac:dyDescent="0.35">
      <c r="B2686" s="84"/>
      <c r="C2686" s="88"/>
      <c r="D2686" s="79"/>
      <c r="E2686" s="79"/>
      <c r="F2686" s="129" t="s">
        <v>423</v>
      </c>
      <c r="G2686" s="129"/>
      <c r="H2686" s="87">
        <f>SUM(H2682:H2685)</f>
        <v>1058931.49</v>
      </c>
      <c r="I2686" s="101"/>
      <c r="J2686" s="87" t="e">
        <f>SUM(#REF!)</f>
        <v>#REF!</v>
      </c>
      <c r="K2686" s="101"/>
      <c r="L2686" s="87" t="e">
        <f>SUM(#REF!)</f>
        <v>#REF!</v>
      </c>
    </row>
    <row r="2687" spans="1:18" ht="12" customHeight="1" x14ac:dyDescent="0.35">
      <c r="B2687" s="84" t="s">
        <v>7</v>
      </c>
      <c r="C2687" s="88" t="s">
        <v>424</v>
      </c>
      <c r="D2687" s="79"/>
      <c r="E2687" s="79"/>
      <c r="F2687" s="90"/>
      <c r="G2687" s="84"/>
      <c r="H2687" s="87"/>
      <c r="I2687" s="84"/>
      <c r="J2687" s="87"/>
      <c r="K2687" s="84"/>
      <c r="L2687" s="87"/>
    </row>
    <row r="2688" spans="1:18" ht="12" customHeight="1" x14ac:dyDescent="0.35">
      <c r="B2688" s="84"/>
      <c r="C2688" s="85"/>
      <c r="D2688" s="84"/>
      <c r="E2688" s="84"/>
      <c r="F2688" s="128"/>
      <c r="G2688" s="87"/>
      <c r="H2688" s="87">
        <f>F2688*G2688</f>
        <v>0</v>
      </c>
      <c r="I2688" s="87"/>
      <c r="J2688" s="87">
        <f>H2688*I2688</f>
        <v>0</v>
      </c>
      <c r="K2688" s="87"/>
      <c r="L2688" s="87">
        <f>J2688*K2688</f>
        <v>0</v>
      </c>
    </row>
    <row r="2689" spans="1:12" ht="12" customHeight="1" x14ac:dyDescent="0.35">
      <c r="B2689" s="84"/>
      <c r="C2689" s="85"/>
      <c r="D2689" s="84"/>
      <c r="E2689" s="84"/>
      <c r="F2689" s="128"/>
      <c r="G2689" s="87"/>
      <c r="H2689" s="87">
        <f>F2689*G2689</f>
        <v>0</v>
      </c>
      <c r="I2689" s="87"/>
      <c r="J2689" s="87"/>
      <c r="K2689" s="87"/>
      <c r="L2689" s="87"/>
    </row>
    <row r="2690" spans="1:12" ht="12" customHeight="1" x14ac:dyDescent="0.35">
      <c r="B2690" s="84"/>
      <c r="C2690" s="85"/>
      <c r="D2690" s="84"/>
      <c r="E2690" s="84"/>
      <c r="F2690" s="128"/>
      <c r="G2690" s="87"/>
      <c r="H2690" s="87">
        <f>F2690*G2690</f>
        <v>0</v>
      </c>
      <c r="I2690" s="87"/>
      <c r="J2690" s="87"/>
      <c r="K2690" s="87"/>
      <c r="L2690" s="87"/>
    </row>
    <row r="2691" spans="1:12" ht="12" customHeight="1" x14ac:dyDescent="0.35">
      <c r="B2691" s="84"/>
      <c r="C2691" s="88"/>
      <c r="D2691" s="79"/>
      <c r="E2691" s="79"/>
      <c r="F2691" s="89" t="s">
        <v>425</v>
      </c>
      <c r="G2691" s="101"/>
      <c r="H2691" s="87">
        <f>SUM(H2688:H2690)</f>
        <v>0</v>
      </c>
      <c r="I2691" s="101"/>
      <c r="J2691" s="87">
        <f>SUM(J2688)</f>
        <v>0</v>
      </c>
      <c r="K2691" s="101"/>
      <c r="L2691" s="87">
        <f>SUM(L2688)</f>
        <v>0</v>
      </c>
    </row>
    <row r="2692" spans="1:12" ht="12" customHeight="1" x14ac:dyDescent="0.35">
      <c r="B2692" s="84" t="s">
        <v>8</v>
      </c>
      <c r="C2692" s="103" t="s">
        <v>426</v>
      </c>
      <c r="D2692" s="104"/>
      <c r="E2692" s="104"/>
      <c r="F2692" s="104"/>
      <c r="G2692" s="105"/>
      <c r="H2692" s="87">
        <f>H2680+H2686+H2691</f>
        <v>1354556.49</v>
      </c>
      <c r="I2692" s="105"/>
      <c r="J2692" s="87" t="e">
        <f>J2680+J2686+J2691</f>
        <v>#REF!</v>
      </c>
      <c r="K2692" s="105"/>
      <c r="L2692" s="87" t="e">
        <f>L2680+L2686+L2691</f>
        <v>#REF!</v>
      </c>
    </row>
    <row r="2693" spans="1:12" ht="12" customHeight="1" x14ac:dyDescent="0.35">
      <c r="B2693" s="84" t="s">
        <v>9</v>
      </c>
      <c r="C2693" s="455" t="s">
        <v>427</v>
      </c>
      <c r="D2693" s="455"/>
      <c r="E2693" s="455"/>
      <c r="F2693" s="95">
        <f>0</f>
        <v>0</v>
      </c>
      <c r="G2693" s="85" t="s">
        <v>428</v>
      </c>
      <c r="H2693" s="87">
        <f>H2692*F2693</f>
        <v>0</v>
      </c>
      <c r="I2693" s="85" t="s">
        <v>428</v>
      </c>
      <c r="J2693" s="87" t="e">
        <f>J2692*F2693</f>
        <v>#REF!</v>
      </c>
      <c r="K2693" s="85" t="s">
        <v>428</v>
      </c>
      <c r="L2693" s="87" t="e">
        <f>L2692*F2693</f>
        <v>#REF!</v>
      </c>
    </row>
    <row r="2694" spans="1:12" ht="12" customHeight="1" x14ac:dyDescent="0.35">
      <c r="B2694" s="84" t="s">
        <v>10</v>
      </c>
      <c r="C2694" s="103" t="s">
        <v>429</v>
      </c>
      <c r="D2694" s="104"/>
      <c r="E2694" s="104"/>
      <c r="F2694" s="104"/>
      <c r="G2694" s="105"/>
      <c r="H2694" s="96">
        <f>H2692+H2693</f>
        <v>1354556.49</v>
      </c>
      <c r="I2694" s="97"/>
      <c r="J2694" s="96" t="e">
        <f>J2692+J2693</f>
        <v>#REF!</v>
      </c>
      <c r="K2694" s="97"/>
      <c r="L2694" s="96" t="e">
        <f>L2692+L2693</f>
        <v>#REF!</v>
      </c>
    </row>
    <row r="2695" spans="1:12" ht="14" customHeight="1" x14ac:dyDescent="0.35"/>
    <row r="2696" spans="1:12" ht="37" customHeight="1" x14ac:dyDescent="0.35">
      <c r="B2696" s="76" t="s">
        <v>767</v>
      </c>
      <c r="C2696" s="458" t="s">
        <v>768</v>
      </c>
      <c r="D2696" s="459"/>
      <c r="E2696" s="459"/>
      <c r="F2696" s="459"/>
      <c r="G2696" s="456"/>
      <c r="H2696" s="457"/>
      <c r="I2696" s="455" t="s">
        <v>3</v>
      </c>
      <c r="J2696" s="455"/>
      <c r="K2696" s="455" t="s">
        <v>4</v>
      </c>
      <c r="L2696" s="455"/>
    </row>
    <row r="2697" spans="1:12" ht="12" customHeight="1" x14ac:dyDescent="0.35">
      <c r="B2697" s="451" t="s">
        <v>409</v>
      </c>
      <c r="C2697" s="451" t="s">
        <v>410</v>
      </c>
      <c r="D2697" s="452" t="s">
        <v>411</v>
      </c>
      <c r="E2697" s="451" t="s">
        <v>412</v>
      </c>
      <c r="F2697" s="451" t="s">
        <v>413</v>
      </c>
      <c r="G2697" s="77" t="s">
        <v>414</v>
      </c>
      <c r="H2697" s="77" t="s">
        <v>415</v>
      </c>
      <c r="I2697" s="78" t="s">
        <v>414</v>
      </c>
      <c r="J2697" s="79" t="s">
        <v>415</v>
      </c>
      <c r="K2697" s="79" t="s">
        <v>414</v>
      </c>
      <c r="L2697" s="79" t="s">
        <v>415</v>
      </c>
    </row>
    <row r="2698" spans="1:12" ht="12" customHeight="1" x14ac:dyDescent="0.35">
      <c r="B2698" s="451"/>
      <c r="C2698" s="451"/>
      <c r="D2698" s="453"/>
      <c r="E2698" s="451"/>
      <c r="F2698" s="451"/>
      <c r="G2698" s="77" t="s">
        <v>17</v>
      </c>
      <c r="H2698" s="77" t="s">
        <v>416</v>
      </c>
      <c r="I2698" s="78" t="s">
        <v>17</v>
      </c>
      <c r="J2698" s="79" t="s">
        <v>416</v>
      </c>
      <c r="K2698" s="79" t="s">
        <v>17</v>
      </c>
      <c r="L2698" s="79" t="s">
        <v>416</v>
      </c>
    </row>
    <row r="2699" spans="1:12" ht="12" customHeight="1" x14ac:dyDescent="0.35">
      <c r="B2699" s="451"/>
      <c r="C2699" s="451"/>
      <c r="D2699" s="454"/>
      <c r="E2699" s="451"/>
      <c r="F2699" s="451"/>
      <c r="G2699" s="106"/>
      <c r="H2699" s="77" t="s">
        <v>17</v>
      </c>
      <c r="I2699" s="94"/>
      <c r="J2699" s="79" t="s">
        <v>17</v>
      </c>
      <c r="K2699" s="85"/>
      <c r="L2699" s="79" t="s">
        <v>17</v>
      </c>
    </row>
    <row r="2700" spans="1:12" ht="12" customHeight="1" x14ac:dyDescent="0.35">
      <c r="B2700" s="80" t="s">
        <v>5</v>
      </c>
      <c r="C2700" s="81" t="s">
        <v>417</v>
      </c>
      <c r="D2700" s="82"/>
      <c r="E2700" s="82"/>
      <c r="F2700" s="82"/>
      <c r="G2700" s="82"/>
      <c r="H2700" s="82"/>
      <c r="I2700" s="83"/>
      <c r="J2700" s="83"/>
      <c r="K2700" s="83"/>
      <c r="L2700" s="83"/>
    </row>
    <row r="2701" spans="1:12" ht="12" customHeight="1" x14ac:dyDescent="0.35">
      <c r="A2701" s="134">
        <v>10130000</v>
      </c>
      <c r="B2701" s="84"/>
      <c r="C2701" s="85" t="s">
        <v>28</v>
      </c>
      <c r="D2701" s="84" t="s">
        <v>418</v>
      </c>
      <c r="E2701" s="84" t="str">
        <f>VLOOKUP(C2701,HSD!B:K,2,FALSE)</f>
        <v>OH</v>
      </c>
      <c r="F2701" s="128">
        <v>1.65</v>
      </c>
      <c r="G2701" s="87">
        <f>VLOOKUP(C2701,HSD!B:K,10,FALSE)</f>
        <v>120000</v>
      </c>
      <c r="H2701" s="87">
        <f>F2701*G2701</f>
        <v>198000</v>
      </c>
      <c r="I2701" s="87">
        <v>91500</v>
      </c>
      <c r="J2701" s="87">
        <f>F2701*I2701</f>
        <v>150975</v>
      </c>
      <c r="K2701" s="87">
        <v>91500</v>
      </c>
      <c r="L2701" s="87">
        <f>F2701*K2701</f>
        <v>150975</v>
      </c>
    </row>
    <row r="2702" spans="1:12" ht="12" customHeight="1" x14ac:dyDescent="0.35">
      <c r="A2702" s="134">
        <v>10143000</v>
      </c>
      <c r="B2702" s="84"/>
      <c r="C2702" s="85" t="s">
        <v>435</v>
      </c>
      <c r="D2702" s="84" t="s">
        <v>418</v>
      </c>
      <c r="E2702" s="84" t="str">
        <f>VLOOKUP(C2702,HSD!B:K,2,FALSE)</f>
        <v>OH</v>
      </c>
      <c r="F2702" s="128">
        <v>0.27500000000000002</v>
      </c>
      <c r="G2702" s="87">
        <f>VLOOKUP(C2702,HSD!B:K,10,FALSE)</f>
        <v>250000</v>
      </c>
      <c r="H2702" s="87">
        <f>F2702*G2702</f>
        <v>68750</v>
      </c>
      <c r="I2702" s="87"/>
      <c r="J2702" s="87"/>
      <c r="K2702" s="87"/>
      <c r="L2702" s="87"/>
    </row>
    <row r="2703" spans="1:12" ht="12" customHeight="1" x14ac:dyDescent="0.35">
      <c r="A2703" s="134">
        <v>10120000</v>
      </c>
      <c r="B2703" s="84"/>
      <c r="C2703" s="85" t="s">
        <v>27</v>
      </c>
      <c r="D2703" s="84" t="s">
        <v>418</v>
      </c>
      <c r="E2703" s="84" t="str">
        <f>VLOOKUP(C2703,HSD!B:K,2,FALSE)</f>
        <v>OH</v>
      </c>
      <c r="F2703" s="128">
        <f>F2702/10</f>
        <v>2.7500000000000004E-2</v>
      </c>
      <c r="G2703" s="87">
        <f>VLOOKUP(C2703,HSD!B:K,10,FALSE)</f>
        <v>150000</v>
      </c>
      <c r="H2703" s="87">
        <f>F2703*G2703</f>
        <v>4125.0000000000009</v>
      </c>
      <c r="I2703" s="87"/>
      <c r="J2703" s="87"/>
      <c r="K2703" s="87"/>
      <c r="L2703" s="87"/>
    </row>
    <row r="2704" spans="1:12" ht="12" customHeight="1" x14ac:dyDescent="0.35">
      <c r="A2704" s="134">
        <v>10110000</v>
      </c>
      <c r="B2704" s="84"/>
      <c r="C2704" s="85" t="s">
        <v>30</v>
      </c>
      <c r="D2704" s="84" t="s">
        <v>418</v>
      </c>
      <c r="E2704" s="84" t="str">
        <f>VLOOKUP(C2704,HSD!B:K,2,FALSE)</f>
        <v>OH</v>
      </c>
      <c r="F2704" s="128">
        <f>F2701/10</f>
        <v>0.16499999999999998</v>
      </c>
      <c r="G2704" s="87">
        <f>VLOOKUP(C2704,HSD!B:K,10,FALSE)</f>
        <v>150000</v>
      </c>
      <c r="H2704" s="87">
        <f>F2704*G2704</f>
        <v>24749.999999999996</v>
      </c>
      <c r="I2704" s="87">
        <v>92500</v>
      </c>
      <c r="J2704" s="87">
        <f>F2704*I2704</f>
        <v>15262.499999999998</v>
      </c>
      <c r="K2704" s="87">
        <v>92500</v>
      </c>
      <c r="L2704" s="87">
        <f>F2704*K2704</f>
        <v>15262.499999999998</v>
      </c>
    </row>
    <row r="2705" spans="1:18" ht="12" customHeight="1" x14ac:dyDescent="0.35">
      <c r="B2705" s="84"/>
      <c r="C2705" s="85"/>
      <c r="D2705" s="84"/>
      <c r="E2705" s="84"/>
      <c r="F2705" s="86"/>
      <c r="G2705" s="87"/>
      <c r="H2705" s="87"/>
      <c r="I2705" s="87"/>
      <c r="J2705" s="87"/>
      <c r="K2705" s="87"/>
      <c r="L2705" s="87"/>
    </row>
    <row r="2706" spans="1:18" ht="12" customHeight="1" x14ac:dyDescent="0.35">
      <c r="B2706" s="84"/>
      <c r="C2706" s="88"/>
      <c r="D2706" s="79"/>
      <c r="E2706" s="79"/>
      <c r="F2706" s="89" t="s">
        <v>421</v>
      </c>
      <c r="G2706" s="101"/>
      <c r="H2706" s="87">
        <f>SUM(H2701:H2705)</f>
        <v>295625</v>
      </c>
      <c r="I2706" s="101"/>
      <c r="J2706" s="87">
        <f>SUM(J2704:J2705)</f>
        <v>15262.499999999998</v>
      </c>
      <c r="K2706" s="101"/>
      <c r="L2706" s="87">
        <f>SUM(L2704:L2705)</f>
        <v>15262.499999999998</v>
      </c>
    </row>
    <row r="2707" spans="1:18" ht="12" customHeight="1" x14ac:dyDescent="0.35">
      <c r="B2707" s="84" t="s">
        <v>6</v>
      </c>
      <c r="C2707" s="88" t="s">
        <v>422</v>
      </c>
      <c r="D2707" s="79"/>
      <c r="E2707" s="79"/>
      <c r="F2707" s="90"/>
      <c r="G2707" s="84"/>
      <c r="H2707" s="87"/>
      <c r="I2707" s="84"/>
      <c r="J2707" s="87"/>
      <c r="K2707" s="84"/>
      <c r="L2707" s="87"/>
    </row>
    <row r="2708" spans="1:18" ht="26" customHeight="1" x14ac:dyDescent="0.35">
      <c r="A2708" s="134">
        <v>21301000</v>
      </c>
      <c r="B2708" s="84"/>
      <c r="C2708" s="85" t="s">
        <v>60</v>
      </c>
      <c r="D2708" s="84" t="s">
        <v>418</v>
      </c>
      <c r="E2708" s="84" t="str">
        <f>VLOOKUP(C2708,HSD!B:K,2,FALSE)</f>
        <v>kg</v>
      </c>
      <c r="F2708" s="128">
        <v>306</v>
      </c>
      <c r="G2708" s="87">
        <f>VLOOKUP(C2708,HSD!B:K,10,FALSE)</f>
        <v>2331</v>
      </c>
      <c r="H2708" s="87">
        <f>F2708*G2708</f>
        <v>713286</v>
      </c>
      <c r="I2708" s="87">
        <v>232500</v>
      </c>
      <c r="J2708" s="87">
        <f>F2708*I2708</f>
        <v>71145000</v>
      </c>
      <c r="K2708" s="87">
        <v>270000</v>
      </c>
      <c r="L2708" s="87">
        <f>F2708*K2708</f>
        <v>82620000</v>
      </c>
    </row>
    <row r="2709" spans="1:18" ht="12" customHeight="1" x14ac:dyDescent="0.35">
      <c r="A2709" s="134">
        <v>211100115</v>
      </c>
      <c r="B2709" s="84"/>
      <c r="C2709" s="85" t="s">
        <v>51</v>
      </c>
      <c r="D2709" s="84" t="s">
        <v>418</v>
      </c>
      <c r="E2709" s="84" t="str">
        <f>VLOOKUP(C2709,HSD!B:K,2,FALSE)</f>
        <v>kg</v>
      </c>
      <c r="F2709" s="128">
        <v>832</v>
      </c>
      <c r="G2709" s="87">
        <f>VLOOKUP(C2709,HSD!B:K,10,FALSE)</f>
        <v>203</v>
      </c>
      <c r="H2709" s="87">
        <f>F2709*G2709</f>
        <v>168896</v>
      </c>
      <c r="I2709" s="87">
        <v>1060</v>
      </c>
      <c r="J2709" s="87">
        <f>F2709*I2709</f>
        <v>881920</v>
      </c>
      <c r="K2709" s="87">
        <v>1060</v>
      </c>
      <c r="L2709" s="87">
        <f>F2709*K2709</f>
        <v>881920</v>
      </c>
      <c r="N2709" s="75">
        <v>1</v>
      </c>
      <c r="O2709" s="75" t="s">
        <v>40</v>
      </c>
      <c r="P2709" s="75" t="s">
        <v>765</v>
      </c>
      <c r="Q2709" s="75">
        <v>6.2500000000000001E-4</v>
      </c>
      <c r="R2709" s="75" t="s">
        <v>43</v>
      </c>
    </row>
    <row r="2710" spans="1:18" ht="12" customHeight="1" x14ac:dyDescent="0.35">
      <c r="A2710" s="134" t="s">
        <v>766</v>
      </c>
      <c r="B2710" s="84"/>
      <c r="C2710" s="85" t="s">
        <v>1800</v>
      </c>
      <c r="D2710" s="84" t="s">
        <v>418</v>
      </c>
      <c r="E2710" s="84" t="str">
        <f>VLOOKUP(C2710,HSD!B:K,2,FALSE)</f>
        <v>kg</v>
      </c>
      <c r="F2710" s="128">
        <v>1009</v>
      </c>
      <c r="G2710" s="87">
        <f>VLOOKUP(C2710,HSD!B:K,10,FALSE)</f>
        <v>242.61</v>
      </c>
      <c r="H2710" s="87">
        <f>F2710*G2710</f>
        <v>244793.49000000002</v>
      </c>
      <c r="I2710" s="87">
        <v>215000</v>
      </c>
      <c r="J2710" s="87">
        <f>F2710*I2710</f>
        <v>216935000</v>
      </c>
      <c r="K2710" s="87">
        <v>250000</v>
      </c>
      <c r="L2710" s="87">
        <f>F2710*K2710</f>
        <v>252250000</v>
      </c>
      <c r="N2710" s="75">
        <f>N2709/Q2709</f>
        <v>1600</v>
      </c>
      <c r="O2710" s="75" t="s">
        <v>40</v>
      </c>
      <c r="P2710" s="75" t="s">
        <v>765</v>
      </c>
      <c r="Q2710" s="75">
        <v>1</v>
      </c>
      <c r="R2710" s="75" t="s">
        <v>43</v>
      </c>
    </row>
    <row r="2711" spans="1:18" ht="12" customHeight="1" x14ac:dyDescent="0.35">
      <c r="A2711" s="134">
        <v>21962000</v>
      </c>
      <c r="B2711" s="84"/>
      <c r="C2711" s="85" t="s">
        <v>212</v>
      </c>
      <c r="D2711" s="84" t="s">
        <v>418</v>
      </c>
      <c r="E2711" s="84" t="str">
        <f>VLOOKUP(C2711,HSD!B:K,2,FALSE)</f>
        <v>liter</v>
      </c>
      <c r="F2711" s="128">
        <v>202</v>
      </c>
      <c r="G2711" s="87">
        <f>VLOOKUP(C2711,HSD!B:K,10,FALSE)</f>
        <v>74</v>
      </c>
      <c r="H2711" s="87">
        <f>F2711*G2711</f>
        <v>14948</v>
      </c>
      <c r="I2711" s="87"/>
      <c r="J2711" s="87"/>
      <c r="K2711" s="87"/>
      <c r="L2711" s="87"/>
    </row>
    <row r="2712" spans="1:18" ht="12" customHeight="1" x14ac:dyDescent="0.35">
      <c r="B2712" s="84"/>
      <c r="C2712" s="88"/>
      <c r="D2712" s="79"/>
      <c r="E2712" s="79"/>
      <c r="F2712" s="129" t="s">
        <v>423</v>
      </c>
      <c r="G2712" s="129"/>
      <c r="H2712" s="87">
        <f>SUM(H2708:H2711)</f>
        <v>1141923.49</v>
      </c>
      <c r="I2712" s="101"/>
      <c r="J2712" s="87" t="e">
        <f>SUM(#REF!)</f>
        <v>#REF!</v>
      </c>
      <c r="K2712" s="101"/>
      <c r="L2712" s="87" t="e">
        <f>SUM(#REF!)</f>
        <v>#REF!</v>
      </c>
    </row>
    <row r="2713" spans="1:18" ht="12" customHeight="1" x14ac:dyDescent="0.35">
      <c r="B2713" s="84" t="s">
        <v>7</v>
      </c>
      <c r="C2713" s="88" t="s">
        <v>424</v>
      </c>
      <c r="D2713" s="79"/>
      <c r="E2713" s="79"/>
      <c r="F2713" s="90"/>
      <c r="G2713" s="84"/>
      <c r="H2713" s="87"/>
      <c r="I2713" s="84"/>
      <c r="J2713" s="87"/>
      <c r="K2713" s="84"/>
      <c r="L2713" s="87"/>
    </row>
    <row r="2714" spans="1:18" ht="12" customHeight="1" x14ac:dyDescent="0.35">
      <c r="B2714" s="84"/>
      <c r="C2714" s="85"/>
      <c r="D2714" s="84"/>
      <c r="E2714" s="84"/>
      <c r="F2714" s="128"/>
      <c r="G2714" s="87"/>
      <c r="H2714" s="87">
        <f>F2714*G2714</f>
        <v>0</v>
      </c>
      <c r="I2714" s="87"/>
      <c r="J2714" s="87">
        <f>H2714*I2714</f>
        <v>0</v>
      </c>
      <c r="K2714" s="87"/>
      <c r="L2714" s="87">
        <f>J2714*K2714</f>
        <v>0</v>
      </c>
    </row>
    <row r="2715" spans="1:18" ht="12" customHeight="1" x14ac:dyDescent="0.35">
      <c r="B2715" s="84"/>
      <c r="C2715" s="85"/>
      <c r="D2715" s="84"/>
      <c r="E2715" s="84"/>
      <c r="F2715" s="128"/>
      <c r="G2715" s="87"/>
      <c r="H2715" s="87">
        <f>F2715*G2715</f>
        <v>0</v>
      </c>
      <c r="I2715" s="87"/>
      <c r="J2715" s="87"/>
      <c r="K2715" s="87"/>
      <c r="L2715" s="87"/>
    </row>
    <row r="2716" spans="1:18" ht="12" customHeight="1" x14ac:dyDescent="0.35">
      <c r="B2716" s="84"/>
      <c r="C2716" s="85"/>
      <c r="D2716" s="84"/>
      <c r="E2716" s="84"/>
      <c r="F2716" s="128"/>
      <c r="G2716" s="87"/>
      <c r="H2716" s="87">
        <f>F2716*G2716</f>
        <v>0</v>
      </c>
      <c r="I2716" s="87"/>
      <c r="J2716" s="87"/>
      <c r="K2716" s="87"/>
      <c r="L2716" s="87"/>
    </row>
    <row r="2717" spans="1:18" ht="12" customHeight="1" x14ac:dyDescent="0.35">
      <c r="B2717" s="84"/>
      <c r="C2717" s="88"/>
      <c r="D2717" s="79"/>
      <c r="E2717" s="79"/>
      <c r="F2717" s="89" t="s">
        <v>425</v>
      </c>
      <c r="G2717" s="101"/>
      <c r="H2717" s="87">
        <f>SUM(H2714:H2716)</f>
        <v>0</v>
      </c>
      <c r="I2717" s="101"/>
      <c r="J2717" s="87">
        <f>SUM(J2714)</f>
        <v>0</v>
      </c>
      <c r="K2717" s="101"/>
      <c r="L2717" s="87">
        <f>SUM(L2714)</f>
        <v>0</v>
      </c>
    </row>
    <row r="2718" spans="1:18" ht="12" customHeight="1" x14ac:dyDescent="0.35">
      <c r="B2718" s="84" t="s">
        <v>8</v>
      </c>
      <c r="C2718" s="103" t="s">
        <v>426</v>
      </c>
      <c r="D2718" s="104"/>
      <c r="E2718" s="104"/>
      <c r="F2718" s="104"/>
      <c r="G2718" s="105"/>
      <c r="H2718" s="87">
        <f>H2706+H2712+H2717</f>
        <v>1437548.49</v>
      </c>
      <c r="I2718" s="105"/>
      <c r="J2718" s="87" t="e">
        <f>J2706+J2712+J2717</f>
        <v>#REF!</v>
      </c>
      <c r="K2718" s="105"/>
      <c r="L2718" s="87" t="e">
        <f>L2706+L2712+L2717</f>
        <v>#REF!</v>
      </c>
    </row>
    <row r="2719" spans="1:18" ht="12" customHeight="1" x14ac:dyDescent="0.35">
      <c r="B2719" s="84" t="s">
        <v>9</v>
      </c>
      <c r="C2719" s="455" t="s">
        <v>427</v>
      </c>
      <c r="D2719" s="455"/>
      <c r="E2719" s="455"/>
      <c r="F2719" s="95">
        <f>0</f>
        <v>0</v>
      </c>
      <c r="G2719" s="85" t="s">
        <v>428</v>
      </c>
      <c r="H2719" s="87">
        <f>H2718*F2719</f>
        <v>0</v>
      </c>
      <c r="I2719" s="85" t="s">
        <v>428</v>
      </c>
      <c r="J2719" s="87" t="e">
        <f>J2718*F2719</f>
        <v>#REF!</v>
      </c>
      <c r="K2719" s="85" t="s">
        <v>428</v>
      </c>
      <c r="L2719" s="87" t="e">
        <f>L2718*F2719</f>
        <v>#REF!</v>
      </c>
    </row>
    <row r="2720" spans="1:18" ht="12" customHeight="1" x14ac:dyDescent="0.35">
      <c r="B2720" s="84" t="s">
        <v>10</v>
      </c>
      <c r="C2720" s="103" t="s">
        <v>429</v>
      </c>
      <c r="D2720" s="104"/>
      <c r="E2720" s="104"/>
      <c r="F2720" s="104"/>
      <c r="G2720" s="105"/>
      <c r="H2720" s="96">
        <f>H2718+H2719</f>
        <v>1437548.49</v>
      </c>
      <c r="I2720" s="97"/>
      <c r="J2720" s="96" t="e">
        <f>J2718+J2719</f>
        <v>#REF!</v>
      </c>
      <c r="K2720" s="97"/>
      <c r="L2720" s="96" t="e">
        <f>L2718+L2719</f>
        <v>#REF!</v>
      </c>
    </row>
    <row r="2721" spans="1:18" ht="14" customHeight="1" x14ac:dyDescent="0.35"/>
    <row r="2722" spans="1:18" ht="37" customHeight="1" x14ac:dyDescent="0.35">
      <c r="B2722" s="76" t="s">
        <v>769</v>
      </c>
      <c r="C2722" s="458" t="s">
        <v>770</v>
      </c>
      <c r="D2722" s="459"/>
      <c r="E2722" s="459"/>
      <c r="F2722" s="459"/>
      <c r="G2722" s="456"/>
      <c r="H2722" s="457"/>
      <c r="I2722" s="455" t="s">
        <v>3</v>
      </c>
      <c r="J2722" s="455"/>
      <c r="K2722" s="455" t="s">
        <v>4</v>
      </c>
      <c r="L2722" s="455"/>
    </row>
    <row r="2723" spans="1:18" ht="12" customHeight="1" x14ac:dyDescent="0.35">
      <c r="B2723" s="451" t="s">
        <v>409</v>
      </c>
      <c r="C2723" s="451" t="s">
        <v>410</v>
      </c>
      <c r="D2723" s="452" t="s">
        <v>411</v>
      </c>
      <c r="E2723" s="451" t="s">
        <v>412</v>
      </c>
      <c r="F2723" s="451" t="s">
        <v>413</v>
      </c>
      <c r="G2723" s="77" t="s">
        <v>414</v>
      </c>
      <c r="H2723" s="77" t="s">
        <v>415</v>
      </c>
      <c r="I2723" s="78" t="s">
        <v>414</v>
      </c>
      <c r="J2723" s="79" t="s">
        <v>415</v>
      </c>
      <c r="K2723" s="79" t="s">
        <v>414</v>
      </c>
      <c r="L2723" s="79" t="s">
        <v>415</v>
      </c>
    </row>
    <row r="2724" spans="1:18" ht="12" customHeight="1" x14ac:dyDescent="0.35">
      <c r="B2724" s="451"/>
      <c r="C2724" s="451"/>
      <c r="D2724" s="453"/>
      <c r="E2724" s="451"/>
      <c r="F2724" s="451"/>
      <c r="G2724" s="77" t="s">
        <v>17</v>
      </c>
      <c r="H2724" s="77" t="s">
        <v>416</v>
      </c>
      <c r="I2724" s="78" t="s">
        <v>17</v>
      </c>
      <c r="J2724" s="79" t="s">
        <v>416</v>
      </c>
      <c r="K2724" s="79" t="s">
        <v>17</v>
      </c>
      <c r="L2724" s="79" t="s">
        <v>416</v>
      </c>
    </row>
    <row r="2725" spans="1:18" ht="12" customHeight="1" x14ac:dyDescent="0.35">
      <c r="B2725" s="451"/>
      <c r="C2725" s="451"/>
      <c r="D2725" s="454"/>
      <c r="E2725" s="451"/>
      <c r="F2725" s="451"/>
      <c r="G2725" s="106"/>
      <c r="H2725" s="77" t="s">
        <v>17</v>
      </c>
      <c r="I2725" s="94"/>
      <c r="J2725" s="79" t="s">
        <v>17</v>
      </c>
      <c r="K2725" s="85"/>
      <c r="L2725" s="79" t="s">
        <v>17</v>
      </c>
    </row>
    <row r="2726" spans="1:18" ht="12" customHeight="1" x14ac:dyDescent="0.35">
      <c r="B2726" s="80" t="s">
        <v>5</v>
      </c>
      <c r="C2726" s="81" t="s">
        <v>417</v>
      </c>
      <c r="D2726" s="82"/>
      <c r="E2726" s="82"/>
      <c r="F2726" s="82"/>
      <c r="G2726" s="82"/>
      <c r="H2726" s="82"/>
      <c r="I2726" s="83"/>
      <c r="J2726" s="83"/>
      <c r="K2726" s="83"/>
      <c r="L2726" s="83"/>
    </row>
    <row r="2727" spans="1:18" ht="12" customHeight="1" x14ac:dyDescent="0.35">
      <c r="A2727" s="134">
        <v>10130000</v>
      </c>
      <c r="B2727" s="84"/>
      <c r="C2727" s="85" t="s">
        <v>28</v>
      </c>
      <c r="D2727" s="84" t="s">
        <v>418</v>
      </c>
      <c r="E2727" s="84" t="str">
        <f>VLOOKUP(C2727,HSD!B:K,2,FALSE)</f>
        <v>OH</v>
      </c>
      <c r="F2727" s="128">
        <v>1.65</v>
      </c>
      <c r="G2727" s="87">
        <f>VLOOKUP(C2727,HSD!B:K,10,FALSE)</f>
        <v>120000</v>
      </c>
      <c r="H2727" s="87">
        <f>F2727*G2727</f>
        <v>198000</v>
      </c>
      <c r="I2727" s="87">
        <v>91500</v>
      </c>
      <c r="J2727" s="87">
        <f>F2727*I2727</f>
        <v>150975</v>
      </c>
      <c r="K2727" s="87">
        <v>91500</v>
      </c>
      <c r="L2727" s="87">
        <f>F2727*K2727</f>
        <v>150975</v>
      </c>
    </row>
    <row r="2728" spans="1:18" ht="12" customHeight="1" x14ac:dyDescent="0.35">
      <c r="A2728" s="134">
        <v>10143000</v>
      </c>
      <c r="B2728" s="84"/>
      <c r="C2728" s="85" t="s">
        <v>435</v>
      </c>
      <c r="D2728" s="84" t="s">
        <v>418</v>
      </c>
      <c r="E2728" s="84" t="str">
        <f>VLOOKUP(C2728,HSD!B:K,2,FALSE)</f>
        <v>OH</v>
      </c>
      <c r="F2728" s="128">
        <v>0.27500000000000002</v>
      </c>
      <c r="G2728" s="87">
        <f>VLOOKUP(C2728,HSD!B:K,10,FALSE)</f>
        <v>250000</v>
      </c>
      <c r="H2728" s="87">
        <f>F2728*G2728</f>
        <v>68750</v>
      </c>
      <c r="I2728" s="87"/>
      <c r="J2728" s="87"/>
      <c r="K2728" s="87"/>
      <c r="L2728" s="87"/>
    </row>
    <row r="2729" spans="1:18" ht="12" customHeight="1" x14ac:dyDescent="0.35">
      <c r="A2729" s="134">
        <v>10120000</v>
      </c>
      <c r="B2729" s="84"/>
      <c r="C2729" s="85" t="s">
        <v>27</v>
      </c>
      <c r="D2729" s="84" t="s">
        <v>418</v>
      </c>
      <c r="E2729" s="84" t="str">
        <f>VLOOKUP(C2729,HSD!B:K,2,FALSE)</f>
        <v>OH</v>
      </c>
      <c r="F2729" s="128">
        <f>F2728/10</f>
        <v>2.7500000000000004E-2</v>
      </c>
      <c r="G2729" s="87">
        <f>VLOOKUP(C2729,HSD!B:K,10,FALSE)</f>
        <v>150000</v>
      </c>
      <c r="H2729" s="87">
        <f>F2729*G2729</f>
        <v>4125.0000000000009</v>
      </c>
      <c r="I2729" s="87"/>
      <c r="J2729" s="87"/>
      <c r="K2729" s="87"/>
      <c r="L2729" s="87"/>
    </row>
    <row r="2730" spans="1:18" ht="12" customHeight="1" x14ac:dyDescent="0.35">
      <c r="A2730" s="134">
        <v>10110000</v>
      </c>
      <c r="B2730" s="84"/>
      <c r="C2730" s="85" t="s">
        <v>30</v>
      </c>
      <c r="D2730" s="84" t="s">
        <v>418</v>
      </c>
      <c r="E2730" s="84" t="str">
        <f>VLOOKUP(C2730,HSD!B:K,2,FALSE)</f>
        <v>OH</v>
      </c>
      <c r="F2730" s="128">
        <f>F2727/10</f>
        <v>0.16499999999999998</v>
      </c>
      <c r="G2730" s="87">
        <f>VLOOKUP(C2730,HSD!B:K,10,FALSE)</f>
        <v>150000</v>
      </c>
      <c r="H2730" s="87">
        <f>F2730*G2730</f>
        <v>24749.999999999996</v>
      </c>
      <c r="I2730" s="87">
        <v>92500</v>
      </c>
      <c r="J2730" s="87">
        <f>F2730*I2730</f>
        <v>15262.499999999998</v>
      </c>
      <c r="K2730" s="87">
        <v>92500</v>
      </c>
      <c r="L2730" s="87">
        <f>F2730*K2730</f>
        <v>15262.499999999998</v>
      </c>
    </row>
    <row r="2731" spans="1:18" ht="12" customHeight="1" x14ac:dyDescent="0.35">
      <c r="B2731" s="84"/>
      <c r="C2731" s="85"/>
      <c r="D2731" s="84"/>
      <c r="E2731" s="84"/>
      <c r="F2731" s="86"/>
      <c r="G2731" s="87"/>
      <c r="H2731" s="87"/>
      <c r="I2731" s="87"/>
      <c r="J2731" s="87"/>
      <c r="K2731" s="87"/>
      <c r="L2731" s="87"/>
    </row>
    <row r="2732" spans="1:18" ht="12" customHeight="1" x14ac:dyDescent="0.35">
      <c r="B2732" s="84"/>
      <c r="C2732" s="88"/>
      <c r="D2732" s="79"/>
      <c r="E2732" s="79"/>
      <c r="F2732" s="89" t="s">
        <v>421</v>
      </c>
      <c r="G2732" s="101"/>
      <c r="H2732" s="87">
        <f>SUM(H2727:H2731)</f>
        <v>295625</v>
      </c>
      <c r="I2732" s="101"/>
      <c r="J2732" s="87">
        <f>SUM(J2730:J2731)</f>
        <v>15262.499999999998</v>
      </c>
      <c r="K2732" s="101"/>
      <c r="L2732" s="87">
        <f>SUM(L2730:L2731)</f>
        <v>15262.499999999998</v>
      </c>
    </row>
    <row r="2733" spans="1:18" ht="12" customHeight="1" x14ac:dyDescent="0.35">
      <c r="B2733" s="84" t="s">
        <v>6</v>
      </c>
      <c r="C2733" s="88" t="s">
        <v>422</v>
      </c>
      <c r="D2733" s="79"/>
      <c r="E2733" s="79"/>
      <c r="F2733" s="90"/>
      <c r="G2733" s="84"/>
      <c r="H2733" s="87"/>
      <c r="I2733" s="84"/>
      <c r="J2733" s="87"/>
      <c r="K2733" s="84"/>
      <c r="L2733" s="87"/>
    </row>
    <row r="2734" spans="1:18" ht="26" customHeight="1" x14ac:dyDescent="0.35">
      <c r="A2734" s="134">
        <v>21301000</v>
      </c>
      <c r="B2734" s="84"/>
      <c r="C2734" s="85" t="s">
        <v>60</v>
      </c>
      <c r="D2734" s="84" t="s">
        <v>418</v>
      </c>
      <c r="E2734" s="84" t="str">
        <f>VLOOKUP(C2734,HSD!B:K,2,FALSE)</f>
        <v>kg</v>
      </c>
      <c r="F2734" s="128">
        <v>348</v>
      </c>
      <c r="G2734" s="87">
        <f>VLOOKUP(C2734,HSD!B:K,10,FALSE)</f>
        <v>2331</v>
      </c>
      <c r="H2734" s="87">
        <f>F2734*G2734</f>
        <v>811188</v>
      </c>
      <c r="I2734" s="87">
        <v>232500</v>
      </c>
      <c r="J2734" s="87">
        <f>F2734*I2734</f>
        <v>80910000</v>
      </c>
      <c r="K2734" s="87">
        <v>270000</v>
      </c>
      <c r="L2734" s="87">
        <f>F2734*K2734</f>
        <v>93960000</v>
      </c>
    </row>
    <row r="2735" spans="1:18" ht="12" customHeight="1" x14ac:dyDescent="0.35">
      <c r="A2735" s="134">
        <v>211100115</v>
      </c>
      <c r="B2735" s="84"/>
      <c r="C2735" s="85" t="s">
        <v>51</v>
      </c>
      <c r="D2735" s="84" t="s">
        <v>418</v>
      </c>
      <c r="E2735" s="84" t="str">
        <f>VLOOKUP(C2735,HSD!B:K,2,FALSE)</f>
        <v>kg</v>
      </c>
      <c r="F2735" s="128">
        <v>790</v>
      </c>
      <c r="G2735" s="87">
        <f>VLOOKUP(C2735,HSD!B:K,10,FALSE)</f>
        <v>203</v>
      </c>
      <c r="H2735" s="87">
        <f>F2735*G2735</f>
        <v>160370</v>
      </c>
      <c r="I2735" s="87">
        <v>1060</v>
      </c>
      <c r="J2735" s="87">
        <f>F2735*I2735</f>
        <v>837400</v>
      </c>
      <c r="K2735" s="87">
        <v>1060</v>
      </c>
      <c r="L2735" s="87">
        <f>F2735*K2735</f>
        <v>837400</v>
      </c>
      <c r="N2735" s="75">
        <v>1</v>
      </c>
      <c r="O2735" s="75" t="s">
        <v>40</v>
      </c>
      <c r="P2735" s="75" t="s">
        <v>765</v>
      </c>
      <c r="Q2735" s="75">
        <v>6.2500000000000001E-4</v>
      </c>
      <c r="R2735" s="75" t="s">
        <v>43</v>
      </c>
    </row>
    <row r="2736" spans="1:18" ht="12" customHeight="1" x14ac:dyDescent="0.35">
      <c r="A2736" s="134" t="s">
        <v>766</v>
      </c>
      <c r="B2736" s="84"/>
      <c r="C2736" s="85" t="s">
        <v>1800</v>
      </c>
      <c r="D2736" s="84" t="s">
        <v>418</v>
      </c>
      <c r="E2736" s="84" t="str">
        <f>VLOOKUP(C2736,HSD!B:K,2,FALSE)</f>
        <v>kg</v>
      </c>
      <c r="F2736" s="128">
        <v>1009</v>
      </c>
      <c r="G2736" s="87">
        <f>VLOOKUP(C2736,HSD!B:K,10,FALSE)</f>
        <v>242.61</v>
      </c>
      <c r="H2736" s="87">
        <f>F2736*G2736</f>
        <v>244793.49000000002</v>
      </c>
      <c r="I2736" s="87">
        <v>215000</v>
      </c>
      <c r="J2736" s="87">
        <f>F2736*I2736</f>
        <v>216935000</v>
      </c>
      <c r="K2736" s="87">
        <v>250000</v>
      </c>
      <c r="L2736" s="87">
        <f>F2736*K2736</f>
        <v>252250000</v>
      </c>
      <c r="N2736" s="75">
        <f>N2735/Q2735</f>
        <v>1600</v>
      </c>
      <c r="O2736" s="75" t="s">
        <v>40</v>
      </c>
      <c r="P2736" s="75" t="s">
        <v>765</v>
      </c>
      <c r="Q2736" s="75">
        <v>1</v>
      </c>
      <c r="R2736" s="75" t="s">
        <v>43</v>
      </c>
    </row>
    <row r="2737" spans="1:12" ht="12" customHeight="1" x14ac:dyDescent="0.35">
      <c r="A2737" s="134">
        <v>21962000</v>
      </c>
      <c r="B2737" s="84"/>
      <c r="C2737" s="85" t="s">
        <v>212</v>
      </c>
      <c r="D2737" s="84" t="s">
        <v>418</v>
      </c>
      <c r="E2737" s="84" t="str">
        <f>VLOOKUP(C2737,HSD!B:K,2,FALSE)</f>
        <v>liter</v>
      </c>
      <c r="F2737" s="128">
        <v>202</v>
      </c>
      <c r="G2737" s="87">
        <f>VLOOKUP(C2737,HSD!B:K,10,FALSE)</f>
        <v>74</v>
      </c>
      <c r="H2737" s="87">
        <f>F2737*G2737</f>
        <v>14948</v>
      </c>
      <c r="I2737" s="87"/>
      <c r="J2737" s="87"/>
      <c r="K2737" s="87"/>
      <c r="L2737" s="87"/>
    </row>
    <row r="2738" spans="1:12" ht="12" customHeight="1" x14ac:dyDescent="0.35">
      <c r="B2738" s="84"/>
      <c r="C2738" s="88"/>
      <c r="D2738" s="79"/>
      <c r="E2738" s="79"/>
      <c r="F2738" s="129" t="s">
        <v>423</v>
      </c>
      <c r="G2738" s="129"/>
      <c r="H2738" s="87">
        <f>SUM(H2734:H2737)</f>
        <v>1231299.49</v>
      </c>
      <c r="I2738" s="101"/>
      <c r="J2738" s="87" t="e">
        <f>SUM(#REF!)</f>
        <v>#REF!</v>
      </c>
      <c r="K2738" s="101"/>
      <c r="L2738" s="87" t="e">
        <f>SUM(#REF!)</f>
        <v>#REF!</v>
      </c>
    </row>
    <row r="2739" spans="1:12" ht="12" customHeight="1" x14ac:dyDescent="0.35">
      <c r="B2739" s="84" t="s">
        <v>7</v>
      </c>
      <c r="C2739" s="88" t="s">
        <v>424</v>
      </c>
      <c r="D2739" s="79"/>
      <c r="E2739" s="79"/>
      <c r="F2739" s="90"/>
      <c r="G2739" s="84"/>
      <c r="H2739" s="87"/>
      <c r="I2739" s="84"/>
      <c r="J2739" s="87"/>
      <c r="K2739" s="84"/>
      <c r="L2739" s="87"/>
    </row>
    <row r="2740" spans="1:12" ht="12" customHeight="1" x14ac:dyDescent="0.35">
      <c r="B2740" s="84"/>
      <c r="C2740" s="85"/>
      <c r="D2740" s="84"/>
      <c r="E2740" s="84"/>
      <c r="F2740" s="128"/>
      <c r="G2740" s="87"/>
      <c r="H2740" s="87">
        <f>F2740*G2740</f>
        <v>0</v>
      </c>
      <c r="I2740" s="87"/>
      <c r="J2740" s="87">
        <f>H2740*I2740</f>
        <v>0</v>
      </c>
      <c r="K2740" s="87"/>
      <c r="L2740" s="87">
        <f>J2740*K2740</f>
        <v>0</v>
      </c>
    </row>
    <row r="2741" spans="1:12" ht="12" customHeight="1" x14ac:dyDescent="0.35">
      <c r="B2741" s="84"/>
      <c r="C2741" s="85"/>
      <c r="D2741" s="84"/>
      <c r="E2741" s="84"/>
      <c r="F2741" s="128"/>
      <c r="G2741" s="87"/>
      <c r="H2741" s="87">
        <f>F2741*G2741</f>
        <v>0</v>
      </c>
      <c r="I2741" s="87"/>
      <c r="J2741" s="87"/>
      <c r="K2741" s="87"/>
      <c r="L2741" s="87"/>
    </row>
    <row r="2742" spans="1:12" ht="12" customHeight="1" x14ac:dyDescent="0.35">
      <c r="B2742" s="84"/>
      <c r="C2742" s="85"/>
      <c r="D2742" s="84"/>
      <c r="E2742" s="84"/>
      <c r="F2742" s="128"/>
      <c r="G2742" s="87"/>
      <c r="H2742" s="87">
        <f>F2742*G2742</f>
        <v>0</v>
      </c>
      <c r="I2742" s="87"/>
      <c r="J2742" s="87"/>
      <c r="K2742" s="87"/>
      <c r="L2742" s="87"/>
    </row>
    <row r="2743" spans="1:12" ht="12" customHeight="1" x14ac:dyDescent="0.35">
      <c r="B2743" s="84"/>
      <c r="C2743" s="88"/>
      <c r="D2743" s="79"/>
      <c r="E2743" s="79"/>
      <c r="F2743" s="89" t="s">
        <v>425</v>
      </c>
      <c r="G2743" s="101"/>
      <c r="H2743" s="87">
        <f>SUM(H2740:H2742)</f>
        <v>0</v>
      </c>
      <c r="I2743" s="101"/>
      <c r="J2743" s="87">
        <f>SUM(J2740)</f>
        <v>0</v>
      </c>
      <c r="K2743" s="101"/>
      <c r="L2743" s="87">
        <f>SUM(L2740)</f>
        <v>0</v>
      </c>
    </row>
    <row r="2744" spans="1:12" ht="12" customHeight="1" x14ac:dyDescent="0.35">
      <c r="B2744" s="84" t="s">
        <v>8</v>
      </c>
      <c r="C2744" s="103" t="s">
        <v>426</v>
      </c>
      <c r="D2744" s="104"/>
      <c r="E2744" s="104"/>
      <c r="F2744" s="104"/>
      <c r="G2744" s="105"/>
      <c r="H2744" s="87">
        <f>H2732+H2738+H2743</f>
        <v>1526924.49</v>
      </c>
      <c r="I2744" s="105"/>
      <c r="J2744" s="87" t="e">
        <f>J2732+J2738+J2743</f>
        <v>#REF!</v>
      </c>
      <c r="K2744" s="105"/>
      <c r="L2744" s="87" t="e">
        <f>L2732+L2738+L2743</f>
        <v>#REF!</v>
      </c>
    </row>
    <row r="2745" spans="1:12" ht="12" customHeight="1" x14ac:dyDescent="0.35">
      <c r="B2745" s="84" t="s">
        <v>9</v>
      </c>
      <c r="C2745" s="455" t="s">
        <v>427</v>
      </c>
      <c r="D2745" s="455"/>
      <c r="E2745" s="455"/>
      <c r="F2745" s="95">
        <f>0</f>
        <v>0</v>
      </c>
      <c r="G2745" s="85" t="s">
        <v>428</v>
      </c>
      <c r="H2745" s="87">
        <f>H2744*F2745</f>
        <v>0</v>
      </c>
      <c r="I2745" s="85" t="s">
        <v>428</v>
      </c>
      <c r="J2745" s="87" t="e">
        <f>J2744*F2745</f>
        <v>#REF!</v>
      </c>
      <c r="K2745" s="85" t="s">
        <v>428</v>
      </c>
      <c r="L2745" s="87" t="e">
        <f>L2744*F2745</f>
        <v>#REF!</v>
      </c>
    </row>
    <row r="2746" spans="1:12" ht="12" customHeight="1" x14ac:dyDescent="0.35">
      <c r="B2746" s="84" t="s">
        <v>10</v>
      </c>
      <c r="C2746" s="103" t="s">
        <v>429</v>
      </c>
      <c r="D2746" s="104"/>
      <c r="E2746" s="104"/>
      <c r="F2746" s="104"/>
      <c r="G2746" s="105"/>
      <c r="H2746" s="96">
        <f>H2744+H2745</f>
        <v>1526924.49</v>
      </c>
      <c r="I2746" s="97"/>
      <c r="J2746" s="96" t="e">
        <f>J2744+J2745</f>
        <v>#REF!</v>
      </c>
      <c r="K2746" s="97"/>
      <c r="L2746" s="96" t="e">
        <f>L2744+L2745</f>
        <v>#REF!</v>
      </c>
    </row>
    <row r="2747" spans="1:12" ht="14" customHeight="1" x14ac:dyDescent="0.35"/>
    <row r="2748" spans="1:12" ht="37" customHeight="1" x14ac:dyDescent="0.35">
      <c r="B2748" s="76" t="s">
        <v>771</v>
      </c>
      <c r="C2748" s="458" t="s">
        <v>772</v>
      </c>
      <c r="D2748" s="459"/>
      <c r="E2748" s="459"/>
      <c r="F2748" s="459"/>
      <c r="G2748" s="456"/>
      <c r="H2748" s="457"/>
      <c r="I2748" s="455" t="s">
        <v>3</v>
      </c>
      <c r="J2748" s="455"/>
      <c r="K2748" s="455" t="s">
        <v>4</v>
      </c>
      <c r="L2748" s="455"/>
    </row>
    <row r="2749" spans="1:12" ht="12" customHeight="1" x14ac:dyDescent="0.35">
      <c r="B2749" s="451" t="s">
        <v>409</v>
      </c>
      <c r="C2749" s="451" t="s">
        <v>410</v>
      </c>
      <c r="D2749" s="452" t="s">
        <v>411</v>
      </c>
      <c r="E2749" s="451" t="s">
        <v>412</v>
      </c>
      <c r="F2749" s="451" t="s">
        <v>413</v>
      </c>
      <c r="G2749" s="77" t="s">
        <v>414</v>
      </c>
      <c r="H2749" s="77" t="s">
        <v>415</v>
      </c>
      <c r="I2749" s="78" t="s">
        <v>414</v>
      </c>
      <c r="J2749" s="79" t="s">
        <v>415</v>
      </c>
      <c r="K2749" s="79" t="s">
        <v>414</v>
      </c>
      <c r="L2749" s="79" t="s">
        <v>415</v>
      </c>
    </row>
    <row r="2750" spans="1:12" ht="12" customHeight="1" x14ac:dyDescent="0.35">
      <c r="B2750" s="451"/>
      <c r="C2750" s="451"/>
      <c r="D2750" s="453"/>
      <c r="E2750" s="451"/>
      <c r="F2750" s="451"/>
      <c r="G2750" s="77" t="s">
        <v>17</v>
      </c>
      <c r="H2750" s="77" t="s">
        <v>416</v>
      </c>
      <c r="I2750" s="78" t="s">
        <v>17</v>
      </c>
      <c r="J2750" s="79" t="s">
        <v>416</v>
      </c>
      <c r="K2750" s="79" t="s">
        <v>17</v>
      </c>
      <c r="L2750" s="79" t="s">
        <v>416</v>
      </c>
    </row>
    <row r="2751" spans="1:12" ht="12" customHeight="1" x14ac:dyDescent="0.35">
      <c r="B2751" s="451"/>
      <c r="C2751" s="451"/>
      <c r="D2751" s="454"/>
      <c r="E2751" s="451"/>
      <c r="F2751" s="451"/>
      <c r="G2751" s="106"/>
      <c r="H2751" s="77" t="s">
        <v>17</v>
      </c>
      <c r="I2751" s="94"/>
      <c r="J2751" s="79" t="s">
        <v>17</v>
      </c>
      <c r="K2751" s="85"/>
      <c r="L2751" s="79" t="s">
        <v>17</v>
      </c>
    </row>
    <row r="2752" spans="1:12" ht="12" customHeight="1" x14ac:dyDescent="0.35">
      <c r="B2752" s="80" t="s">
        <v>5</v>
      </c>
      <c r="C2752" s="81" t="s">
        <v>417</v>
      </c>
      <c r="D2752" s="82"/>
      <c r="E2752" s="82"/>
      <c r="F2752" s="82"/>
      <c r="G2752" s="82"/>
      <c r="H2752" s="82"/>
      <c r="I2752" s="83"/>
      <c r="J2752" s="83"/>
      <c r="K2752" s="83"/>
      <c r="L2752" s="83"/>
    </row>
    <row r="2753" spans="1:18" ht="12" customHeight="1" x14ac:dyDescent="0.35">
      <c r="A2753" s="134">
        <v>10130000</v>
      </c>
      <c r="B2753" s="84"/>
      <c r="C2753" s="85" t="s">
        <v>28</v>
      </c>
      <c r="D2753" s="84" t="s">
        <v>418</v>
      </c>
      <c r="E2753" s="84" t="str">
        <f>VLOOKUP(C2753,HSD!B:K,2,FALSE)</f>
        <v>OH</v>
      </c>
      <c r="F2753" s="128">
        <v>1.65</v>
      </c>
      <c r="G2753" s="87">
        <f>VLOOKUP(C2753,HSD!B:K,10,FALSE)</f>
        <v>120000</v>
      </c>
      <c r="H2753" s="87">
        <f>F2753*G2753</f>
        <v>198000</v>
      </c>
      <c r="I2753" s="87">
        <v>91500</v>
      </c>
      <c r="J2753" s="87">
        <f>F2753*I2753</f>
        <v>150975</v>
      </c>
      <c r="K2753" s="87">
        <v>91500</v>
      </c>
      <c r="L2753" s="87">
        <f>F2753*K2753</f>
        <v>150975</v>
      </c>
    </row>
    <row r="2754" spans="1:18" ht="12" customHeight="1" x14ac:dyDescent="0.35">
      <c r="A2754" s="134">
        <v>10143000</v>
      </c>
      <c r="B2754" s="84"/>
      <c r="C2754" s="85" t="s">
        <v>435</v>
      </c>
      <c r="D2754" s="84" t="s">
        <v>418</v>
      </c>
      <c r="E2754" s="84" t="str">
        <f>VLOOKUP(C2754,HSD!B:K,2,FALSE)</f>
        <v>OH</v>
      </c>
      <c r="F2754" s="128">
        <v>0.27500000000000002</v>
      </c>
      <c r="G2754" s="87">
        <f>VLOOKUP(C2754,HSD!B:K,10,FALSE)</f>
        <v>250000</v>
      </c>
      <c r="H2754" s="87">
        <f>F2754*G2754</f>
        <v>68750</v>
      </c>
      <c r="I2754" s="87"/>
      <c r="J2754" s="87"/>
      <c r="K2754" s="87"/>
      <c r="L2754" s="87"/>
    </row>
    <row r="2755" spans="1:18" ht="12" customHeight="1" x14ac:dyDescent="0.35">
      <c r="A2755" s="134">
        <v>10120000</v>
      </c>
      <c r="B2755" s="84"/>
      <c r="C2755" s="85" t="s">
        <v>27</v>
      </c>
      <c r="D2755" s="84" t="s">
        <v>418</v>
      </c>
      <c r="E2755" s="84" t="str">
        <f>VLOOKUP(C2755,HSD!B:K,2,FALSE)</f>
        <v>OH</v>
      </c>
      <c r="F2755" s="128">
        <f>F2754/10</f>
        <v>2.7500000000000004E-2</v>
      </c>
      <c r="G2755" s="87">
        <f>VLOOKUP(C2755,HSD!B:K,10,FALSE)</f>
        <v>150000</v>
      </c>
      <c r="H2755" s="87">
        <f>F2755*G2755</f>
        <v>4125.0000000000009</v>
      </c>
      <c r="I2755" s="87"/>
      <c r="J2755" s="87"/>
      <c r="K2755" s="87"/>
      <c r="L2755" s="87"/>
    </row>
    <row r="2756" spans="1:18" ht="12" customHeight="1" x14ac:dyDescent="0.35">
      <c r="A2756" s="134">
        <v>10110000</v>
      </c>
      <c r="B2756" s="84"/>
      <c r="C2756" s="85" t="s">
        <v>30</v>
      </c>
      <c r="D2756" s="84" t="s">
        <v>418</v>
      </c>
      <c r="E2756" s="84" t="str">
        <f>VLOOKUP(C2756,HSD!B:K,2,FALSE)</f>
        <v>OH</v>
      </c>
      <c r="F2756" s="128">
        <f>F2753/10</f>
        <v>0.16499999999999998</v>
      </c>
      <c r="G2756" s="87">
        <f>VLOOKUP(C2756,HSD!B:K,10,FALSE)</f>
        <v>150000</v>
      </c>
      <c r="H2756" s="87">
        <f>F2756*G2756</f>
        <v>24749.999999999996</v>
      </c>
      <c r="I2756" s="87">
        <v>92500</v>
      </c>
      <c r="J2756" s="87">
        <f>F2756*I2756</f>
        <v>15262.499999999998</v>
      </c>
      <c r="K2756" s="87">
        <v>92500</v>
      </c>
      <c r="L2756" s="87">
        <f>F2756*K2756</f>
        <v>15262.499999999998</v>
      </c>
    </row>
    <row r="2757" spans="1:18" ht="12" customHeight="1" x14ac:dyDescent="0.35">
      <c r="B2757" s="84"/>
      <c r="C2757" s="85"/>
      <c r="D2757" s="84"/>
      <c r="E2757" s="84"/>
      <c r="F2757" s="86"/>
      <c r="G2757" s="87"/>
      <c r="H2757" s="87"/>
      <c r="I2757" s="87"/>
      <c r="J2757" s="87"/>
      <c r="K2757" s="87"/>
      <c r="L2757" s="87"/>
    </row>
    <row r="2758" spans="1:18" ht="12" customHeight="1" x14ac:dyDescent="0.35">
      <c r="B2758" s="84"/>
      <c r="C2758" s="88"/>
      <c r="D2758" s="79"/>
      <c r="E2758" s="79"/>
      <c r="F2758" s="89" t="s">
        <v>421</v>
      </c>
      <c r="G2758" s="101"/>
      <c r="H2758" s="87">
        <f>SUM(H2753:H2757)</f>
        <v>295625</v>
      </c>
      <c r="I2758" s="101"/>
      <c r="J2758" s="87">
        <f>SUM(J2756:J2757)</f>
        <v>15262.499999999998</v>
      </c>
      <c r="K2758" s="101"/>
      <c r="L2758" s="87">
        <f>SUM(L2756:L2757)</f>
        <v>15262.499999999998</v>
      </c>
    </row>
    <row r="2759" spans="1:18" ht="12" customHeight="1" x14ac:dyDescent="0.35">
      <c r="B2759" s="84" t="s">
        <v>6</v>
      </c>
      <c r="C2759" s="88" t="s">
        <v>422</v>
      </c>
      <c r="D2759" s="79"/>
      <c r="E2759" s="79"/>
      <c r="F2759" s="90"/>
      <c r="G2759" s="84"/>
      <c r="H2759" s="87"/>
      <c r="I2759" s="84"/>
      <c r="J2759" s="87"/>
      <c r="K2759" s="84"/>
      <c r="L2759" s="87"/>
    </row>
    <row r="2760" spans="1:18" ht="26" customHeight="1" x14ac:dyDescent="0.35">
      <c r="A2760" s="134">
        <v>21301000</v>
      </c>
      <c r="B2760" s="84"/>
      <c r="C2760" s="85" t="s">
        <v>60</v>
      </c>
      <c r="D2760" s="84" t="s">
        <v>418</v>
      </c>
      <c r="E2760" s="84" t="str">
        <f>VLOOKUP(C2760,HSD!B:K,2,FALSE)</f>
        <v>kg</v>
      </c>
      <c r="F2760" s="128">
        <v>407</v>
      </c>
      <c r="G2760" s="87">
        <f>VLOOKUP(C2760,HSD!B:K,10,FALSE)</f>
        <v>2331</v>
      </c>
      <c r="H2760" s="87">
        <f>F2760*G2760</f>
        <v>948717</v>
      </c>
      <c r="I2760" s="87">
        <v>232500</v>
      </c>
      <c r="J2760" s="87">
        <f>F2760*I2760</f>
        <v>94627500</v>
      </c>
      <c r="K2760" s="87">
        <v>270000</v>
      </c>
      <c r="L2760" s="87">
        <f>F2760*K2760</f>
        <v>109890000</v>
      </c>
    </row>
    <row r="2761" spans="1:18" ht="12" customHeight="1" x14ac:dyDescent="0.35">
      <c r="A2761" s="134">
        <v>211100115</v>
      </c>
      <c r="B2761" s="84"/>
      <c r="C2761" s="85" t="s">
        <v>51</v>
      </c>
      <c r="D2761" s="84" t="s">
        <v>418</v>
      </c>
      <c r="E2761" s="84" t="str">
        <f>VLOOKUP(C2761,HSD!B:K,2,FALSE)</f>
        <v>kg</v>
      </c>
      <c r="F2761" s="128">
        <v>731</v>
      </c>
      <c r="G2761" s="87">
        <f>VLOOKUP(C2761,HSD!B:K,10,FALSE)</f>
        <v>203</v>
      </c>
      <c r="H2761" s="87">
        <f>F2761*G2761</f>
        <v>148393</v>
      </c>
      <c r="I2761" s="87">
        <v>1060</v>
      </c>
      <c r="J2761" s="87">
        <f>F2761*I2761</f>
        <v>774860</v>
      </c>
      <c r="K2761" s="87">
        <v>1060</v>
      </c>
      <c r="L2761" s="87">
        <f>F2761*K2761</f>
        <v>774860</v>
      </c>
      <c r="N2761" s="75">
        <v>1</v>
      </c>
      <c r="O2761" s="75" t="s">
        <v>40</v>
      </c>
      <c r="P2761" s="75" t="s">
        <v>765</v>
      </c>
      <c r="Q2761" s="75">
        <v>6.2500000000000001E-4</v>
      </c>
      <c r="R2761" s="75" t="s">
        <v>43</v>
      </c>
    </row>
    <row r="2762" spans="1:18" ht="12" customHeight="1" x14ac:dyDescent="0.35">
      <c r="A2762" s="134" t="s">
        <v>766</v>
      </c>
      <c r="B2762" s="84"/>
      <c r="C2762" s="85" t="s">
        <v>1800</v>
      </c>
      <c r="D2762" s="84" t="s">
        <v>418</v>
      </c>
      <c r="E2762" s="84" t="str">
        <f>VLOOKUP(C2762,HSD!B:K,2,FALSE)</f>
        <v>kg</v>
      </c>
      <c r="F2762" s="128">
        <v>1009</v>
      </c>
      <c r="G2762" s="87">
        <f>VLOOKUP(C2762,HSD!B:K,10,FALSE)</f>
        <v>242.61</v>
      </c>
      <c r="H2762" s="87">
        <f>F2762*G2762</f>
        <v>244793.49000000002</v>
      </c>
      <c r="I2762" s="87">
        <v>215000</v>
      </c>
      <c r="J2762" s="87">
        <f>F2762*I2762</f>
        <v>216935000</v>
      </c>
      <c r="K2762" s="87">
        <v>250000</v>
      </c>
      <c r="L2762" s="87">
        <f>F2762*K2762</f>
        <v>252250000</v>
      </c>
      <c r="N2762" s="75">
        <f>N2761/Q2761</f>
        <v>1600</v>
      </c>
      <c r="O2762" s="75" t="s">
        <v>40</v>
      </c>
      <c r="P2762" s="75" t="s">
        <v>765</v>
      </c>
      <c r="Q2762" s="75">
        <v>1</v>
      </c>
      <c r="R2762" s="75" t="s">
        <v>43</v>
      </c>
    </row>
    <row r="2763" spans="1:18" ht="12" customHeight="1" x14ac:dyDescent="0.35">
      <c r="A2763" s="134">
        <v>21962000</v>
      </c>
      <c r="B2763" s="84"/>
      <c r="C2763" s="85" t="s">
        <v>212</v>
      </c>
      <c r="D2763" s="84" t="s">
        <v>418</v>
      </c>
      <c r="E2763" s="84" t="str">
        <f>VLOOKUP(C2763,HSD!B:K,2,FALSE)</f>
        <v>liter</v>
      </c>
      <c r="F2763" s="128">
        <v>202</v>
      </c>
      <c r="G2763" s="87">
        <f>VLOOKUP(C2763,HSD!B:K,10,FALSE)</f>
        <v>74</v>
      </c>
      <c r="H2763" s="87">
        <f>F2763*G2763</f>
        <v>14948</v>
      </c>
      <c r="I2763" s="87"/>
      <c r="J2763" s="87"/>
      <c r="K2763" s="87"/>
      <c r="L2763" s="87"/>
    </row>
    <row r="2764" spans="1:18" ht="12" customHeight="1" x14ac:dyDescent="0.35">
      <c r="B2764" s="84"/>
      <c r="C2764" s="88"/>
      <c r="D2764" s="79"/>
      <c r="E2764" s="79"/>
      <c r="F2764" s="129" t="s">
        <v>423</v>
      </c>
      <c r="G2764" s="129"/>
      <c r="H2764" s="87">
        <f>SUM(H2760:H2763)</f>
        <v>1356851.49</v>
      </c>
      <c r="I2764" s="101"/>
      <c r="J2764" s="87" t="e">
        <f>SUM(#REF!)</f>
        <v>#REF!</v>
      </c>
      <c r="K2764" s="101"/>
      <c r="L2764" s="87" t="e">
        <f>SUM(#REF!)</f>
        <v>#REF!</v>
      </c>
    </row>
    <row r="2765" spans="1:18" ht="12" customHeight="1" x14ac:dyDescent="0.35">
      <c r="B2765" s="84" t="s">
        <v>7</v>
      </c>
      <c r="C2765" s="88" t="s">
        <v>424</v>
      </c>
      <c r="D2765" s="79"/>
      <c r="E2765" s="79"/>
      <c r="F2765" s="90"/>
      <c r="G2765" s="84"/>
      <c r="H2765" s="87"/>
      <c r="I2765" s="84"/>
      <c r="J2765" s="87"/>
      <c r="K2765" s="84"/>
      <c r="L2765" s="87"/>
    </row>
    <row r="2766" spans="1:18" ht="12" customHeight="1" x14ac:dyDescent="0.35">
      <c r="B2766" s="84"/>
      <c r="C2766" s="85"/>
      <c r="D2766" s="84"/>
      <c r="E2766" s="84"/>
      <c r="F2766" s="128"/>
      <c r="G2766" s="87"/>
      <c r="H2766" s="87">
        <f>F2766*G2766</f>
        <v>0</v>
      </c>
      <c r="I2766" s="87"/>
      <c r="J2766" s="87">
        <f>H2766*I2766</f>
        <v>0</v>
      </c>
      <c r="K2766" s="87"/>
      <c r="L2766" s="87">
        <f>J2766*K2766</f>
        <v>0</v>
      </c>
    </row>
    <row r="2767" spans="1:18" ht="12" customHeight="1" x14ac:dyDescent="0.35">
      <c r="B2767" s="84"/>
      <c r="C2767" s="85"/>
      <c r="D2767" s="84"/>
      <c r="E2767" s="84"/>
      <c r="F2767" s="128"/>
      <c r="G2767" s="87"/>
      <c r="H2767" s="87">
        <f>F2767*G2767</f>
        <v>0</v>
      </c>
      <c r="I2767" s="87"/>
      <c r="J2767" s="87"/>
      <c r="K2767" s="87"/>
      <c r="L2767" s="87"/>
    </row>
    <row r="2768" spans="1:18" ht="12" customHeight="1" x14ac:dyDescent="0.35">
      <c r="B2768" s="84"/>
      <c r="C2768" s="85"/>
      <c r="D2768" s="84"/>
      <c r="E2768" s="84"/>
      <c r="F2768" s="128"/>
      <c r="G2768" s="87"/>
      <c r="H2768" s="87">
        <f>F2768*G2768</f>
        <v>0</v>
      </c>
      <c r="I2768" s="87"/>
      <c r="J2768" s="87"/>
      <c r="K2768" s="87"/>
      <c r="L2768" s="87"/>
    </row>
    <row r="2769" spans="1:12" ht="12" customHeight="1" x14ac:dyDescent="0.35">
      <c r="B2769" s="84"/>
      <c r="C2769" s="88"/>
      <c r="D2769" s="79"/>
      <c r="E2769" s="79"/>
      <c r="F2769" s="89" t="s">
        <v>425</v>
      </c>
      <c r="G2769" s="101"/>
      <c r="H2769" s="87">
        <f>SUM(H2766:H2768)</f>
        <v>0</v>
      </c>
      <c r="I2769" s="101"/>
      <c r="J2769" s="87">
        <f>SUM(J2766)</f>
        <v>0</v>
      </c>
      <c r="K2769" s="101"/>
      <c r="L2769" s="87">
        <f>SUM(L2766)</f>
        <v>0</v>
      </c>
    </row>
    <row r="2770" spans="1:12" ht="12" customHeight="1" x14ac:dyDescent="0.35">
      <c r="B2770" s="84" t="s">
        <v>8</v>
      </c>
      <c r="C2770" s="103" t="s">
        <v>426</v>
      </c>
      <c r="D2770" s="104"/>
      <c r="E2770" s="104"/>
      <c r="F2770" s="104"/>
      <c r="G2770" s="105"/>
      <c r="H2770" s="87">
        <f>H2758+H2764+H2769</f>
        <v>1652476.49</v>
      </c>
      <c r="I2770" s="105"/>
      <c r="J2770" s="87" t="e">
        <f>J2758+J2764+J2769</f>
        <v>#REF!</v>
      </c>
      <c r="K2770" s="105"/>
      <c r="L2770" s="87" t="e">
        <f>L2758+L2764+L2769</f>
        <v>#REF!</v>
      </c>
    </row>
    <row r="2771" spans="1:12" ht="12" customHeight="1" x14ac:dyDescent="0.35">
      <c r="B2771" s="84" t="s">
        <v>9</v>
      </c>
      <c r="C2771" s="455" t="s">
        <v>427</v>
      </c>
      <c r="D2771" s="455"/>
      <c r="E2771" s="455"/>
      <c r="F2771" s="95">
        <f>0</f>
        <v>0</v>
      </c>
      <c r="G2771" s="85" t="s">
        <v>428</v>
      </c>
      <c r="H2771" s="87">
        <f>H2770*F2771</f>
        <v>0</v>
      </c>
      <c r="I2771" s="85" t="s">
        <v>428</v>
      </c>
      <c r="J2771" s="87" t="e">
        <f>J2770*F2771</f>
        <v>#REF!</v>
      </c>
      <c r="K2771" s="85" t="s">
        <v>428</v>
      </c>
      <c r="L2771" s="87" t="e">
        <f>L2770*F2771</f>
        <v>#REF!</v>
      </c>
    </row>
    <row r="2772" spans="1:12" ht="12" customHeight="1" x14ac:dyDescent="0.35">
      <c r="B2772" s="84" t="s">
        <v>10</v>
      </c>
      <c r="C2772" s="103" t="s">
        <v>429</v>
      </c>
      <c r="D2772" s="104"/>
      <c r="E2772" s="104"/>
      <c r="F2772" s="104"/>
      <c r="G2772" s="105"/>
      <c r="H2772" s="96">
        <f>H2770+H2771</f>
        <v>1652476.49</v>
      </c>
      <c r="I2772" s="97"/>
      <c r="J2772" s="96" t="e">
        <f>J2770+J2771</f>
        <v>#REF!</v>
      </c>
      <c r="K2772" s="97"/>
      <c r="L2772" s="96" t="e">
        <f>L2770+L2771</f>
        <v>#REF!</v>
      </c>
    </row>
    <row r="2773" spans="1:12" ht="14" customHeight="1" x14ac:dyDescent="0.35"/>
    <row r="2774" spans="1:12" ht="37" customHeight="1" x14ac:dyDescent="0.35">
      <c r="B2774" s="76" t="s">
        <v>773</v>
      </c>
      <c r="C2774" s="458" t="s">
        <v>774</v>
      </c>
      <c r="D2774" s="459"/>
      <c r="E2774" s="459"/>
      <c r="F2774" s="459"/>
      <c r="G2774" s="456"/>
      <c r="H2774" s="457"/>
      <c r="I2774" s="455" t="s">
        <v>3</v>
      </c>
      <c r="J2774" s="455"/>
      <c r="K2774" s="455" t="s">
        <v>4</v>
      </c>
      <c r="L2774" s="455"/>
    </row>
    <row r="2775" spans="1:12" ht="12" customHeight="1" x14ac:dyDescent="0.35">
      <c r="B2775" s="451" t="s">
        <v>409</v>
      </c>
      <c r="C2775" s="451" t="s">
        <v>410</v>
      </c>
      <c r="D2775" s="452" t="s">
        <v>411</v>
      </c>
      <c r="E2775" s="451" t="s">
        <v>412</v>
      </c>
      <c r="F2775" s="451" t="s">
        <v>413</v>
      </c>
      <c r="G2775" s="77" t="s">
        <v>414</v>
      </c>
      <c r="H2775" s="77" t="s">
        <v>415</v>
      </c>
      <c r="I2775" s="78" t="s">
        <v>414</v>
      </c>
      <c r="J2775" s="79" t="s">
        <v>415</v>
      </c>
      <c r="K2775" s="79" t="s">
        <v>414</v>
      </c>
      <c r="L2775" s="79" t="s">
        <v>415</v>
      </c>
    </row>
    <row r="2776" spans="1:12" ht="12" customHeight="1" x14ac:dyDescent="0.35">
      <c r="B2776" s="451"/>
      <c r="C2776" s="451"/>
      <c r="D2776" s="453"/>
      <c r="E2776" s="451"/>
      <c r="F2776" s="451"/>
      <c r="G2776" s="77" t="s">
        <v>17</v>
      </c>
      <c r="H2776" s="77" t="s">
        <v>416</v>
      </c>
      <c r="I2776" s="78" t="s">
        <v>17</v>
      </c>
      <c r="J2776" s="79" t="s">
        <v>416</v>
      </c>
      <c r="K2776" s="79" t="s">
        <v>17</v>
      </c>
      <c r="L2776" s="79" t="s">
        <v>416</v>
      </c>
    </row>
    <row r="2777" spans="1:12" ht="12" customHeight="1" x14ac:dyDescent="0.35">
      <c r="B2777" s="451"/>
      <c r="C2777" s="451"/>
      <c r="D2777" s="454"/>
      <c r="E2777" s="451"/>
      <c r="F2777" s="451"/>
      <c r="G2777" s="106"/>
      <c r="H2777" s="77" t="s">
        <v>17</v>
      </c>
      <c r="I2777" s="94"/>
      <c r="J2777" s="79" t="s">
        <v>17</v>
      </c>
      <c r="K2777" s="85"/>
      <c r="L2777" s="79" t="s">
        <v>17</v>
      </c>
    </row>
    <row r="2778" spans="1:12" ht="12" customHeight="1" x14ac:dyDescent="0.35">
      <c r="B2778" s="80" t="s">
        <v>5</v>
      </c>
      <c r="C2778" s="81" t="s">
        <v>417</v>
      </c>
      <c r="D2778" s="82"/>
      <c r="E2778" s="82"/>
      <c r="F2778" s="82"/>
      <c r="G2778" s="82"/>
      <c r="H2778" s="82"/>
      <c r="I2778" s="83"/>
      <c r="J2778" s="83"/>
      <c r="K2778" s="83"/>
      <c r="L2778" s="83"/>
    </row>
    <row r="2779" spans="1:12" ht="12" customHeight="1" x14ac:dyDescent="0.35">
      <c r="A2779" s="134">
        <v>10130000</v>
      </c>
      <c r="B2779" s="84"/>
      <c r="C2779" s="85" t="s">
        <v>28</v>
      </c>
      <c r="D2779" s="84" t="s">
        <v>418</v>
      </c>
      <c r="E2779" s="84" t="str">
        <f>VLOOKUP(C2779,HSD!B:K,2,FALSE)</f>
        <v>OH</v>
      </c>
      <c r="F2779" s="128">
        <v>1</v>
      </c>
      <c r="G2779" s="87">
        <f>VLOOKUP(C2779,HSD!B:K,10,FALSE)</f>
        <v>120000</v>
      </c>
      <c r="H2779" s="87">
        <f>F2779*G2779</f>
        <v>120000</v>
      </c>
      <c r="I2779" s="87">
        <v>91500</v>
      </c>
      <c r="J2779" s="87">
        <f>F2779*I2779</f>
        <v>91500</v>
      </c>
      <c r="K2779" s="87">
        <v>91500</v>
      </c>
      <c r="L2779" s="87">
        <f>F2779*K2779</f>
        <v>91500</v>
      </c>
    </row>
    <row r="2780" spans="1:12" ht="12" customHeight="1" x14ac:dyDescent="0.35">
      <c r="A2780" s="134">
        <v>10143000</v>
      </c>
      <c r="B2780" s="84"/>
      <c r="C2780" s="85" t="s">
        <v>435</v>
      </c>
      <c r="D2780" s="84" t="s">
        <v>418</v>
      </c>
      <c r="E2780" s="84" t="str">
        <f>VLOOKUP(C2780,HSD!B:K,2,FALSE)</f>
        <v>OH</v>
      </c>
      <c r="F2780" s="128">
        <v>0.25</v>
      </c>
      <c r="G2780" s="87">
        <f>VLOOKUP(C2780,HSD!B:K,10,FALSE)</f>
        <v>250000</v>
      </c>
      <c r="H2780" s="87">
        <f>F2780*G2780</f>
        <v>62500</v>
      </c>
      <c r="I2780" s="87"/>
      <c r="J2780" s="87"/>
      <c r="K2780" s="87"/>
      <c r="L2780" s="87"/>
    </row>
    <row r="2781" spans="1:12" ht="12" customHeight="1" x14ac:dyDescent="0.35">
      <c r="A2781" s="134">
        <v>10120000</v>
      </c>
      <c r="B2781" s="84"/>
      <c r="C2781" s="85" t="s">
        <v>27</v>
      </c>
      <c r="D2781" s="84" t="s">
        <v>418</v>
      </c>
      <c r="E2781" s="84" t="str">
        <f>VLOOKUP(C2781,HSD!B:K,2,FALSE)</f>
        <v>OH</v>
      </c>
      <c r="F2781" s="128">
        <f>F2780/10</f>
        <v>2.5000000000000001E-2</v>
      </c>
      <c r="G2781" s="87">
        <f>VLOOKUP(C2781,HSD!B:K,10,FALSE)</f>
        <v>150000</v>
      </c>
      <c r="H2781" s="87">
        <f>F2781*G2781</f>
        <v>3750</v>
      </c>
      <c r="I2781" s="87"/>
      <c r="J2781" s="87"/>
      <c r="K2781" s="87"/>
      <c r="L2781" s="87"/>
    </row>
    <row r="2782" spans="1:12" ht="12" customHeight="1" x14ac:dyDescent="0.35">
      <c r="A2782" s="134">
        <v>10110000</v>
      </c>
      <c r="B2782" s="84"/>
      <c r="C2782" s="85" t="s">
        <v>30</v>
      </c>
      <c r="D2782" s="84" t="s">
        <v>418</v>
      </c>
      <c r="E2782" s="84" t="str">
        <f>VLOOKUP(C2782,HSD!B:K,2,FALSE)</f>
        <v>OH</v>
      </c>
      <c r="F2782" s="128">
        <f>F2779/10</f>
        <v>0.1</v>
      </c>
      <c r="G2782" s="87">
        <f>VLOOKUP(C2782,HSD!B:K,10,FALSE)</f>
        <v>150000</v>
      </c>
      <c r="H2782" s="87">
        <f>F2782*G2782</f>
        <v>15000</v>
      </c>
      <c r="I2782" s="87">
        <v>92500</v>
      </c>
      <c r="J2782" s="87">
        <f>F2782*I2782</f>
        <v>9250</v>
      </c>
      <c r="K2782" s="87">
        <v>92500</v>
      </c>
      <c r="L2782" s="87">
        <f>F2782*K2782</f>
        <v>9250</v>
      </c>
    </row>
    <row r="2783" spans="1:12" ht="12" customHeight="1" x14ac:dyDescent="0.35">
      <c r="B2783" s="84"/>
      <c r="C2783" s="85"/>
      <c r="D2783" s="84"/>
      <c r="E2783" s="84"/>
      <c r="F2783" s="86"/>
      <c r="G2783" s="87"/>
      <c r="H2783" s="87"/>
      <c r="I2783" s="87"/>
      <c r="J2783" s="87"/>
      <c r="K2783" s="87"/>
      <c r="L2783" s="87"/>
    </row>
    <row r="2784" spans="1:12" ht="12" customHeight="1" x14ac:dyDescent="0.35">
      <c r="B2784" s="84"/>
      <c r="C2784" s="88"/>
      <c r="D2784" s="79"/>
      <c r="E2784" s="79"/>
      <c r="F2784" s="89" t="s">
        <v>421</v>
      </c>
      <c r="G2784" s="101"/>
      <c r="H2784" s="87">
        <f>SUM(H2779:H2783)</f>
        <v>201250</v>
      </c>
      <c r="I2784" s="101"/>
      <c r="J2784" s="87">
        <f>SUM(J2782:J2783)</f>
        <v>9250</v>
      </c>
      <c r="K2784" s="101"/>
      <c r="L2784" s="87">
        <f>SUM(L2782:L2783)</f>
        <v>9250</v>
      </c>
    </row>
    <row r="2785" spans="1:18" ht="12" customHeight="1" x14ac:dyDescent="0.35">
      <c r="B2785" s="84" t="s">
        <v>6</v>
      </c>
      <c r="C2785" s="88" t="s">
        <v>422</v>
      </c>
      <c r="D2785" s="79"/>
      <c r="E2785" s="79"/>
      <c r="F2785" s="90"/>
      <c r="G2785" s="84"/>
      <c r="H2785" s="87"/>
      <c r="I2785" s="84"/>
      <c r="J2785" s="87"/>
      <c r="K2785" s="84"/>
      <c r="L2785" s="87"/>
    </row>
    <row r="2786" spans="1:18" x14ac:dyDescent="0.35">
      <c r="A2786" s="134">
        <v>21301000</v>
      </c>
      <c r="B2786" s="84"/>
      <c r="C2786" s="85" t="s">
        <v>60</v>
      </c>
      <c r="D2786" s="84" t="s">
        <v>418</v>
      </c>
      <c r="E2786" s="84" t="str">
        <f>VLOOKUP(C2786,HSD!B:K,2,FALSE)</f>
        <v>kg</v>
      </c>
      <c r="F2786" s="128">
        <v>452</v>
      </c>
      <c r="G2786" s="87">
        <f>VLOOKUP(C2786,HSD!B:K,10,FALSE)</f>
        <v>2331</v>
      </c>
      <c r="H2786" s="87">
        <f t="shared" ref="H2786:H2791" si="8">F2786*G2786</f>
        <v>1053612</v>
      </c>
      <c r="I2786" s="87">
        <v>232500</v>
      </c>
      <c r="J2786" s="87">
        <f>F2786*I2786</f>
        <v>105090000</v>
      </c>
      <c r="K2786" s="87">
        <v>270000</v>
      </c>
      <c r="L2786" s="87">
        <f>F2786*K2786</f>
        <v>122040000</v>
      </c>
    </row>
    <row r="2787" spans="1:18" x14ac:dyDescent="0.35">
      <c r="A2787" s="134">
        <v>21302010</v>
      </c>
      <c r="B2787" s="84"/>
      <c r="C2787" s="85" t="s">
        <v>776</v>
      </c>
      <c r="D2787" s="84" t="s">
        <v>418</v>
      </c>
      <c r="E2787" s="84" t="str">
        <f>VLOOKUP(C2787,HSD!B:K,2,FALSE)</f>
        <v>kg</v>
      </c>
      <c r="F2787" s="128">
        <v>113</v>
      </c>
      <c r="G2787" s="87">
        <f>VLOOKUP(C2787,HSD!B:K,10,FALSE)</f>
        <v>1000</v>
      </c>
      <c r="H2787" s="87">
        <f t="shared" si="8"/>
        <v>113000</v>
      </c>
      <c r="I2787" s="87"/>
      <c r="J2787" s="87"/>
      <c r="K2787" s="87"/>
      <c r="L2787" s="87"/>
    </row>
    <row r="2788" spans="1:18" x14ac:dyDescent="0.35">
      <c r="A2788" s="134">
        <v>21302050</v>
      </c>
      <c r="B2788" s="84"/>
      <c r="C2788" s="130" t="s">
        <v>1839</v>
      </c>
      <c r="D2788" s="131" t="s">
        <v>418</v>
      </c>
      <c r="E2788" s="131" t="str">
        <f>VLOOKUP(C2788,HSD!B:K,2,FALSE)</f>
        <v>kg</v>
      </c>
      <c r="F2788" s="132">
        <v>4.5199999999999996</v>
      </c>
      <c r="G2788" s="133">
        <f>VLOOKUP(C2788,HSD!B:K,10,FALSE)</f>
        <v>46620</v>
      </c>
      <c r="H2788" s="87">
        <f t="shared" si="8"/>
        <v>210722.4</v>
      </c>
      <c r="I2788" s="87"/>
      <c r="J2788" s="87"/>
      <c r="K2788" s="87"/>
      <c r="L2788" s="87"/>
    </row>
    <row r="2789" spans="1:18" ht="12" customHeight="1" x14ac:dyDescent="0.35">
      <c r="A2789" s="134">
        <v>211100115</v>
      </c>
      <c r="B2789" s="84"/>
      <c r="C2789" s="85" t="s">
        <v>51</v>
      </c>
      <c r="D2789" s="84" t="s">
        <v>418</v>
      </c>
      <c r="E2789" s="84" t="str">
        <f>VLOOKUP(C2789,HSD!B:K,2,FALSE)</f>
        <v>kg</v>
      </c>
      <c r="F2789" s="128">
        <v>573</v>
      </c>
      <c r="G2789" s="87">
        <f>VLOOKUP(C2789,HSD!B:K,10,FALSE)</f>
        <v>203</v>
      </c>
      <c r="H2789" s="87">
        <f t="shared" si="8"/>
        <v>116319</v>
      </c>
      <c r="I2789" s="87">
        <v>1060</v>
      </c>
      <c r="J2789" s="87">
        <f>F2789*I2789</f>
        <v>607380</v>
      </c>
      <c r="K2789" s="87">
        <v>1060</v>
      </c>
      <c r="L2789" s="87">
        <f>F2789*K2789</f>
        <v>607380</v>
      </c>
      <c r="N2789" s="75">
        <v>1</v>
      </c>
      <c r="O2789" s="75" t="s">
        <v>40</v>
      </c>
      <c r="P2789" s="75" t="s">
        <v>765</v>
      </c>
      <c r="Q2789" s="75">
        <v>6.2500000000000001E-4</v>
      </c>
      <c r="R2789" s="75" t="s">
        <v>43</v>
      </c>
    </row>
    <row r="2790" spans="1:18" ht="12" customHeight="1" x14ac:dyDescent="0.35">
      <c r="A2790" s="134" t="s">
        <v>766</v>
      </c>
      <c r="B2790" s="84"/>
      <c r="C2790" s="85" t="s">
        <v>1800</v>
      </c>
      <c r="D2790" s="84" t="s">
        <v>418</v>
      </c>
      <c r="E2790" s="84" t="str">
        <f>VLOOKUP(C2790,HSD!B:K,2,FALSE)</f>
        <v>kg</v>
      </c>
      <c r="F2790" s="128">
        <v>1009</v>
      </c>
      <c r="G2790" s="87">
        <f>VLOOKUP(C2790,HSD!B:K,10,FALSE)</f>
        <v>242.61</v>
      </c>
      <c r="H2790" s="87">
        <f t="shared" si="8"/>
        <v>244793.49000000002</v>
      </c>
      <c r="I2790" s="87">
        <v>215000</v>
      </c>
      <c r="J2790" s="87">
        <f>F2790*I2790</f>
        <v>216935000</v>
      </c>
      <c r="K2790" s="87">
        <v>250000</v>
      </c>
      <c r="L2790" s="87">
        <f>F2790*K2790</f>
        <v>252250000</v>
      </c>
      <c r="N2790" s="75">
        <f>N2789/Q2789</f>
        <v>1600</v>
      </c>
      <c r="O2790" s="75" t="s">
        <v>40</v>
      </c>
      <c r="P2790" s="75" t="s">
        <v>765</v>
      </c>
      <c r="Q2790" s="75">
        <v>1</v>
      </c>
      <c r="R2790" s="75" t="s">
        <v>43</v>
      </c>
    </row>
    <row r="2791" spans="1:18" ht="12" customHeight="1" x14ac:dyDescent="0.35">
      <c r="A2791" s="134">
        <v>21962000</v>
      </c>
      <c r="B2791" s="84"/>
      <c r="C2791" s="85" t="s">
        <v>212</v>
      </c>
      <c r="D2791" s="84" t="s">
        <v>418</v>
      </c>
      <c r="E2791" s="84" t="str">
        <f>VLOOKUP(C2791,HSD!B:K,2,FALSE)</f>
        <v>liter</v>
      </c>
      <c r="F2791" s="128">
        <v>202</v>
      </c>
      <c r="G2791" s="87">
        <f>VLOOKUP(C2791,HSD!B:K,10,FALSE)</f>
        <v>74</v>
      </c>
      <c r="H2791" s="87">
        <f t="shared" si="8"/>
        <v>14948</v>
      </c>
      <c r="I2791" s="87"/>
      <c r="J2791" s="87"/>
      <c r="K2791" s="87"/>
      <c r="L2791" s="87"/>
    </row>
    <row r="2792" spans="1:18" ht="12" customHeight="1" x14ac:dyDescent="0.35">
      <c r="B2792" s="84"/>
      <c r="C2792" s="88"/>
      <c r="D2792" s="79"/>
      <c r="E2792" s="79"/>
      <c r="F2792" s="129" t="s">
        <v>423</v>
      </c>
      <c r="G2792" s="129"/>
      <c r="H2792" s="87">
        <f>SUM(H2786:H2791)</f>
        <v>1753394.89</v>
      </c>
      <c r="I2792" s="101"/>
      <c r="J2792" s="87" t="e">
        <f>SUM(#REF!)</f>
        <v>#REF!</v>
      </c>
      <c r="K2792" s="101"/>
      <c r="L2792" s="87" t="e">
        <f>SUM(#REF!)</f>
        <v>#REF!</v>
      </c>
    </row>
    <row r="2793" spans="1:18" ht="12" customHeight="1" x14ac:dyDescent="0.35">
      <c r="B2793" s="84" t="s">
        <v>7</v>
      </c>
      <c r="C2793" s="88" t="s">
        <v>424</v>
      </c>
      <c r="D2793" s="79"/>
      <c r="E2793" s="79"/>
      <c r="F2793" s="90"/>
      <c r="G2793" s="84"/>
      <c r="H2793" s="87"/>
      <c r="I2793" s="84"/>
      <c r="J2793" s="87"/>
      <c r="K2793" s="84"/>
      <c r="L2793" s="87"/>
    </row>
    <row r="2794" spans="1:18" ht="12" customHeight="1" x14ac:dyDescent="0.35">
      <c r="A2794" s="134">
        <v>31100004</v>
      </c>
      <c r="B2794" s="84"/>
      <c r="C2794" s="85" t="s">
        <v>1829</v>
      </c>
      <c r="D2794" s="84" t="s">
        <v>418</v>
      </c>
      <c r="E2794" s="84" t="s">
        <v>473</v>
      </c>
      <c r="F2794" s="128">
        <v>0.14749999999999999</v>
      </c>
      <c r="G2794" s="87">
        <f>VLOOKUP(C2794,HSD!B:K,10,FALSE)</f>
        <v>126984</v>
      </c>
      <c r="H2794" s="87">
        <f>F2794*G2794</f>
        <v>18730.14</v>
      </c>
      <c r="I2794" s="87"/>
      <c r="J2794" s="87">
        <f>H2794*I2794</f>
        <v>0</v>
      </c>
      <c r="K2794" s="87"/>
      <c r="L2794" s="87">
        <f>J2794*K2794</f>
        <v>0</v>
      </c>
    </row>
    <row r="2795" spans="1:18" ht="12" customHeight="1" x14ac:dyDescent="0.35">
      <c r="B2795" s="84"/>
      <c r="C2795" s="85"/>
      <c r="D2795" s="84"/>
      <c r="E2795" s="84"/>
      <c r="F2795" s="128"/>
      <c r="G2795" s="87"/>
      <c r="H2795" s="87">
        <f>F2795*G2795</f>
        <v>0</v>
      </c>
      <c r="I2795" s="87"/>
      <c r="J2795" s="87"/>
      <c r="K2795" s="87"/>
      <c r="L2795" s="87"/>
    </row>
    <row r="2796" spans="1:18" ht="12" customHeight="1" x14ac:dyDescent="0.35">
      <c r="B2796" s="84"/>
      <c r="C2796" s="85"/>
      <c r="D2796" s="84"/>
      <c r="E2796" s="84"/>
      <c r="F2796" s="128"/>
      <c r="G2796" s="87"/>
      <c r="H2796" s="87">
        <f>F2796*G2796</f>
        <v>0</v>
      </c>
      <c r="I2796" s="87"/>
      <c r="J2796" s="87"/>
      <c r="K2796" s="87"/>
      <c r="L2796" s="87"/>
    </row>
    <row r="2797" spans="1:18" ht="12" customHeight="1" x14ac:dyDescent="0.35">
      <c r="B2797" s="84"/>
      <c r="C2797" s="88"/>
      <c r="D2797" s="79"/>
      <c r="E2797" s="79"/>
      <c r="F2797" s="89" t="s">
        <v>425</v>
      </c>
      <c r="G2797" s="101"/>
      <c r="H2797" s="87">
        <f>SUM(H2794:H2796)</f>
        <v>18730.14</v>
      </c>
      <c r="I2797" s="101"/>
      <c r="J2797" s="87">
        <f>SUM(J2794)</f>
        <v>0</v>
      </c>
      <c r="K2797" s="101"/>
      <c r="L2797" s="87">
        <f>SUM(L2794)</f>
        <v>0</v>
      </c>
    </row>
    <row r="2798" spans="1:18" ht="12" customHeight="1" x14ac:dyDescent="0.35">
      <c r="B2798" s="84" t="s">
        <v>8</v>
      </c>
      <c r="C2798" s="103" t="s">
        <v>426</v>
      </c>
      <c r="D2798" s="104"/>
      <c r="E2798" s="104"/>
      <c r="F2798" s="104"/>
      <c r="G2798" s="105"/>
      <c r="H2798" s="87">
        <f>H2784+H2792+H2797</f>
        <v>1973375.0299999998</v>
      </c>
      <c r="I2798" s="105"/>
      <c r="J2798" s="87" t="e">
        <f>J2784+J2792+J2797</f>
        <v>#REF!</v>
      </c>
      <c r="K2798" s="105"/>
      <c r="L2798" s="87" t="e">
        <f>L2784+L2792+L2797</f>
        <v>#REF!</v>
      </c>
    </row>
    <row r="2799" spans="1:18" ht="12" customHeight="1" x14ac:dyDescent="0.35">
      <c r="B2799" s="84" t="s">
        <v>9</v>
      </c>
      <c r="C2799" s="455" t="s">
        <v>427</v>
      </c>
      <c r="D2799" s="455"/>
      <c r="E2799" s="455"/>
      <c r="F2799" s="95">
        <f>0</f>
        <v>0</v>
      </c>
      <c r="G2799" s="85" t="s">
        <v>428</v>
      </c>
      <c r="H2799" s="87">
        <f>H2798*F2799</f>
        <v>0</v>
      </c>
      <c r="I2799" s="85" t="s">
        <v>428</v>
      </c>
      <c r="J2799" s="87" t="e">
        <f>J2798*F2799</f>
        <v>#REF!</v>
      </c>
      <c r="K2799" s="85" t="s">
        <v>428</v>
      </c>
      <c r="L2799" s="87" t="e">
        <f>L2798*F2799</f>
        <v>#REF!</v>
      </c>
    </row>
    <row r="2800" spans="1:18" ht="12" customHeight="1" x14ac:dyDescent="0.35">
      <c r="B2800" s="84" t="s">
        <v>10</v>
      </c>
      <c r="C2800" s="103" t="s">
        <v>429</v>
      </c>
      <c r="D2800" s="104"/>
      <c r="E2800" s="104"/>
      <c r="F2800" s="104"/>
      <c r="G2800" s="105"/>
      <c r="H2800" s="96">
        <f>H2798+H2799</f>
        <v>1973375.0299999998</v>
      </c>
      <c r="I2800" s="97"/>
      <c r="J2800" s="96" t="e">
        <f>J2798+J2799</f>
        <v>#REF!</v>
      </c>
      <c r="K2800" s="97"/>
      <c r="L2800" s="96" t="e">
        <f>L2798+L2799</f>
        <v>#REF!</v>
      </c>
    </row>
    <row r="2801" spans="1:12" ht="14" customHeight="1" x14ac:dyDescent="0.35"/>
    <row r="2802" spans="1:12" ht="37" customHeight="1" x14ac:dyDescent="0.35">
      <c r="B2802" s="76" t="s">
        <v>778</v>
      </c>
      <c r="C2802" s="458" t="s">
        <v>779</v>
      </c>
      <c r="D2802" s="459"/>
      <c r="E2802" s="459"/>
      <c r="F2802" s="459"/>
      <c r="G2802" s="456"/>
      <c r="H2802" s="457"/>
      <c r="I2802" s="455" t="s">
        <v>3</v>
      </c>
      <c r="J2802" s="455"/>
      <c r="K2802" s="455" t="s">
        <v>4</v>
      </c>
      <c r="L2802" s="455"/>
    </row>
    <row r="2803" spans="1:12" ht="12" customHeight="1" x14ac:dyDescent="0.35">
      <c r="B2803" s="451" t="s">
        <v>409</v>
      </c>
      <c r="C2803" s="451" t="s">
        <v>410</v>
      </c>
      <c r="D2803" s="452" t="s">
        <v>411</v>
      </c>
      <c r="E2803" s="451" t="s">
        <v>412</v>
      </c>
      <c r="F2803" s="451" t="s">
        <v>413</v>
      </c>
      <c r="G2803" s="77" t="s">
        <v>414</v>
      </c>
      <c r="H2803" s="77" t="s">
        <v>415</v>
      </c>
      <c r="I2803" s="78" t="s">
        <v>414</v>
      </c>
      <c r="J2803" s="79" t="s">
        <v>415</v>
      </c>
      <c r="K2803" s="79" t="s">
        <v>414</v>
      </c>
      <c r="L2803" s="79" t="s">
        <v>415</v>
      </c>
    </row>
    <row r="2804" spans="1:12" ht="12" customHeight="1" x14ac:dyDescent="0.35">
      <c r="B2804" s="451"/>
      <c r="C2804" s="451"/>
      <c r="D2804" s="453"/>
      <c r="E2804" s="451"/>
      <c r="F2804" s="451"/>
      <c r="G2804" s="77" t="s">
        <v>17</v>
      </c>
      <c r="H2804" s="77" t="s">
        <v>416</v>
      </c>
      <c r="I2804" s="78" t="s">
        <v>17</v>
      </c>
      <c r="J2804" s="79" t="s">
        <v>416</v>
      </c>
      <c r="K2804" s="79" t="s">
        <v>17</v>
      </c>
      <c r="L2804" s="79" t="s">
        <v>416</v>
      </c>
    </row>
    <row r="2805" spans="1:12" ht="12" customHeight="1" x14ac:dyDescent="0.35">
      <c r="B2805" s="451"/>
      <c r="C2805" s="451"/>
      <c r="D2805" s="454"/>
      <c r="E2805" s="451"/>
      <c r="F2805" s="451"/>
      <c r="G2805" s="106"/>
      <c r="H2805" s="77" t="s">
        <v>17</v>
      </c>
      <c r="I2805" s="94"/>
      <c r="J2805" s="79" t="s">
        <v>17</v>
      </c>
      <c r="K2805" s="85"/>
      <c r="L2805" s="79" t="s">
        <v>17</v>
      </c>
    </row>
    <row r="2806" spans="1:12" ht="12" customHeight="1" x14ac:dyDescent="0.35">
      <c r="B2806" s="80" t="s">
        <v>5</v>
      </c>
      <c r="C2806" s="81" t="s">
        <v>417</v>
      </c>
      <c r="D2806" s="82"/>
      <c r="E2806" s="82"/>
      <c r="F2806" s="82"/>
      <c r="G2806" s="82"/>
      <c r="H2806" s="82"/>
      <c r="I2806" s="83"/>
      <c r="J2806" s="83"/>
      <c r="K2806" s="83"/>
      <c r="L2806" s="83"/>
    </row>
    <row r="2807" spans="1:12" ht="12" customHeight="1" x14ac:dyDescent="0.35">
      <c r="A2807" s="134">
        <v>10130000</v>
      </c>
      <c r="B2807" s="84"/>
      <c r="C2807" s="85" t="s">
        <v>28</v>
      </c>
      <c r="D2807" s="84" t="s">
        <v>418</v>
      </c>
      <c r="E2807" s="84" t="str">
        <f>VLOOKUP(C2807,HSD!B:K,2,FALSE)</f>
        <v>OH</v>
      </c>
      <c r="F2807" s="128">
        <v>1</v>
      </c>
      <c r="G2807" s="87">
        <f>VLOOKUP(C2807,HSD!B:K,10,FALSE)</f>
        <v>120000</v>
      </c>
      <c r="H2807" s="87">
        <f>F2807*G2807</f>
        <v>120000</v>
      </c>
      <c r="I2807" s="87">
        <v>91500</v>
      </c>
      <c r="J2807" s="87">
        <f>F2807*I2807</f>
        <v>91500</v>
      </c>
      <c r="K2807" s="87">
        <v>91500</v>
      </c>
      <c r="L2807" s="87">
        <f>F2807*K2807</f>
        <v>91500</v>
      </c>
    </row>
    <row r="2808" spans="1:12" ht="12" customHeight="1" x14ac:dyDescent="0.35">
      <c r="A2808" s="134">
        <v>10143000</v>
      </c>
      <c r="B2808" s="84"/>
      <c r="C2808" s="85" t="s">
        <v>435</v>
      </c>
      <c r="D2808" s="84" t="s">
        <v>418</v>
      </c>
      <c r="E2808" s="84" t="str">
        <f>VLOOKUP(C2808,HSD!B:K,2,FALSE)</f>
        <v>OH</v>
      </c>
      <c r="F2808" s="128">
        <v>0.25</v>
      </c>
      <c r="G2808" s="87">
        <f>VLOOKUP(C2808,HSD!B:K,10,FALSE)</f>
        <v>250000</v>
      </c>
      <c r="H2808" s="87">
        <f>F2808*G2808</f>
        <v>62500</v>
      </c>
      <c r="I2808" s="87"/>
      <c r="J2808" s="87"/>
      <c r="K2808" s="87"/>
      <c r="L2808" s="87"/>
    </row>
    <row r="2809" spans="1:12" ht="12" customHeight="1" x14ac:dyDescent="0.35">
      <c r="A2809" s="134">
        <v>10120000</v>
      </c>
      <c r="B2809" s="84"/>
      <c r="C2809" s="85" t="s">
        <v>27</v>
      </c>
      <c r="D2809" s="84" t="s">
        <v>418</v>
      </c>
      <c r="E2809" s="84" t="str">
        <f>VLOOKUP(C2809,HSD!B:K,2,FALSE)</f>
        <v>OH</v>
      </c>
      <c r="F2809" s="128">
        <f>F2808/10</f>
        <v>2.5000000000000001E-2</v>
      </c>
      <c r="G2809" s="87">
        <f>VLOOKUP(C2809,HSD!B:K,10,FALSE)</f>
        <v>150000</v>
      </c>
      <c r="H2809" s="87">
        <f>F2809*G2809</f>
        <v>3750</v>
      </c>
      <c r="I2809" s="87"/>
      <c r="J2809" s="87"/>
      <c r="K2809" s="87"/>
      <c r="L2809" s="87"/>
    </row>
    <row r="2810" spans="1:12" ht="12" customHeight="1" x14ac:dyDescent="0.35">
      <c r="A2810" s="134">
        <v>10110000</v>
      </c>
      <c r="B2810" s="84"/>
      <c r="C2810" s="85" t="s">
        <v>30</v>
      </c>
      <c r="D2810" s="84" t="s">
        <v>418</v>
      </c>
      <c r="E2810" s="84" t="str">
        <f>VLOOKUP(C2810,HSD!B:K,2,FALSE)</f>
        <v>OH</v>
      </c>
      <c r="F2810" s="128">
        <f>F2807/10</f>
        <v>0.1</v>
      </c>
      <c r="G2810" s="87">
        <f>VLOOKUP(C2810,HSD!B:K,10,FALSE)</f>
        <v>150000</v>
      </c>
      <c r="H2810" s="87">
        <f>F2810*G2810</f>
        <v>15000</v>
      </c>
      <c r="I2810" s="87">
        <v>92500</v>
      </c>
      <c r="J2810" s="87">
        <f>F2810*I2810</f>
        <v>9250</v>
      </c>
      <c r="K2810" s="87">
        <v>92500</v>
      </c>
      <c r="L2810" s="87">
        <f>F2810*K2810</f>
        <v>9250</v>
      </c>
    </row>
    <row r="2811" spans="1:12" ht="12" customHeight="1" x14ac:dyDescent="0.35">
      <c r="B2811" s="84"/>
      <c r="C2811" s="85"/>
      <c r="D2811" s="84"/>
      <c r="E2811" s="84"/>
      <c r="F2811" s="86"/>
      <c r="G2811" s="87"/>
      <c r="H2811" s="87"/>
      <c r="I2811" s="87"/>
      <c r="J2811" s="87"/>
      <c r="K2811" s="87"/>
      <c r="L2811" s="87"/>
    </row>
    <row r="2812" spans="1:12" ht="12" customHeight="1" x14ac:dyDescent="0.35">
      <c r="B2812" s="84"/>
      <c r="C2812" s="88"/>
      <c r="D2812" s="79"/>
      <c r="E2812" s="79"/>
      <c r="F2812" s="89" t="s">
        <v>421</v>
      </c>
      <c r="G2812" s="101"/>
      <c r="H2812" s="87">
        <f>SUM(H2807:H2811)</f>
        <v>201250</v>
      </c>
      <c r="I2812" s="101"/>
      <c r="J2812" s="87">
        <f>SUM(J2810:J2811)</f>
        <v>9250</v>
      </c>
      <c r="K2812" s="101"/>
      <c r="L2812" s="87">
        <f>SUM(L2810:L2811)</f>
        <v>9250</v>
      </c>
    </row>
    <row r="2813" spans="1:12" ht="12" customHeight="1" x14ac:dyDescent="0.35">
      <c r="B2813" s="84" t="s">
        <v>6</v>
      </c>
      <c r="C2813" s="88" t="s">
        <v>422</v>
      </c>
      <c r="D2813" s="79"/>
      <c r="E2813" s="79"/>
      <c r="F2813" s="90"/>
      <c r="G2813" s="84"/>
      <c r="H2813" s="87"/>
      <c r="I2813" s="84"/>
      <c r="J2813" s="87"/>
      <c r="K2813" s="84"/>
      <c r="L2813" s="87"/>
    </row>
    <row r="2814" spans="1:12" ht="26" x14ac:dyDescent="0.35">
      <c r="A2814" s="134">
        <v>22101016</v>
      </c>
      <c r="B2814" s="84"/>
      <c r="C2814" s="130" t="s">
        <v>1810</v>
      </c>
      <c r="D2814" s="131" t="s">
        <v>418</v>
      </c>
      <c r="E2814" s="131" t="str">
        <f>VLOOKUP(C2814,HSD!B:K,2,FALSE)</f>
        <v>m3</v>
      </c>
      <c r="F2814" s="132">
        <v>1.02</v>
      </c>
      <c r="G2814" s="133">
        <f>VLOOKUP(C2814,HSD!B:K,10,FALSE)</f>
        <v>2251070</v>
      </c>
      <c r="H2814" s="133">
        <f>F2814*G2814</f>
        <v>2296091.4</v>
      </c>
      <c r="I2814" s="87">
        <v>232500</v>
      </c>
      <c r="J2814" s="87">
        <f>F2814*I2814</f>
        <v>237150</v>
      </c>
      <c r="K2814" s="87">
        <v>270000</v>
      </c>
      <c r="L2814" s="87">
        <f>F2814*K2814</f>
        <v>275400</v>
      </c>
    </row>
    <row r="2815" spans="1:12" x14ac:dyDescent="0.35">
      <c r="B2815" s="84"/>
      <c r="C2815" s="85"/>
      <c r="D2815" s="84"/>
      <c r="E2815" s="84"/>
      <c r="F2815" s="128"/>
      <c r="G2815" s="87"/>
      <c r="H2815" s="87">
        <f>F2815*G2815</f>
        <v>0</v>
      </c>
      <c r="I2815" s="87"/>
      <c r="J2815" s="87"/>
      <c r="K2815" s="87"/>
      <c r="L2815" s="87"/>
    </row>
    <row r="2816" spans="1:12" x14ac:dyDescent="0.35">
      <c r="B2816" s="84"/>
      <c r="C2816" s="85"/>
      <c r="D2816" s="84"/>
      <c r="E2816" s="84"/>
      <c r="F2816" s="128"/>
      <c r="G2816" s="87"/>
      <c r="H2816" s="87">
        <f>F2816*G2816</f>
        <v>0</v>
      </c>
      <c r="I2816" s="87"/>
      <c r="J2816" s="87"/>
      <c r="K2816" s="87"/>
      <c r="L2816" s="87"/>
    </row>
    <row r="2817" spans="2:12" ht="12" customHeight="1" x14ac:dyDescent="0.35">
      <c r="B2817" s="84"/>
      <c r="C2817" s="88"/>
      <c r="D2817" s="79"/>
      <c r="E2817" s="79"/>
      <c r="F2817" s="129" t="s">
        <v>423</v>
      </c>
      <c r="G2817" s="129"/>
      <c r="H2817" s="87">
        <f>SUM(H2814:H2816)</f>
        <v>2296091.4</v>
      </c>
      <c r="I2817" s="101"/>
      <c r="J2817" s="87" t="e">
        <f>SUM(#REF!)</f>
        <v>#REF!</v>
      </c>
      <c r="K2817" s="101"/>
      <c r="L2817" s="87" t="e">
        <f>SUM(#REF!)</f>
        <v>#REF!</v>
      </c>
    </row>
    <row r="2818" spans="2:12" ht="12" customHeight="1" x14ac:dyDescent="0.35">
      <c r="B2818" s="84" t="s">
        <v>7</v>
      </c>
      <c r="C2818" s="88" t="s">
        <v>424</v>
      </c>
      <c r="D2818" s="79"/>
      <c r="E2818" s="79"/>
      <c r="F2818" s="90"/>
      <c r="G2818" s="84"/>
      <c r="H2818" s="87"/>
      <c r="I2818" s="84"/>
      <c r="J2818" s="87"/>
      <c r="K2818" s="84"/>
      <c r="L2818" s="87"/>
    </row>
    <row r="2819" spans="2:12" ht="12" customHeight="1" x14ac:dyDescent="0.35">
      <c r="B2819" s="84"/>
      <c r="C2819" s="85"/>
      <c r="D2819" s="84"/>
      <c r="E2819" s="84"/>
      <c r="F2819" s="128"/>
      <c r="G2819" s="87"/>
      <c r="H2819" s="87">
        <f>F2819*G2819</f>
        <v>0</v>
      </c>
      <c r="I2819" s="87"/>
      <c r="J2819" s="87">
        <f>H2819*I2819</f>
        <v>0</v>
      </c>
      <c r="K2819" s="87"/>
      <c r="L2819" s="87">
        <f>J2819*K2819</f>
        <v>0</v>
      </c>
    </row>
    <row r="2820" spans="2:12" ht="12" customHeight="1" x14ac:dyDescent="0.35">
      <c r="B2820" s="84"/>
      <c r="C2820" s="85"/>
      <c r="D2820" s="84"/>
      <c r="E2820" s="84"/>
      <c r="F2820" s="128"/>
      <c r="G2820" s="87"/>
      <c r="H2820" s="87">
        <f>F2820*G2820</f>
        <v>0</v>
      </c>
      <c r="I2820" s="87"/>
      <c r="J2820" s="87"/>
      <c r="K2820" s="87"/>
      <c r="L2820" s="87"/>
    </row>
    <row r="2821" spans="2:12" ht="12" customHeight="1" x14ac:dyDescent="0.35">
      <c r="B2821" s="84"/>
      <c r="C2821" s="85"/>
      <c r="D2821" s="84"/>
      <c r="E2821" s="84"/>
      <c r="F2821" s="128"/>
      <c r="G2821" s="87"/>
      <c r="H2821" s="87">
        <f>F2821*G2821</f>
        <v>0</v>
      </c>
      <c r="I2821" s="87"/>
      <c r="J2821" s="87"/>
      <c r="K2821" s="87"/>
      <c r="L2821" s="87"/>
    </row>
    <row r="2822" spans="2:12" ht="12" customHeight="1" x14ac:dyDescent="0.35">
      <c r="B2822" s="84"/>
      <c r="C2822" s="88"/>
      <c r="D2822" s="79"/>
      <c r="E2822" s="79"/>
      <c r="F2822" s="89" t="s">
        <v>425</v>
      </c>
      <c r="G2822" s="101"/>
      <c r="H2822" s="87">
        <f>SUM(H2819:H2821)</f>
        <v>0</v>
      </c>
      <c r="I2822" s="101"/>
      <c r="J2822" s="87">
        <f>SUM(J2819)</f>
        <v>0</v>
      </c>
      <c r="K2822" s="101"/>
      <c r="L2822" s="87">
        <f>SUM(L2819)</f>
        <v>0</v>
      </c>
    </row>
    <row r="2823" spans="2:12" ht="12" customHeight="1" x14ac:dyDescent="0.35">
      <c r="B2823" s="84" t="s">
        <v>8</v>
      </c>
      <c r="C2823" s="103" t="s">
        <v>426</v>
      </c>
      <c r="D2823" s="104"/>
      <c r="E2823" s="104"/>
      <c r="F2823" s="104"/>
      <c r="G2823" s="105"/>
      <c r="H2823" s="87">
        <f>H2812+H2817+H2822</f>
        <v>2497341.4</v>
      </c>
      <c r="I2823" s="105"/>
      <c r="J2823" s="87" t="e">
        <f>J2812+J2817+J2822</f>
        <v>#REF!</v>
      </c>
      <c r="K2823" s="105"/>
      <c r="L2823" s="87" t="e">
        <f>L2812+L2817+L2822</f>
        <v>#REF!</v>
      </c>
    </row>
    <row r="2824" spans="2:12" ht="12" customHeight="1" x14ac:dyDescent="0.35">
      <c r="B2824" s="84" t="s">
        <v>9</v>
      </c>
      <c r="C2824" s="455" t="s">
        <v>427</v>
      </c>
      <c r="D2824" s="455"/>
      <c r="E2824" s="455"/>
      <c r="F2824" s="95">
        <f>0</f>
        <v>0</v>
      </c>
      <c r="G2824" s="85" t="s">
        <v>428</v>
      </c>
      <c r="H2824" s="87">
        <f>H2823*F2824</f>
        <v>0</v>
      </c>
      <c r="I2824" s="85" t="s">
        <v>428</v>
      </c>
      <c r="J2824" s="87" t="e">
        <f>J2823*F2824</f>
        <v>#REF!</v>
      </c>
      <c r="K2824" s="85" t="s">
        <v>428</v>
      </c>
      <c r="L2824" s="87" t="e">
        <f>L2823*F2824</f>
        <v>#REF!</v>
      </c>
    </row>
    <row r="2825" spans="2:12" ht="12" customHeight="1" x14ac:dyDescent="0.35">
      <c r="B2825" s="84" t="s">
        <v>10</v>
      </c>
      <c r="C2825" s="103" t="s">
        <v>429</v>
      </c>
      <c r="D2825" s="104"/>
      <c r="E2825" s="104"/>
      <c r="F2825" s="104"/>
      <c r="G2825" s="105"/>
      <c r="H2825" s="96">
        <f>H2823+H2824</f>
        <v>2497341.4</v>
      </c>
      <c r="I2825" s="97"/>
      <c r="J2825" s="96" t="e">
        <f>J2823+J2824</f>
        <v>#REF!</v>
      </c>
      <c r="K2825" s="97"/>
      <c r="L2825" s="96" t="e">
        <f>L2823+L2824</f>
        <v>#REF!</v>
      </c>
    </row>
    <row r="2826" spans="2:12" x14ac:dyDescent="0.35">
      <c r="B2826" s="75" t="s">
        <v>801</v>
      </c>
    </row>
    <row r="2827" spans="2:12" ht="14" customHeight="1" x14ac:dyDescent="0.35"/>
    <row r="2828" spans="2:12" ht="37" customHeight="1" x14ac:dyDescent="0.35">
      <c r="B2828" s="76" t="s">
        <v>802</v>
      </c>
      <c r="C2828" s="458" t="s">
        <v>803</v>
      </c>
      <c r="D2828" s="459"/>
      <c r="E2828" s="459"/>
      <c r="F2828" s="459"/>
      <c r="G2828" s="456"/>
      <c r="H2828" s="457"/>
      <c r="I2828" s="455" t="s">
        <v>3</v>
      </c>
      <c r="J2828" s="455"/>
      <c r="K2828" s="455" t="s">
        <v>4</v>
      </c>
      <c r="L2828" s="455"/>
    </row>
    <row r="2829" spans="2:12" ht="12" customHeight="1" x14ac:dyDescent="0.35">
      <c r="B2829" s="451" t="s">
        <v>409</v>
      </c>
      <c r="C2829" s="451" t="s">
        <v>410</v>
      </c>
      <c r="D2829" s="452" t="s">
        <v>411</v>
      </c>
      <c r="E2829" s="451" t="s">
        <v>412</v>
      </c>
      <c r="F2829" s="451" t="s">
        <v>413</v>
      </c>
      <c r="G2829" s="77" t="s">
        <v>414</v>
      </c>
      <c r="H2829" s="77" t="s">
        <v>415</v>
      </c>
      <c r="I2829" s="78" t="s">
        <v>414</v>
      </c>
      <c r="J2829" s="79" t="s">
        <v>415</v>
      </c>
      <c r="K2829" s="79" t="s">
        <v>414</v>
      </c>
      <c r="L2829" s="79" t="s">
        <v>415</v>
      </c>
    </row>
    <row r="2830" spans="2:12" ht="12" customHeight="1" x14ac:dyDescent="0.35">
      <c r="B2830" s="451"/>
      <c r="C2830" s="451"/>
      <c r="D2830" s="453"/>
      <c r="E2830" s="451"/>
      <c r="F2830" s="451"/>
      <c r="G2830" s="77" t="s">
        <v>17</v>
      </c>
      <c r="H2830" s="77" t="s">
        <v>416</v>
      </c>
      <c r="I2830" s="78" t="s">
        <v>17</v>
      </c>
      <c r="J2830" s="79" t="s">
        <v>416</v>
      </c>
      <c r="K2830" s="79" t="s">
        <v>17</v>
      </c>
      <c r="L2830" s="79" t="s">
        <v>416</v>
      </c>
    </row>
    <row r="2831" spans="2:12" ht="12" customHeight="1" x14ac:dyDescent="0.35">
      <c r="B2831" s="451"/>
      <c r="C2831" s="451"/>
      <c r="D2831" s="454"/>
      <c r="E2831" s="451"/>
      <c r="F2831" s="451"/>
      <c r="G2831" s="106"/>
      <c r="H2831" s="77" t="s">
        <v>17</v>
      </c>
      <c r="I2831" s="94"/>
      <c r="J2831" s="79" t="s">
        <v>17</v>
      </c>
      <c r="K2831" s="85"/>
      <c r="L2831" s="79" t="s">
        <v>17</v>
      </c>
    </row>
    <row r="2832" spans="2:12" ht="12" customHeight="1" x14ac:dyDescent="0.35">
      <c r="B2832" s="80" t="s">
        <v>5</v>
      </c>
      <c r="C2832" s="81" t="s">
        <v>417</v>
      </c>
      <c r="D2832" s="82"/>
      <c r="E2832" s="82"/>
      <c r="F2832" s="82"/>
      <c r="G2832" s="82"/>
      <c r="H2832" s="82"/>
      <c r="I2832" s="83"/>
      <c r="J2832" s="83"/>
      <c r="K2832" s="83"/>
      <c r="L2832" s="83"/>
    </row>
    <row r="2833" spans="1:12" ht="12" customHeight="1" x14ac:dyDescent="0.35">
      <c r="A2833" s="134">
        <v>10130000</v>
      </c>
      <c r="B2833" s="84"/>
      <c r="C2833" s="85" t="s">
        <v>28</v>
      </c>
      <c r="D2833" s="84" t="s">
        <v>418</v>
      </c>
      <c r="E2833" s="84" t="str">
        <f>VLOOKUP(C2833,HSD!B:K,2,FALSE)</f>
        <v>OH</v>
      </c>
      <c r="F2833" s="128">
        <v>1.9E-2</v>
      </c>
      <c r="G2833" s="87">
        <f>VLOOKUP(C2833,HSD!B:K,10,FALSE)</f>
        <v>120000</v>
      </c>
      <c r="H2833" s="87">
        <f>F2833*G2833</f>
        <v>2280</v>
      </c>
      <c r="I2833" s="87">
        <v>91500</v>
      </c>
      <c r="J2833" s="87">
        <f>F2833*I2833</f>
        <v>1738.5</v>
      </c>
      <c r="K2833" s="87">
        <v>91500</v>
      </c>
      <c r="L2833" s="87">
        <f>F2833*K2833</f>
        <v>1738.5</v>
      </c>
    </row>
    <row r="2834" spans="1:12" ht="12" customHeight="1" x14ac:dyDescent="0.35">
      <c r="A2834" s="134">
        <v>10143000</v>
      </c>
      <c r="B2834" s="84"/>
      <c r="C2834" s="85" t="s">
        <v>435</v>
      </c>
      <c r="D2834" s="84" t="s">
        <v>418</v>
      </c>
      <c r="E2834" s="84" t="str">
        <f>VLOOKUP(C2834,HSD!B:K,2,FALSE)</f>
        <v>OH</v>
      </c>
      <c r="F2834" s="128">
        <v>4.7499999999999999E-3</v>
      </c>
      <c r="G2834" s="87">
        <f>VLOOKUP(C2834,HSD!B:K,10,FALSE)</f>
        <v>250000</v>
      </c>
      <c r="H2834" s="87">
        <f>F2834*G2834</f>
        <v>1187.5</v>
      </c>
      <c r="I2834" s="87"/>
      <c r="J2834" s="87"/>
      <c r="K2834" s="87"/>
      <c r="L2834" s="87"/>
    </row>
    <row r="2835" spans="1:12" ht="12" customHeight="1" x14ac:dyDescent="0.35">
      <c r="A2835" s="134">
        <v>10120000</v>
      </c>
      <c r="B2835" s="84"/>
      <c r="C2835" s="85" t="s">
        <v>27</v>
      </c>
      <c r="D2835" s="84" t="s">
        <v>418</v>
      </c>
      <c r="E2835" s="84" t="str">
        <f>VLOOKUP(C2835,HSD!B:K,2,FALSE)</f>
        <v>OH</v>
      </c>
      <c r="F2835" s="128">
        <f>F2834/10</f>
        <v>4.75E-4</v>
      </c>
      <c r="G2835" s="87">
        <f>VLOOKUP(C2835,HSD!B:K,10,FALSE)</f>
        <v>150000</v>
      </c>
      <c r="H2835" s="87">
        <f>F2835*G2835</f>
        <v>71.25</v>
      </c>
      <c r="I2835" s="87"/>
      <c r="J2835" s="87"/>
      <c r="K2835" s="87"/>
      <c r="L2835" s="87"/>
    </row>
    <row r="2836" spans="1:12" ht="12" customHeight="1" x14ac:dyDescent="0.35">
      <c r="A2836" s="134">
        <v>10110000</v>
      </c>
      <c r="B2836" s="84"/>
      <c r="C2836" s="85" t="s">
        <v>30</v>
      </c>
      <c r="D2836" s="84" t="s">
        <v>418</v>
      </c>
      <c r="E2836" s="84" t="str">
        <f>VLOOKUP(C2836,HSD!B:K,2,FALSE)</f>
        <v>OH</v>
      </c>
      <c r="F2836" s="128">
        <f>F2833/10</f>
        <v>1.9E-3</v>
      </c>
      <c r="G2836" s="87">
        <f>VLOOKUP(C2836,HSD!B:K,10,FALSE)</f>
        <v>150000</v>
      </c>
      <c r="H2836" s="87">
        <f>F2836*G2836</f>
        <v>285</v>
      </c>
      <c r="I2836" s="87">
        <v>92500</v>
      </c>
      <c r="J2836" s="87">
        <f>F2836*I2836</f>
        <v>175.75</v>
      </c>
      <c r="K2836" s="87">
        <v>92500</v>
      </c>
      <c r="L2836" s="87">
        <f>F2836*K2836</f>
        <v>175.75</v>
      </c>
    </row>
    <row r="2837" spans="1:12" ht="12" customHeight="1" x14ac:dyDescent="0.35">
      <c r="B2837" s="84"/>
      <c r="C2837" s="85"/>
      <c r="D2837" s="84"/>
      <c r="E2837" s="84"/>
      <c r="F2837" s="86"/>
      <c r="G2837" s="87"/>
      <c r="H2837" s="87"/>
      <c r="I2837" s="87"/>
      <c r="J2837" s="87"/>
      <c r="K2837" s="87"/>
      <c r="L2837" s="87"/>
    </row>
    <row r="2838" spans="1:12" ht="12" customHeight="1" x14ac:dyDescent="0.35">
      <c r="B2838" s="84"/>
      <c r="C2838" s="88"/>
      <c r="D2838" s="79"/>
      <c r="E2838" s="79"/>
      <c r="F2838" s="89" t="s">
        <v>421</v>
      </c>
      <c r="G2838" s="101"/>
      <c r="H2838" s="87">
        <f>SUM(H2833:H2837)</f>
        <v>3823.75</v>
      </c>
      <c r="I2838" s="101"/>
      <c r="J2838" s="87">
        <f>SUM(J2836:J2837)</f>
        <v>175.75</v>
      </c>
      <c r="K2838" s="101"/>
      <c r="L2838" s="87">
        <f>SUM(L2836:L2837)</f>
        <v>175.75</v>
      </c>
    </row>
    <row r="2839" spans="1:12" ht="12" customHeight="1" x14ac:dyDescent="0.35">
      <c r="B2839" s="84" t="s">
        <v>6</v>
      </c>
      <c r="C2839" s="88" t="s">
        <v>422</v>
      </c>
      <c r="D2839" s="79"/>
      <c r="E2839" s="79"/>
      <c r="F2839" s="90"/>
      <c r="G2839" s="84"/>
      <c r="H2839" s="87"/>
      <c r="I2839" s="84"/>
      <c r="J2839" s="87"/>
      <c r="K2839" s="84"/>
      <c r="L2839" s="87"/>
    </row>
    <row r="2840" spans="1:12" ht="26" x14ac:dyDescent="0.35">
      <c r="A2840" s="134">
        <v>22101016</v>
      </c>
      <c r="B2840" s="84"/>
      <c r="C2840" s="130" t="s">
        <v>1810</v>
      </c>
      <c r="D2840" s="131" t="s">
        <v>418</v>
      </c>
      <c r="E2840" s="131" t="str">
        <f>VLOOKUP(C2840,HSD!B:K,2,FALSE)</f>
        <v>m3</v>
      </c>
      <c r="F2840" s="132">
        <v>1.02</v>
      </c>
      <c r="G2840" s="133">
        <f>VLOOKUP(C2840,HSD!B:K,10,FALSE)</f>
        <v>2251070</v>
      </c>
      <c r="H2840" s="133">
        <f>F2840*G2840</f>
        <v>2296091.4</v>
      </c>
      <c r="I2840" s="87">
        <v>232500</v>
      </c>
      <c r="J2840" s="87">
        <f>F2840*I2840</f>
        <v>237150</v>
      </c>
      <c r="K2840" s="87">
        <v>270000</v>
      </c>
      <c r="L2840" s="87">
        <f>F2840*K2840</f>
        <v>275400</v>
      </c>
    </row>
    <row r="2841" spans="1:12" x14ac:dyDescent="0.35">
      <c r="B2841" s="84"/>
      <c r="C2841" s="85"/>
      <c r="D2841" s="84"/>
      <c r="E2841" s="84"/>
      <c r="F2841" s="128"/>
      <c r="G2841" s="87"/>
      <c r="H2841" s="87">
        <f>F2841*G2841</f>
        <v>0</v>
      </c>
      <c r="I2841" s="87"/>
      <c r="J2841" s="87"/>
      <c r="K2841" s="87"/>
      <c r="L2841" s="87"/>
    </row>
    <row r="2842" spans="1:12" x14ac:dyDescent="0.35">
      <c r="B2842" s="84"/>
      <c r="C2842" s="85"/>
      <c r="D2842" s="84"/>
      <c r="E2842" s="84"/>
      <c r="F2842" s="128"/>
      <c r="G2842" s="87"/>
      <c r="H2842" s="87">
        <f>F2842*G2842</f>
        <v>0</v>
      </c>
      <c r="I2842" s="87"/>
      <c r="J2842" s="87"/>
      <c r="K2842" s="87"/>
      <c r="L2842" s="87"/>
    </row>
    <row r="2843" spans="1:12" ht="12" customHeight="1" x14ac:dyDescent="0.35">
      <c r="B2843" s="84"/>
      <c r="C2843" s="88"/>
      <c r="D2843" s="79"/>
      <c r="E2843" s="79"/>
      <c r="F2843" s="129" t="s">
        <v>423</v>
      </c>
      <c r="G2843" s="129"/>
      <c r="H2843" s="87">
        <f>SUM(H2840:H2842)</f>
        <v>2296091.4</v>
      </c>
      <c r="I2843" s="101"/>
      <c r="J2843" s="87" t="e">
        <f>SUM(#REF!)</f>
        <v>#REF!</v>
      </c>
      <c r="K2843" s="101"/>
      <c r="L2843" s="87" t="e">
        <f>SUM(#REF!)</f>
        <v>#REF!</v>
      </c>
    </row>
    <row r="2844" spans="1:12" ht="12" customHeight="1" x14ac:dyDescent="0.35">
      <c r="B2844" s="84" t="s">
        <v>7</v>
      </c>
      <c r="C2844" s="88" t="s">
        <v>424</v>
      </c>
      <c r="D2844" s="79"/>
      <c r="E2844" s="79"/>
      <c r="F2844" s="90"/>
      <c r="G2844" s="84"/>
      <c r="H2844" s="87"/>
      <c r="I2844" s="84"/>
      <c r="J2844" s="87"/>
      <c r="K2844" s="84"/>
      <c r="L2844" s="87"/>
    </row>
    <row r="2845" spans="1:12" ht="12" customHeight="1" x14ac:dyDescent="0.35">
      <c r="A2845" s="134">
        <v>31100026</v>
      </c>
      <c r="B2845" s="84"/>
      <c r="C2845" s="85" t="s">
        <v>1830</v>
      </c>
      <c r="D2845" s="84" t="s">
        <v>418</v>
      </c>
      <c r="E2845" s="84" t="str">
        <f>VLOOKUP(C2845,HSD!B:K,2,FALSE)</f>
        <v>Sewa-hari</v>
      </c>
      <c r="F2845" s="128">
        <f>F2835*24</f>
        <v>1.14E-2</v>
      </c>
      <c r="G2845" s="87">
        <f>VLOOKUP(C2845,HSD!B:K,10,FALSE)</f>
        <v>0</v>
      </c>
      <c r="H2845" s="87">
        <f>F2845*G2845</f>
        <v>0</v>
      </c>
      <c r="I2845" s="87"/>
      <c r="J2845" s="87">
        <f>H2845*I2845</f>
        <v>0</v>
      </c>
      <c r="K2845" s="87"/>
      <c r="L2845" s="87">
        <f>J2845*K2845</f>
        <v>0</v>
      </c>
    </row>
    <row r="2846" spans="1:12" ht="12" customHeight="1" x14ac:dyDescent="0.35">
      <c r="B2846" s="84"/>
      <c r="C2846" s="85"/>
      <c r="D2846" s="84"/>
      <c r="E2846" s="84"/>
      <c r="F2846" s="128"/>
      <c r="G2846" s="87"/>
      <c r="H2846" s="87">
        <f>F2846*G2846</f>
        <v>0</v>
      </c>
      <c r="I2846" s="87"/>
      <c r="J2846" s="87"/>
      <c r="K2846" s="87"/>
      <c r="L2846" s="87"/>
    </row>
    <row r="2847" spans="1:12" ht="12" customHeight="1" x14ac:dyDescent="0.35">
      <c r="B2847" s="84"/>
      <c r="C2847" s="85"/>
      <c r="D2847" s="84"/>
      <c r="E2847" s="84"/>
      <c r="F2847" s="128"/>
      <c r="G2847" s="87"/>
      <c r="H2847" s="87">
        <f>F2847*G2847</f>
        <v>0</v>
      </c>
      <c r="I2847" s="87"/>
      <c r="J2847" s="87"/>
      <c r="K2847" s="87"/>
      <c r="L2847" s="87"/>
    </row>
    <row r="2848" spans="1:12" ht="12" customHeight="1" x14ac:dyDescent="0.35">
      <c r="B2848" s="84"/>
      <c r="C2848" s="88"/>
      <c r="D2848" s="79"/>
      <c r="E2848" s="79"/>
      <c r="F2848" s="89" t="s">
        <v>425</v>
      </c>
      <c r="G2848" s="101"/>
      <c r="H2848" s="87">
        <f>SUM(H2845:H2847)</f>
        <v>0</v>
      </c>
      <c r="I2848" s="101"/>
      <c r="J2848" s="87">
        <f>SUM(J2845)</f>
        <v>0</v>
      </c>
      <c r="K2848" s="101"/>
      <c r="L2848" s="87">
        <f>SUM(L2845)</f>
        <v>0</v>
      </c>
    </row>
    <row r="2849" spans="1:12" ht="12" customHeight="1" x14ac:dyDescent="0.35">
      <c r="B2849" s="84" t="s">
        <v>8</v>
      </c>
      <c r="C2849" s="103" t="s">
        <v>426</v>
      </c>
      <c r="D2849" s="104"/>
      <c r="E2849" s="104"/>
      <c r="F2849" s="104"/>
      <c r="G2849" s="105"/>
      <c r="H2849" s="87">
        <f>H2838+H2843+H2848</f>
        <v>2299915.15</v>
      </c>
      <c r="I2849" s="105"/>
      <c r="J2849" s="87" t="e">
        <f>J2838+J2843+J2848</f>
        <v>#REF!</v>
      </c>
      <c r="K2849" s="105"/>
      <c r="L2849" s="87" t="e">
        <f>L2838+L2843+L2848</f>
        <v>#REF!</v>
      </c>
    </row>
    <row r="2850" spans="1:12" ht="12" customHeight="1" x14ac:dyDescent="0.35">
      <c r="B2850" s="84" t="s">
        <v>9</v>
      </c>
      <c r="C2850" s="455" t="s">
        <v>427</v>
      </c>
      <c r="D2850" s="455"/>
      <c r="E2850" s="455"/>
      <c r="F2850" s="95">
        <f>0</f>
        <v>0</v>
      </c>
      <c r="G2850" s="85" t="s">
        <v>428</v>
      </c>
      <c r="H2850" s="87">
        <f>H2849*F2850</f>
        <v>0</v>
      </c>
      <c r="I2850" s="85" t="s">
        <v>428</v>
      </c>
      <c r="J2850" s="87" t="e">
        <f>J2849*F2850</f>
        <v>#REF!</v>
      </c>
      <c r="K2850" s="85" t="s">
        <v>428</v>
      </c>
      <c r="L2850" s="87" t="e">
        <f>L2849*F2850</f>
        <v>#REF!</v>
      </c>
    </row>
    <row r="2851" spans="1:12" ht="12" customHeight="1" x14ac:dyDescent="0.35">
      <c r="B2851" s="84" t="s">
        <v>10</v>
      </c>
      <c r="C2851" s="103" t="s">
        <v>429</v>
      </c>
      <c r="D2851" s="104"/>
      <c r="E2851" s="104"/>
      <c r="F2851" s="104"/>
      <c r="G2851" s="105"/>
      <c r="H2851" s="96">
        <f>H2849+H2850</f>
        <v>2299915.15</v>
      </c>
      <c r="I2851" s="97"/>
      <c r="J2851" s="96" t="e">
        <f>J2849+J2850</f>
        <v>#REF!</v>
      </c>
      <c r="K2851" s="97"/>
      <c r="L2851" s="96" t="e">
        <f>L2849+L2850</f>
        <v>#REF!</v>
      </c>
    </row>
    <row r="2852" spans="1:12" x14ac:dyDescent="0.35">
      <c r="B2852" s="75" t="s">
        <v>801</v>
      </c>
    </row>
    <row r="2853" spans="1:12" ht="14" customHeight="1" x14ac:dyDescent="0.35"/>
    <row r="2854" spans="1:12" ht="37" customHeight="1" x14ac:dyDescent="0.35">
      <c r="B2854" s="76" t="s">
        <v>804</v>
      </c>
      <c r="C2854" s="458" t="s">
        <v>805</v>
      </c>
      <c r="D2854" s="459"/>
      <c r="E2854" s="459"/>
      <c r="F2854" s="459"/>
      <c r="G2854" s="456"/>
      <c r="H2854" s="457"/>
      <c r="I2854" s="455" t="s">
        <v>3</v>
      </c>
      <c r="J2854" s="455"/>
      <c r="K2854" s="455" t="s">
        <v>4</v>
      </c>
      <c r="L2854" s="455"/>
    </row>
    <row r="2855" spans="1:12" ht="12" customHeight="1" x14ac:dyDescent="0.35">
      <c r="B2855" s="451" t="s">
        <v>409</v>
      </c>
      <c r="C2855" s="451" t="s">
        <v>410</v>
      </c>
      <c r="D2855" s="452" t="s">
        <v>411</v>
      </c>
      <c r="E2855" s="451" t="s">
        <v>412</v>
      </c>
      <c r="F2855" s="451" t="s">
        <v>413</v>
      </c>
      <c r="G2855" s="77" t="s">
        <v>414</v>
      </c>
      <c r="H2855" s="77" t="s">
        <v>415</v>
      </c>
      <c r="I2855" s="78" t="s">
        <v>414</v>
      </c>
      <c r="J2855" s="79" t="s">
        <v>415</v>
      </c>
      <c r="K2855" s="79" t="s">
        <v>414</v>
      </c>
      <c r="L2855" s="79" t="s">
        <v>415</v>
      </c>
    </row>
    <row r="2856" spans="1:12" ht="12" customHeight="1" x14ac:dyDescent="0.35">
      <c r="B2856" s="451"/>
      <c r="C2856" s="451"/>
      <c r="D2856" s="453"/>
      <c r="E2856" s="451"/>
      <c r="F2856" s="451"/>
      <c r="G2856" s="77" t="s">
        <v>17</v>
      </c>
      <c r="H2856" s="77" t="s">
        <v>416</v>
      </c>
      <c r="I2856" s="78" t="s">
        <v>17</v>
      </c>
      <c r="J2856" s="79" t="s">
        <v>416</v>
      </c>
      <c r="K2856" s="79" t="s">
        <v>17</v>
      </c>
      <c r="L2856" s="79" t="s">
        <v>416</v>
      </c>
    </row>
    <row r="2857" spans="1:12" ht="12" customHeight="1" x14ac:dyDescent="0.35">
      <c r="B2857" s="451"/>
      <c r="C2857" s="451"/>
      <c r="D2857" s="454"/>
      <c r="E2857" s="451"/>
      <c r="F2857" s="451"/>
      <c r="G2857" s="106"/>
      <c r="H2857" s="77" t="s">
        <v>17</v>
      </c>
      <c r="I2857" s="94"/>
      <c r="J2857" s="79" t="s">
        <v>17</v>
      </c>
      <c r="K2857" s="85"/>
      <c r="L2857" s="79" t="s">
        <v>17</v>
      </c>
    </row>
    <row r="2858" spans="1:12" ht="12" customHeight="1" x14ac:dyDescent="0.35">
      <c r="B2858" s="80" t="s">
        <v>5</v>
      </c>
      <c r="C2858" s="81" t="s">
        <v>417</v>
      </c>
      <c r="D2858" s="82"/>
      <c r="E2858" s="82"/>
      <c r="F2858" s="82"/>
      <c r="G2858" s="82"/>
      <c r="H2858" s="82"/>
      <c r="I2858" s="83"/>
      <c r="J2858" s="83"/>
      <c r="K2858" s="83"/>
      <c r="L2858" s="83"/>
    </row>
    <row r="2859" spans="1:12" ht="12" customHeight="1" x14ac:dyDescent="0.35">
      <c r="A2859" s="134">
        <v>10130000</v>
      </c>
      <c r="B2859" s="84"/>
      <c r="C2859" s="85" t="s">
        <v>28</v>
      </c>
      <c r="D2859" s="84" t="s">
        <v>418</v>
      </c>
      <c r="E2859" s="84" t="str">
        <f>VLOOKUP(C2859,HSD!B:K,2,FALSE)</f>
        <v>OH</v>
      </c>
      <c r="F2859" s="128">
        <v>0.2</v>
      </c>
      <c r="G2859" s="87">
        <f>VLOOKUP(C2859,HSD!B:K,10,FALSE)</f>
        <v>120000</v>
      </c>
      <c r="H2859" s="87">
        <f>F2859*G2859</f>
        <v>24000</v>
      </c>
      <c r="I2859" s="87">
        <v>91500</v>
      </c>
      <c r="J2859" s="87">
        <f>F2859*I2859</f>
        <v>18300</v>
      </c>
      <c r="K2859" s="87">
        <v>91500</v>
      </c>
      <c r="L2859" s="87">
        <f>F2859*K2859</f>
        <v>18300</v>
      </c>
    </row>
    <row r="2860" spans="1:12" ht="12" customHeight="1" x14ac:dyDescent="0.35">
      <c r="A2860" s="134">
        <v>10142000</v>
      </c>
      <c r="B2860" s="84"/>
      <c r="C2860" s="85" t="s">
        <v>434</v>
      </c>
      <c r="D2860" s="84" t="s">
        <v>418</v>
      </c>
      <c r="E2860" s="84" t="str">
        <f>VLOOKUP(C2860,HSD!B:K,2,FALSE)</f>
        <v>OH</v>
      </c>
      <c r="F2860" s="128">
        <v>0.1</v>
      </c>
      <c r="G2860" s="87">
        <f>VLOOKUP(C2860,HSD!B:K,10,FALSE)</f>
        <v>250000</v>
      </c>
      <c r="H2860" s="87">
        <f>F2860*G2860</f>
        <v>25000</v>
      </c>
      <c r="I2860" s="87"/>
      <c r="J2860" s="87"/>
      <c r="K2860" s="87"/>
      <c r="L2860" s="87"/>
    </row>
    <row r="2861" spans="1:12" ht="12" customHeight="1" x14ac:dyDescent="0.35">
      <c r="A2861" s="134">
        <v>10120000</v>
      </c>
      <c r="B2861" s="84"/>
      <c r="C2861" s="85" t="s">
        <v>27</v>
      </c>
      <c r="D2861" s="84" t="s">
        <v>418</v>
      </c>
      <c r="E2861" s="84" t="str">
        <f>VLOOKUP(C2861,HSD!B:K,2,FALSE)</f>
        <v>OH</v>
      </c>
      <c r="F2861" s="128">
        <f>F2860/10</f>
        <v>0.01</v>
      </c>
      <c r="G2861" s="87">
        <f>VLOOKUP(C2861,HSD!B:K,10,FALSE)</f>
        <v>150000</v>
      </c>
      <c r="H2861" s="87">
        <f>F2861*G2861</f>
        <v>1500</v>
      </c>
      <c r="I2861" s="87"/>
      <c r="J2861" s="87"/>
      <c r="K2861" s="87"/>
      <c r="L2861" s="87"/>
    </row>
    <row r="2862" spans="1:12" ht="12" customHeight="1" x14ac:dyDescent="0.35">
      <c r="A2862" s="134">
        <v>10110000</v>
      </c>
      <c r="B2862" s="84"/>
      <c r="C2862" s="85" t="s">
        <v>30</v>
      </c>
      <c r="D2862" s="84" t="s">
        <v>418</v>
      </c>
      <c r="E2862" s="84" t="str">
        <f>VLOOKUP(C2862,HSD!B:K,2,FALSE)</f>
        <v>OH</v>
      </c>
      <c r="F2862" s="128">
        <f>F2859/10</f>
        <v>0.02</v>
      </c>
      <c r="G2862" s="87">
        <f>VLOOKUP(C2862,HSD!B:K,10,FALSE)</f>
        <v>150000</v>
      </c>
      <c r="H2862" s="87">
        <f>F2862*G2862</f>
        <v>3000</v>
      </c>
      <c r="I2862" s="87">
        <v>92500</v>
      </c>
      <c r="J2862" s="87">
        <f>F2862*I2862</f>
        <v>1850</v>
      </c>
      <c r="K2862" s="87">
        <v>92500</v>
      </c>
      <c r="L2862" s="87">
        <f>F2862*K2862</f>
        <v>1850</v>
      </c>
    </row>
    <row r="2863" spans="1:12" ht="12" customHeight="1" x14ac:dyDescent="0.35">
      <c r="B2863" s="84"/>
      <c r="C2863" s="85"/>
      <c r="D2863" s="84"/>
      <c r="E2863" s="84"/>
      <c r="F2863" s="86"/>
      <c r="G2863" s="87"/>
      <c r="H2863" s="87"/>
      <c r="I2863" s="87"/>
      <c r="J2863" s="87"/>
      <c r="K2863" s="87"/>
      <c r="L2863" s="87"/>
    </row>
    <row r="2864" spans="1:12" ht="12" customHeight="1" x14ac:dyDescent="0.35">
      <c r="B2864" s="84"/>
      <c r="C2864" s="88"/>
      <c r="D2864" s="79"/>
      <c r="E2864" s="79"/>
      <c r="F2864" s="89" t="s">
        <v>421</v>
      </c>
      <c r="G2864" s="101"/>
      <c r="H2864" s="87">
        <f>SUM(H2859:H2863)</f>
        <v>53500</v>
      </c>
      <c r="I2864" s="101"/>
      <c r="J2864" s="87">
        <f>SUM(J2862:J2863)</f>
        <v>1850</v>
      </c>
      <c r="K2864" s="101"/>
      <c r="L2864" s="87">
        <f>SUM(L2862:L2863)</f>
        <v>1850</v>
      </c>
    </row>
    <row r="2865" spans="1:12" ht="12" customHeight="1" x14ac:dyDescent="0.35">
      <c r="B2865" s="84" t="s">
        <v>6</v>
      </c>
      <c r="C2865" s="88" t="s">
        <v>422</v>
      </c>
      <c r="D2865" s="79"/>
      <c r="E2865" s="79"/>
      <c r="F2865" s="90"/>
      <c r="G2865" s="84"/>
      <c r="H2865" s="87"/>
      <c r="I2865" s="84"/>
      <c r="J2865" s="87"/>
      <c r="K2865" s="84"/>
      <c r="L2865" s="87"/>
    </row>
    <row r="2866" spans="1:12" x14ac:dyDescent="0.35">
      <c r="A2866" s="134">
        <v>21924004</v>
      </c>
      <c r="B2866" s="84"/>
      <c r="C2866" s="85" t="s">
        <v>456</v>
      </c>
      <c r="D2866" s="84" t="s">
        <v>418</v>
      </c>
      <c r="E2866" s="84" t="str">
        <f>VLOOKUP(C2866,HSD!B:K,2,FALSE)</f>
        <v>lbr</v>
      </c>
      <c r="F2866" s="128">
        <v>0.128</v>
      </c>
      <c r="G2866" s="87">
        <f>VLOOKUP(C2866,HSD!B:K,10,FALSE)</f>
        <v>288600</v>
      </c>
      <c r="H2866" s="87">
        <f>F2866*G2866</f>
        <v>36940.800000000003</v>
      </c>
      <c r="I2866" s="87">
        <v>232500</v>
      </c>
      <c r="J2866" s="87">
        <f>F2866*I2866</f>
        <v>29760</v>
      </c>
      <c r="K2866" s="87">
        <v>270000</v>
      </c>
      <c r="L2866" s="87">
        <f>F2866*K2866</f>
        <v>34560</v>
      </c>
    </row>
    <row r="2867" spans="1:12" x14ac:dyDescent="0.35">
      <c r="A2867" s="134">
        <v>21401200</v>
      </c>
      <c r="B2867" s="84"/>
      <c r="C2867" s="85" t="s">
        <v>1873</v>
      </c>
      <c r="D2867" s="84" t="s">
        <v>418</v>
      </c>
      <c r="E2867" s="84" t="str">
        <f>VLOOKUP(C2867,HSD!B:K,2,FALSE)</f>
        <v>m3</v>
      </c>
      <c r="F2867" s="128">
        <v>5.0000000000000001E-3</v>
      </c>
      <c r="G2867" s="87">
        <f>VLOOKUP(C2867,HSD!B:K,10,FALSE)</f>
        <v>3885000</v>
      </c>
      <c r="H2867" s="87">
        <f>F2867*G2867</f>
        <v>19425</v>
      </c>
      <c r="I2867" s="87"/>
      <c r="J2867" s="87"/>
      <c r="K2867" s="87"/>
      <c r="L2867" s="87"/>
    </row>
    <row r="2868" spans="1:12" x14ac:dyDescent="0.35">
      <c r="A2868" s="134">
        <v>21911005</v>
      </c>
      <c r="B2868" s="84"/>
      <c r="C2868" s="85" t="s">
        <v>151</v>
      </c>
      <c r="D2868" s="84" t="s">
        <v>418</v>
      </c>
      <c r="E2868" s="84" t="str">
        <f>VLOOKUP(C2868,HSD!B:K,2,FALSE)</f>
        <v>kg</v>
      </c>
      <c r="F2868" s="128">
        <v>0.22</v>
      </c>
      <c r="G2868" s="87">
        <f>VLOOKUP(C2868,HSD!B:K,10,FALSE)</f>
        <v>18426</v>
      </c>
      <c r="H2868" s="87">
        <f>F2868*G2868</f>
        <v>4053.72</v>
      </c>
      <c r="I2868" s="87"/>
      <c r="J2868" s="87"/>
      <c r="K2868" s="87"/>
      <c r="L2868" s="87"/>
    </row>
    <row r="2869" spans="1:12" x14ac:dyDescent="0.35">
      <c r="A2869" s="134">
        <v>21961000</v>
      </c>
      <c r="B2869" s="84"/>
      <c r="C2869" s="85" t="s">
        <v>215</v>
      </c>
      <c r="D2869" s="84" t="s">
        <v>418</v>
      </c>
      <c r="E2869" s="84" t="str">
        <f>VLOOKUP(C2869,HSD!B:K,2,FALSE)</f>
        <v>ltr</v>
      </c>
      <c r="F2869" s="128">
        <v>0.2</v>
      </c>
      <c r="G2869" s="87">
        <f>VLOOKUP(C2869,HSD!B:K,10,FALSE)</f>
        <v>34410</v>
      </c>
      <c r="H2869" s="87">
        <f>F2869*G2869</f>
        <v>6882</v>
      </c>
      <c r="I2869" s="87"/>
      <c r="J2869" s="87"/>
      <c r="K2869" s="87"/>
      <c r="L2869" s="87"/>
    </row>
    <row r="2870" spans="1:12" ht="12" customHeight="1" x14ac:dyDescent="0.35">
      <c r="B2870" s="84"/>
      <c r="C2870" s="88"/>
      <c r="D2870" s="79"/>
      <c r="E2870" s="79"/>
      <c r="F2870" s="129" t="s">
        <v>423</v>
      </c>
      <c r="G2870" s="129"/>
      <c r="H2870" s="87">
        <f>SUM(H2866:H2869)</f>
        <v>67301.52</v>
      </c>
      <c r="I2870" s="101"/>
      <c r="J2870" s="87" t="e">
        <f>SUM(#REF!)</f>
        <v>#REF!</v>
      </c>
      <c r="K2870" s="101"/>
      <c r="L2870" s="87" t="e">
        <f>SUM(#REF!)</f>
        <v>#REF!</v>
      </c>
    </row>
    <row r="2871" spans="1:12" ht="12" customHeight="1" x14ac:dyDescent="0.35">
      <c r="B2871" s="84" t="s">
        <v>7</v>
      </c>
      <c r="C2871" s="88" t="s">
        <v>424</v>
      </c>
      <c r="D2871" s="79"/>
      <c r="E2871" s="79"/>
      <c r="F2871" s="90"/>
      <c r="G2871" s="84"/>
      <c r="H2871" s="87"/>
      <c r="I2871" s="84"/>
      <c r="J2871" s="87"/>
      <c r="K2871" s="84"/>
      <c r="L2871" s="87"/>
    </row>
    <row r="2872" spans="1:12" ht="12" customHeight="1" x14ac:dyDescent="0.35">
      <c r="B2872" s="84"/>
      <c r="C2872" s="85"/>
      <c r="D2872" s="84"/>
      <c r="E2872" s="84"/>
      <c r="F2872" s="128"/>
      <c r="G2872" s="87"/>
      <c r="H2872" s="87">
        <f>F2872*G2872</f>
        <v>0</v>
      </c>
      <c r="I2872" s="87"/>
      <c r="J2872" s="87">
        <f>H2872*I2872</f>
        <v>0</v>
      </c>
      <c r="K2872" s="87"/>
      <c r="L2872" s="87">
        <f>J2872*K2872</f>
        <v>0</v>
      </c>
    </row>
    <row r="2873" spans="1:12" ht="12" customHeight="1" x14ac:dyDescent="0.35">
      <c r="B2873" s="84"/>
      <c r="C2873" s="85"/>
      <c r="D2873" s="84"/>
      <c r="E2873" s="84"/>
      <c r="F2873" s="128"/>
      <c r="G2873" s="87"/>
      <c r="H2873" s="87">
        <f>F2873*G2873</f>
        <v>0</v>
      </c>
      <c r="I2873" s="87"/>
      <c r="J2873" s="87"/>
      <c r="K2873" s="87"/>
      <c r="L2873" s="87"/>
    </row>
    <row r="2874" spans="1:12" ht="12" customHeight="1" x14ac:dyDescent="0.35">
      <c r="B2874" s="84"/>
      <c r="C2874" s="85"/>
      <c r="D2874" s="84"/>
      <c r="E2874" s="84"/>
      <c r="F2874" s="128"/>
      <c r="G2874" s="87"/>
      <c r="H2874" s="87">
        <f>F2874*G2874</f>
        <v>0</v>
      </c>
      <c r="I2874" s="87"/>
      <c r="J2874" s="87"/>
      <c r="K2874" s="87"/>
      <c r="L2874" s="87"/>
    </row>
    <row r="2875" spans="1:12" ht="12" customHeight="1" x14ac:dyDescent="0.35">
      <c r="B2875" s="84"/>
      <c r="C2875" s="88"/>
      <c r="D2875" s="79"/>
      <c r="E2875" s="79"/>
      <c r="F2875" s="89" t="s">
        <v>425</v>
      </c>
      <c r="G2875" s="101"/>
      <c r="H2875" s="87">
        <f>SUM(H2872:H2874)</f>
        <v>0</v>
      </c>
      <c r="I2875" s="101"/>
      <c r="J2875" s="87">
        <f>SUM(J2872)</f>
        <v>0</v>
      </c>
      <c r="K2875" s="101"/>
      <c r="L2875" s="87">
        <f>SUM(L2872)</f>
        <v>0</v>
      </c>
    </row>
    <row r="2876" spans="1:12" ht="12" customHeight="1" x14ac:dyDescent="0.35">
      <c r="B2876" s="84" t="s">
        <v>8</v>
      </c>
      <c r="C2876" s="103" t="s">
        <v>426</v>
      </c>
      <c r="D2876" s="104"/>
      <c r="E2876" s="104"/>
      <c r="F2876" s="104"/>
      <c r="G2876" s="105"/>
      <c r="H2876" s="87">
        <f>H2864+H2870+H2875</f>
        <v>120801.52</v>
      </c>
      <c r="I2876" s="105"/>
      <c r="J2876" s="87" t="e">
        <f>J2864+J2870+J2875</f>
        <v>#REF!</v>
      </c>
      <c r="K2876" s="105"/>
      <c r="L2876" s="87" t="e">
        <f>L2864+L2870+L2875</f>
        <v>#REF!</v>
      </c>
    </row>
    <row r="2877" spans="1:12" ht="12" customHeight="1" x14ac:dyDescent="0.35">
      <c r="B2877" s="84" t="s">
        <v>9</v>
      </c>
      <c r="C2877" s="455" t="s">
        <v>427</v>
      </c>
      <c r="D2877" s="455"/>
      <c r="E2877" s="455"/>
      <c r="F2877" s="95">
        <f>0</f>
        <v>0</v>
      </c>
      <c r="G2877" s="85" t="s">
        <v>428</v>
      </c>
      <c r="H2877" s="87">
        <f>H2876*F2877</f>
        <v>0</v>
      </c>
      <c r="I2877" s="85" t="s">
        <v>428</v>
      </c>
      <c r="J2877" s="87" t="e">
        <f>J2876*F2877</f>
        <v>#REF!</v>
      </c>
      <c r="K2877" s="85" t="s">
        <v>428</v>
      </c>
      <c r="L2877" s="87" t="e">
        <f>L2876*F2877</f>
        <v>#REF!</v>
      </c>
    </row>
    <row r="2878" spans="1:12" ht="12" customHeight="1" x14ac:dyDescent="0.35">
      <c r="B2878" s="84" t="s">
        <v>10</v>
      </c>
      <c r="C2878" s="103" t="s">
        <v>429</v>
      </c>
      <c r="D2878" s="104"/>
      <c r="E2878" s="104"/>
      <c r="F2878" s="104"/>
      <c r="G2878" s="105"/>
      <c r="H2878" s="96">
        <f>H2876+H2877</f>
        <v>120801.52</v>
      </c>
      <c r="I2878" s="97"/>
      <c r="J2878" s="96" t="e">
        <f>J2876+J2877</f>
        <v>#REF!</v>
      </c>
      <c r="K2878" s="97"/>
      <c r="L2878" s="96" t="e">
        <f>L2876+L2877</f>
        <v>#REF!</v>
      </c>
    </row>
    <row r="2879" spans="1:12" x14ac:dyDescent="0.35">
      <c r="B2879" s="75" t="s">
        <v>806</v>
      </c>
    </row>
    <row r="2880" spans="1:12" ht="14" customHeight="1" x14ac:dyDescent="0.35"/>
    <row r="2881" spans="1:12" ht="37" customHeight="1" x14ac:dyDescent="0.35">
      <c r="B2881" s="76" t="s">
        <v>807</v>
      </c>
      <c r="C2881" s="458" t="s">
        <v>808</v>
      </c>
      <c r="D2881" s="459"/>
      <c r="E2881" s="459"/>
      <c r="F2881" s="459"/>
      <c r="G2881" s="456"/>
      <c r="H2881" s="457"/>
      <c r="I2881" s="455" t="s">
        <v>3</v>
      </c>
      <c r="J2881" s="455"/>
      <c r="K2881" s="455" t="s">
        <v>4</v>
      </c>
      <c r="L2881" s="455"/>
    </row>
    <row r="2882" spans="1:12" ht="12" customHeight="1" x14ac:dyDescent="0.35">
      <c r="B2882" s="451" t="s">
        <v>409</v>
      </c>
      <c r="C2882" s="451" t="s">
        <v>410</v>
      </c>
      <c r="D2882" s="452" t="s">
        <v>411</v>
      </c>
      <c r="E2882" s="451" t="s">
        <v>412</v>
      </c>
      <c r="F2882" s="451" t="s">
        <v>413</v>
      </c>
      <c r="G2882" s="77" t="s">
        <v>414</v>
      </c>
      <c r="H2882" s="77" t="s">
        <v>415</v>
      </c>
      <c r="I2882" s="78" t="s">
        <v>414</v>
      </c>
      <c r="J2882" s="79" t="s">
        <v>415</v>
      </c>
      <c r="K2882" s="79" t="s">
        <v>414</v>
      </c>
      <c r="L2882" s="79" t="s">
        <v>415</v>
      </c>
    </row>
    <row r="2883" spans="1:12" ht="12" customHeight="1" x14ac:dyDescent="0.35">
      <c r="B2883" s="451"/>
      <c r="C2883" s="451"/>
      <c r="D2883" s="453"/>
      <c r="E2883" s="451"/>
      <c r="F2883" s="451"/>
      <c r="G2883" s="77" t="s">
        <v>17</v>
      </c>
      <c r="H2883" s="77" t="s">
        <v>416</v>
      </c>
      <c r="I2883" s="78" t="s">
        <v>17</v>
      </c>
      <c r="J2883" s="79" t="s">
        <v>416</v>
      </c>
      <c r="K2883" s="79" t="s">
        <v>17</v>
      </c>
      <c r="L2883" s="79" t="s">
        <v>416</v>
      </c>
    </row>
    <row r="2884" spans="1:12" ht="12" customHeight="1" x14ac:dyDescent="0.35">
      <c r="B2884" s="451"/>
      <c r="C2884" s="451"/>
      <c r="D2884" s="454"/>
      <c r="E2884" s="451"/>
      <c r="F2884" s="451"/>
      <c r="G2884" s="106"/>
      <c r="H2884" s="77" t="s">
        <v>17</v>
      </c>
      <c r="I2884" s="94"/>
      <c r="J2884" s="79" t="s">
        <v>17</v>
      </c>
      <c r="K2884" s="85"/>
      <c r="L2884" s="79" t="s">
        <v>17</v>
      </c>
    </row>
    <row r="2885" spans="1:12" ht="12" customHeight="1" x14ac:dyDescent="0.35">
      <c r="B2885" s="80" t="s">
        <v>5</v>
      </c>
      <c r="C2885" s="81" t="s">
        <v>417</v>
      </c>
      <c r="D2885" s="82"/>
      <c r="E2885" s="82"/>
      <c r="F2885" s="82"/>
      <c r="G2885" s="82"/>
      <c r="H2885" s="82"/>
      <c r="I2885" s="83"/>
      <c r="J2885" s="83"/>
      <c r="K2885" s="83"/>
      <c r="L2885" s="83"/>
    </row>
    <row r="2886" spans="1:12" ht="12" customHeight="1" x14ac:dyDescent="0.35">
      <c r="A2886" s="134">
        <v>10130000</v>
      </c>
      <c r="B2886" s="84"/>
      <c r="C2886" s="85" t="s">
        <v>28</v>
      </c>
      <c r="D2886" s="84" t="s">
        <v>418</v>
      </c>
      <c r="E2886" s="84" t="str">
        <f>VLOOKUP(C2886,HSD!B:K,2,FALSE)</f>
        <v>OH</v>
      </c>
      <c r="F2886" s="128">
        <v>0.3</v>
      </c>
      <c r="G2886" s="87">
        <f>VLOOKUP(C2886,HSD!B:K,10,FALSE)</f>
        <v>120000</v>
      </c>
      <c r="H2886" s="87">
        <f>F2886*G2886</f>
        <v>36000</v>
      </c>
      <c r="I2886" s="87">
        <v>91500</v>
      </c>
      <c r="J2886" s="87">
        <f>F2886*I2886</f>
        <v>27450</v>
      </c>
      <c r="K2886" s="87">
        <v>91500</v>
      </c>
      <c r="L2886" s="87">
        <f>F2886*K2886</f>
        <v>27450</v>
      </c>
    </row>
    <row r="2887" spans="1:12" ht="12" customHeight="1" x14ac:dyDescent="0.35">
      <c r="A2887" s="134">
        <v>10142000</v>
      </c>
      <c r="B2887" s="84"/>
      <c r="C2887" s="85" t="s">
        <v>434</v>
      </c>
      <c r="D2887" s="84" t="s">
        <v>418</v>
      </c>
      <c r="E2887" s="84" t="str">
        <f>VLOOKUP(C2887,HSD!B:K,2,FALSE)</f>
        <v>OH</v>
      </c>
      <c r="F2887" s="128">
        <v>0.3</v>
      </c>
      <c r="G2887" s="87">
        <f>VLOOKUP(C2887,HSD!B:K,10,FALSE)</f>
        <v>250000</v>
      </c>
      <c r="H2887" s="87">
        <f>F2887*G2887</f>
        <v>75000</v>
      </c>
      <c r="I2887" s="87"/>
      <c r="J2887" s="87"/>
      <c r="K2887" s="87"/>
      <c r="L2887" s="87"/>
    </row>
    <row r="2888" spans="1:12" ht="12" customHeight="1" x14ac:dyDescent="0.35">
      <c r="A2888" s="134">
        <v>10120000</v>
      </c>
      <c r="B2888" s="84"/>
      <c r="C2888" s="85" t="s">
        <v>27</v>
      </c>
      <c r="D2888" s="84" t="s">
        <v>418</v>
      </c>
      <c r="E2888" s="84" t="str">
        <f>VLOOKUP(C2888,HSD!B:K,2,FALSE)</f>
        <v>OH</v>
      </c>
      <c r="F2888" s="128">
        <f>F2887/10</f>
        <v>0.03</v>
      </c>
      <c r="G2888" s="87">
        <f>VLOOKUP(C2888,HSD!B:K,10,FALSE)</f>
        <v>150000</v>
      </c>
      <c r="H2888" s="87">
        <f>F2888*G2888</f>
        <v>4500</v>
      </c>
      <c r="I2888" s="87"/>
      <c r="J2888" s="87"/>
      <c r="K2888" s="87"/>
      <c r="L2888" s="87"/>
    </row>
    <row r="2889" spans="1:12" ht="12" customHeight="1" x14ac:dyDescent="0.35">
      <c r="A2889" s="134">
        <v>10110000</v>
      </c>
      <c r="B2889" s="84"/>
      <c r="C2889" s="85" t="s">
        <v>30</v>
      </c>
      <c r="D2889" s="84" t="s">
        <v>418</v>
      </c>
      <c r="E2889" s="84" t="str">
        <f>VLOOKUP(C2889,HSD!B:K,2,FALSE)</f>
        <v>OH</v>
      </c>
      <c r="F2889" s="128">
        <f>F2886/10</f>
        <v>0.03</v>
      </c>
      <c r="G2889" s="87">
        <f>VLOOKUP(C2889,HSD!B:K,10,FALSE)</f>
        <v>150000</v>
      </c>
      <c r="H2889" s="87">
        <f>F2889*G2889</f>
        <v>4500</v>
      </c>
      <c r="I2889" s="87">
        <v>92500</v>
      </c>
      <c r="J2889" s="87">
        <f>F2889*I2889</f>
        <v>2775</v>
      </c>
      <c r="K2889" s="87">
        <v>92500</v>
      </c>
      <c r="L2889" s="87">
        <f>F2889*K2889</f>
        <v>2775</v>
      </c>
    </row>
    <row r="2890" spans="1:12" ht="12" customHeight="1" x14ac:dyDescent="0.35">
      <c r="B2890" s="84"/>
      <c r="C2890" s="85"/>
      <c r="D2890" s="84"/>
      <c r="E2890" s="84"/>
      <c r="F2890" s="86"/>
      <c r="G2890" s="87"/>
      <c r="H2890" s="87"/>
      <c r="I2890" s="87"/>
      <c r="J2890" s="87"/>
      <c r="K2890" s="87"/>
      <c r="L2890" s="87"/>
    </row>
    <row r="2891" spans="1:12" ht="12" customHeight="1" x14ac:dyDescent="0.35">
      <c r="B2891" s="84"/>
      <c r="C2891" s="88"/>
      <c r="D2891" s="79"/>
      <c r="E2891" s="79"/>
      <c r="F2891" s="89" t="s">
        <v>421</v>
      </c>
      <c r="G2891" s="101"/>
      <c r="H2891" s="87">
        <f>SUM(H2886:H2890)</f>
        <v>120000</v>
      </c>
      <c r="I2891" s="101"/>
      <c r="J2891" s="87">
        <f>SUM(J2889:J2890)</f>
        <v>2775</v>
      </c>
      <c r="K2891" s="101"/>
      <c r="L2891" s="87">
        <f>SUM(L2889:L2890)</f>
        <v>2775</v>
      </c>
    </row>
    <row r="2892" spans="1:12" ht="12" customHeight="1" x14ac:dyDescent="0.35">
      <c r="B2892" s="84" t="s">
        <v>6</v>
      </c>
      <c r="C2892" s="88" t="s">
        <v>422</v>
      </c>
      <c r="D2892" s="79"/>
      <c r="E2892" s="79"/>
      <c r="F2892" s="90"/>
      <c r="G2892" s="84"/>
      <c r="H2892" s="87"/>
      <c r="I2892" s="84"/>
      <c r="J2892" s="87"/>
      <c r="K2892" s="84"/>
      <c r="L2892" s="87"/>
    </row>
    <row r="2893" spans="1:12" x14ac:dyDescent="0.35">
      <c r="A2893" s="134">
        <v>21924002</v>
      </c>
      <c r="B2893" s="84"/>
      <c r="C2893" s="85" t="s">
        <v>457</v>
      </c>
      <c r="D2893" s="84" t="s">
        <v>418</v>
      </c>
      <c r="E2893" s="84" t="str">
        <f>VLOOKUP(C2893,HSD!B:K,2,FALSE)</f>
        <v>m2</v>
      </c>
      <c r="F2893" s="128">
        <v>0.128</v>
      </c>
      <c r="G2893" s="87">
        <f>VLOOKUP(C2893,HSD!B:K,10,FALSE)</f>
        <v>404040</v>
      </c>
      <c r="H2893" s="87">
        <f>F2893*G2893</f>
        <v>51717.120000000003</v>
      </c>
      <c r="I2893" s="87">
        <v>232500</v>
      </c>
      <c r="J2893" s="87">
        <f>F2893*I2893</f>
        <v>29760</v>
      </c>
      <c r="K2893" s="87">
        <v>270000</v>
      </c>
      <c r="L2893" s="87">
        <f>F2893*K2893</f>
        <v>34560</v>
      </c>
    </row>
    <row r="2894" spans="1:12" x14ac:dyDescent="0.35">
      <c r="A2894" s="134">
        <v>21401200</v>
      </c>
      <c r="B2894" s="84"/>
      <c r="C2894" s="85" t="s">
        <v>1873</v>
      </c>
      <c r="D2894" s="84" t="s">
        <v>418</v>
      </c>
      <c r="E2894" s="84" t="str">
        <f>VLOOKUP(C2894,HSD!B:K,2,FALSE)</f>
        <v>m3</v>
      </c>
      <c r="F2894" s="128">
        <v>6.0000000000000001E-3</v>
      </c>
      <c r="G2894" s="87">
        <f>VLOOKUP(C2894,HSD!B:K,10,FALSE)</f>
        <v>3885000</v>
      </c>
      <c r="H2894" s="87">
        <f>F2894*G2894</f>
        <v>23310</v>
      </c>
      <c r="I2894" s="87"/>
      <c r="J2894" s="87"/>
      <c r="K2894" s="87"/>
      <c r="L2894" s="87"/>
    </row>
    <row r="2895" spans="1:12" x14ac:dyDescent="0.35">
      <c r="A2895" s="134">
        <v>21911005</v>
      </c>
      <c r="B2895" s="84"/>
      <c r="C2895" s="85" t="s">
        <v>151</v>
      </c>
      <c r="D2895" s="84" t="s">
        <v>418</v>
      </c>
      <c r="E2895" s="84" t="str">
        <f>VLOOKUP(C2895,HSD!B:K,2,FALSE)</f>
        <v>kg</v>
      </c>
      <c r="F2895" s="128">
        <v>0.28000000000000003</v>
      </c>
      <c r="G2895" s="87">
        <f>VLOOKUP(C2895,HSD!B:K,10,FALSE)</f>
        <v>18426</v>
      </c>
      <c r="H2895" s="87">
        <f>F2895*G2895</f>
        <v>5159.2800000000007</v>
      </c>
      <c r="I2895" s="87"/>
      <c r="J2895" s="87"/>
      <c r="K2895" s="87"/>
      <c r="L2895" s="87"/>
    </row>
    <row r="2896" spans="1:12" x14ac:dyDescent="0.35">
      <c r="A2896" s="134">
        <v>21961000</v>
      </c>
      <c r="B2896" s="84"/>
      <c r="C2896" s="85" t="s">
        <v>215</v>
      </c>
      <c r="D2896" s="84" t="s">
        <v>418</v>
      </c>
      <c r="E2896" s="84" t="str">
        <f>VLOOKUP(C2896,HSD!B:K,2,FALSE)</f>
        <v>ltr</v>
      </c>
      <c r="F2896" s="128">
        <v>0.25</v>
      </c>
      <c r="G2896" s="87">
        <f>VLOOKUP(C2896,HSD!B:K,10,FALSE)</f>
        <v>34410</v>
      </c>
      <c r="H2896" s="87">
        <f>F2896*G2896</f>
        <v>8602.5</v>
      </c>
      <c r="I2896" s="87"/>
      <c r="J2896" s="87"/>
      <c r="K2896" s="87"/>
      <c r="L2896" s="87"/>
    </row>
    <row r="2897" spans="2:12" ht="12" customHeight="1" x14ac:dyDescent="0.35">
      <c r="B2897" s="84"/>
      <c r="C2897" s="88"/>
      <c r="D2897" s="79"/>
      <c r="E2897" s="79"/>
      <c r="F2897" s="129" t="s">
        <v>423</v>
      </c>
      <c r="G2897" s="129"/>
      <c r="H2897" s="87">
        <f>SUM(H2893:H2896)</f>
        <v>88788.9</v>
      </c>
      <c r="I2897" s="101"/>
      <c r="J2897" s="87" t="e">
        <f>SUM(#REF!)</f>
        <v>#REF!</v>
      </c>
      <c r="K2897" s="101"/>
      <c r="L2897" s="87" t="e">
        <f>SUM(#REF!)</f>
        <v>#REF!</v>
      </c>
    </row>
    <row r="2898" spans="2:12" ht="12" customHeight="1" x14ac:dyDescent="0.35">
      <c r="B2898" s="84" t="s">
        <v>7</v>
      </c>
      <c r="C2898" s="88" t="s">
        <v>424</v>
      </c>
      <c r="D2898" s="79"/>
      <c r="E2898" s="79"/>
      <c r="F2898" s="90"/>
      <c r="G2898" s="84"/>
      <c r="H2898" s="87"/>
      <c r="I2898" s="84"/>
      <c r="J2898" s="87"/>
      <c r="K2898" s="84"/>
      <c r="L2898" s="87"/>
    </row>
    <row r="2899" spans="2:12" ht="12" customHeight="1" x14ac:dyDescent="0.35">
      <c r="B2899" s="84"/>
      <c r="C2899" s="85"/>
      <c r="D2899" s="84"/>
      <c r="E2899" s="84"/>
      <c r="F2899" s="128"/>
      <c r="G2899" s="87"/>
      <c r="H2899" s="87">
        <f>F2899*G2899</f>
        <v>0</v>
      </c>
      <c r="I2899" s="87"/>
      <c r="J2899" s="87">
        <f>H2899*I2899</f>
        <v>0</v>
      </c>
      <c r="K2899" s="87"/>
      <c r="L2899" s="87">
        <f>J2899*K2899</f>
        <v>0</v>
      </c>
    </row>
    <row r="2900" spans="2:12" ht="12" customHeight="1" x14ac:dyDescent="0.35">
      <c r="B2900" s="84"/>
      <c r="C2900" s="85"/>
      <c r="D2900" s="84"/>
      <c r="E2900" s="84"/>
      <c r="F2900" s="128"/>
      <c r="G2900" s="87"/>
      <c r="H2900" s="87">
        <f>F2900*G2900</f>
        <v>0</v>
      </c>
      <c r="I2900" s="87"/>
      <c r="J2900" s="87"/>
      <c r="K2900" s="87"/>
      <c r="L2900" s="87"/>
    </row>
    <row r="2901" spans="2:12" ht="12" customHeight="1" x14ac:dyDescent="0.35">
      <c r="B2901" s="84"/>
      <c r="C2901" s="85"/>
      <c r="D2901" s="84"/>
      <c r="E2901" s="84"/>
      <c r="F2901" s="128"/>
      <c r="G2901" s="87"/>
      <c r="H2901" s="87">
        <f>F2901*G2901</f>
        <v>0</v>
      </c>
      <c r="I2901" s="87"/>
      <c r="J2901" s="87"/>
      <c r="K2901" s="87"/>
      <c r="L2901" s="87"/>
    </row>
    <row r="2902" spans="2:12" ht="12" customHeight="1" x14ac:dyDescent="0.35">
      <c r="B2902" s="84"/>
      <c r="C2902" s="88"/>
      <c r="D2902" s="79"/>
      <c r="E2902" s="79"/>
      <c r="F2902" s="89" t="s">
        <v>425</v>
      </c>
      <c r="G2902" s="101"/>
      <c r="H2902" s="87">
        <f>SUM(H2899:H2901)</f>
        <v>0</v>
      </c>
      <c r="I2902" s="101"/>
      <c r="J2902" s="87">
        <f>SUM(J2899)</f>
        <v>0</v>
      </c>
      <c r="K2902" s="101"/>
      <c r="L2902" s="87">
        <f>SUM(L2899)</f>
        <v>0</v>
      </c>
    </row>
    <row r="2903" spans="2:12" ht="12" customHeight="1" x14ac:dyDescent="0.35">
      <c r="B2903" s="84" t="s">
        <v>8</v>
      </c>
      <c r="C2903" s="103" t="s">
        <v>426</v>
      </c>
      <c r="D2903" s="104"/>
      <c r="E2903" s="104"/>
      <c r="F2903" s="104"/>
      <c r="G2903" s="105"/>
      <c r="H2903" s="87">
        <f>H2891+H2897+H2902</f>
        <v>208788.9</v>
      </c>
      <c r="I2903" s="105"/>
      <c r="J2903" s="87" t="e">
        <f>J2891+J2897+J2902</f>
        <v>#REF!</v>
      </c>
      <c r="K2903" s="105"/>
      <c r="L2903" s="87" t="e">
        <f>L2891+L2897+L2902</f>
        <v>#REF!</v>
      </c>
    </row>
    <row r="2904" spans="2:12" ht="12" customHeight="1" x14ac:dyDescent="0.35">
      <c r="B2904" s="84" t="s">
        <v>9</v>
      </c>
      <c r="C2904" s="455" t="s">
        <v>427</v>
      </c>
      <c r="D2904" s="455"/>
      <c r="E2904" s="455"/>
      <c r="F2904" s="95">
        <f>0</f>
        <v>0</v>
      </c>
      <c r="G2904" s="85" t="s">
        <v>428</v>
      </c>
      <c r="H2904" s="87">
        <f>H2903*F2904</f>
        <v>0</v>
      </c>
      <c r="I2904" s="85" t="s">
        <v>428</v>
      </c>
      <c r="J2904" s="87" t="e">
        <f>J2903*F2904</f>
        <v>#REF!</v>
      </c>
      <c r="K2904" s="85" t="s">
        <v>428</v>
      </c>
      <c r="L2904" s="87" t="e">
        <f>L2903*F2904</f>
        <v>#REF!</v>
      </c>
    </row>
    <row r="2905" spans="2:12" ht="12" customHeight="1" x14ac:dyDescent="0.35">
      <c r="B2905" s="84" t="s">
        <v>10</v>
      </c>
      <c r="C2905" s="103" t="s">
        <v>429</v>
      </c>
      <c r="D2905" s="104"/>
      <c r="E2905" s="104"/>
      <c r="F2905" s="104"/>
      <c r="G2905" s="105"/>
      <c r="H2905" s="96">
        <f>H2903+H2904</f>
        <v>208788.9</v>
      </c>
      <c r="I2905" s="97"/>
      <c r="J2905" s="96" t="e">
        <f>J2903+J2904</f>
        <v>#REF!</v>
      </c>
      <c r="K2905" s="97"/>
      <c r="L2905" s="96" t="e">
        <f>L2903+L2904</f>
        <v>#REF!</v>
      </c>
    </row>
    <row r="2906" spans="2:12" x14ac:dyDescent="0.35">
      <c r="B2906" s="75" t="s">
        <v>806</v>
      </c>
    </row>
    <row r="2907" spans="2:12" ht="14" customHeight="1" x14ac:dyDescent="0.35"/>
    <row r="2908" spans="2:12" ht="37" customHeight="1" x14ac:dyDescent="0.35">
      <c r="B2908" s="76" t="s">
        <v>809</v>
      </c>
      <c r="C2908" s="458" t="s">
        <v>810</v>
      </c>
      <c r="D2908" s="459"/>
      <c r="E2908" s="459"/>
      <c r="F2908" s="459"/>
      <c r="G2908" s="456"/>
      <c r="H2908" s="457"/>
      <c r="I2908" s="455" t="s">
        <v>3</v>
      </c>
      <c r="J2908" s="455"/>
      <c r="K2908" s="455" t="s">
        <v>4</v>
      </c>
      <c r="L2908" s="455"/>
    </row>
    <row r="2909" spans="2:12" ht="12" customHeight="1" x14ac:dyDescent="0.35">
      <c r="B2909" s="451" t="s">
        <v>409</v>
      </c>
      <c r="C2909" s="451" t="s">
        <v>410</v>
      </c>
      <c r="D2909" s="452" t="s">
        <v>411</v>
      </c>
      <c r="E2909" s="451" t="s">
        <v>412</v>
      </c>
      <c r="F2909" s="451" t="s">
        <v>413</v>
      </c>
      <c r="G2909" s="77" t="s">
        <v>414</v>
      </c>
      <c r="H2909" s="77" t="s">
        <v>415</v>
      </c>
      <c r="I2909" s="78" t="s">
        <v>414</v>
      </c>
      <c r="J2909" s="79" t="s">
        <v>415</v>
      </c>
      <c r="K2909" s="79" t="s">
        <v>414</v>
      </c>
      <c r="L2909" s="79" t="s">
        <v>415</v>
      </c>
    </row>
    <row r="2910" spans="2:12" ht="12" customHeight="1" x14ac:dyDescent="0.35">
      <c r="B2910" s="451"/>
      <c r="C2910" s="451"/>
      <c r="D2910" s="453"/>
      <c r="E2910" s="451"/>
      <c r="F2910" s="451"/>
      <c r="G2910" s="77" t="s">
        <v>17</v>
      </c>
      <c r="H2910" s="77" t="s">
        <v>416</v>
      </c>
      <c r="I2910" s="78" t="s">
        <v>17</v>
      </c>
      <c r="J2910" s="79" t="s">
        <v>416</v>
      </c>
      <c r="K2910" s="79" t="s">
        <v>17</v>
      </c>
      <c r="L2910" s="79" t="s">
        <v>416</v>
      </c>
    </row>
    <row r="2911" spans="2:12" ht="12" customHeight="1" x14ac:dyDescent="0.35">
      <c r="B2911" s="451"/>
      <c r="C2911" s="451"/>
      <c r="D2911" s="454"/>
      <c r="E2911" s="451"/>
      <c r="F2911" s="451"/>
      <c r="G2911" s="106"/>
      <c r="H2911" s="77" t="s">
        <v>17</v>
      </c>
      <c r="I2911" s="94"/>
      <c r="J2911" s="79" t="s">
        <v>17</v>
      </c>
      <c r="K2911" s="85"/>
      <c r="L2911" s="79" t="s">
        <v>17</v>
      </c>
    </row>
    <row r="2912" spans="2:12" ht="12" customHeight="1" x14ac:dyDescent="0.35">
      <c r="B2912" s="80" t="s">
        <v>5</v>
      </c>
      <c r="C2912" s="81" t="s">
        <v>417</v>
      </c>
      <c r="D2912" s="82"/>
      <c r="E2912" s="82"/>
      <c r="F2912" s="82"/>
      <c r="G2912" s="82"/>
      <c r="H2912" s="82"/>
      <c r="I2912" s="83"/>
      <c r="J2912" s="83"/>
      <c r="K2912" s="83"/>
      <c r="L2912" s="83"/>
    </row>
    <row r="2913" spans="1:12" ht="12" customHeight="1" x14ac:dyDescent="0.35">
      <c r="A2913" s="134">
        <v>10130000</v>
      </c>
      <c r="B2913" s="84"/>
      <c r="C2913" s="85" t="s">
        <v>28</v>
      </c>
      <c r="D2913" s="84" t="s">
        <v>418</v>
      </c>
      <c r="E2913" s="84" t="str">
        <f>VLOOKUP(C2913,HSD!B:K,2,FALSE)</f>
        <v>OH</v>
      </c>
      <c r="F2913" s="128">
        <v>0.3</v>
      </c>
      <c r="G2913" s="87">
        <f>VLOOKUP(C2913,HSD!B:K,10,FALSE)</f>
        <v>120000</v>
      </c>
      <c r="H2913" s="87">
        <f>F2913*G2913</f>
        <v>36000</v>
      </c>
      <c r="I2913" s="87">
        <v>91500</v>
      </c>
      <c r="J2913" s="87">
        <f>F2913*I2913</f>
        <v>27450</v>
      </c>
      <c r="K2913" s="87">
        <v>91500</v>
      </c>
      <c r="L2913" s="87">
        <f>F2913*K2913</f>
        <v>27450</v>
      </c>
    </row>
    <row r="2914" spans="1:12" ht="12" customHeight="1" x14ac:dyDescent="0.35">
      <c r="A2914" s="134">
        <v>10142000</v>
      </c>
      <c r="B2914" s="84"/>
      <c r="C2914" s="85" t="s">
        <v>434</v>
      </c>
      <c r="D2914" s="84" t="s">
        <v>418</v>
      </c>
      <c r="E2914" s="84" t="str">
        <f>VLOOKUP(C2914,HSD!B:K,2,FALSE)</f>
        <v>OH</v>
      </c>
      <c r="F2914" s="128">
        <v>0.15</v>
      </c>
      <c r="G2914" s="87">
        <f>VLOOKUP(C2914,HSD!B:K,10,FALSE)</f>
        <v>250000</v>
      </c>
      <c r="H2914" s="87">
        <f>F2914*G2914</f>
        <v>37500</v>
      </c>
      <c r="I2914" s="87"/>
      <c r="J2914" s="87"/>
      <c r="K2914" s="87"/>
      <c r="L2914" s="87"/>
    </row>
    <row r="2915" spans="1:12" ht="12" customHeight="1" x14ac:dyDescent="0.35">
      <c r="A2915" s="134">
        <v>10120000</v>
      </c>
      <c r="B2915" s="84"/>
      <c r="C2915" s="85" t="s">
        <v>27</v>
      </c>
      <c r="D2915" s="84" t="s">
        <v>418</v>
      </c>
      <c r="E2915" s="84" t="str">
        <f>VLOOKUP(C2915,HSD!B:K,2,FALSE)</f>
        <v>OH</v>
      </c>
      <c r="F2915" s="128">
        <f>F2914/10</f>
        <v>1.4999999999999999E-2</v>
      </c>
      <c r="G2915" s="87">
        <f>VLOOKUP(C2915,HSD!B:K,10,FALSE)</f>
        <v>150000</v>
      </c>
      <c r="H2915" s="87">
        <f>F2915*G2915</f>
        <v>2250</v>
      </c>
      <c r="I2915" s="87"/>
      <c r="J2915" s="87"/>
      <c r="K2915" s="87"/>
      <c r="L2915" s="87"/>
    </row>
    <row r="2916" spans="1:12" ht="12" customHeight="1" x14ac:dyDescent="0.35">
      <c r="A2916" s="134">
        <v>10110000</v>
      </c>
      <c r="B2916" s="84"/>
      <c r="C2916" s="85" t="s">
        <v>30</v>
      </c>
      <c r="D2916" s="84" t="s">
        <v>418</v>
      </c>
      <c r="E2916" s="84" t="str">
        <f>VLOOKUP(C2916,HSD!B:K,2,FALSE)</f>
        <v>OH</v>
      </c>
      <c r="F2916" s="128">
        <f>F2913/10</f>
        <v>0.03</v>
      </c>
      <c r="G2916" s="87">
        <f>VLOOKUP(C2916,HSD!B:K,10,FALSE)</f>
        <v>150000</v>
      </c>
      <c r="H2916" s="87">
        <f>F2916*G2916</f>
        <v>4500</v>
      </c>
      <c r="I2916" s="87">
        <v>92500</v>
      </c>
      <c r="J2916" s="87">
        <f>F2916*I2916</f>
        <v>2775</v>
      </c>
      <c r="K2916" s="87">
        <v>92500</v>
      </c>
      <c r="L2916" s="87">
        <f>F2916*K2916</f>
        <v>2775</v>
      </c>
    </row>
    <row r="2917" spans="1:12" ht="12" customHeight="1" x14ac:dyDescent="0.35">
      <c r="B2917" s="84"/>
      <c r="C2917" s="85"/>
      <c r="D2917" s="84"/>
      <c r="E2917" s="84"/>
      <c r="F2917" s="86"/>
      <c r="G2917" s="87"/>
      <c r="H2917" s="87"/>
      <c r="I2917" s="87"/>
      <c r="J2917" s="87"/>
      <c r="K2917" s="87"/>
      <c r="L2917" s="87"/>
    </row>
    <row r="2918" spans="1:12" ht="12" customHeight="1" x14ac:dyDescent="0.35">
      <c r="B2918" s="84"/>
      <c r="C2918" s="88"/>
      <c r="D2918" s="79"/>
      <c r="E2918" s="79"/>
      <c r="F2918" s="89" t="s">
        <v>421</v>
      </c>
      <c r="G2918" s="101"/>
      <c r="H2918" s="87">
        <f>SUM(H2913:H2917)</f>
        <v>80250</v>
      </c>
      <c r="I2918" s="101"/>
      <c r="J2918" s="87">
        <f>SUM(J2916:J2917)</f>
        <v>2775</v>
      </c>
      <c r="K2918" s="101"/>
      <c r="L2918" s="87">
        <f>SUM(L2916:L2917)</f>
        <v>2775</v>
      </c>
    </row>
    <row r="2919" spans="1:12" ht="12" customHeight="1" x14ac:dyDescent="0.35">
      <c r="B2919" s="84" t="s">
        <v>6</v>
      </c>
      <c r="C2919" s="88" t="s">
        <v>422</v>
      </c>
      <c r="D2919" s="79"/>
      <c r="E2919" s="79"/>
      <c r="F2919" s="90"/>
      <c r="G2919" s="84"/>
      <c r="H2919" s="87"/>
      <c r="I2919" s="84"/>
      <c r="J2919" s="87"/>
      <c r="K2919" s="84"/>
      <c r="L2919" s="87"/>
    </row>
    <row r="2920" spans="1:12" x14ac:dyDescent="0.35">
      <c r="A2920" s="134">
        <v>21924002</v>
      </c>
      <c r="B2920" s="84"/>
      <c r="C2920" s="85" t="s">
        <v>457</v>
      </c>
      <c r="D2920" s="84" t="s">
        <v>418</v>
      </c>
      <c r="E2920" s="84" t="str">
        <f>VLOOKUP(C2920,HSD!B:K,2,FALSE)</f>
        <v>m2</v>
      </c>
      <c r="F2920" s="128">
        <v>0.128</v>
      </c>
      <c r="G2920" s="87">
        <f>VLOOKUP(C2920,HSD!B:K,10,FALSE)</f>
        <v>404040</v>
      </c>
      <c r="H2920" s="87"/>
      <c r="I2920" s="87">
        <v>232500</v>
      </c>
      <c r="J2920" s="87">
        <f>F2920*I2920</f>
        <v>29760</v>
      </c>
      <c r="K2920" s="87">
        <v>270000</v>
      </c>
      <c r="L2920" s="87">
        <f>F2920*K2920</f>
        <v>34560</v>
      </c>
    </row>
    <row r="2921" spans="1:12" x14ac:dyDescent="0.35">
      <c r="A2921" s="134">
        <v>21401200</v>
      </c>
      <c r="B2921" s="84"/>
      <c r="C2921" s="85" t="s">
        <v>1873</v>
      </c>
      <c r="D2921" s="84" t="s">
        <v>418</v>
      </c>
      <c r="E2921" s="84" t="str">
        <f>VLOOKUP(C2921,HSD!B:K,2,FALSE)</f>
        <v>m3</v>
      </c>
      <c r="F2921" s="128">
        <v>0.02</v>
      </c>
      <c r="G2921" s="87">
        <f>VLOOKUP(C2921,HSD!B:K,10,FALSE)</f>
        <v>3885000</v>
      </c>
      <c r="H2921" s="87">
        <f>F2921*G2921</f>
        <v>77700</v>
      </c>
      <c r="I2921" s="87"/>
      <c r="J2921" s="87"/>
      <c r="K2921" s="87"/>
      <c r="L2921" s="87"/>
    </row>
    <row r="2922" spans="1:12" x14ac:dyDescent="0.35">
      <c r="A2922" s="134">
        <v>21911005</v>
      </c>
      <c r="B2922" s="84"/>
      <c r="C2922" s="85" t="s">
        <v>151</v>
      </c>
      <c r="D2922" s="84" t="s">
        <v>418</v>
      </c>
      <c r="E2922" s="84" t="str">
        <f>VLOOKUP(C2922,HSD!B:K,2,FALSE)</f>
        <v>kg</v>
      </c>
      <c r="F2922" s="128">
        <v>0.25</v>
      </c>
      <c r="G2922" s="87">
        <f>VLOOKUP(C2922,HSD!B:K,10,FALSE)</f>
        <v>18426</v>
      </c>
      <c r="H2922" s="87">
        <f>F2922*G2922</f>
        <v>4606.5</v>
      </c>
      <c r="I2922" s="87"/>
      <c r="J2922" s="87"/>
      <c r="K2922" s="87"/>
      <c r="L2922" s="87"/>
    </row>
    <row r="2923" spans="1:12" x14ac:dyDescent="0.35">
      <c r="A2923" s="134">
        <v>21961000</v>
      </c>
      <c r="B2923" s="84"/>
      <c r="C2923" s="85" t="s">
        <v>215</v>
      </c>
      <c r="D2923" s="84" t="s">
        <v>418</v>
      </c>
      <c r="E2923" s="84" t="str">
        <f>VLOOKUP(C2923,HSD!B:K,2,FALSE)</f>
        <v>ltr</v>
      </c>
      <c r="F2923" s="128">
        <v>0.25</v>
      </c>
      <c r="G2923" s="87">
        <f>VLOOKUP(C2923,HSD!B:K,10,FALSE)</f>
        <v>34410</v>
      </c>
      <c r="H2923" s="87"/>
      <c r="I2923" s="87"/>
      <c r="J2923" s="87"/>
      <c r="K2923" s="87"/>
      <c r="L2923" s="87"/>
    </row>
    <row r="2924" spans="1:12" ht="12" customHeight="1" x14ac:dyDescent="0.35">
      <c r="B2924" s="84"/>
      <c r="C2924" s="88"/>
      <c r="D2924" s="79"/>
      <c r="E2924" s="79"/>
      <c r="F2924" s="129" t="s">
        <v>423</v>
      </c>
      <c r="G2924" s="129"/>
      <c r="H2924" s="87">
        <f>SUM(H2920:H2923)</f>
        <v>82306.5</v>
      </c>
      <c r="I2924" s="101"/>
      <c r="J2924" s="87" t="e">
        <f>SUM(#REF!)</f>
        <v>#REF!</v>
      </c>
      <c r="K2924" s="101"/>
      <c r="L2924" s="87" t="e">
        <f>SUM(#REF!)</f>
        <v>#REF!</v>
      </c>
    </row>
    <row r="2925" spans="1:12" ht="12" customHeight="1" x14ac:dyDescent="0.35">
      <c r="B2925" s="84" t="s">
        <v>7</v>
      </c>
      <c r="C2925" s="88" t="s">
        <v>424</v>
      </c>
      <c r="D2925" s="79"/>
      <c r="E2925" s="79"/>
      <c r="F2925" s="90"/>
      <c r="G2925" s="84"/>
      <c r="H2925" s="87"/>
      <c r="I2925" s="84"/>
      <c r="J2925" s="87"/>
      <c r="K2925" s="84"/>
      <c r="L2925" s="87"/>
    </row>
    <row r="2926" spans="1:12" ht="12" customHeight="1" x14ac:dyDescent="0.35">
      <c r="B2926" s="84"/>
      <c r="C2926" s="85"/>
      <c r="D2926" s="84"/>
      <c r="E2926" s="84"/>
      <c r="F2926" s="128"/>
      <c r="G2926" s="87"/>
      <c r="H2926" s="87">
        <f>F2926*G2926</f>
        <v>0</v>
      </c>
      <c r="I2926" s="87"/>
      <c r="J2926" s="87">
        <f>H2926*I2926</f>
        <v>0</v>
      </c>
      <c r="K2926" s="87"/>
      <c r="L2926" s="87">
        <f>J2926*K2926</f>
        <v>0</v>
      </c>
    </row>
    <row r="2927" spans="1:12" ht="12" customHeight="1" x14ac:dyDescent="0.35">
      <c r="B2927" s="84"/>
      <c r="C2927" s="85"/>
      <c r="D2927" s="84"/>
      <c r="E2927" s="84"/>
      <c r="F2927" s="128"/>
      <c r="G2927" s="87"/>
      <c r="H2927" s="87">
        <f>F2927*G2927</f>
        <v>0</v>
      </c>
      <c r="I2927" s="87"/>
      <c r="J2927" s="87"/>
      <c r="K2927" s="87"/>
      <c r="L2927" s="87"/>
    </row>
    <row r="2928" spans="1:12" ht="12" customHeight="1" x14ac:dyDescent="0.35">
      <c r="B2928" s="84"/>
      <c r="C2928" s="85"/>
      <c r="D2928" s="84"/>
      <c r="E2928" s="84"/>
      <c r="F2928" s="128"/>
      <c r="G2928" s="87"/>
      <c r="H2928" s="87">
        <f>F2928*G2928</f>
        <v>0</v>
      </c>
      <c r="I2928" s="87"/>
      <c r="J2928" s="87"/>
      <c r="K2928" s="87"/>
      <c r="L2928" s="87"/>
    </row>
    <row r="2929" spans="1:12" ht="12" customHeight="1" x14ac:dyDescent="0.35">
      <c r="B2929" s="84"/>
      <c r="C2929" s="88"/>
      <c r="D2929" s="79"/>
      <c r="E2929" s="79"/>
      <c r="F2929" s="89" t="s">
        <v>425</v>
      </c>
      <c r="G2929" s="101"/>
      <c r="H2929" s="87">
        <f>SUM(H2926:H2928)</f>
        <v>0</v>
      </c>
      <c r="I2929" s="101"/>
      <c r="J2929" s="87">
        <f>SUM(J2926)</f>
        <v>0</v>
      </c>
      <c r="K2929" s="101"/>
      <c r="L2929" s="87">
        <f>SUM(L2926)</f>
        <v>0</v>
      </c>
    </row>
    <row r="2930" spans="1:12" ht="12" customHeight="1" x14ac:dyDescent="0.35">
      <c r="B2930" s="84" t="s">
        <v>8</v>
      </c>
      <c r="C2930" s="103" t="s">
        <v>426</v>
      </c>
      <c r="D2930" s="104"/>
      <c r="E2930" s="104"/>
      <c r="F2930" s="104"/>
      <c r="G2930" s="105"/>
      <c r="H2930" s="87">
        <f>H2918+H2924+H2929</f>
        <v>162556.5</v>
      </c>
      <c r="I2930" s="105"/>
      <c r="J2930" s="87" t="e">
        <f>J2918+J2924+J2929</f>
        <v>#REF!</v>
      </c>
      <c r="K2930" s="105"/>
      <c r="L2930" s="87" t="e">
        <f>L2918+L2924+L2929</f>
        <v>#REF!</v>
      </c>
    </row>
    <row r="2931" spans="1:12" ht="12" customHeight="1" x14ac:dyDescent="0.35">
      <c r="B2931" s="84" t="s">
        <v>9</v>
      </c>
      <c r="C2931" s="455" t="s">
        <v>427</v>
      </c>
      <c r="D2931" s="455"/>
      <c r="E2931" s="455"/>
      <c r="F2931" s="95">
        <f>0</f>
        <v>0</v>
      </c>
      <c r="G2931" s="85" t="s">
        <v>428</v>
      </c>
      <c r="H2931" s="87">
        <f>H2930*F2931</f>
        <v>0</v>
      </c>
      <c r="I2931" s="85" t="s">
        <v>428</v>
      </c>
      <c r="J2931" s="87" t="e">
        <f>J2930*F2931</f>
        <v>#REF!</v>
      </c>
      <c r="K2931" s="85" t="s">
        <v>428</v>
      </c>
      <c r="L2931" s="87" t="e">
        <f>L2930*F2931</f>
        <v>#REF!</v>
      </c>
    </row>
    <row r="2932" spans="1:12" ht="12" customHeight="1" x14ac:dyDescent="0.35">
      <c r="B2932" s="84" t="s">
        <v>10</v>
      </c>
      <c r="C2932" s="103" t="s">
        <v>429</v>
      </c>
      <c r="D2932" s="104"/>
      <c r="E2932" s="104"/>
      <c r="F2932" s="104"/>
      <c r="G2932" s="105"/>
      <c r="H2932" s="96">
        <f>H2930+H2931</f>
        <v>162556.5</v>
      </c>
      <c r="I2932" s="97"/>
      <c r="J2932" s="96" t="e">
        <f>J2930+J2931</f>
        <v>#REF!</v>
      </c>
      <c r="K2932" s="97"/>
      <c r="L2932" s="96" t="e">
        <f>L2930+L2931</f>
        <v>#REF!</v>
      </c>
    </row>
    <row r="2933" spans="1:12" x14ac:dyDescent="0.35">
      <c r="B2933" s="75" t="s">
        <v>806</v>
      </c>
    </row>
    <row r="2934" spans="1:12" ht="14" customHeight="1" x14ac:dyDescent="0.35"/>
    <row r="2935" spans="1:12" ht="37" customHeight="1" x14ac:dyDescent="0.35">
      <c r="B2935" s="76" t="s">
        <v>811</v>
      </c>
      <c r="C2935" s="458" t="s">
        <v>818</v>
      </c>
      <c r="D2935" s="459"/>
      <c r="E2935" s="459"/>
      <c r="F2935" s="459"/>
      <c r="G2935" s="456"/>
      <c r="H2935" s="457"/>
      <c r="I2935" s="455" t="s">
        <v>3</v>
      </c>
      <c r="J2935" s="455"/>
      <c r="K2935" s="455" t="s">
        <v>4</v>
      </c>
      <c r="L2935" s="455"/>
    </row>
    <row r="2936" spans="1:12" ht="12" customHeight="1" x14ac:dyDescent="0.35">
      <c r="B2936" s="451" t="s">
        <v>409</v>
      </c>
      <c r="C2936" s="451" t="s">
        <v>410</v>
      </c>
      <c r="D2936" s="452" t="s">
        <v>411</v>
      </c>
      <c r="E2936" s="451" t="s">
        <v>412</v>
      </c>
      <c r="F2936" s="451" t="s">
        <v>413</v>
      </c>
      <c r="G2936" s="77" t="s">
        <v>414</v>
      </c>
      <c r="H2936" s="77" t="s">
        <v>415</v>
      </c>
      <c r="I2936" s="78" t="s">
        <v>414</v>
      </c>
      <c r="J2936" s="79" t="s">
        <v>415</v>
      </c>
      <c r="K2936" s="79" t="s">
        <v>414</v>
      </c>
      <c r="L2936" s="79" t="s">
        <v>415</v>
      </c>
    </row>
    <row r="2937" spans="1:12" ht="12" customHeight="1" x14ac:dyDescent="0.35">
      <c r="B2937" s="451"/>
      <c r="C2937" s="451"/>
      <c r="D2937" s="453"/>
      <c r="E2937" s="451"/>
      <c r="F2937" s="451"/>
      <c r="G2937" s="77" t="s">
        <v>17</v>
      </c>
      <c r="H2937" s="77" t="s">
        <v>416</v>
      </c>
      <c r="I2937" s="78" t="s">
        <v>17</v>
      </c>
      <c r="J2937" s="79" t="s">
        <v>416</v>
      </c>
      <c r="K2937" s="79" t="s">
        <v>17</v>
      </c>
      <c r="L2937" s="79" t="s">
        <v>416</v>
      </c>
    </row>
    <row r="2938" spans="1:12" ht="12" customHeight="1" x14ac:dyDescent="0.35">
      <c r="B2938" s="451"/>
      <c r="C2938" s="451"/>
      <c r="D2938" s="454"/>
      <c r="E2938" s="451"/>
      <c r="F2938" s="451"/>
      <c r="G2938" s="106"/>
      <c r="H2938" s="77" t="s">
        <v>17</v>
      </c>
      <c r="I2938" s="94"/>
      <c r="J2938" s="79" t="s">
        <v>17</v>
      </c>
      <c r="K2938" s="85"/>
      <c r="L2938" s="79" t="s">
        <v>17</v>
      </c>
    </row>
    <row r="2939" spans="1:12" ht="12" customHeight="1" x14ac:dyDescent="0.35">
      <c r="B2939" s="80" t="s">
        <v>5</v>
      </c>
      <c r="C2939" s="81" t="s">
        <v>417</v>
      </c>
      <c r="D2939" s="82"/>
      <c r="E2939" s="82"/>
      <c r="F2939" s="82"/>
      <c r="G2939" s="82"/>
      <c r="H2939" s="82"/>
      <c r="I2939" s="83"/>
      <c r="J2939" s="83"/>
      <c r="K2939" s="83"/>
      <c r="L2939" s="83"/>
    </row>
    <row r="2940" spans="1:12" ht="12" customHeight="1" x14ac:dyDescent="0.35">
      <c r="A2940" s="134">
        <v>10130000</v>
      </c>
      <c r="B2940" s="84"/>
      <c r="C2940" s="85" t="s">
        <v>28</v>
      </c>
      <c r="D2940" s="84" t="s">
        <v>418</v>
      </c>
      <c r="E2940" s="84" t="str">
        <f>VLOOKUP(C2940,HSD!B:K,2,FALSE)</f>
        <v>OH</v>
      </c>
      <c r="F2940" s="128">
        <v>0.34</v>
      </c>
      <c r="G2940" s="87">
        <f>VLOOKUP(C2940,HSD!B:K,10,FALSE)</f>
        <v>120000</v>
      </c>
      <c r="H2940" s="87">
        <f>F2940*G2940</f>
        <v>40800</v>
      </c>
      <c r="I2940" s="87">
        <v>91500</v>
      </c>
      <c r="J2940" s="87">
        <f>F2940*I2940</f>
        <v>31110.000000000004</v>
      </c>
      <c r="K2940" s="87">
        <v>91500</v>
      </c>
      <c r="L2940" s="87">
        <f>F2940*K2940</f>
        <v>31110.000000000004</v>
      </c>
    </row>
    <row r="2941" spans="1:12" ht="12" customHeight="1" x14ac:dyDescent="0.35">
      <c r="A2941" s="134">
        <v>10142000</v>
      </c>
      <c r="B2941" s="84"/>
      <c r="C2941" s="85" t="s">
        <v>434</v>
      </c>
      <c r="D2941" s="84" t="s">
        <v>418</v>
      </c>
      <c r="E2941" s="84" t="str">
        <f>VLOOKUP(C2941,HSD!B:K,2,FALSE)</f>
        <v>OH</v>
      </c>
      <c r="F2941" s="128">
        <v>0.17</v>
      </c>
      <c r="G2941" s="87">
        <f>VLOOKUP(C2941,HSD!B:K,10,FALSE)</f>
        <v>250000</v>
      </c>
      <c r="H2941" s="87">
        <f>F2941*G2941</f>
        <v>42500</v>
      </c>
      <c r="I2941" s="87"/>
      <c r="J2941" s="87"/>
      <c r="K2941" s="87"/>
      <c r="L2941" s="87"/>
    </row>
    <row r="2942" spans="1:12" ht="12" customHeight="1" x14ac:dyDescent="0.35">
      <c r="A2942" s="134">
        <v>10120000</v>
      </c>
      <c r="B2942" s="84"/>
      <c r="C2942" s="85" t="s">
        <v>27</v>
      </c>
      <c r="D2942" s="84" t="s">
        <v>418</v>
      </c>
      <c r="E2942" s="84" t="str">
        <f>VLOOKUP(C2942,HSD!B:K,2,FALSE)</f>
        <v>OH</v>
      </c>
      <c r="F2942" s="128">
        <f>F2941/10</f>
        <v>1.7000000000000001E-2</v>
      </c>
      <c r="G2942" s="87">
        <f>VLOOKUP(C2942,HSD!B:K,10,FALSE)</f>
        <v>150000</v>
      </c>
      <c r="H2942" s="87">
        <f>F2942*G2942</f>
        <v>2550</v>
      </c>
      <c r="I2942" s="87"/>
      <c r="J2942" s="87"/>
      <c r="K2942" s="87"/>
      <c r="L2942" s="87"/>
    </row>
    <row r="2943" spans="1:12" ht="12" customHeight="1" x14ac:dyDescent="0.35">
      <c r="A2943" s="134">
        <v>10110000</v>
      </c>
      <c r="B2943" s="84"/>
      <c r="C2943" s="85" t="s">
        <v>30</v>
      </c>
      <c r="D2943" s="84" t="s">
        <v>418</v>
      </c>
      <c r="E2943" s="84" t="str">
        <f>VLOOKUP(C2943,HSD!B:K,2,FALSE)</f>
        <v>OH</v>
      </c>
      <c r="F2943" s="128">
        <f>F2940/10</f>
        <v>3.4000000000000002E-2</v>
      </c>
      <c r="G2943" s="87">
        <f>VLOOKUP(C2943,HSD!B:K,10,FALSE)</f>
        <v>150000</v>
      </c>
      <c r="H2943" s="87">
        <f>F2943*G2943</f>
        <v>5100</v>
      </c>
      <c r="I2943" s="87">
        <v>92500</v>
      </c>
      <c r="J2943" s="87">
        <f>F2943*I2943</f>
        <v>3145</v>
      </c>
      <c r="K2943" s="87">
        <v>92500</v>
      </c>
      <c r="L2943" s="87">
        <f>F2943*K2943</f>
        <v>3145</v>
      </c>
    </row>
    <row r="2944" spans="1:12" ht="12" customHeight="1" x14ac:dyDescent="0.35">
      <c r="B2944" s="84"/>
      <c r="C2944" s="85"/>
      <c r="D2944" s="84"/>
      <c r="E2944" s="84"/>
      <c r="F2944" s="86"/>
      <c r="G2944" s="87"/>
      <c r="H2944" s="87"/>
      <c r="I2944" s="87"/>
      <c r="J2944" s="87"/>
      <c r="K2944" s="87"/>
      <c r="L2944" s="87"/>
    </row>
    <row r="2945" spans="1:12" ht="12" customHeight="1" x14ac:dyDescent="0.35">
      <c r="B2945" s="84"/>
      <c r="C2945" s="88"/>
      <c r="D2945" s="79"/>
      <c r="E2945" s="79"/>
      <c r="F2945" s="89" t="s">
        <v>421</v>
      </c>
      <c r="G2945" s="101"/>
      <c r="H2945" s="87">
        <f>SUM(H2940:H2944)</f>
        <v>90950</v>
      </c>
      <c r="I2945" s="101"/>
      <c r="J2945" s="87">
        <f>SUM(J2943:J2944)</f>
        <v>3145</v>
      </c>
      <c r="K2945" s="101"/>
      <c r="L2945" s="87">
        <f>SUM(L2943:L2944)</f>
        <v>3145</v>
      </c>
    </row>
    <row r="2946" spans="1:12" ht="12" customHeight="1" x14ac:dyDescent="0.35">
      <c r="B2946" s="84" t="s">
        <v>6</v>
      </c>
      <c r="C2946" s="88" t="s">
        <v>422</v>
      </c>
      <c r="D2946" s="79"/>
      <c r="E2946" s="79"/>
      <c r="F2946" s="90"/>
      <c r="G2946" s="84"/>
      <c r="H2946" s="87"/>
      <c r="I2946" s="84"/>
      <c r="J2946" s="87"/>
      <c r="K2946" s="84"/>
      <c r="L2946" s="87"/>
    </row>
    <row r="2947" spans="1:12" x14ac:dyDescent="0.35">
      <c r="A2947" s="134">
        <v>21404010</v>
      </c>
      <c r="B2947" s="84"/>
      <c r="C2947" s="85" t="s">
        <v>1834</v>
      </c>
      <c r="D2947" s="84" t="s">
        <v>418</v>
      </c>
      <c r="E2947" s="84" t="str">
        <f>VLOOKUP(C2947,HSD!B:K,2,FALSE)</f>
        <v>btg</v>
      </c>
      <c r="F2947" s="128">
        <v>1.4630000000000001</v>
      </c>
      <c r="G2947" s="87">
        <f>VLOOKUP(C2947,HSD!B:K,10,FALSE)</f>
        <v>39960</v>
      </c>
      <c r="H2947" s="87">
        <f>F2947*G2947</f>
        <v>58461.48</v>
      </c>
      <c r="I2947" s="87"/>
      <c r="J2947" s="87"/>
      <c r="K2947" s="87"/>
      <c r="L2947" s="87"/>
    </row>
    <row r="2948" spans="1:12" x14ac:dyDescent="0.35">
      <c r="A2948" s="134">
        <v>21911005</v>
      </c>
      <c r="B2948" s="84"/>
      <c r="C2948" s="85" t="s">
        <v>151</v>
      </c>
      <c r="D2948" s="84" t="s">
        <v>418</v>
      </c>
      <c r="E2948" s="84" t="str">
        <f>VLOOKUP(C2948,HSD!B:K,2,FALSE)</f>
        <v>kg</v>
      </c>
      <c r="F2948" s="128">
        <v>0.3</v>
      </c>
      <c r="G2948" s="87">
        <f>VLOOKUP(C2948,HSD!B:K,10,FALSE)</f>
        <v>18426</v>
      </c>
      <c r="H2948" s="87">
        <f>F2948*G2948</f>
        <v>5527.8</v>
      </c>
      <c r="I2948" s="87"/>
      <c r="J2948" s="87"/>
      <c r="K2948" s="87"/>
      <c r="L2948" s="87"/>
    </row>
    <row r="2949" spans="1:12" x14ac:dyDescent="0.35">
      <c r="B2949" s="84"/>
      <c r="C2949" s="85"/>
      <c r="D2949" s="84"/>
      <c r="E2949" s="84"/>
      <c r="F2949" s="128"/>
      <c r="G2949" s="87"/>
      <c r="H2949" s="87">
        <f>F2949*G2949</f>
        <v>0</v>
      </c>
      <c r="I2949" s="87"/>
      <c r="J2949" s="87"/>
      <c r="K2949" s="87"/>
      <c r="L2949" s="87"/>
    </row>
    <row r="2950" spans="1:12" ht="12" customHeight="1" x14ac:dyDescent="0.35">
      <c r="B2950" s="84"/>
      <c r="C2950" s="88"/>
      <c r="D2950" s="79"/>
      <c r="E2950" s="79"/>
      <c r="F2950" s="129" t="s">
        <v>423</v>
      </c>
      <c r="G2950" s="129"/>
      <c r="H2950" s="87">
        <f>SUM(H2947:H2949)</f>
        <v>63989.280000000006</v>
      </c>
      <c r="I2950" s="101"/>
      <c r="J2950" s="87" t="e">
        <f>SUM(#REF!)</f>
        <v>#REF!</v>
      </c>
      <c r="K2950" s="101"/>
      <c r="L2950" s="87" t="e">
        <f>SUM(#REF!)</f>
        <v>#REF!</v>
      </c>
    </row>
    <row r="2951" spans="1:12" ht="12" customHeight="1" x14ac:dyDescent="0.35">
      <c r="B2951" s="84" t="s">
        <v>7</v>
      </c>
      <c r="C2951" s="88" t="s">
        <v>424</v>
      </c>
      <c r="D2951" s="79"/>
      <c r="E2951" s="79"/>
      <c r="F2951" s="90"/>
      <c r="G2951" s="84"/>
      <c r="H2951" s="87"/>
      <c r="I2951" s="84"/>
      <c r="J2951" s="87"/>
      <c r="K2951" s="84"/>
      <c r="L2951" s="87"/>
    </row>
    <row r="2952" spans="1:12" ht="12" customHeight="1" x14ac:dyDescent="0.35">
      <c r="B2952" s="84"/>
      <c r="C2952" s="85"/>
      <c r="D2952" s="84"/>
      <c r="E2952" s="84"/>
      <c r="F2952" s="128"/>
      <c r="G2952" s="87"/>
      <c r="H2952" s="87">
        <f>F2952*G2952</f>
        <v>0</v>
      </c>
      <c r="I2952" s="87"/>
      <c r="J2952" s="87">
        <f>H2952*I2952</f>
        <v>0</v>
      </c>
      <c r="K2952" s="87"/>
      <c r="L2952" s="87">
        <f>J2952*K2952</f>
        <v>0</v>
      </c>
    </row>
    <row r="2953" spans="1:12" ht="12" customHeight="1" x14ac:dyDescent="0.35">
      <c r="B2953" s="84"/>
      <c r="C2953" s="85"/>
      <c r="D2953" s="84"/>
      <c r="E2953" s="84"/>
      <c r="F2953" s="128"/>
      <c r="G2953" s="87"/>
      <c r="H2953" s="87">
        <f>F2953*G2953</f>
        <v>0</v>
      </c>
      <c r="I2953" s="87"/>
      <c r="J2953" s="87"/>
      <c r="K2953" s="87"/>
      <c r="L2953" s="87"/>
    </row>
    <row r="2954" spans="1:12" ht="12" customHeight="1" x14ac:dyDescent="0.35">
      <c r="B2954" s="84"/>
      <c r="C2954" s="85"/>
      <c r="D2954" s="84"/>
      <c r="E2954" s="84"/>
      <c r="F2954" s="128"/>
      <c r="G2954" s="87"/>
      <c r="H2954" s="87">
        <f>F2954*G2954</f>
        <v>0</v>
      </c>
      <c r="I2954" s="87"/>
      <c r="J2954" s="87"/>
      <c r="K2954" s="87"/>
      <c r="L2954" s="87"/>
    </row>
    <row r="2955" spans="1:12" ht="12" customHeight="1" x14ac:dyDescent="0.35">
      <c r="B2955" s="84"/>
      <c r="C2955" s="88"/>
      <c r="D2955" s="79"/>
      <c r="E2955" s="79"/>
      <c r="F2955" s="89" t="s">
        <v>425</v>
      </c>
      <c r="G2955" s="101"/>
      <c r="H2955" s="87">
        <f>SUM(H2952:H2954)</f>
        <v>0</v>
      </c>
      <c r="I2955" s="101"/>
      <c r="J2955" s="87">
        <f>SUM(J2952)</f>
        <v>0</v>
      </c>
      <c r="K2955" s="101"/>
      <c r="L2955" s="87">
        <f>SUM(L2952)</f>
        <v>0</v>
      </c>
    </row>
    <row r="2956" spans="1:12" ht="12" customHeight="1" x14ac:dyDescent="0.35">
      <c r="B2956" s="84" t="s">
        <v>8</v>
      </c>
      <c r="C2956" s="103" t="s">
        <v>426</v>
      </c>
      <c r="D2956" s="104"/>
      <c r="E2956" s="104"/>
      <c r="F2956" s="104"/>
      <c r="G2956" s="105"/>
      <c r="H2956" s="87">
        <f>H2945+H2950+H2955</f>
        <v>154939.28</v>
      </c>
      <c r="I2956" s="105"/>
      <c r="J2956" s="87" t="e">
        <f>J2945+J2950+J2955</f>
        <v>#REF!</v>
      </c>
      <c r="K2956" s="105"/>
      <c r="L2956" s="87" t="e">
        <f>L2945+L2950+L2955</f>
        <v>#REF!</v>
      </c>
    </row>
    <row r="2957" spans="1:12" ht="12" customHeight="1" x14ac:dyDescent="0.35">
      <c r="B2957" s="84" t="s">
        <v>9</v>
      </c>
      <c r="C2957" s="455" t="s">
        <v>427</v>
      </c>
      <c r="D2957" s="455"/>
      <c r="E2957" s="455"/>
      <c r="F2957" s="95">
        <f>0</f>
        <v>0</v>
      </c>
      <c r="G2957" s="85" t="s">
        <v>428</v>
      </c>
      <c r="H2957" s="87">
        <f>H2956*F2957</f>
        <v>0</v>
      </c>
      <c r="I2957" s="85" t="s">
        <v>428</v>
      </c>
      <c r="J2957" s="87" t="e">
        <f>J2956*F2957</f>
        <v>#REF!</v>
      </c>
      <c r="K2957" s="85" t="s">
        <v>428</v>
      </c>
      <c r="L2957" s="87" t="e">
        <f>L2956*F2957</f>
        <v>#REF!</v>
      </c>
    </row>
    <row r="2958" spans="1:12" ht="12" customHeight="1" x14ac:dyDescent="0.35">
      <c r="B2958" s="84" t="s">
        <v>10</v>
      </c>
      <c r="C2958" s="103" t="s">
        <v>429</v>
      </c>
      <c r="D2958" s="104"/>
      <c r="E2958" s="104"/>
      <c r="F2958" s="104"/>
      <c r="G2958" s="105"/>
      <c r="H2958" s="96">
        <f>H2956+H2957</f>
        <v>154939.28</v>
      </c>
      <c r="I2958" s="97"/>
      <c r="J2958" s="96" t="e">
        <f>J2956+J2957</f>
        <v>#REF!</v>
      </c>
      <c r="K2958" s="97"/>
      <c r="L2958" s="96" t="e">
        <f>L2956+L2957</f>
        <v>#REF!</v>
      </c>
    </row>
    <row r="2959" spans="1:12" x14ac:dyDescent="0.35">
      <c r="B2959" s="75" t="s">
        <v>806</v>
      </c>
    </row>
    <row r="2960" spans="1:12" ht="14" customHeight="1" x14ac:dyDescent="0.35"/>
    <row r="2961" spans="1:12" ht="37" customHeight="1" x14ac:dyDescent="0.35">
      <c r="B2961" s="76" t="s">
        <v>812</v>
      </c>
      <c r="C2961" s="458" t="s">
        <v>813</v>
      </c>
      <c r="D2961" s="459"/>
      <c r="E2961" s="459"/>
      <c r="F2961" s="459"/>
      <c r="G2961" s="456"/>
      <c r="H2961" s="457"/>
      <c r="I2961" s="455" t="s">
        <v>3</v>
      </c>
      <c r="J2961" s="455"/>
      <c r="K2961" s="455" t="s">
        <v>4</v>
      </c>
      <c r="L2961" s="455"/>
    </row>
    <row r="2962" spans="1:12" ht="12" customHeight="1" x14ac:dyDescent="0.35">
      <c r="B2962" s="451" t="s">
        <v>409</v>
      </c>
      <c r="C2962" s="451" t="s">
        <v>410</v>
      </c>
      <c r="D2962" s="452" t="s">
        <v>411</v>
      </c>
      <c r="E2962" s="451" t="s">
        <v>412</v>
      </c>
      <c r="F2962" s="451" t="s">
        <v>413</v>
      </c>
      <c r="G2962" s="77" t="s">
        <v>414</v>
      </c>
      <c r="H2962" s="77" t="s">
        <v>415</v>
      </c>
      <c r="I2962" s="78" t="s">
        <v>414</v>
      </c>
      <c r="J2962" s="79" t="s">
        <v>415</v>
      </c>
      <c r="K2962" s="79" t="s">
        <v>414</v>
      </c>
      <c r="L2962" s="79" t="s">
        <v>415</v>
      </c>
    </row>
    <row r="2963" spans="1:12" ht="12" customHeight="1" x14ac:dyDescent="0.35">
      <c r="B2963" s="451"/>
      <c r="C2963" s="451"/>
      <c r="D2963" s="453"/>
      <c r="E2963" s="451"/>
      <c r="F2963" s="451"/>
      <c r="G2963" s="77" t="s">
        <v>17</v>
      </c>
      <c r="H2963" s="77" t="s">
        <v>416</v>
      </c>
      <c r="I2963" s="78" t="s">
        <v>17</v>
      </c>
      <c r="J2963" s="79" t="s">
        <v>416</v>
      </c>
      <c r="K2963" s="79" t="s">
        <v>17</v>
      </c>
      <c r="L2963" s="79" t="s">
        <v>416</v>
      </c>
    </row>
    <row r="2964" spans="1:12" ht="12" customHeight="1" x14ac:dyDescent="0.35">
      <c r="B2964" s="451"/>
      <c r="C2964" s="451"/>
      <c r="D2964" s="454"/>
      <c r="E2964" s="451"/>
      <c r="F2964" s="451"/>
      <c r="G2964" s="106"/>
      <c r="H2964" s="77" t="s">
        <v>17</v>
      </c>
      <c r="I2964" s="94"/>
      <c r="J2964" s="79" t="s">
        <v>17</v>
      </c>
      <c r="K2964" s="85"/>
      <c r="L2964" s="79" t="s">
        <v>17</v>
      </c>
    </row>
    <row r="2965" spans="1:12" ht="12" customHeight="1" x14ac:dyDescent="0.35">
      <c r="B2965" s="80" t="s">
        <v>5</v>
      </c>
      <c r="C2965" s="81" t="s">
        <v>417</v>
      </c>
      <c r="D2965" s="82"/>
      <c r="E2965" s="82"/>
      <c r="F2965" s="82"/>
      <c r="G2965" s="82"/>
      <c r="H2965" s="82"/>
      <c r="I2965" s="83"/>
      <c r="J2965" s="83"/>
      <c r="K2965" s="83"/>
      <c r="L2965" s="83"/>
    </row>
    <row r="2966" spans="1:12" ht="12" customHeight="1" x14ac:dyDescent="0.35">
      <c r="A2966" s="134">
        <v>10130000</v>
      </c>
      <c r="B2966" s="84"/>
      <c r="C2966" s="85" t="s">
        <v>28</v>
      </c>
      <c r="D2966" s="84" t="s">
        <v>418</v>
      </c>
      <c r="E2966" s="84" t="str">
        <f>VLOOKUP(C2966,HSD!B:K,2,FALSE)</f>
        <v>OH</v>
      </c>
      <c r="F2966" s="128">
        <v>0.34</v>
      </c>
      <c r="G2966" s="87">
        <f>VLOOKUP(C2966,HSD!B:K,10,FALSE)</f>
        <v>120000</v>
      </c>
      <c r="H2966" s="87">
        <f>F2966*G2966</f>
        <v>40800</v>
      </c>
      <c r="I2966" s="87">
        <v>91500</v>
      </c>
      <c r="J2966" s="87">
        <f>F2966*I2966</f>
        <v>31110.000000000004</v>
      </c>
      <c r="K2966" s="87">
        <v>91500</v>
      </c>
      <c r="L2966" s="87">
        <f>F2966*K2966</f>
        <v>31110.000000000004</v>
      </c>
    </row>
    <row r="2967" spans="1:12" ht="12" customHeight="1" x14ac:dyDescent="0.35">
      <c r="A2967" s="134">
        <v>10142000</v>
      </c>
      <c r="B2967" s="84"/>
      <c r="C2967" s="85" t="s">
        <v>434</v>
      </c>
      <c r="D2967" s="84" t="s">
        <v>418</v>
      </c>
      <c r="E2967" s="84" t="str">
        <f>VLOOKUP(C2967,HSD!B:K,2,FALSE)</f>
        <v>OH</v>
      </c>
      <c r="F2967" s="128">
        <v>0.17</v>
      </c>
      <c r="G2967" s="87">
        <f>VLOOKUP(C2967,HSD!B:K,10,FALSE)</f>
        <v>250000</v>
      </c>
      <c r="H2967" s="87">
        <f>F2967*G2967</f>
        <v>42500</v>
      </c>
      <c r="I2967" s="87"/>
      <c r="J2967" s="87"/>
      <c r="K2967" s="87"/>
      <c r="L2967" s="87"/>
    </row>
    <row r="2968" spans="1:12" ht="12" customHeight="1" x14ac:dyDescent="0.35">
      <c r="A2968" s="134">
        <v>10120000</v>
      </c>
      <c r="B2968" s="84"/>
      <c r="C2968" s="85" t="s">
        <v>27</v>
      </c>
      <c r="D2968" s="84" t="s">
        <v>418</v>
      </c>
      <c r="E2968" s="84" t="str">
        <f>VLOOKUP(C2968,HSD!B:K,2,FALSE)</f>
        <v>OH</v>
      </c>
      <c r="F2968" s="128">
        <f>F2967/10</f>
        <v>1.7000000000000001E-2</v>
      </c>
      <c r="G2968" s="87">
        <f>VLOOKUP(C2968,HSD!B:K,10,FALSE)</f>
        <v>150000</v>
      </c>
      <c r="H2968" s="87">
        <f>F2968*G2968</f>
        <v>2550</v>
      </c>
      <c r="I2968" s="87"/>
      <c r="J2968" s="87"/>
      <c r="K2968" s="87"/>
      <c r="L2968" s="87"/>
    </row>
    <row r="2969" spans="1:12" ht="12" customHeight="1" x14ac:dyDescent="0.35">
      <c r="A2969" s="134">
        <v>10110000</v>
      </c>
      <c r="B2969" s="84"/>
      <c r="C2969" s="85" t="s">
        <v>30</v>
      </c>
      <c r="D2969" s="84" t="s">
        <v>418</v>
      </c>
      <c r="E2969" s="84" t="str">
        <f>VLOOKUP(C2969,HSD!B:K,2,FALSE)</f>
        <v>OH</v>
      </c>
      <c r="F2969" s="128">
        <f>F2966/10</f>
        <v>3.4000000000000002E-2</v>
      </c>
      <c r="G2969" s="87">
        <f>VLOOKUP(C2969,HSD!B:K,10,FALSE)</f>
        <v>150000</v>
      </c>
      <c r="H2969" s="87">
        <f>F2969*G2969</f>
        <v>5100</v>
      </c>
      <c r="I2969" s="87">
        <v>92500</v>
      </c>
      <c r="J2969" s="87">
        <f>F2969*I2969</f>
        <v>3145</v>
      </c>
      <c r="K2969" s="87">
        <v>92500</v>
      </c>
      <c r="L2969" s="87">
        <f>F2969*K2969</f>
        <v>3145</v>
      </c>
    </row>
    <row r="2970" spans="1:12" ht="12" customHeight="1" x14ac:dyDescent="0.35">
      <c r="B2970" s="84"/>
      <c r="C2970" s="85"/>
      <c r="D2970" s="84"/>
      <c r="E2970" s="84"/>
      <c r="F2970" s="86"/>
      <c r="G2970" s="87"/>
      <c r="H2970" s="87"/>
      <c r="I2970" s="87"/>
      <c r="J2970" s="87"/>
      <c r="K2970" s="87"/>
      <c r="L2970" s="87"/>
    </row>
    <row r="2971" spans="1:12" ht="12" customHeight="1" x14ac:dyDescent="0.35">
      <c r="B2971" s="84"/>
      <c r="C2971" s="88"/>
      <c r="D2971" s="79"/>
      <c r="E2971" s="79"/>
      <c r="F2971" s="89" t="s">
        <v>421</v>
      </c>
      <c r="G2971" s="101"/>
      <c r="H2971" s="87">
        <f>SUM(H2966:H2970)</f>
        <v>90950</v>
      </c>
      <c r="I2971" s="101"/>
      <c r="J2971" s="87">
        <f>SUM(J2969:J2970)</f>
        <v>3145</v>
      </c>
      <c r="K2971" s="101"/>
      <c r="L2971" s="87">
        <f>SUM(L2969:L2970)</f>
        <v>3145</v>
      </c>
    </row>
    <row r="2972" spans="1:12" ht="12" customHeight="1" x14ac:dyDescent="0.35">
      <c r="B2972" s="84" t="s">
        <v>6</v>
      </c>
      <c r="C2972" s="88" t="s">
        <v>422</v>
      </c>
      <c r="D2972" s="79"/>
      <c r="E2972" s="79"/>
      <c r="F2972" s="90"/>
      <c r="G2972" s="84"/>
      <c r="H2972" s="87"/>
      <c r="I2972" s="84"/>
      <c r="J2972" s="87"/>
      <c r="K2972" s="84"/>
      <c r="L2972" s="87"/>
    </row>
    <row r="2973" spans="1:12" x14ac:dyDescent="0.35">
      <c r="A2973" s="134">
        <v>21403008</v>
      </c>
      <c r="B2973" s="84"/>
      <c r="C2973" s="85" t="s">
        <v>1790</v>
      </c>
      <c r="D2973" s="84" t="s">
        <v>418</v>
      </c>
      <c r="E2973" s="84" t="str">
        <f>VLOOKUP(C2973,HSD!B:K,2,FALSE)</f>
        <v>btg</v>
      </c>
      <c r="F2973" s="128">
        <v>1.8</v>
      </c>
      <c r="G2973" s="87">
        <f>VLOOKUP(C2973,HSD!B:K,10,FALSE)</f>
        <v>28860</v>
      </c>
      <c r="H2973" s="87">
        <f>F2973*G2973</f>
        <v>51948</v>
      </c>
      <c r="I2973" s="87"/>
      <c r="J2973" s="87"/>
      <c r="K2973" s="87"/>
      <c r="L2973" s="87"/>
    </row>
    <row r="2974" spans="1:12" x14ac:dyDescent="0.35">
      <c r="A2974" s="134">
        <v>21911005</v>
      </c>
      <c r="B2974" s="84"/>
      <c r="C2974" s="85" t="s">
        <v>151</v>
      </c>
      <c r="D2974" s="84" t="s">
        <v>418</v>
      </c>
      <c r="E2974" s="84" t="str">
        <f>VLOOKUP(C2974,HSD!B:K,2,FALSE)</f>
        <v>kg</v>
      </c>
      <c r="F2974" s="128">
        <v>0.3</v>
      </c>
      <c r="G2974" s="87">
        <f>VLOOKUP(C2974,HSD!B:K,10,FALSE)</f>
        <v>18426</v>
      </c>
      <c r="H2974" s="87">
        <f>F2974*G2974</f>
        <v>5527.8</v>
      </c>
      <c r="I2974" s="87"/>
      <c r="J2974" s="87"/>
      <c r="K2974" s="87"/>
      <c r="L2974" s="87"/>
    </row>
    <row r="2975" spans="1:12" x14ac:dyDescent="0.35">
      <c r="A2975" s="134">
        <v>24100000</v>
      </c>
      <c r="B2975" s="84"/>
      <c r="C2975" s="85" t="s">
        <v>1856</v>
      </c>
      <c r="D2975" s="84" t="s">
        <v>418</v>
      </c>
      <c r="E2975" s="84" t="str">
        <f>VLOOKUP(C2975,HSD!B:K,2,FALSE)</f>
        <v>kg</v>
      </c>
      <c r="F2975" s="128">
        <v>0.3</v>
      </c>
      <c r="G2975" s="87">
        <f>VLOOKUP(C2975,HSD!B:K,10,FALSE)</f>
        <v>46176</v>
      </c>
      <c r="H2975" s="87">
        <f>F2975*G2975</f>
        <v>13852.8</v>
      </c>
      <c r="I2975" s="87"/>
      <c r="J2975" s="87"/>
      <c r="K2975" s="87"/>
      <c r="L2975" s="87"/>
    </row>
    <row r="2976" spans="1:12" ht="12" customHeight="1" x14ac:dyDescent="0.35">
      <c r="B2976" s="84"/>
      <c r="C2976" s="88"/>
      <c r="D2976" s="79"/>
      <c r="E2976" s="79"/>
      <c r="F2976" s="129" t="s">
        <v>423</v>
      </c>
      <c r="G2976" s="129"/>
      <c r="H2976" s="87">
        <f>SUM(H2973:H2975)</f>
        <v>71328.600000000006</v>
      </c>
      <c r="I2976" s="101"/>
      <c r="J2976" s="87" t="e">
        <f>SUM(#REF!)</f>
        <v>#REF!</v>
      </c>
      <c r="K2976" s="101"/>
      <c r="L2976" s="87" t="e">
        <f>SUM(#REF!)</f>
        <v>#REF!</v>
      </c>
    </row>
    <row r="2977" spans="1:12" ht="12" customHeight="1" x14ac:dyDescent="0.35">
      <c r="B2977" s="84" t="s">
        <v>7</v>
      </c>
      <c r="C2977" s="88" t="s">
        <v>424</v>
      </c>
      <c r="D2977" s="79"/>
      <c r="E2977" s="79"/>
      <c r="F2977" s="90"/>
      <c r="G2977" s="84"/>
      <c r="H2977" s="87"/>
      <c r="I2977" s="84"/>
      <c r="J2977" s="87"/>
      <c r="K2977" s="84"/>
      <c r="L2977" s="87"/>
    </row>
    <row r="2978" spans="1:12" ht="12" customHeight="1" x14ac:dyDescent="0.35">
      <c r="B2978" s="84"/>
      <c r="C2978" s="85"/>
      <c r="D2978" s="84"/>
      <c r="E2978" s="84"/>
      <c r="F2978" s="128"/>
      <c r="G2978" s="87"/>
      <c r="H2978" s="87">
        <f>F2978*G2978</f>
        <v>0</v>
      </c>
      <c r="I2978" s="87"/>
      <c r="J2978" s="87">
        <f>H2978*I2978</f>
        <v>0</v>
      </c>
      <c r="K2978" s="87"/>
      <c r="L2978" s="87">
        <f>J2978*K2978</f>
        <v>0</v>
      </c>
    </row>
    <row r="2979" spans="1:12" ht="12" customHeight="1" x14ac:dyDescent="0.35">
      <c r="B2979" s="84"/>
      <c r="C2979" s="85"/>
      <c r="D2979" s="84"/>
      <c r="E2979" s="84"/>
      <c r="F2979" s="128"/>
      <c r="G2979" s="87"/>
      <c r="H2979" s="87">
        <f>F2979*G2979</f>
        <v>0</v>
      </c>
      <c r="I2979" s="87"/>
      <c r="J2979" s="87"/>
      <c r="K2979" s="87"/>
      <c r="L2979" s="87"/>
    </row>
    <row r="2980" spans="1:12" ht="12" customHeight="1" x14ac:dyDescent="0.35">
      <c r="B2980" s="84"/>
      <c r="C2980" s="85"/>
      <c r="D2980" s="84"/>
      <c r="E2980" s="84"/>
      <c r="F2980" s="128"/>
      <c r="G2980" s="87"/>
      <c r="H2980" s="87">
        <f>F2980*G2980</f>
        <v>0</v>
      </c>
      <c r="I2980" s="87"/>
      <c r="J2980" s="87"/>
      <c r="K2980" s="87"/>
      <c r="L2980" s="87"/>
    </row>
    <row r="2981" spans="1:12" ht="12" customHeight="1" x14ac:dyDescent="0.35">
      <c r="B2981" s="84"/>
      <c r="C2981" s="88"/>
      <c r="D2981" s="79"/>
      <c r="E2981" s="79"/>
      <c r="F2981" s="89" t="s">
        <v>425</v>
      </c>
      <c r="G2981" s="101"/>
      <c r="H2981" s="87">
        <f>SUM(H2978:H2980)</f>
        <v>0</v>
      </c>
      <c r="I2981" s="101"/>
      <c r="J2981" s="87">
        <f>SUM(J2978)</f>
        <v>0</v>
      </c>
      <c r="K2981" s="101"/>
      <c r="L2981" s="87">
        <f>SUM(L2978)</f>
        <v>0</v>
      </c>
    </row>
    <row r="2982" spans="1:12" ht="12" customHeight="1" x14ac:dyDescent="0.35">
      <c r="B2982" s="84" t="s">
        <v>8</v>
      </c>
      <c r="C2982" s="103" t="s">
        <v>426</v>
      </c>
      <c r="D2982" s="104"/>
      <c r="E2982" s="104"/>
      <c r="F2982" s="104"/>
      <c r="G2982" s="105"/>
      <c r="H2982" s="87">
        <f>H2971+H2976+H2981</f>
        <v>162278.6</v>
      </c>
      <c r="I2982" s="105"/>
      <c r="J2982" s="87" t="e">
        <f>J2971+J2976+J2981</f>
        <v>#REF!</v>
      </c>
      <c r="K2982" s="105"/>
      <c r="L2982" s="87" t="e">
        <f>L2971+L2976+L2981</f>
        <v>#REF!</v>
      </c>
    </row>
    <row r="2983" spans="1:12" ht="12" customHeight="1" x14ac:dyDescent="0.35">
      <c r="B2983" s="84" t="s">
        <v>9</v>
      </c>
      <c r="C2983" s="455" t="s">
        <v>427</v>
      </c>
      <c r="D2983" s="455"/>
      <c r="E2983" s="455"/>
      <c r="F2983" s="95">
        <f>0</f>
        <v>0</v>
      </c>
      <c r="G2983" s="85" t="s">
        <v>428</v>
      </c>
      <c r="H2983" s="87">
        <f>H2982*F2983</f>
        <v>0</v>
      </c>
      <c r="I2983" s="85" t="s">
        <v>428</v>
      </c>
      <c r="J2983" s="87" t="e">
        <f>J2982*F2983</f>
        <v>#REF!</v>
      </c>
      <c r="K2983" s="85" t="s">
        <v>428</v>
      </c>
      <c r="L2983" s="87" t="e">
        <f>L2982*F2983</f>
        <v>#REF!</v>
      </c>
    </row>
    <row r="2984" spans="1:12" ht="12" customHeight="1" x14ac:dyDescent="0.35">
      <c r="B2984" s="84" t="s">
        <v>10</v>
      </c>
      <c r="C2984" s="103" t="s">
        <v>429</v>
      </c>
      <c r="D2984" s="104"/>
      <c r="E2984" s="104"/>
      <c r="F2984" s="104"/>
      <c r="G2984" s="105"/>
      <c r="H2984" s="96">
        <f>H2982+H2983</f>
        <v>162278.6</v>
      </c>
      <c r="I2984" s="97"/>
      <c r="J2984" s="96" t="e">
        <f>J2982+J2983</f>
        <v>#REF!</v>
      </c>
      <c r="K2984" s="97"/>
      <c r="L2984" s="96" t="e">
        <f>L2982+L2983</f>
        <v>#REF!</v>
      </c>
    </row>
    <row r="2985" spans="1:12" x14ac:dyDescent="0.35">
      <c r="B2985" s="75" t="s">
        <v>806</v>
      </c>
    </row>
    <row r="2986" spans="1:12" ht="14" customHeight="1" x14ac:dyDescent="0.35"/>
    <row r="2987" spans="1:12" ht="37" customHeight="1" x14ac:dyDescent="0.35">
      <c r="B2987" s="76" t="s">
        <v>814</v>
      </c>
      <c r="C2987" s="458" t="s">
        <v>815</v>
      </c>
      <c r="D2987" s="459"/>
      <c r="E2987" s="459"/>
      <c r="F2987" s="459"/>
      <c r="G2987" s="456"/>
      <c r="H2987" s="457"/>
      <c r="I2987" s="455" t="s">
        <v>3</v>
      </c>
      <c r="J2987" s="455"/>
      <c r="K2987" s="455" t="s">
        <v>4</v>
      </c>
      <c r="L2987" s="455"/>
    </row>
    <row r="2988" spans="1:12" ht="12" customHeight="1" x14ac:dyDescent="0.35">
      <c r="B2988" s="451" t="s">
        <v>409</v>
      </c>
      <c r="C2988" s="451" t="s">
        <v>410</v>
      </c>
      <c r="D2988" s="452" t="s">
        <v>411</v>
      </c>
      <c r="E2988" s="451" t="s">
        <v>412</v>
      </c>
      <c r="F2988" s="451" t="s">
        <v>413</v>
      </c>
      <c r="G2988" s="77" t="s">
        <v>414</v>
      </c>
      <c r="H2988" s="77" t="s">
        <v>415</v>
      </c>
      <c r="I2988" s="78" t="s">
        <v>414</v>
      </c>
      <c r="J2988" s="79" t="s">
        <v>415</v>
      </c>
      <c r="K2988" s="79" t="s">
        <v>414</v>
      </c>
      <c r="L2988" s="79" t="s">
        <v>415</v>
      </c>
    </row>
    <row r="2989" spans="1:12" ht="12" customHeight="1" x14ac:dyDescent="0.35">
      <c r="B2989" s="451"/>
      <c r="C2989" s="451"/>
      <c r="D2989" s="453"/>
      <c r="E2989" s="451"/>
      <c r="F2989" s="451"/>
      <c r="G2989" s="77" t="s">
        <v>17</v>
      </c>
      <c r="H2989" s="77" t="s">
        <v>416</v>
      </c>
      <c r="I2989" s="78" t="s">
        <v>17</v>
      </c>
      <c r="J2989" s="79" t="s">
        <v>416</v>
      </c>
      <c r="K2989" s="79" t="s">
        <v>17</v>
      </c>
      <c r="L2989" s="79" t="s">
        <v>416</v>
      </c>
    </row>
    <row r="2990" spans="1:12" ht="12" customHeight="1" x14ac:dyDescent="0.35">
      <c r="B2990" s="451"/>
      <c r="C2990" s="451"/>
      <c r="D2990" s="454"/>
      <c r="E2990" s="451"/>
      <c r="F2990" s="451"/>
      <c r="G2990" s="106"/>
      <c r="H2990" s="77" t="s">
        <v>17</v>
      </c>
      <c r="I2990" s="94"/>
      <c r="J2990" s="79" t="s">
        <v>17</v>
      </c>
      <c r="K2990" s="85"/>
      <c r="L2990" s="79" t="s">
        <v>17</v>
      </c>
    </row>
    <row r="2991" spans="1:12" ht="12" customHeight="1" x14ac:dyDescent="0.35">
      <c r="B2991" s="80" t="s">
        <v>5</v>
      </c>
      <c r="C2991" s="81" t="s">
        <v>417</v>
      </c>
      <c r="D2991" s="82"/>
      <c r="E2991" s="82"/>
      <c r="F2991" s="82"/>
      <c r="G2991" s="82"/>
      <c r="H2991" s="82"/>
      <c r="I2991" s="83"/>
      <c r="J2991" s="83"/>
      <c r="K2991" s="83"/>
      <c r="L2991" s="83"/>
    </row>
    <row r="2992" spans="1:12" ht="12" customHeight="1" x14ac:dyDescent="0.35">
      <c r="A2992" s="134">
        <v>10130000</v>
      </c>
      <c r="B2992" s="84"/>
      <c r="C2992" s="85" t="s">
        <v>28</v>
      </c>
      <c r="D2992" s="84" t="s">
        <v>418</v>
      </c>
      <c r="E2992" s="84" t="str">
        <f>VLOOKUP(C2992,HSD!B:K,2,FALSE)</f>
        <v>OH</v>
      </c>
      <c r="F2992" s="128">
        <v>0.2</v>
      </c>
      <c r="G2992" s="87">
        <f>VLOOKUP(C2992,HSD!B:K,10,FALSE)</f>
        <v>120000</v>
      </c>
      <c r="H2992" s="87">
        <f>F2992*G2992</f>
        <v>24000</v>
      </c>
      <c r="I2992" s="87">
        <v>91500</v>
      </c>
      <c r="J2992" s="87">
        <f>F2992*I2992</f>
        <v>18300</v>
      </c>
      <c r="K2992" s="87">
        <v>91500</v>
      </c>
      <c r="L2992" s="87">
        <f>F2992*K2992</f>
        <v>18300</v>
      </c>
    </row>
    <row r="2993" spans="1:12" ht="12" customHeight="1" x14ac:dyDescent="0.35">
      <c r="A2993" s="134">
        <v>10142000</v>
      </c>
      <c r="B2993" s="84"/>
      <c r="C2993" s="85" t="s">
        <v>434</v>
      </c>
      <c r="D2993" s="84" t="s">
        <v>418</v>
      </c>
      <c r="E2993" s="84" t="str">
        <f>VLOOKUP(C2993,HSD!B:K,2,FALSE)</f>
        <v>OH</v>
      </c>
      <c r="F2993" s="128">
        <v>0.1</v>
      </c>
      <c r="G2993" s="87">
        <f>VLOOKUP(C2993,HSD!B:K,10,FALSE)</f>
        <v>250000</v>
      </c>
      <c r="H2993" s="87">
        <f>F2993*G2993</f>
        <v>25000</v>
      </c>
      <c r="I2993" s="87"/>
      <c r="J2993" s="87"/>
      <c r="K2993" s="87"/>
      <c r="L2993" s="87"/>
    </row>
    <row r="2994" spans="1:12" ht="12" customHeight="1" x14ac:dyDescent="0.35">
      <c r="A2994" s="134">
        <v>10120000</v>
      </c>
      <c r="B2994" s="84"/>
      <c r="C2994" s="85" t="s">
        <v>27</v>
      </c>
      <c r="D2994" s="84" t="s">
        <v>418</v>
      </c>
      <c r="E2994" s="84" t="str">
        <f>VLOOKUP(C2994,HSD!B:K,2,FALSE)</f>
        <v>OH</v>
      </c>
      <c r="F2994" s="128">
        <f>F2993/10</f>
        <v>0.01</v>
      </c>
      <c r="G2994" s="87">
        <f>VLOOKUP(C2994,HSD!B:K,10,FALSE)</f>
        <v>150000</v>
      </c>
      <c r="H2994" s="87">
        <f>F2994*G2994</f>
        <v>1500</v>
      </c>
      <c r="I2994" s="87"/>
      <c r="J2994" s="87"/>
      <c r="K2994" s="87"/>
      <c r="L2994" s="87"/>
    </row>
    <row r="2995" spans="1:12" ht="12" customHeight="1" x14ac:dyDescent="0.35">
      <c r="A2995" s="134">
        <v>10110000</v>
      </c>
      <c r="B2995" s="84"/>
      <c r="C2995" s="85" t="s">
        <v>30</v>
      </c>
      <c r="D2995" s="84" t="s">
        <v>418</v>
      </c>
      <c r="E2995" s="84" t="str">
        <f>VLOOKUP(C2995,HSD!B:K,2,FALSE)</f>
        <v>OH</v>
      </c>
      <c r="F2995" s="128">
        <f>F2992/10</f>
        <v>0.02</v>
      </c>
      <c r="G2995" s="87">
        <f>VLOOKUP(C2995,HSD!B:K,10,FALSE)</f>
        <v>150000</v>
      </c>
      <c r="H2995" s="87">
        <f>F2995*G2995</f>
        <v>3000</v>
      </c>
      <c r="I2995" s="87">
        <v>92500</v>
      </c>
      <c r="J2995" s="87">
        <f>F2995*I2995</f>
        <v>1850</v>
      </c>
      <c r="K2995" s="87">
        <v>92500</v>
      </c>
      <c r="L2995" s="87">
        <f>F2995*K2995</f>
        <v>1850</v>
      </c>
    </row>
    <row r="2996" spans="1:12" ht="12" customHeight="1" x14ac:dyDescent="0.35">
      <c r="B2996" s="84"/>
      <c r="C2996" s="85"/>
      <c r="D2996" s="84"/>
      <c r="E2996" s="84"/>
      <c r="F2996" s="86"/>
      <c r="G2996" s="87"/>
      <c r="H2996" s="87"/>
      <c r="I2996" s="87"/>
      <c r="J2996" s="87"/>
      <c r="K2996" s="87"/>
      <c r="L2996" s="87"/>
    </row>
    <row r="2997" spans="1:12" ht="12" customHeight="1" x14ac:dyDescent="0.35">
      <c r="B2997" s="84"/>
      <c r="C2997" s="88"/>
      <c r="D2997" s="79"/>
      <c r="E2997" s="79"/>
      <c r="F2997" s="89" t="s">
        <v>421</v>
      </c>
      <c r="G2997" s="101"/>
      <c r="H2997" s="87">
        <f>SUM(H2992:H2996)</f>
        <v>53500</v>
      </c>
      <c r="I2997" s="101"/>
      <c r="J2997" s="87">
        <f>SUM(J2995:J2996)</f>
        <v>1850</v>
      </c>
      <c r="K2997" s="101"/>
      <c r="L2997" s="87">
        <f>SUM(L2995:L2996)</f>
        <v>1850</v>
      </c>
    </row>
    <row r="2998" spans="1:12" ht="12" customHeight="1" x14ac:dyDescent="0.35">
      <c r="B2998" s="84" t="s">
        <v>6</v>
      </c>
      <c r="C2998" s="88" t="s">
        <v>422</v>
      </c>
      <c r="D2998" s="79"/>
      <c r="E2998" s="79"/>
      <c r="F2998" s="90"/>
      <c r="G2998" s="84"/>
      <c r="H2998" s="87"/>
      <c r="I2998" s="84"/>
      <c r="J2998" s="87"/>
      <c r="K2998" s="84"/>
      <c r="L2998" s="87"/>
    </row>
    <row r="2999" spans="1:12" x14ac:dyDescent="0.35">
      <c r="A2999" s="134">
        <v>21924004</v>
      </c>
      <c r="B2999" s="84"/>
      <c r="C2999" s="85" t="s">
        <v>456</v>
      </c>
      <c r="D2999" s="84" t="s">
        <v>418</v>
      </c>
      <c r="E2999" s="84" t="str">
        <f>VLOOKUP(C2999,HSD!B:K,2,FALSE)</f>
        <v>lbr</v>
      </c>
      <c r="F2999" s="128">
        <v>0.128</v>
      </c>
      <c r="G2999" s="87">
        <f>VLOOKUP(C2999,HSD!B:K,10,FALSE)</f>
        <v>288600</v>
      </c>
      <c r="H2999" s="87">
        <f>F2999*G2999</f>
        <v>36940.800000000003</v>
      </c>
      <c r="I2999" s="87">
        <v>232500</v>
      </c>
      <c r="J2999" s="87">
        <f>F2999*I2999</f>
        <v>29760</v>
      </c>
      <c r="K2999" s="87">
        <v>270000</v>
      </c>
      <c r="L2999" s="87">
        <f>F2999*K2999</f>
        <v>34560</v>
      </c>
    </row>
    <row r="3000" spans="1:12" x14ac:dyDescent="0.35">
      <c r="A3000" s="134">
        <v>21401200</v>
      </c>
      <c r="B3000" s="84"/>
      <c r="C3000" s="85" t="s">
        <v>1873</v>
      </c>
      <c r="D3000" s="84" t="s">
        <v>418</v>
      </c>
      <c r="E3000" s="84" t="str">
        <f>VLOOKUP(C3000,HSD!B:K,2,FALSE)</f>
        <v>m3</v>
      </c>
      <c r="F3000" s="128">
        <v>1.0999999999999999E-2</v>
      </c>
      <c r="G3000" s="87">
        <f>VLOOKUP(C3000,HSD!B:K,10,FALSE)</f>
        <v>3885000</v>
      </c>
      <c r="H3000" s="87">
        <f>F3000*G3000</f>
        <v>42735</v>
      </c>
      <c r="I3000" s="87"/>
      <c r="J3000" s="87"/>
      <c r="K3000" s="87"/>
      <c r="L3000" s="87"/>
    </row>
    <row r="3001" spans="1:12" x14ac:dyDescent="0.35">
      <c r="A3001" s="134">
        <v>21911005</v>
      </c>
      <c r="B3001" s="84"/>
      <c r="C3001" s="85" t="s">
        <v>151</v>
      </c>
      <c r="D3001" s="84" t="s">
        <v>418</v>
      </c>
      <c r="E3001" s="84" t="str">
        <f>VLOOKUP(C3001,HSD!B:K,2,FALSE)</f>
        <v>kg</v>
      </c>
      <c r="F3001" s="128">
        <v>0.25</v>
      </c>
      <c r="G3001" s="87">
        <f>VLOOKUP(C3001,HSD!B:K,10,FALSE)</f>
        <v>18426</v>
      </c>
      <c r="H3001" s="87">
        <f>F3001*G3001</f>
        <v>4606.5</v>
      </c>
      <c r="I3001" s="87"/>
      <c r="J3001" s="87"/>
      <c r="K3001" s="87"/>
      <c r="L3001" s="87"/>
    </row>
    <row r="3002" spans="1:12" x14ac:dyDescent="0.35">
      <c r="A3002" s="134">
        <v>21961000</v>
      </c>
      <c r="B3002" s="84"/>
      <c r="C3002" s="85" t="s">
        <v>215</v>
      </c>
      <c r="D3002" s="84" t="s">
        <v>418</v>
      </c>
      <c r="E3002" s="84" t="str">
        <f>VLOOKUP(C3002,HSD!B:K,2,FALSE)</f>
        <v>ltr</v>
      </c>
      <c r="F3002" s="128">
        <v>0.2</v>
      </c>
      <c r="G3002" s="87">
        <f>VLOOKUP(C3002,HSD!B:K,10,FALSE)</f>
        <v>34410</v>
      </c>
      <c r="H3002" s="87">
        <f>F3002*G3002</f>
        <v>6882</v>
      </c>
      <c r="I3002" s="87"/>
      <c r="J3002" s="87"/>
      <c r="K3002" s="87"/>
      <c r="L3002" s="87"/>
    </row>
    <row r="3003" spans="1:12" ht="12" customHeight="1" x14ac:dyDescent="0.35">
      <c r="B3003" s="84"/>
      <c r="C3003" s="88"/>
      <c r="D3003" s="79"/>
      <c r="E3003" s="79"/>
      <c r="F3003" s="129" t="s">
        <v>423</v>
      </c>
      <c r="G3003" s="129"/>
      <c r="H3003" s="87">
        <f>SUM(H2999:H3002)</f>
        <v>91164.3</v>
      </c>
      <c r="I3003" s="101"/>
      <c r="J3003" s="87" t="e">
        <f>SUM(#REF!)</f>
        <v>#REF!</v>
      </c>
      <c r="K3003" s="101"/>
      <c r="L3003" s="87" t="e">
        <f>SUM(#REF!)</f>
        <v>#REF!</v>
      </c>
    </row>
    <row r="3004" spans="1:12" ht="12" customHeight="1" x14ac:dyDescent="0.35">
      <c r="B3004" s="84" t="s">
        <v>7</v>
      </c>
      <c r="C3004" s="88" t="s">
        <v>424</v>
      </c>
      <c r="D3004" s="79"/>
      <c r="E3004" s="79"/>
      <c r="F3004" s="90"/>
      <c r="G3004" s="84"/>
      <c r="H3004" s="87"/>
      <c r="I3004" s="84"/>
      <c r="J3004" s="87"/>
      <c r="K3004" s="84"/>
      <c r="L3004" s="87"/>
    </row>
    <row r="3005" spans="1:12" ht="12" customHeight="1" x14ac:dyDescent="0.35">
      <c r="B3005" s="84"/>
      <c r="C3005" s="85"/>
      <c r="D3005" s="84"/>
      <c r="E3005" s="84"/>
      <c r="F3005" s="128"/>
      <c r="G3005" s="87"/>
      <c r="H3005" s="87">
        <f>F3005*G3005</f>
        <v>0</v>
      </c>
      <c r="I3005" s="87"/>
      <c r="J3005" s="87">
        <f>H3005*I3005</f>
        <v>0</v>
      </c>
      <c r="K3005" s="87"/>
      <c r="L3005" s="87">
        <f>J3005*K3005</f>
        <v>0</v>
      </c>
    </row>
    <row r="3006" spans="1:12" ht="12" customHeight="1" x14ac:dyDescent="0.35">
      <c r="B3006" s="84"/>
      <c r="C3006" s="85"/>
      <c r="D3006" s="84"/>
      <c r="E3006" s="84"/>
      <c r="F3006" s="128"/>
      <c r="G3006" s="87"/>
      <c r="H3006" s="87">
        <f>F3006*G3006</f>
        <v>0</v>
      </c>
      <c r="I3006" s="87"/>
      <c r="J3006" s="87"/>
      <c r="K3006" s="87"/>
      <c r="L3006" s="87"/>
    </row>
    <row r="3007" spans="1:12" ht="12" customHeight="1" x14ac:dyDescent="0.35">
      <c r="B3007" s="84"/>
      <c r="C3007" s="85"/>
      <c r="D3007" s="84"/>
      <c r="E3007" s="84"/>
      <c r="F3007" s="128"/>
      <c r="G3007" s="87"/>
      <c r="H3007" s="87">
        <f>F3007*G3007</f>
        <v>0</v>
      </c>
      <c r="I3007" s="87"/>
      <c r="J3007" s="87"/>
      <c r="K3007" s="87"/>
      <c r="L3007" s="87"/>
    </row>
    <row r="3008" spans="1:12" ht="12" customHeight="1" x14ac:dyDescent="0.35">
      <c r="B3008" s="84"/>
      <c r="C3008" s="88"/>
      <c r="D3008" s="79"/>
      <c r="E3008" s="79"/>
      <c r="F3008" s="89" t="s">
        <v>425</v>
      </c>
      <c r="G3008" s="101"/>
      <c r="H3008" s="87">
        <f>SUM(H3005:H3007)</f>
        <v>0</v>
      </c>
      <c r="I3008" s="101"/>
      <c r="J3008" s="87">
        <f>SUM(J3005)</f>
        <v>0</v>
      </c>
      <c r="K3008" s="101"/>
      <c r="L3008" s="87">
        <f>SUM(L3005)</f>
        <v>0</v>
      </c>
    </row>
    <row r="3009" spans="1:12" ht="12" customHeight="1" x14ac:dyDescent="0.35">
      <c r="B3009" s="84" t="s">
        <v>8</v>
      </c>
      <c r="C3009" s="103" t="s">
        <v>426</v>
      </c>
      <c r="D3009" s="104"/>
      <c r="E3009" s="104"/>
      <c r="F3009" s="104"/>
      <c r="G3009" s="105"/>
      <c r="H3009" s="87">
        <f>H2997+H3003+H3008</f>
        <v>144664.29999999999</v>
      </c>
      <c r="I3009" s="105"/>
      <c r="J3009" s="87" t="e">
        <f>J2997+J3003+J3008</f>
        <v>#REF!</v>
      </c>
      <c r="K3009" s="105"/>
      <c r="L3009" s="87" t="e">
        <f>L2997+L3003+L3008</f>
        <v>#REF!</v>
      </c>
    </row>
    <row r="3010" spans="1:12" ht="12" customHeight="1" x14ac:dyDescent="0.35">
      <c r="B3010" s="84" t="s">
        <v>9</v>
      </c>
      <c r="C3010" s="455" t="s">
        <v>427</v>
      </c>
      <c r="D3010" s="455"/>
      <c r="E3010" s="455"/>
      <c r="F3010" s="95">
        <f>0</f>
        <v>0</v>
      </c>
      <c r="G3010" s="85" t="s">
        <v>428</v>
      </c>
      <c r="H3010" s="87">
        <f>H3009*F3010</f>
        <v>0</v>
      </c>
      <c r="I3010" s="85" t="s">
        <v>428</v>
      </c>
      <c r="J3010" s="87" t="e">
        <f>J3009*F3010</f>
        <v>#REF!</v>
      </c>
      <c r="K3010" s="85" t="s">
        <v>428</v>
      </c>
      <c r="L3010" s="87" t="e">
        <f>L3009*F3010</f>
        <v>#REF!</v>
      </c>
    </row>
    <row r="3011" spans="1:12" ht="12" customHeight="1" x14ac:dyDescent="0.35">
      <c r="B3011" s="84" t="s">
        <v>10</v>
      </c>
      <c r="C3011" s="103" t="s">
        <v>429</v>
      </c>
      <c r="D3011" s="104"/>
      <c r="E3011" s="104"/>
      <c r="F3011" s="104"/>
      <c r="G3011" s="105"/>
      <c r="H3011" s="96">
        <f>H3009+H3010</f>
        <v>144664.29999999999</v>
      </c>
      <c r="I3011" s="97"/>
      <c r="J3011" s="96" t="e">
        <f>J3009+J3010</f>
        <v>#REF!</v>
      </c>
      <c r="K3011" s="97"/>
      <c r="L3011" s="96" t="e">
        <f>L3009+L3010</f>
        <v>#REF!</v>
      </c>
    </row>
    <row r="3012" spans="1:12" x14ac:dyDescent="0.35">
      <c r="B3012" s="75" t="s">
        <v>806</v>
      </c>
    </row>
    <row r="3013" spans="1:12" ht="14" customHeight="1" x14ac:dyDescent="0.35"/>
    <row r="3014" spans="1:12" ht="37" customHeight="1" x14ac:dyDescent="0.35">
      <c r="B3014" s="76" t="s">
        <v>816</v>
      </c>
      <c r="C3014" s="458" t="s">
        <v>817</v>
      </c>
      <c r="D3014" s="459"/>
      <c r="E3014" s="459"/>
      <c r="F3014" s="459"/>
      <c r="G3014" s="456"/>
      <c r="H3014" s="457"/>
      <c r="I3014" s="455" t="s">
        <v>3</v>
      </c>
      <c r="J3014" s="455"/>
      <c r="K3014" s="455" t="s">
        <v>4</v>
      </c>
      <c r="L3014" s="455"/>
    </row>
    <row r="3015" spans="1:12" ht="12" customHeight="1" x14ac:dyDescent="0.35">
      <c r="B3015" s="451" t="s">
        <v>409</v>
      </c>
      <c r="C3015" s="451" t="s">
        <v>410</v>
      </c>
      <c r="D3015" s="452" t="s">
        <v>411</v>
      </c>
      <c r="E3015" s="451" t="s">
        <v>412</v>
      </c>
      <c r="F3015" s="451" t="s">
        <v>413</v>
      </c>
      <c r="G3015" s="77" t="s">
        <v>414</v>
      </c>
      <c r="H3015" s="77" t="s">
        <v>415</v>
      </c>
      <c r="I3015" s="78" t="s">
        <v>414</v>
      </c>
      <c r="J3015" s="79" t="s">
        <v>415</v>
      </c>
      <c r="K3015" s="79" t="s">
        <v>414</v>
      </c>
      <c r="L3015" s="79" t="s">
        <v>415</v>
      </c>
    </row>
    <row r="3016" spans="1:12" ht="12" customHeight="1" x14ac:dyDescent="0.35">
      <c r="B3016" s="451"/>
      <c r="C3016" s="451"/>
      <c r="D3016" s="453"/>
      <c r="E3016" s="451"/>
      <c r="F3016" s="451"/>
      <c r="G3016" s="77" t="s">
        <v>17</v>
      </c>
      <c r="H3016" s="77" t="s">
        <v>416</v>
      </c>
      <c r="I3016" s="78" t="s">
        <v>17</v>
      </c>
      <c r="J3016" s="79" t="s">
        <v>416</v>
      </c>
      <c r="K3016" s="79" t="s">
        <v>17</v>
      </c>
      <c r="L3016" s="79" t="s">
        <v>416</v>
      </c>
    </row>
    <row r="3017" spans="1:12" ht="12" customHeight="1" x14ac:dyDescent="0.35">
      <c r="B3017" s="451"/>
      <c r="C3017" s="451"/>
      <c r="D3017" s="454"/>
      <c r="E3017" s="451"/>
      <c r="F3017" s="451"/>
      <c r="G3017" s="106"/>
      <c r="H3017" s="77" t="s">
        <v>17</v>
      </c>
      <c r="I3017" s="94"/>
      <c r="J3017" s="79" t="s">
        <v>17</v>
      </c>
      <c r="K3017" s="85"/>
      <c r="L3017" s="79" t="s">
        <v>17</v>
      </c>
    </row>
    <row r="3018" spans="1:12" ht="12" customHeight="1" x14ac:dyDescent="0.35">
      <c r="B3018" s="80" t="s">
        <v>5</v>
      </c>
      <c r="C3018" s="81" t="s">
        <v>417</v>
      </c>
      <c r="D3018" s="82"/>
      <c r="E3018" s="82"/>
      <c r="F3018" s="82"/>
      <c r="G3018" s="82"/>
      <c r="H3018" s="82"/>
      <c r="I3018" s="83"/>
      <c r="J3018" s="83"/>
      <c r="K3018" s="83"/>
      <c r="L3018" s="83"/>
    </row>
    <row r="3019" spans="1:12" ht="12" customHeight="1" x14ac:dyDescent="0.35">
      <c r="A3019" s="134">
        <v>10130000</v>
      </c>
      <c r="B3019" s="84"/>
      <c r="C3019" s="85" t="s">
        <v>28</v>
      </c>
      <c r="D3019" s="84" t="s">
        <v>418</v>
      </c>
      <c r="E3019" s="84" t="str">
        <f>VLOOKUP(C3019,HSD!B:K,2,FALSE)</f>
        <v>OH</v>
      </c>
      <c r="F3019" s="128">
        <v>0.36</v>
      </c>
      <c r="G3019" s="87">
        <f>VLOOKUP(C3019,HSD!B:K,10,FALSE)</f>
        <v>120000</v>
      </c>
      <c r="H3019" s="87">
        <f>F3019*G3019</f>
        <v>43200</v>
      </c>
      <c r="I3019" s="87">
        <v>91500</v>
      </c>
      <c r="J3019" s="87">
        <f>F3019*I3019</f>
        <v>32940</v>
      </c>
      <c r="K3019" s="87">
        <v>91500</v>
      </c>
      <c r="L3019" s="87">
        <f>F3019*K3019</f>
        <v>32940</v>
      </c>
    </row>
    <row r="3020" spans="1:12" ht="12" customHeight="1" x14ac:dyDescent="0.35">
      <c r="A3020" s="134">
        <v>10142000</v>
      </c>
      <c r="B3020" s="84"/>
      <c r="C3020" s="85" t="s">
        <v>434</v>
      </c>
      <c r="D3020" s="84" t="s">
        <v>418</v>
      </c>
      <c r="E3020" s="84" t="str">
        <f>VLOOKUP(C3020,HSD!B:K,2,FALSE)</f>
        <v>OH</v>
      </c>
      <c r="F3020" s="128">
        <v>0.36</v>
      </c>
      <c r="G3020" s="87">
        <f>VLOOKUP(C3020,HSD!B:K,10,FALSE)</f>
        <v>250000</v>
      </c>
      <c r="H3020" s="87">
        <f>F3020*G3020</f>
        <v>90000</v>
      </c>
      <c r="I3020" s="87"/>
      <c r="J3020" s="87"/>
      <c r="K3020" s="87"/>
      <c r="L3020" s="87"/>
    </row>
    <row r="3021" spans="1:12" ht="12" customHeight="1" x14ac:dyDescent="0.35">
      <c r="A3021" s="134">
        <v>10120000</v>
      </c>
      <c r="B3021" s="84"/>
      <c r="C3021" s="85" t="s">
        <v>27</v>
      </c>
      <c r="D3021" s="84" t="s">
        <v>418</v>
      </c>
      <c r="E3021" s="84" t="str">
        <f>VLOOKUP(C3021,HSD!B:K,2,FALSE)</f>
        <v>OH</v>
      </c>
      <c r="F3021" s="128">
        <f>F3020/10</f>
        <v>3.5999999999999997E-2</v>
      </c>
      <c r="G3021" s="87">
        <f>VLOOKUP(C3021,HSD!B:K,10,FALSE)</f>
        <v>150000</v>
      </c>
      <c r="H3021" s="87">
        <f>F3021*G3021</f>
        <v>5400</v>
      </c>
      <c r="I3021" s="87"/>
      <c r="J3021" s="87"/>
      <c r="K3021" s="87"/>
      <c r="L3021" s="87"/>
    </row>
    <row r="3022" spans="1:12" ht="12" customHeight="1" x14ac:dyDescent="0.35">
      <c r="A3022" s="134">
        <v>10110000</v>
      </c>
      <c r="B3022" s="84"/>
      <c r="C3022" s="85" t="s">
        <v>30</v>
      </c>
      <c r="D3022" s="84" t="s">
        <v>418</v>
      </c>
      <c r="E3022" s="84" t="str">
        <f>VLOOKUP(C3022,HSD!B:K,2,FALSE)</f>
        <v>OH</v>
      </c>
      <c r="F3022" s="128">
        <f>F3019/10</f>
        <v>3.5999999999999997E-2</v>
      </c>
      <c r="G3022" s="87">
        <f>VLOOKUP(C3022,HSD!B:K,10,FALSE)</f>
        <v>150000</v>
      </c>
      <c r="H3022" s="87">
        <f>F3022*G3022</f>
        <v>5400</v>
      </c>
      <c r="I3022" s="87">
        <v>92500</v>
      </c>
      <c r="J3022" s="87">
        <f>F3022*I3022</f>
        <v>3329.9999999999995</v>
      </c>
      <c r="K3022" s="87">
        <v>92500</v>
      </c>
      <c r="L3022" s="87">
        <f>F3022*K3022</f>
        <v>3329.9999999999995</v>
      </c>
    </row>
    <row r="3023" spans="1:12" ht="12" customHeight="1" x14ac:dyDescent="0.35">
      <c r="B3023" s="84"/>
      <c r="C3023" s="85"/>
      <c r="D3023" s="84"/>
      <c r="E3023" s="84"/>
      <c r="F3023" s="86"/>
      <c r="G3023" s="87"/>
      <c r="H3023" s="87"/>
      <c r="I3023" s="87"/>
      <c r="J3023" s="87"/>
      <c r="K3023" s="87"/>
      <c r="L3023" s="87"/>
    </row>
    <row r="3024" spans="1:12" ht="12" customHeight="1" x14ac:dyDescent="0.35">
      <c r="B3024" s="84"/>
      <c r="C3024" s="88"/>
      <c r="D3024" s="79"/>
      <c r="E3024" s="79"/>
      <c r="F3024" s="89" t="s">
        <v>421</v>
      </c>
      <c r="G3024" s="101"/>
      <c r="H3024" s="87">
        <f>SUM(H3019:H3023)</f>
        <v>144000</v>
      </c>
      <c r="I3024" s="101"/>
      <c r="J3024" s="87">
        <f>SUM(J3022:J3023)</f>
        <v>3329.9999999999995</v>
      </c>
      <c r="K3024" s="101"/>
      <c r="L3024" s="87">
        <f>SUM(L3022:L3023)</f>
        <v>3329.9999999999995</v>
      </c>
    </row>
    <row r="3025" spans="1:12" ht="12" customHeight="1" x14ac:dyDescent="0.35">
      <c r="B3025" s="84" t="s">
        <v>6</v>
      </c>
      <c r="C3025" s="88" t="s">
        <v>422</v>
      </c>
      <c r="D3025" s="79"/>
      <c r="E3025" s="79"/>
      <c r="F3025" s="90"/>
      <c r="G3025" s="84"/>
      <c r="H3025" s="87"/>
      <c r="I3025" s="84"/>
      <c r="J3025" s="87"/>
      <c r="K3025" s="84"/>
      <c r="L3025" s="87"/>
    </row>
    <row r="3026" spans="1:12" x14ac:dyDescent="0.35">
      <c r="A3026" s="134">
        <v>21924004</v>
      </c>
      <c r="B3026" s="84"/>
      <c r="C3026" s="85" t="s">
        <v>456</v>
      </c>
      <c r="D3026" s="84" t="s">
        <v>418</v>
      </c>
      <c r="E3026" s="84" t="str">
        <f>VLOOKUP(C3026,HSD!B:K,2,FALSE)</f>
        <v>lbr</v>
      </c>
      <c r="F3026" s="128">
        <v>0.128</v>
      </c>
      <c r="G3026" s="87">
        <f>VLOOKUP(C3026,HSD!B:K,10,FALSE)</f>
        <v>288600</v>
      </c>
      <c r="H3026" s="87">
        <f>F3026*G3026</f>
        <v>36940.800000000003</v>
      </c>
      <c r="I3026" s="87">
        <v>232500</v>
      </c>
      <c r="J3026" s="87">
        <f>F3026*I3026</f>
        <v>29760</v>
      </c>
      <c r="K3026" s="87">
        <v>270000</v>
      </c>
      <c r="L3026" s="87">
        <f>F3026*K3026</f>
        <v>34560</v>
      </c>
    </row>
    <row r="3027" spans="1:12" x14ac:dyDescent="0.35">
      <c r="A3027" s="134">
        <v>21401200</v>
      </c>
      <c r="B3027" s="84"/>
      <c r="C3027" s="85" t="s">
        <v>1873</v>
      </c>
      <c r="D3027" s="84" t="s">
        <v>418</v>
      </c>
      <c r="E3027" s="84" t="str">
        <f>VLOOKUP(C3027,HSD!B:K,2,FALSE)</f>
        <v>m3</v>
      </c>
      <c r="F3027" s="128">
        <v>1.0999999999999999E-2</v>
      </c>
      <c r="G3027" s="87">
        <f>VLOOKUP(C3027,HSD!B:K,10,FALSE)</f>
        <v>3885000</v>
      </c>
      <c r="H3027" s="87">
        <f>F3027*G3027</f>
        <v>42735</v>
      </c>
      <c r="I3027" s="87"/>
      <c r="J3027" s="87"/>
      <c r="K3027" s="87"/>
      <c r="L3027" s="87"/>
    </row>
    <row r="3028" spans="1:12" x14ac:dyDescent="0.35">
      <c r="A3028" s="134">
        <v>21911005</v>
      </c>
      <c r="B3028" s="84"/>
      <c r="C3028" s="85" t="s">
        <v>151</v>
      </c>
      <c r="D3028" s="84" t="s">
        <v>418</v>
      </c>
      <c r="E3028" s="84" t="str">
        <f>VLOOKUP(C3028,HSD!B:K,2,FALSE)</f>
        <v>kg</v>
      </c>
      <c r="F3028" s="128">
        <v>0.32</v>
      </c>
      <c r="G3028" s="87">
        <f>VLOOKUP(C3028,HSD!B:K,10,FALSE)</f>
        <v>18426</v>
      </c>
      <c r="H3028" s="87">
        <f>F3028*G3028</f>
        <v>5896.32</v>
      </c>
      <c r="I3028" s="87"/>
      <c r="J3028" s="87"/>
      <c r="K3028" s="87"/>
      <c r="L3028" s="87"/>
    </row>
    <row r="3029" spans="1:12" x14ac:dyDescent="0.35">
      <c r="A3029" s="134">
        <v>21961000</v>
      </c>
      <c r="B3029" s="84"/>
      <c r="C3029" s="85" t="s">
        <v>215</v>
      </c>
      <c r="D3029" s="84" t="s">
        <v>418</v>
      </c>
      <c r="E3029" s="84" t="str">
        <f>VLOOKUP(C3029,HSD!B:K,2,FALSE)</f>
        <v>ltr</v>
      </c>
      <c r="F3029" s="128">
        <v>0.25</v>
      </c>
      <c r="G3029" s="87">
        <f>VLOOKUP(C3029,HSD!B:K,10,FALSE)</f>
        <v>34410</v>
      </c>
      <c r="H3029" s="87">
        <f>F3029*G3029</f>
        <v>8602.5</v>
      </c>
      <c r="I3029" s="87"/>
      <c r="J3029" s="87"/>
      <c r="K3029" s="87"/>
      <c r="L3029" s="87"/>
    </row>
    <row r="3030" spans="1:12" ht="12" customHeight="1" x14ac:dyDescent="0.35">
      <c r="B3030" s="84"/>
      <c r="C3030" s="88"/>
      <c r="D3030" s="79"/>
      <c r="E3030" s="79"/>
      <c r="F3030" s="129" t="s">
        <v>423</v>
      </c>
      <c r="G3030" s="129"/>
      <c r="H3030" s="87">
        <f>SUM(H3026:H3029)</f>
        <v>94174.62</v>
      </c>
      <c r="I3030" s="101"/>
      <c r="J3030" s="87" t="e">
        <f>SUM(#REF!)</f>
        <v>#REF!</v>
      </c>
      <c r="K3030" s="101"/>
      <c r="L3030" s="87" t="e">
        <f>SUM(#REF!)</f>
        <v>#REF!</v>
      </c>
    </row>
    <row r="3031" spans="1:12" ht="12" customHeight="1" x14ac:dyDescent="0.35">
      <c r="B3031" s="84" t="s">
        <v>7</v>
      </c>
      <c r="C3031" s="88" t="s">
        <v>424</v>
      </c>
      <c r="D3031" s="79"/>
      <c r="E3031" s="79"/>
      <c r="F3031" s="90"/>
      <c r="G3031" s="84"/>
      <c r="H3031" s="87"/>
      <c r="I3031" s="84"/>
      <c r="J3031" s="87"/>
      <c r="K3031" s="84"/>
      <c r="L3031" s="87"/>
    </row>
    <row r="3032" spans="1:12" ht="12" customHeight="1" x14ac:dyDescent="0.35">
      <c r="B3032" s="84"/>
      <c r="C3032" s="85"/>
      <c r="D3032" s="84"/>
      <c r="E3032" s="84"/>
      <c r="F3032" s="128"/>
      <c r="G3032" s="87"/>
      <c r="H3032" s="87">
        <f>F3032*G3032</f>
        <v>0</v>
      </c>
      <c r="I3032" s="87"/>
      <c r="J3032" s="87">
        <f>H3032*I3032</f>
        <v>0</v>
      </c>
      <c r="K3032" s="87"/>
      <c r="L3032" s="87">
        <f>J3032*K3032</f>
        <v>0</v>
      </c>
    </row>
    <row r="3033" spans="1:12" ht="12" customHeight="1" x14ac:dyDescent="0.35">
      <c r="B3033" s="84"/>
      <c r="C3033" s="85"/>
      <c r="D3033" s="84"/>
      <c r="E3033" s="84"/>
      <c r="F3033" s="128"/>
      <c r="G3033" s="87"/>
      <c r="H3033" s="87">
        <f>F3033*G3033</f>
        <v>0</v>
      </c>
      <c r="I3033" s="87"/>
      <c r="J3033" s="87"/>
      <c r="K3033" s="87"/>
      <c r="L3033" s="87"/>
    </row>
    <row r="3034" spans="1:12" ht="12" customHeight="1" x14ac:dyDescent="0.35">
      <c r="B3034" s="84"/>
      <c r="C3034" s="85"/>
      <c r="D3034" s="84"/>
      <c r="E3034" s="84"/>
      <c r="F3034" s="128"/>
      <c r="G3034" s="87"/>
      <c r="H3034" s="87">
        <f>F3034*G3034</f>
        <v>0</v>
      </c>
      <c r="I3034" s="87"/>
      <c r="J3034" s="87"/>
      <c r="K3034" s="87"/>
      <c r="L3034" s="87"/>
    </row>
    <row r="3035" spans="1:12" ht="12" customHeight="1" x14ac:dyDescent="0.35">
      <c r="B3035" s="84"/>
      <c r="C3035" s="88"/>
      <c r="D3035" s="79"/>
      <c r="E3035" s="79"/>
      <c r="F3035" s="89" t="s">
        <v>425</v>
      </c>
      <c r="G3035" s="101"/>
      <c r="H3035" s="87">
        <f>SUM(H3032:H3034)</f>
        <v>0</v>
      </c>
      <c r="I3035" s="101"/>
      <c r="J3035" s="87">
        <f>SUM(J3032)</f>
        <v>0</v>
      </c>
      <c r="K3035" s="101"/>
      <c r="L3035" s="87">
        <f>SUM(L3032)</f>
        <v>0</v>
      </c>
    </row>
    <row r="3036" spans="1:12" ht="12" customHeight="1" x14ac:dyDescent="0.35">
      <c r="B3036" s="84" t="s">
        <v>8</v>
      </c>
      <c r="C3036" s="103" t="s">
        <v>426</v>
      </c>
      <c r="D3036" s="104"/>
      <c r="E3036" s="104"/>
      <c r="F3036" s="104"/>
      <c r="G3036" s="105"/>
      <c r="H3036" s="87">
        <f>H3024+H3030+H3035</f>
        <v>238174.62</v>
      </c>
      <c r="I3036" s="105"/>
      <c r="J3036" s="87" t="e">
        <f>J3024+J3030+J3035</f>
        <v>#REF!</v>
      </c>
      <c r="K3036" s="105"/>
      <c r="L3036" s="87" t="e">
        <f>L3024+L3030+L3035</f>
        <v>#REF!</v>
      </c>
    </row>
    <row r="3037" spans="1:12" ht="12" customHeight="1" x14ac:dyDescent="0.35">
      <c r="B3037" s="84" t="s">
        <v>9</v>
      </c>
      <c r="C3037" s="455" t="s">
        <v>427</v>
      </c>
      <c r="D3037" s="455"/>
      <c r="E3037" s="455"/>
      <c r="F3037" s="95">
        <f>0</f>
        <v>0</v>
      </c>
      <c r="G3037" s="85" t="s">
        <v>428</v>
      </c>
      <c r="H3037" s="87">
        <f>H3036*F3037</f>
        <v>0</v>
      </c>
      <c r="I3037" s="85" t="s">
        <v>428</v>
      </c>
      <c r="J3037" s="87" t="e">
        <f>J3036*F3037</f>
        <v>#REF!</v>
      </c>
      <c r="K3037" s="85" t="s">
        <v>428</v>
      </c>
      <c r="L3037" s="87" t="e">
        <f>L3036*F3037</f>
        <v>#REF!</v>
      </c>
    </row>
    <row r="3038" spans="1:12" ht="12" customHeight="1" x14ac:dyDescent="0.35">
      <c r="B3038" s="84" t="s">
        <v>10</v>
      </c>
      <c r="C3038" s="103" t="s">
        <v>429</v>
      </c>
      <c r="D3038" s="104"/>
      <c r="E3038" s="104"/>
      <c r="F3038" s="104"/>
      <c r="G3038" s="105"/>
      <c r="H3038" s="96">
        <f>H3036+H3037</f>
        <v>238174.62</v>
      </c>
      <c r="I3038" s="97"/>
      <c r="J3038" s="96" t="e">
        <f>J3036+J3037</f>
        <v>#REF!</v>
      </c>
      <c r="K3038" s="97"/>
      <c r="L3038" s="96" t="e">
        <f>L3036+L3037</f>
        <v>#REF!</v>
      </c>
    </row>
    <row r="3039" spans="1:12" x14ac:dyDescent="0.35">
      <c r="B3039" s="75" t="s">
        <v>806</v>
      </c>
    </row>
    <row r="3040" spans="1:12" ht="14" customHeight="1" x14ac:dyDescent="0.35"/>
    <row r="3041" spans="1:12" ht="37" customHeight="1" x14ac:dyDescent="0.35">
      <c r="B3041" s="76" t="s">
        <v>819</v>
      </c>
      <c r="C3041" s="458" t="s">
        <v>820</v>
      </c>
      <c r="D3041" s="459"/>
      <c r="E3041" s="459"/>
      <c r="F3041" s="459"/>
      <c r="G3041" s="456"/>
      <c r="H3041" s="457"/>
      <c r="I3041" s="455" t="s">
        <v>3</v>
      </c>
      <c r="J3041" s="455"/>
      <c r="K3041" s="455" t="s">
        <v>4</v>
      </c>
      <c r="L3041" s="455"/>
    </row>
    <row r="3042" spans="1:12" ht="12" customHeight="1" x14ac:dyDescent="0.35">
      <c r="B3042" s="451" t="s">
        <v>409</v>
      </c>
      <c r="C3042" s="451" t="s">
        <v>410</v>
      </c>
      <c r="D3042" s="452" t="s">
        <v>411</v>
      </c>
      <c r="E3042" s="451" t="s">
        <v>412</v>
      </c>
      <c r="F3042" s="451" t="s">
        <v>413</v>
      </c>
      <c r="G3042" s="77" t="s">
        <v>414</v>
      </c>
      <c r="H3042" s="77" t="s">
        <v>415</v>
      </c>
      <c r="I3042" s="78" t="s">
        <v>414</v>
      </c>
      <c r="J3042" s="79" t="s">
        <v>415</v>
      </c>
      <c r="K3042" s="79" t="s">
        <v>414</v>
      </c>
      <c r="L3042" s="79" t="s">
        <v>415</v>
      </c>
    </row>
    <row r="3043" spans="1:12" ht="12" customHeight="1" x14ac:dyDescent="0.35">
      <c r="B3043" s="451"/>
      <c r="C3043" s="451"/>
      <c r="D3043" s="453"/>
      <c r="E3043" s="451"/>
      <c r="F3043" s="451"/>
      <c r="G3043" s="77" t="s">
        <v>17</v>
      </c>
      <c r="H3043" s="77" t="s">
        <v>416</v>
      </c>
      <c r="I3043" s="78" t="s">
        <v>17</v>
      </c>
      <c r="J3043" s="79" t="s">
        <v>416</v>
      </c>
      <c r="K3043" s="79" t="s">
        <v>17</v>
      </c>
      <c r="L3043" s="79" t="s">
        <v>416</v>
      </c>
    </row>
    <row r="3044" spans="1:12" ht="12" customHeight="1" x14ac:dyDescent="0.35">
      <c r="B3044" s="451"/>
      <c r="C3044" s="451"/>
      <c r="D3044" s="454"/>
      <c r="E3044" s="451"/>
      <c r="F3044" s="451"/>
      <c r="G3044" s="106"/>
      <c r="H3044" s="77" t="s">
        <v>17</v>
      </c>
      <c r="I3044" s="94"/>
      <c r="J3044" s="79" t="s">
        <v>17</v>
      </c>
      <c r="K3044" s="85"/>
      <c r="L3044" s="79" t="s">
        <v>17</v>
      </c>
    </row>
    <row r="3045" spans="1:12" ht="12" customHeight="1" x14ac:dyDescent="0.35">
      <c r="B3045" s="80" t="s">
        <v>5</v>
      </c>
      <c r="C3045" s="81" t="s">
        <v>417</v>
      </c>
      <c r="D3045" s="82"/>
      <c r="E3045" s="82"/>
      <c r="F3045" s="82"/>
      <c r="G3045" s="82"/>
      <c r="H3045" s="82"/>
      <c r="I3045" s="83"/>
      <c r="J3045" s="83"/>
      <c r="K3045" s="83"/>
      <c r="L3045" s="83"/>
    </row>
    <row r="3046" spans="1:12" ht="12" customHeight="1" x14ac:dyDescent="0.35">
      <c r="A3046" s="134">
        <v>10130000</v>
      </c>
      <c r="B3046" s="84"/>
      <c r="C3046" s="85" t="s">
        <v>28</v>
      </c>
      <c r="D3046" s="84" t="s">
        <v>418</v>
      </c>
      <c r="E3046" s="84" t="str">
        <f>VLOOKUP(C3046,HSD!B:K,2,FALSE)</f>
        <v>OH</v>
      </c>
      <c r="F3046" s="128">
        <v>0.4</v>
      </c>
      <c r="G3046" s="87">
        <f>VLOOKUP(C3046,HSD!B:K,10,FALSE)</f>
        <v>120000</v>
      </c>
      <c r="H3046" s="87">
        <f>F3046*G3046</f>
        <v>48000</v>
      </c>
      <c r="I3046" s="87">
        <v>91500</v>
      </c>
      <c r="J3046" s="87">
        <f>F3046*I3046</f>
        <v>36600</v>
      </c>
      <c r="K3046" s="87">
        <v>91500</v>
      </c>
      <c r="L3046" s="87">
        <f>F3046*K3046</f>
        <v>36600</v>
      </c>
    </row>
    <row r="3047" spans="1:12" ht="12" customHeight="1" x14ac:dyDescent="0.35">
      <c r="A3047" s="134">
        <v>10142000</v>
      </c>
      <c r="B3047" s="84"/>
      <c r="C3047" s="85" t="s">
        <v>434</v>
      </c>
      <c r="D3047" s="84" t="s">
        <v>418</v>
      </c>
      <c r="E3047" s="84" t="str">
        <f>VLOOKUP(C3047,HSD!B:K,2,FALSE)</f>
        <v>OH</v>
      </c>
      <c r="F3047" s="128">
        <v>0.2</v>
      </c>
      <c r="G3047" s="87">
        <f>VLOOKUP(C3047,HSD!B:K,10,FALSE)</f>
        <v>250000</v>
      </c>
      <c r="H3047" s="87">
        <f>F3047*G3047</f>
        <v>50000</v>
      </c>
      <c r="I3047" s="87"/>
      <c r="J3047" s="87"/>
      <c r="K3047" s="87"/>
      <c r="L3047" s="87"/>
    </row>
    <row r="3048" spans="1:12" ht="12" customHeight="1" x14ac:dyDescent="0.35">
      <c r="A3048" s="134">
        <v>10120000</v>
      </c>
      <c r="B3048" s="84"/>
      <c r="C3048" s="85" t="s">
        <v>27</v>
      </c>
      <c r="D3048" s="84" t="s">
        <v>418</v>
      </c>
      <c r="E3048" s="84" t="str">
        <f>VLOOKUP(C3048,HSD!B:K,2,FALSE)</f>
        <v>OH</v>
      </c>
      <c r="F3048" s="128">
        <f>F3047/10</f>
        <v>0.02</v>
      </c>
      <c r="G3048" s="87">
        <f>VLOOKUP(C3048,HSD!B:K,10,FALSE)</f>
        <v>150000</v>
      </c>
      <c r="H3048" s="87">
        <f>F3048*G3048</f>
        <v>3000</v>
      </c>
      <c r="I3048" s="87"/>
      <c r="J3048" s="87"/>
      <c r="K3048" s="87"/>
      <c r="L3048" s="87"/>
    </row>
    <row r="3049" spans="1:12" ht="12" customHeight="1" x14ac:dyDescent="0.35">
      <c r="A3049" s="134">
        <v>10110000</v>
      </c>
      <c r="B3049" s="84"/>
      <c r="C3049" s="85" t="s">
        <v>30</v>
      </c>
      <c r="D3049" s="84" t="s">
        <v>418</v>
      </c>
      <c r="E3049" s="84" t="str">
        <f>VLOOKUP(C3049,HSD!B:K,2,FALSE)</f>
        <v>OH</v>
      </c>
      <c r="F3049" s="128">
        <f>F3046/10</f>
        <v>0.04</v>
      </c>
      <c r="G3049" s="87">
        <f>VLOOKUP(C3049,HSD!B:K,10,FALSE)</f>
        <v>150000</v>
      </c>
      <c r="H3049" s="87">
        <f>F3049*G3049</f>
        <v>6000</v>
      </c>
      <c r="I3049" s="87">
        <v>92500</v>
      </c>
      <c r="J3049" s="87">
        <f>F3049*I3049</f>
        <v>3700</v>
      </c>
      <c r="K3049" s="87">
        <v>92500</v>
      </c>
      <c r="L3049" s="87">
        <f>F3049*K3049</f>
        <v>3700</v>
      </c>
    </row>
    <row r="3050" spans="1:12" ht="12" customHeight="1" x14ac:dyDescent="0.35">
      <c r="B3050" s="84"/>
      <c r="C3050" s="85"/>
      <c r="D3050" s="84"/>
      <c r="E3050" s="84"/>
      <c r="F3050" s="86"/>
      <c r="G3050" s="87"/>
      <c r="H3050" s="87"/>
      <c r="I3050" s="87"/>
      <c r="J3050" s="87"/>
      <c r="K3050" s="87"/>
      <c r="L3050" s="87"/>
    </row>
    <row r="3051" spans="1:12" ht="12" customHeight="1" x14ac:dyDescent="0.35">
      <c r="B3051" s="84"/>
      <c r="C3051" s="88"/>
      <c r="D3051" s="79"/>
      <c r="E3051" s="79"/>
      <c r="F3051" s="89" t="s">
        <v>421</v>
      </c>
      <c r="G3051" s="101"/>
      <c r="H3051" s="87">
        <f>SUM(H3046:H3050)</f>
        <v>107000</v>
      </c>
      <c r="I3051" s="101"/>
      <c r="J3051" s="87">
        <f>SUM(J3049:J3050)</f>
        <v>3700</v>
      </c>
      <c r="K3051" s="101"/>
      <c r="L3051" s="87">
        <f>SUM(L3049:L3050)</f>
        <v>3700</v>
      </c>
    </row>
    <row r="3052" spans="1:12" ht="12" customHeight="1" x14ac:dyDescent="0.35">
      <c r="B3052" s="84" t="s">
        <v>6</v>
      </c>
      <c r="C3052" s="88" t="s">
        <v>422</v>
      </c>
      <c r="D3052" s="79"/>
      <c r="E3052" s="79"/>
      <c r="F3052" s="90"/>
      <c r="G3052" s="84"/>
      <c r="H3052" s="87"/>
      <c r="I3052" s="84"/>
      <c r="J3052" s="87"/>
      <c r="K3052" s="84"/>
      <c r="L3052" s="87"/>
    </row>
    <row r="3053" spans="1:12" x14ac:dyDescent="0.35">
      <c r="A3053" s="134">
        <v>21401200</v>
      </c>
      <c r="B3053" s="84"/>
      <c r="C3053" s="85" t="s">
        <v>1873</v>
      </c>
      <c r="D3053" s="84" t="s">
        <v>418</v>
      </c>
      <c r="E3053" s="84" t="str">
        <f>VLOOKUP(C3053,HSD!B:K,2,FALSE)</f>
        <v>m3</v>
      </c>
      <c r="F3053" s="128">
        <v>1.0999999999999999E-2</v>
      </c>
      <c r="G3053" s="87">
        <f>VLOOKUP(C3053,HSD!B:K,10,FALSE)</f>
        <v>3885000</v>
      </c>
      <c r="H3053" s="87">
        <f>F3053*G3053</f>
        <v>42735</v>
      </c>
      <c r="I3053" s="87"/>
      <c r="J3053" s="87"/>
      <c r="K3053" s="87"/>
      <c r="L3053" s="87"/>
    </row>
    <row r="3054" spans="1:12" x14ac:dyDescent="0.35">
      <c r="A3054" s="134">
        <v>21911005</v>
      </c>
      <c r="B3054" s="84"/>
      <c r="C3054" s="85" t="s">
        <v>151</v>
      </c>
      <c r="D3054" s="84" t="s">
        <v>418</v>
      </c>
      <c r="E3054" s="84" t="str">
        <f>VLOOKUP(C3054,HSD!B:K,2,FALSE)</f>
        <v>kg</v>
      </c>
      <c r="F3054" s="128">
        <v>0.24</v>
      </c>
      <c r="G3054" s="87">
        <f>VLOOKUP(C3054,HSD!B:K,10,FALSE)</f>
        <v>18426</v>
      </c>
      <c r="H3054" s="87">
        <f>F3054*G3054</f>
        <v>4422.24</v>
      </c>
      <c r="I3054" s="87"/>
      <c r="J3054" s="87"/>
      <c r="K3054" s="87"/>
      <c r="L3054" s="87"/>
    </row>
    <row r="3055" spans="1:12" x14ac:dyDescent="0.35">
      <c r="B3055" s="84"/>
      <c r="C3055" s="85"/>
      <c r="D3055" s="84"/>
      <c r="E3055" s="84"/>
      <c r="F3055" s="128"/>
      <c r="G3055" s="87"/>
      <c r="H3055" s="87">
        <f>F3055*G3055</f>
        <v>0</v>
      </c>
      <c r="I3055" s="87"/>
      <c r="J3055" s="87"/>
      <c r="K3055" s="87"/>
      <c r="L3055" s="87"/>
    </row>
    <row r="3056" spans="1:12" ht="12" customHeight="1" x14ac:dyDescent="0.35">
      <c r="B3056" s="84"/>
      <c r="C3056" s="88"/>
      <c r="D3056" s="79"/>
      <c r="E3056" s="79"/>
      <c r="F3056" s="129" t="s">
        <v>423</v>
      </c>
      <c r="G3056" s="129"/>
      <c r="H3056" s="87">
        <f>SUM(H3053:H3055)</f>
        <v>47157.24</v>
      </c>
      <c r="I3056" s="101"/>
      <c r="J3056" s="87" t="e">
        <f>SUM(#REF!)</f>
        <v>#REF!</v>
      </c>
      <c r="K3056" s="101"/>
      <c r="L3056" s="87" t="e">
        <f>SUM(#REF!)</f>
        <v>#REF!</v>
      </c>
    </row>
    <row r="3057" spans="1:12" ht="12" customHeight="1" x14ac:dyDescent="0.35">
      <c r="B3057" s="84" t="s">
        <v>7</v>
      </c>
      <c r="C3057" s="88" t="s">
        <v>424</v>
      </c>
      <c r="D3057" s="79"/>
      <c r="E3057" s="79"/>
      <c r="F3057" s="90"/>
      <c r="G3057" s="84"/>
      <c r="H3057" s="87"/>
      <c r="I3057" s="84"/>
      <c r="J3057" s="87"/>
      <c r="K3057" s="84"/>
      <c r="L3057" s="87"/>
    </row>
    <row r="3058" spans="1:12" ht="12" customHeight="1" x14ac:dyDescent="0.35">
      <c r="B3058" s="84"/>
      <c r="C3058" s="85"/>
      <c r="D3058" s="84"/>
      <c r="E3058" s="84"/>
      <c r="F3058" s="128"/>
      <c r="G3058" s="87"/>
      <c r="H3058" s="87">
        <f>F3058*G3058</f>
        <v>0</v>
      </c>
      <c r="I3058" s="87"/>
      <c r="J3058" s="87">
        <f>H3058*I3058</f>
        <v>0</v>
      </c>
      <c r="K3058" s="87"/>
      <c r="L3058" s="87">
        <f>J3058*K3058</f>
        <v>0</v>
      </c>
    </row>
    <row r="3059" spans="1:12" ht="12" customHeight="1" x14ac:dyDescent="0.35">
      <c r="B3059" s="84"/>
      <c r="C3059" s="85"/>
      <c r="D3059" s="84"/>
      <c r="E3059" s="84"/>
      <c r="F3059" s="128"/>
      <c r="G3059" s="87"/>
      <c r="H3059" s="87">
        <f>F3059*G3059</f>
        <v>0</v>
      </c>
      <c r="I3059" s="87"/>
      <c r="J3059" s="87"/>
      <c r="K3059" s="87"/>
      <c r="L3059" s="87"/>
    </row>
    <row r="3060" spans="1:12" ht="12" customHeight="1" x14ac:dyDescent="0.35">
      <c r="B3060" s="84"/>
      <c r="C3060" s="85"/>
      <c r="D3060" s="84"/>
      <c r="E3060" s="84"/>
      <c r="F3060" s="128"/>
      <c r="G3060" s="87"/>
      <c r="H3060" s="87">
        <f>F3060*G3060</f>
        <v>0</v>
      </c>
      <c r="I3060" s="87"/>
      <c r="J3060" s="87"/>
      <c r="K3060" s="87"/>
      <c r="L3060" s="87"/>
    </row>
    <row r="3061" spans="1:12" ht="12" customHeight="1" x14ac:dyDescent="0.35">
      <c r="B3061" s="84"/>
      <c r="C3061" s="88"/>
      <c r="D3061" s="79"/>
      <c r="E3061" s="79"/>
      <c r="F3061" s="89" t="s">
        <v>425</v>
      </c>
      <c r="G3061" s="101"/>
      <c r="H3061" s="87">
        <f>SUM(H3058:H3060)</f>
        <v>0</v>
      </c>
      <c r="I3061" s="101"/>
      <c r="J3061" s="87">
        <f>SUM(J3058)</f>
        <v>0</v>
      </c>
      <c r="K3061" s="101"/>
      <c r="L3061" s="87">
        <f>SUM(L3058)</f>
        <v>0</v>
      </c>
    </row>
    <row r="3062" spans="1:12" ht="12" customHeight="1" x14ac:dyDescent="0.35">
      <c r="B3062" s="84" t="s">
        <v>8</v>
      </c>
      <c r="C3062" s="103" t="s">
        <v>426</v>
      </c>
      <c r="D3062" s="104"/>
      <c r="E3062" s="104"/>
      <c r="F3062" s="104"/>
      <c r="G3062" s="105"/>
      <c r="H3062" s="87">
        <f>H3051+H3056+H3061</f>
        <v>154157.24</v>
      </c>
      <c r="I3062" s="105"/>
      <c r="J3062" s="87" t="e">
        <f>J3051+J3056+J3061</f>
        <v>#REF!</v>
      </c>
      <c r="K3062" s="105"/>
      <c r="L3062" s="87" t="e">
        <f>L3051+L3056+L3061</f>
        <v>#REF!</v>
      </c>
    </row>
    <row r="3063" spans="1:12" ht="12" customHeight="1" x14ac:dyDescent="0.35">
      <c r="B3063" s="84" t="s">
        <v>9</v>
      </c>
      <c r="C3063" s="455" t="s">
        <v>427</v>
      </c>
      <c r="D3063" s="455"/>
      <c r="E3063" s="455"/>
      <c r="F3063" s="95">
        <f>0</f>
        <v>0</v>
      </c>
      <c r="G3063" s="85" t="s">
        <v>428</v>
      </c>
      <c r="H3063" s="87">
        <f>H3062*F3063</f>
        <v>0</v>
      </c>
      <c r="I3063" s="85" t="s">
        <v>428</v>
      </c>
      <c r="J3063" s="87" t="e">
        <f>J3062*F3063</f>
        <v>#REF!</v>
      </c>
      <c r="K3063" s="85" t="s">
        <v>428</v>
      </c>
      <c r="L3063" s="87" t="e">
        <f>L3062*F3063</f>
        <v>#REF!</v>
      </c>
    </row>
    <row r="3064" spans="1:12" ht="12" customHeight="1" x14ac:dyDescent="0.35">
      <c r="B3064" s="84" t="s">
        <v>10</v>
      </c>
      <c r="C3064" s="103" t="s">
        <v>429</v>
      </c>
      <c r="D3064" s="104"/>
      <c r="E3064" s="104"/>
      <c r="F3064" s="104"/>
      <c r="G3064" s="105"/>
      <c r="H3064" s="96">
        <f>H3062+H3063</f>
        <v>154157.24</v>
      </c>
      <c r="I3064" s="97"/>
      <c r="J3064" s="96" t="e">
        <f>J3062+J3063</f>
        <v>#REF!</v>
      </c>
      <c r="K3064" s="97"/>
      <c r="L3064" s="96" t="e">
        <f>L3062+L3063</f>
        <v>#REF!</v>
      </c>
    </row>
    <row r="3065" spans="1:12" x14ac:dyDescent="0.35">
      <c r="B3065" s="75" t="s">
        <v>806</v>
      </c>
    </row>
    <row r="3066" spans="1:12" ht="14" customHeight="1" x14ac:dyDescent="0.35"/>
    <row r="3067" spans="1:12" ht="37" customHeight="1" x14ac:dyDescent="0.35">
      <c r="B3067" s="76" t="s">
        <v>823</v>
      </c>
      <c r="C3067" s="458" t="s">
        <v>821</v>
      </c>
      <c r="D3067" s="459"/>
      <c r="E3067" s="459"/>
      <c r="F3067" s="459"/>
      <c r="G3067" s="456"/>
      <c r="H3067" s="457"/>
      <c r="I3067" s="455" t="s">
        <v>3</v>
      </c>
      <c r="J3067" s="455"/>
      <c r="K3067" s="455" t="s">
        <v>4</v>
      </c>
      <c r="L3067" s="455"/>
    </row>
    <row r="3068" spans="1:12" ht="12" customHeight="1" x14ac:dyDescent="0.35">
      <c r="B3068" s="451" t="s">
        <v>409</v>
      </c>
      <c r="C3068" s="451" t="s">
        <v>410</v>
      </c>
      <c r="D3068" s="452" t="s">
        <v>411</v>
      </c>
      <c r="E3068" s="451" t="s">
        <v>412</v>
      </c>
      <c r="F3068" s="451" t="s">
        <v>413</v>
      </c>
      <c r="G3068" s="77" t="s">
        <v>414</v>
      </c>
      <c r="H3068" s="77" t="s">
        <v>415</v>
      </c>
      <c r="I3068" s="78" t="s">
        <v>414</v>
      </c>
      <c r="J3068" s="79" t="s">
        <v>415</v>
      </c>
      <c r="K3068" s="79" t="s">
        <v>414</v>
      </c>
      <c r="L3068" s="79" t="s">
        <v>415</v>
      </c>
    </row>
    <row r="3069" spans="1:12" ht="12" customHeight="1" x14ac:dyDescent="0.35">
      <c r="B3069" s="451"/>
      <c r="C3069" s="451"/>
      <c r="D3069" s="453"/>
      <c r="E3069" s="451"/>
      <c r="F3069" s="451"/>
      <c r="G3069" s="77" t="s">
        <v>17</v>
      </c>
      <c r="H3069" s="77" t="s">
        <v>416</v>
      </c>
      <c r="I3069" s="78" t="s">
        <v>17</v>
      </c>
      <c r="J3069" s="79" t="s">
        <v>416</v>
      </c>
      <c r="K3069" s="79" t="s">
        <v>17</v>
      </c>
      <c r="L3069" s="79" t="s">
        <v>416</v>
      </c>
    </row>
    <row r="3070" spans="1:12" ht="12" customHeight="1" x14ac:dyDescent="0.35">
      <c r="B3070" s="451"/>
      <c r="C3070" s="451"/>
      <c r="D3070" s="454"/>
      <c r="E3070" s="451"/>
      <c r="F3070" s="451"/>
      <c r="G3070" s="106"/>
      <c r="H3070" s="77" t="s">
        <v>17</v>
      </c>
      <c r="I3070" s="94"/>
      <c r="J3070" s="79" t="s">
        <v>17</v>
      </c>
      <c r="K3070" s="85"/>
      <c r="L3070" s="79" t="s">
        <v>17</v>
      </c>
    </row>
    <row r="3071" spans="1:12" ht="12" customHeight="1" x14ac:dyDescent="0.35">
      <c r="B3071" s="80" t="s">
        <v>5</v>
      </c>
      <c r="C3071" s="81" t="s">
        <v>417</v>
      </c>
      <c r="D3071" s="82"/>
      <c r="E3071" s="82"/>
      <c r="F3071" s="82"/>
      <c r="G3071" s="82"/>
      <c r="H3071" s="82"/>
      <c r="I3071" s="83"/>
      <c r="J3071" s="83"/>
      <c r="K3071" s="83"/>
      <c r="L3071" s="83"/>
    </row>
    <row r="3072" spans="1:12" ht="12" customHeight="1" x14ac:dyDescent="0.35">
      <c r="A3072" s="134">
        <v>10130000</v>
      </c>
      <c r="B3072" s="84"/>
      <c r="C3072" s="85" t="s">
        <v>28</v>
      </c>
      <c r="D3072" s="84" t="s">
        <v>418</v>
      </c>
      <c r="E3072" s="84" t="str">
        <f>VLOOKUP(C3072,HSD!B:K,2,FALSE)</f>
        <v>OH</v>
      </c>
      <c r="F3072" s="128">
        <v>0.4</v>
      </c>
      <c r="G3072" s="87">
        <f>VLOOKUP(C3072,HSD!B:K,10,FALSE)</f>
        <v>120000</v>
      </c>
      <c r="H3072" s="87">
        <f>F3072*G3072</f>
        <v>48000</v>
      </c>
      <c r="I3072" s="87">
        <v>91500</v>
      </c>
      <c r="J3072" s="87">
        <f>F3072*I3072</f>
        <v>36600</v>
      </c>
      <c r="K3072" s="87">
        <v>91500</v>
      </c>
      <c r="L3072" s="87">
        <f>F3072*K3072</f>
        <v>36600</v>
      </c>
    </row>
    <row r="3073" spans="1:12" ht="12" customHeight="1" x14ac:dyDescent="0.35">
      <c r="A3073" s="134">
        <v>10142000</v>
      </c>
      <c r="B3073" s="84"/>
      <c r="C3073" s="85" t="s">
        <v>434</v>
      </c>
      <c r="D3073" s="84" t="s">
        <v>418</v>
      </c>
      <c r="E3073" s="84" t="str">
        <f>VLOOKUP(C3073,HSD!B:K,2,FALSE)</f>
        <v>OH</v>
      </c>
      <c r="F3073" s="128">
        <v>0.2</v>
      </c>
      <c r="G3073" s="87">
        <f>VLOOKUP(C3073,HSD!B:K,10,FALSE)</f>
        <v>250000</v>
      </c>
      <c r="H3073" s="87">
        <f>F3073*G3073</f>
        <v>50000</v>
      </c>
      <c r="I3073" s="87"/>
      <c r="J3073" s="87"/>
      <c r="K3073" s="87"/>
      <c r="L3073" s="87"/>
    </row>
    <row r="3074" spans="1:12" ht="12" customHeight="1" x14ac:dyDescent="0.35">
      <c r="A3074" s="134">
        <v>10120000</v>
      </c>
      <c r="B3074" s="84"/>
      <c r="C3074" s="85" t="s">
        <v>27</v>
      </c>
      <c r="D3074" s="84" t="s">
        <v>418</v>
      </c>
      <c r="E3074" s="84" t="str">
        <f>VLOOKUP(C3074,HSD!B:K,2,FALSE)</f>
        <v>OH</v>
      </c>
      <c r="F3074" s="128">
        <f>F3073/10</f>
        <v>0.02</v>
      </c>
      <c r="G3074" s="87">
        <f>VLOOKUP(C3074,HSD!B:K,10,FALSE)</f>
        <v>150000</v>
      </c>
      <c r="H3074" s="87">
        <f>F3074*G3074</f>
        <v>3000</v>
      </c>
      <c r="I3074" s="87"/>
      <c r="J3074" s="87"/>
      <c r="K3074" s="87"/>
      <c r="L3074" s="87"/>
    </row>
    <row r="3075" spans="1:12" ht="12" customHeight="1" x14ac:dyDescent="0.35">
      <c r="A3075" s="134">
        <v>10110000</v>
      </c>
      <c r="B3075" s="84"/>
      <c r="C3075" s="85" t="s">
        <v>30</v>
      </c>
      <c r="D3075" s="84" t="s">
        <v>418</v>
      </c>
      <c r="E3075" s="84" t="str">
        <f>VLOOKUP(C3075,HSD!B:K,2,FALSE)</f>
        <v>OH</v>
      </c>
      <c r="F3075" s="128">
        <f>F3072/10</f>
        <v>0.04</v>
      </c>
      <c r="G3075" s="87">
        <f>VLOOKUP(C3075,HSD!B:K,10,FALSE)</f>
        <v>150000</v>
      </c>
      <c r="H3075" s="87">
        <f>F3075*G3075</f>
        <v>6000</v>
      </c>
      <c r="I3075" s="87">
        <v>92500</v>
      </c>
      <c r="J3075" s="87">
        <f>F3075*I3075</f>
        <v>3700</v>
      </c>
      <c r="K3075" s="87">
        <v>92500</v>
      </c>
      <c r="L3075" s="87">
        <f>F3075*K3075</f>
        <v>3700</v>
      </c>
    </row>
    <row r="3076" spans="1:12" ht="12" customHeight="1" x14ac:dyDescent="0.35">
      <c r="B3076" s="84"/>
      <c r="C3076" s="85"/>
      <c r="D3076" s="84"/>
      <c r="E3076" s="84"/>
      <c r="F3076" s="86"/>
      <c r="G3076" s="87"/>
      <c r="H3076" s="87"/>
      <c r="I3076" s="87"/>
      <c r="J3076" s="87"/>
      <c r="K3076" s="87"/>
      <c r="L3076" s="87"/>
    </row>
    <row r="3077" spans="1:12" ht="12" customHeight="1" x14ac:dyDescent="0.35">
      <c r="B3077" s="84"/>
      <c r="C3077" s="88"/>
      <c r="D3077" s="79"/>
      <c r="E3077" s="79"/>
      <c r="F3077" s="89" t="s">
        <v>421</v>
      </c>
      <c r="G3077" s="101"/>
      <c r="H3077" s="87">
        <f>SUM(H3072:H3076)</f>
        <v>107000</v>
      </c>
      <c r="I3077" s="101"/>
      <c r="J3077" s="87">
        <f>SUM(J3075:J3076)</f>
        <v>3700</v>
      </c>
      <c r="K3077" s="101"/>
      <c r="L3077" s="87">
        <f>SUM(L3075:L3076)</f>
        <v>3700</v>
      </c>
    </row>
    <row r="3078" spans="1:12" ht="12" customHeight="1" x14ac:dyDescent="0.35">
      <c r="B3078" s="84" t="s">
        <v>6</v>
      </c>
      <c r="C3078" s="88" t="s">
        <v>422</v>
      </c>
      <c r="D3078" s="79"/>
      <c r="E3078" s="79"/>
      <c r="F3078" s="90"/>
      <c r="G3078" s="84"/>
      <c r="H3078" s="87"/>
      <c r="I3078" s="84"/>
      <c r="J3078" s="87"/>
      <c r="K3078" s="84"/>
      <c r="L3078" s="87"/>
    </row>
    <row r="3079" spans="1:12" x14ac:dyDescent="0.35">
      <c r="A3079" s="134">
        <v>21404010</v>
      </c>
      <c r="B3079" s="84"/>
      <c r="C3079" s="85" t="s">
        <v>1834</v>
      </c>
      <c r="D3079" s="84" t="s">
        <v>418</v>
      </c>
      <c r="E3079" s="84" t="str">
        <f>VLOOKUP(C3079,HSD!B:K,2,FALSE)</f>
        <v>btg</v>
      </c>
      <c r="F3079" s="128">
        <v>0.81299999999999994</v>
      </c>
      <c r="G3079" s="87">
        <f>VLOOKUP(C3079,HSD!B:K,10,FALSE)</f>
        <v>39960</v>
      </c>
      <c r="H3079" s="87">
        <f>F3079*G3079</f>
        <v>32487.48</v>
      </c>
      <c r="I3079" s="87"/>
      <c r="J3079" s="87"/>
      <c r="K3079" s="87"/>
      <c r="L3079" s="87"/>
    </row>
    <row r="3080" spans="1:12" x14ac:dyDescent="0.35">
      <c r="A3080" s="134">
        <v>21911005</v>
      </c>
      <c r="B3080" s="84"/>
      <c r="C3080" s="85" t="s">
        <v>151</v>
      </c>
      <c r="D3080" s="84" t="s">
        <v>418</v>
      </c>
      <c r="E3080" s="84" t="str">
        <f>VLOOKUP(C3080,HSD!B:K,2,FALSE)</f>
        <v>kg</v>
      </c>
      <c r="F3080" s="128">
        <v>0.28000000000000003</v>
      </c>
      <c r="G3080" s="87">
        <f>VLOOKUP(C3080,HSD!B:K,10,FALSE)</f>
        <v>18426</v>
      </c>
      <c r="H3080" s="87">
        <f>F3080*G3080</f>
        <v>5159.2800000000007</v>
      </c>
      <c r="I3080" s="87"/>
      <c r="J3080" s="87"/>
      <c r="K3080" s="87"/>
      <c r="L3080" s="87"/>
    </row>
    <row r="3081" spans="1:12" x14ac:dyDescent="0.35">
      <c r="B3081" s="84"/>
      <c r="C3081" s="85"/>
      <c r="D3081" s="84"/>
      <c r="E3081" s="84"/>
      <c r="F3081" s="128"/>
      <c r="G3081" s="87"/>
      <c r="H3081" s="87">
        <f>F3081*G3081</f>
        <v>0</v>
      </c>
      <c r="I3081" s="87"/>
      <c r="J3081" s="87"/>
      <c r="K3081" s="87"/>
      <c r="L3081" s="87"/>
    </row>
    <row r="3082" spans="1:12" ht="12" customHeight="1" x14ac:dyDescent="0.35">
      <c r="B3082" s="84"/>
      <c r="C3082" s="88"/>
      <c r="D3082" s="79"/>
      <c r="E3082" s="79"/>
      <c r="F3082" s="129" t="s">
        <v>423</v>
      </c>
      <c r="G3082" s="129"/>
      <c r="H3082" s="87">
        <f>SUM(H3079:H3081)</f>
        <v>37646.76</v>
      </c>
      <c r="I3082" s="101"/>
      <c r="J3082" s="87" t="e">
        <f>SUM(#REF!)</f>
        <v>#REF!</v>
      </c>
      <c r="K3082" s="101"/>
      <c r="L3082" s="87" t="e">
        <f>SUM(#REF!)</f>
        <v>#REF!</v>
      </c>
    </row>
    <row r="3083" spans="1:12" ht="12" customHeight="1" x14ac:dyDescent="0.35">
      <c r="B3083" s="84" t="s">
        <v>7</v>
      </c>
      <c r="C3083" s="88" t="s">
        <v>424</v>
      </c>
      <c r="D3083" s="79"/>
      <c r="E3083" s="79"/>
      <c r="F3083" s="90"/>
      <c r="G3083" s="84"/>
      <c r="H3083" s="87"/>
      <c r="I3083" s="84"/>
      <c r="J3083" s="87"/>
      <c r="K3083" s="84"/>
      <c r="L3083" s="87"/>
    </row>
    <row r="3084" spans="1:12" ht="12" customHeight="1" x14ac:dyDescent="0.35">
      <c r="B3084" s="84"/>
      <c r="C3084" s="85"/>
      <c r="D3084" s="84"/>
      <c r="E3084" s="84"/>
      <c r="F3084" s="128"/>
      <c r="G3084" s="87"/>
      <c r="H3084" s="87">
        <f>F3084*G3084</f>
        <v>0</v>
      </c>
      <c r="I3084" s="87"/>
      <c r="J3084" s="87">
        <f>H3084*I3084</f>
        <v>0</v>
      </c>
      <c r="K3084" s="87"/>
      <c r="L3084" s="87">
        <f>J3084*K3084</f>
        <v>0</v>
      </c>
    </row>
    <row r="3085" spans="1:12" ht="12" customHeight="1" x14ac:dyDescent="0.35">
      <c r="B3085" s="84"/>
      <c r="C3085" s="85"/>
      <c r="D3085" s="84"/>
      <c r="E3085" s="84"/>
      <c r="F3085" s="128"/>
      <c r="G3085" s="87"/>
      <c r="H3085" s="87">
        <f>F3085*G3085</f>
        <v>0</v>
      </c>
      <c r="I3085" s="87"/>
      <c r="J3085" s="87"/>
      <c r="K3085" s="87"/>
      <c r="L3085" s="87"/>
    </row>
    <row r="3086" spans="1:12" ht="12" customHeight="1" x14ac:dyDescent="0.35">
      <c r="B3086" s="84"/>
      <c r="C3086" s="85"/>
      <c r="D3086" s="84"/>
      <c r="E3086" s="84"/>
      <c r="F3086" s="128"/>
      <c r="G3086" s="87"/>
      <c r="H3086" s="87">
        <f>F3086*G3086</f>
        <v>0</v>
      </c>
      <c r="I3086" s="87"/>
      <c r="J3086" s="87"/>
      <c r="K3086" s="87"/>
      <c r="L3086" s="87"/>
    </row>
    <row r="3087" spans="1:12" ht="12" customHeight="1" x14ac:dyDescent="0.35">
      <c r="B3087" s="84"/>
      <c r="C3087" s="88"/>
      <c r="D3087" s="79"/>
      <c r="E3087" s="79"/>
      <c r="F3087" s="89" t="s">
        <v>425</v>
      </c>
      <c r="G3087" s="101"/>
      <c r="H3087" s="87">
        <f>SUM(H3084:H3086)</f>
        <v>0</v>
      </c>
      <c r="I3087" s="101"/>
      <c r="J3087" s="87">
        <f>SUM(J3084)</f>
        <v>0</v>
      </c>
      <c r="K3087" s="101"/>
      <c r="L3087" s="87">
        <f>SUM(L3084)</f>
        <v>0</v>
      </c>
    </row>
    <row r="3088" spans="1:12" ht="12" customHeight="1" x14ac:dyDescent="0.35">
      <c r="B3088" s="84" t="s">
        <v>8</v>
      </c>
      <c r="C3088" s="103" t="s">
        <v>426</v>
      </c>
      <c r="D3088" s="104"/>
      <c r="E3088" s="104"/>
      <c r="F3088" s="104"/>
      <c r="G3088" s="105"/>
      <c r="H3088" s="87">
        <f>H3077+H3082+H3087</f>
        <v>144646.76</v>
      </c>
      <c r="I3088" s="105"/>
      <c r="J3088" s="87" t="e">
        <f>J3077+J3082+J3087</f>
        <v>#REF!</v>
      </c>
      <c r="K3088" s="105"/>
      <c r="L3088" s="87" t="e">
        <f>L3077+L3082+L3087</f>
        <v>#REF!</v>
      </c>
    </row>
    <row r="3089" spans="1:12" ht="12" customHeight="1" x14ac:dyDescent="0.35">
      <c r="B3089" s="84" t="s">
        <v>9</v>
      </c>
      <c r="C3089" s="455" t="s">
        <v>427</v>
      </c>
      <c r="D3089" s="455"/>
      <c r="E3089" s="455"/>
      <c r="F3089" s="95">
        <f>0</f>
        <v>0</v>
      </c>
      <c r="G3089" s="85" t="s">
        <v>428</v>
      </c>
      <c r="H3089" s="87">
        <f>H3088*F3089</f>
        <v>0</v>
      </c>
      <c r="I3089" s="85" t="s">
        <v>428</v>
      </c>
      <c r="J3089" s="87" t="e">
        <f>J3088*F3089</f>
        <v>#REF!</v>
      </c>
      <c r="K3089" s="85" t="s">
        <v>428</v>
      </c>
      <c r="L3089" s="87" t="e">
        <f>L3088*F3089</f>
        <v>#REF!</v>
      </c>
    </row>
    <row r="3090" spans="1:12" ht="12" customHeight="1" x14ac:dyDescent="0.35">
      <c r="B3090" s="84" t="s">
        <v>10</v>
      </c>
      <c r="C3090" s="103" t="s">
        <v>429</v>
      </c>
      <c r="D3090" s="104"/>
      <c r="E3090" s="104"/>
      <c r="F3090" s="104"/>
      <c r="G3090" s="105"/>
      <c r="H3090" s="96">
        <f>H3088+H3089</f>
        <v>144646.76</v>
      </c>
      <c r="I3090" s="97"/>
      <c r="J3090" s="96" t="e">
        <f>J3088+J3089</f>
        <v>#REF!</v>
      </c>
      <c r="K3090" s="97"/>
      <c r="L3090" s="96" t="e">
        <f>L3088+L3089</f>
        <v>#REF!</v>
      </c>
    </row>
    <row r="3091" spans="1:12" x14ac:dyDescent="0.35">
      <c r="B3091" s="75" t="s">
        <v>806</v>
      </c>
    </row>
    <row r="3092" spans="1:12" ht="14" customHeight="1" x14ac:dyDescent="0.35"/>
    <row r="3093" spans="1:12" ht="37" customHeight="1" x14ac:dyDescent="0.35">
      <c r="B3093" s="76" t="s">
        <v>824</v>
      </c>
      <c r="C3093" s="458" t="s">
        <v>822</v>
      </c>
      <c r="D3093" s="459"/>
      <c r="E3093" s="459"/>
      <c r="F3093" s="459"/>
      <c r="G3093" s="456"/>
      <c r="H3093" s="457"/>
      <c r="I3093" s="455" t="s">
        <v>3</v>
      </c>
      <c r="J3093" s="455"/>
      <c r="K3093" s="455" t="s">
        <v>4</v>
      </c>
      <c r="L3093" s="455"/>
    </row>
    <row r="3094" spans="1:12" ht="12" customHeight="1" x14ac:dyDescent="0.35">
      <c r="B3094" s="451" t="s">
        <v>409</v>
      </c>
      <c r="C3094" s="451" t="s">
        <v>410</v>
      </c>
      <c r="D3094" s="452" t="s">
        <v>411</v>
      </c>
      <c r="E3094" s="451" t="s">
        <v>412</v>
      </c>
      <c r="F3094" s="451" t="s">
        <v>413</v>
      </c>
      <c r="G3094" s="77" t="s">
        <v>414</v>
      </c>
      <c r="H3094" s="77" t="s">
        <v>415</v>
      </c>
      <c r="I3094" s="78" t="s">
        <v>414</v>
      </c>
      <c r="J3094" s="79" t="s">
        <v>415</v>
      </c>
      <c r="K3094" s="79" t="s">
        <v>414</v>
      </c>
      <c r="L3094" s="79" t="s">
        <v>415</v>
      </c>
    </row>
    <row r="3095" spans="1:12" ht="12" customHeight="1" x14ac:dyDescent="0.35">
      <c r="B3095" s="451"/>
      <c r="C3095" s="451"/>
      <c r="D3095" s="453"/>
      <c r="E3095" s="451"/>
      <c r="F3095" s="451"/>
      <c r="G3095" s="77" t="s">
        <v>17</v>
      </c>
      <c r="H3095" s="77" t="s">
        <v>416</v>
      </c>
      <c r="I3095" s="78" t="s">
        <v>17</v>
      </c>
      <c r="J3095" s="79" t="s">
        <v>416</v>
      </c>
      <c r="K3095" s="79" t="s">
        <v>17</v>
      </c>
      <c r="L3095" s="79" t="s">
        <v>416</v>
      </c>
    </row>
    <row r="3096" spans="1:12" ht="12" customHeight="1" x14ac:dyDescent="0.35">
      <c r="B3096" s="451"/>
      <c r="C3096" s="451"/>
      <c r="D3096" s="454"/>
      <c r="E3096" s="451"/>
      <c r="F3096" s="451"/>
      <c r="G3096" s="106"/>
      <c r="H3096" s="77" t="s">
        <v>17</v>
      </c>
      <c r="I3096" s="94"/>
      <c r="J3096" s="79" t="s">
        <v>17</v>
      </c>
      <c r="K3096" s="85"/>
      <c r="L3096" s="79" t="s">
        <v>17</v>
      </c>
    </row>
    <row r="3097" spans="1:12" ht="12" customHeight="1" x14ac:dyDescent="0.35">
      <c r="B3097" s="80" t="s">
        <v>5</v>
      </c>
      <c r="C3097" s="81" t="s">
        <v>417</v>
      </c>
      <c r="D3097" s="82"/>
      <c r="E3097" s="82"/>
      <c r="F3097" s="82"/>
      <c r="G3097" s="82"/>
      <c r="H3097" s="82"/>
      <c r="I3097" s="83"/>
      <c r="J3097" s="83"/>
      <c r="K3097" s="83"/>
      <c r="L3097" s="83"/>
    </row>
    <row r="3098" spans="1:12" ht="12" customHeight="1" x14ac:dyDescent="0.35">
      <c r="A3098" s="134">
        <v>10130000</v>
      </c>
      <c r="B3098" s="84"/>
      <c r="C3098" s="85" t="s">
        <v>28</v>
      </c>
      <c r="D3098" s="84" t="s">
        <v>418</v>
      </c>
      <c r="E3098" s="84" t="str">
        <f>VLOOKUP(C3098,HSD!B:K,2,FALSE)</f>
        <v>OH</v>
      </c>
      <c r="F3098" s="128">
        <v>0.38</v>
      </c>
      <c r="G3098" s="87">
        <f>VLOOKUP(C3098,HSD!B:K,10,FALSE)</f>
        <v>120000</v>
      </c>
      <c r="H3098" s="87">
        <f>F3098*G3098</f>
        <v>45600</v>
      </c>
      <c r="I3098" s="87">
        <v>91500</v>
      </c>
      <c r="J3098" s="87">
        <f>F3098*I3098</f>
        <v>34770</v>
      </c>
      <c r="K3098" s="87">
        <v>91500</v>
      </c>
      <c r="L3098" s="87">
        <f>F3098*K3098</f>
        <v>34770</v>
      </c>
    </row>
    <row r="3099" spans="1:12" ht="12" customHeight="1" x14ac:dyDescent="0.35">
      <c r="A3099" s="134">
        <v>10142000</v>
      </c>
      <c r="B3099" s="84"/>
      <c r="C3099" s="85" t="s">
        <v>434</v>
      </c>
      <c r="D3099" s="84" t="s">
        <v>418</v>
      </c>
      <c r="E3099" s="84" t="str">
        <f>VLOOKUP(C3099,HSD!B:K,2,FALSE)</f>
        <v>OH</v>
      </c>
      <c r="F3099" s="128">
        <v>0.19</v>
      </c>
      <c r="G3099" s="87">
        <f>VLOOKUP(C3099,HSD!B:K,10,FALSE)</f>
        <v>250000</v>
      </c>
      <c r="H3099" s="87">
        <f>F3099*G3099</f>
        <v>47500</v>
      </c>
      <c r="I3099" s="87"/>
      <c r="J3099" s="87"/>
      <c r="K3099" s="87"/>
      <c r="L3099" s="87"/>
    </row>
    <row r="3100" spans="1:12" ht="12" customHeight="1" x14ac:dyDescent="0.35">
      <c r="A3100" s="134">
        <v>10120000</v>
      </c>
      <c r="B3100" s="84"/>
      <c r="C3100" s="85" t="s">
        <v>27</v>
      </c>
      <c r="D3100" s="84" t="s">
        <v>418</v>
      </c>
      <c r="E3100" s="84" t="str">
        <f>VLOOKUP(C3100,HSD!B:K,2,FALSE)</f>
        <v>OH</v>
      </c>
      <c r="F3100" s="128">
        <f>F3099/10</f>
        <v>1.9E-2</v>
      </c>
      <c r="G3100" s="87">
        <f>VLOOKUP(C3100,HSD!B:K,10,FALSE)</f>
        <v>150000</v>
      </c>
      <c r="H3100" s="87">
        <f>F3100*G3100</f>
        <v>2850</v>
      </c>
      <c r="I3100" s="87"/>
      <c r="J3100" s="87"/>
      <c r="K3100" s="87"/>
      <c r="L3100" s="87"/>
    </row>
    <row r="3101" spans="1:12" ht="12" customHeight="1" x14ac:dyDescent="0.35">
      <c r="A3101" s="134">
        <v>10110000</v>
      </c>
      <c r="B3101" s="84"/>
      <c r="C3101" s="85" t="s">
        <v>30</v>
      </c>
      <c r="D3101" s="84" t="s">
        <v>418</v>
      </c>
      <c r="E3101" s="84" t="str">
        <f>VLOOKUP(C3101,HSD!B:K,2,FALSE)</f>
        <v>OH</v>
      </c>
      <c r="F3101" s="128">
        <f>F3098/10</f>
        <v>3.7999999999999999E-2</v>
      </c>
      <c r="G3101" s="87">
        <f>VLOOKUP(C3101,HSD!B:K,10,FALSE)</f>
        <v>150000</v>
      </c>
      <c r="H3101" s="87">
        <f>F3101*G3101</f>
        <v>5700</v>
      </c>
      <c r="I3101" s="87">
        <v>92500</v>
      </c>
      <c r="J3101" s="87">
        <f>F3101*I3101</f>
        <v>3515</v>
      </c>
      <c r="K3101" s="87">
        <v>92500</v>
      </c>
      <c r="L3101" s="87">
        <f>F3101*K3101</f>
        <v>3515</v>
      </c>
    </row>
    <row r="3102" spans="1:12" ht="12" customHeight="1" x14ac:dyDescent="0.35">
      <c r="B3102" s="84"/>
      <c r="C3102" s="85"/>
      <c r="D3102" s="84"/>
      <c r="E3102" s="84"/>
      <c r="F3102" s="86"/>
      <c r="G3102" s="87"/>
      <c r="H3102" s="87"/>
      <c r="I3102" s="87"/>
      <c r="J3102" s="87"/>
      <c r="K3102" s="87"/>
      <c r="L3102" s="87"/>
    </row>
    <row r="3103" spans="1:12" ht="12" customHeight="1" x14ac:dyDescent="0.35">
      <c r="B3103" s="84"/>
      <c r="C3103" s="88"/>
      <c r="D3103" s="79"/>
      <c r="E3103" s="79"/>
      <c r="F3103" s="89" t="s">
        <v>421</v>
      </c>
      <c r="G3103" s="101"/>
      <c r="H3103" s="87">
        <f>SUM(H3098:H3102)</f>
        <v>101650</v>
      </c>
      <c r="I3103" s="101"/>
      <c r="J3103" s="87">
        <f>SUM(J3101:J3102)</f>
        <v>3515</v>
      </c>
      <c r="K3103" s="101"/>
      <c r="L3103" s="87">
        <f>SUM(L3101:L3102)</f>
        <v>3515</v>
      </c>
    </row>
    <row r="3104" spans="1:12" ht="12" customHeight="1" x14ac:dyDescent="0.35">
      <c r="B3104" s="84" t="s">
        <v>6</v>
      </c>
      <c r="C3104" s="88" t="s">
        <v>422</v>
      </c>
      <c r="D3104" s="79"/>
      <c r="E3104" s="79"/>
      <c r="F3104" s="90"/>
      <c r="G3104" s="84"/>
      <c r="H3104" s="87"/>
      <c r="I3104" s="84"/>
      <c r="J3104" s="87"/>
      <c r="K3104" s="84"/>
      <c r="L3104" s="87"/>
    </row>
    <row r="3105" spans="1:12" x14ac:dyDescent="0.35">
      <c r="A3105" s="134">
        <v>21403008</v>
      </c>
      <c r="B3105" s="84"/>
      <c r="C3105" s="85" t="s">
        <v>1790</v>
      </c>
      <c r="D3105" s="84" t="s">
        <v>418</v>
      </c>
      <c r="E3105" s="84" t="str">
        <f>VLOOKUP(C3105,HSD!B:K,2,FALSE)</f>
        <v>btg</v>
      </c>
      <c r="F3105" s="128">
        <v>1</v>
      </c>
      <c r="G3105" s="87">
        <f>VLOOKUP(C3105,HSD!B:K,10,FALSE)</f>
        <v>28860</v>
      </c>
      <c r="H3105" s="87">
        <f>F3105*G3105</f>
        <v>28860</v>
      </c>
      <c r="I3105" s="87"/>
      <c r="J3105" s="87"/>
      <c r="K3105" s="87"/>
      <c r="L3105" s="87"/>
    </row>
    <row r="3106" spans="1:12" x14ac:dyDescent="0.35">
      <c r="A3106" s="134">
        <v>21911005</v>
      </c>
      <c r="B3106" s="84"/>
      <c r="C3106" s="85" t="s">
        <v>151</v>
      </c>
      <c r="D3106" s="84" t="s">
        <v>418</v>
      </c>
      <c r="E3106" s="84" t="str">
        <f>VLOOKUP(C3106,HSD!B:K,2,FALSE)</f>
        <v>kg</v>
      </c>
      <c r="F3106" s="128">
        <v>0.28000000000000003</v>
      </c>
      <c r="G3106" s="87">
        <f>VLOOKUP(C3106,HSD!B:K,10,FALSE)</f>
        <v>18426</v>
      </c>
      <c r="H3106" s="87">
        <f>F3106*G3106</f>
        <v>5159.2800000000007</v>
      </c>
      <c r="I3106" s="87"/>
      <c r="J3106" s="87"/>
      <c r="K3106" s="87"/>
      <c r="L3106" s="87"/>
    </row>
    <row r="3107" spans="1:12" x14ac:dyDescent="0.35">
      <c r="A3107" s="134">
        <v>24100000</v>
      </c>
      <c r="B3107" s="84"/>
      <c r="C3107" s="85" t="s">
        <v>1856</v>
      </c>
      <c r="D3107" s="84" t="s">
        <v>418</v>
      </c>
      <c r="E3107" s="84" t="str">
        <f>VLOOKUP(C3107,HSD!B:K,2,FALSE)</f>
        <v>kg</v>
      </c>
      <c r="F3107" s="128">
        <v>0.3</v>
      </c>
      <c r="G3107" s="87">
        <f>VLOOKUP(C3107,HSD!B:K,10,FALSE)</f>
        <v>46176</v>
      </c>
      <c r="H3107" s="87">
        <f>F3107*G3107</f>
        <v>13852.8</v>
      </c>
      <c r="I3107" s="87"/>
      <c r="J3107" s="87"/>
      <c r="K3107" s="87"/>
      <c r="L3107" s="87"/>
    </row>
    <row r="3108" spans="1:12" ht="12" customHeight="1" x14ac:dyDescent="0.35">
      <c r="B3108" s="84"/>
      <c r="C3108" s="88"/>
      <c r="D3108" s="79"/>
      <c r="E3108" s="79"/>
      <c r="F3108" s="129" t="s">
        <v>423</v>
      </c>
      <c r="G3108" s="129"/>
      <c r="H3108" s="87">
        <f>SUM(H3105:H3107)</f>
        <v>47872.08</v>
      </c>
      <c r="I3108" s="101"/>
      <c r="J3108" s="87" t="e">
        <f>SUM(#REF!)</f>
        <v>#REF!</v>
      </c>
      <c r="K3108" s="101"/>
      <c r="L3108" s="87" t="e">
        <f>SUM(#REF!)</f>
        <v>#REF!</v>
      </c>
    </row>
    <row r="3109" spans="1:12" ht="12" customHeight="1" x14ac:dyDescent="0.35">
      <c r="B3109" s="84" t="s">
        <v>7</v>
      </c>
      <c r="C3109" s="88" t="s">
        <v>424</v>
      </c>
      <c r="D3109" s="79"/>
      <c r="E3109" s="79"/>
      <c r="F3109" s="90"/>
      <c r="G3109" s="84"/>
      <c r="H3109" s="87"/>
      <c r="I3109" s="84"/>
      <c r="J3109" s="87"/>
      <c r="K3109" s="84"/>
      <c r="L3109" s="87"/>
    </row>
    <row r="3110" spans="1:12" ht="12" customHeight="1" x14ac:dyDescent="0.35">
      <c r="B3110" s="84"/>
      <c r="C3110" s="85"/>
      <c r="D3110" s="84"/>
      <c r="E3110" s="84"/>
      <c r="F3110" s="128"/>
      <c r="G3110" s="87"/>
      <c r="H3110" s="87">
        <f>F3110*G3110</f>
        <v>0</v>
      </c>
      <c r="I3110" s="87"/>
      <c r="J3110" s="87">
        <f>H3110*I3110</f>
        <v>0</v>
      </c>
      <c r="K3110" s="87"/>
      <c r="L3110" s="87">
        <f>J3110*K3110</f>
        <v>0</v>
      </c>
    </row>
    <row r="3111" spans="1:12" ht="12" customHeight="1" x14ac:dyDescent="0.35">
      <c r="B3111" s="84"/>
      <c r="C3111" s="85"/>
      <c r="D3111" s="84"/>
      <c r="E3111" s="84"/>
      <c r="F3111" s="128"/>
      <c r="G3111" s="87"/>
      <c r="H3111" s="87">
        <f>F3111*G3111</f>
        <v>0</v>
      </c>
      <c r="I3111" s="87"/>
      <c r="J3111" s="87"/>
      <c r="K3111" s="87"/>
      <c r="L3111" s="87"/>
    </row>
    <row r="3112" spans="1:12" ht="12" customHeight="1" x14ac:dyDescent="0.35">
      <c r="B3112" s="84"/>
      <c r="C3112" s="85"/>
      <c r="D3112" s="84"/>
      <c r="E3112" s="84"/>
      <c r="F3112" s="128"/>
      <c r="G3112" s="87"/>
      <c r="H3112" s="87">
        <f>F3112*G3112</f>
        <v>0</v>
      </c>
      <c r="I3112" s="87"/>
      <c r="J3112" s="87"/>
      <c r="K3112" s="87"/>
      <c r="L3112" s="87"/>
    </row>
    <row r="3113" spans="1:12" ht="12" customHeight="1" x14ac:dyDescent="0.35">
      <c r="B3113" s="84"/>
      <c r="C3113" s="88"/>
      <c r="D3113" s="79"/>
      <c r="E3113" s="79"/>
      <c r="F3113" s="89" t="s">
        <v>425</v>
      </c>
      <c r="G3113" s="101"/>
      <c r="H3113" s="87">
        <f>SUM(H3110:H3112)</f>
        <v>0</v>
      </c>
      <c r="I3113" s="101"/>
      <c r="J3113" s="87">
        <f>SUM(J3110)</f>
        <v>0</v>
      </c>
      <c r="K3113" s="101"/>
      <c r="L3113" s="87">
        <f>SUM(L3110)</f>
        <v>0</v>
      </c>
    </row>
    <row r="3114" spans="1:12" ht="12" customHeight="1" x14ac:dyDescent="0.35">
      <c r="B3114" s="84" t="s">
        <v>8</v>
      </c>
      <c r="C3114" s="103" t="s">
        <v>426</v>
      </c>
      <c r="D3114" s="104"/>
      <c r="E3114" s="104"/>
      <c r="F3114" s="104"/>
      <c r="G3114" s="105"/>
      <c r="H3114" s="87">
        <f>H3103+H3108+H3113</f>
        <v>149522.08000000002</v>
      </c>
      <c r="I3114" s="105"/>
      <c r="J3114" s="87" t="e">
        <f>J3103+J3108+J3113</f>
        <v>#REF!</v>
      </c>
      <c r="K3114" s="105"/>
      <c r="L3114" s="87" t="e">
        <f>L3103+L3108+L3113</f>
        <v>#REF!</v>
      </c>
    </row>
    <row r="3115" spans="1:12" ht="12" customHeight="1" x14ac:dyDescent="0.35">
      <c r="B3115" s="84" t="s">
        <v>9</v>
      </c>
      <c r="C3115" s="455" t="s">
        <v>427</v>
      </c>
      <c r="D3115" s="455"/>
      <c r="E3115" s="455"/>
      <c r="F3115" s="95">
        <f>0</f>
        <v>0</v>
      </c>
      <c r="G3115" s="85" t="s">
        <v>428</v>
      </c>
      <c r="H3115" s="87">
        <f>H3114*F3115</f>
        <v>0</v>
      </c>
      <c r="I3115" s="85" t="s">
        <v>428</v>
      </c>
      <c r="J3115" s="87" t="e">
        <f>J3114*F3115</f>
        <v>#REF!</v>
      </c>
      <c r="K3115" s="85" t="s">
        <v>428</v>
      </c>
      <c r="L3115" s="87" t="e">
        <f>L3114*F3115</f>
        <v>#REF!</v>
      </c>
    </row>
    <row r="3116" spans="1:12" ht="12" customHeight="1" x14ac:dyDescent="0.35">
      <c r="B3116" s="84" t="s">
        <v>10</v>
      </c>
      <c r="C3116" s="103" t="s">
        <v>429</v>
      </c>
      <c r="D3116" s="104"/>
      <c r="E3116" s="104"/>
      <c r="F3116" s="104"/>
      <c r="G3116" s="105"/>
      <c r="H3116" s="96">
        <f>H3114+H3115</f>
        <v>149522.08000000002</v>
      </c>
      <c r="I3116" s="97"/>
      <c r="J3116" s="96" t="e">
        <f>J3114+J3115</f>
        <v>#REF!</v>
      </c>
      <c r="K3116" s="97"/>
      <c r="L3116" s="96" t="e">
        <f>L3114+L3115</f>
        <v>#REF!</v>
      </c>
    </row>
    <row r="3117" spans="1:12" x14ac:dyDescent="0.35">
      <c r="B3117" s="75" t="s">
        <v>806</v>
      </c>
    </row>
    <row r="3118" spans="1:12" ht="14" customHeight="1" x14ac:dyDescent="0.35"/>
    <row r="3119" spans="1:12" ht="37" customHeight="1" x14ac:dyDescent="0.35">
      <c r="B3119" s="76" t="s">
        <v>825</v>
      </c>
      <c r="C3119" s="458" t="s">
        <v>826</v>
      </c>
      <c r="D3119" s="459"/>
      <c r="E3119" s="459"/>
      <c r="F3119" s="459"/>
      <c r="G3119" s="456"/>
      <c r="H3119" s="457"/>
      <c r="I3119" s="455" t="s">
        <v>3</v>
      </c>
      <c r="J3119" s="455"/>
      <c r="K3119" s="455" t="s">
        <v>4</v>
      </c>
      <c r="L3119" s="455"/>
    </row>
    <row r="3120" spans="1:12" ht="12" customHeight="1" x14ac:dyDescent="0.35">
      <c r="B3120" s="451" t="s">
        <v>409</v>
      </c>
      <c r="C3120" s="451" t="s">
        <v>410</v>
      </c>
      <c r="D3120" s="452" t="s">
        <v>411</v>
      </c>
      <c r="E3120" s="451" t="s">
        <v>412</v>
      </c>
      <c r="F3120" s="451" t="s">
        <v>413</v>
      </c>
      <c r="G3120" s="77" t="s">
        <v>414</v>
      </c>
      <c r="H3120" s="77" t="s">
        <v>415</v>
      </c>
      <c r="I3120" s="78" t="s">
        <v>414</v>
      </c>
      <c r="J3120" s="79" t="s">
        <v>415</v>
      </c>
      <c r="K3120" s="79" t="s">
        <v>414</v>
      </c>
      <c r="L3120" s="79" t="s">
        <v>415</v>
      </c>
    </row>
    <row r="3121" spans="1:12" ht="12" customHeight="1" x14ac:dyDescent="0.35">
      <c r="B3121" s="451"/>
      <c r="C3121" s="451"/>
      <c r="D3121" s="453"/>
      <c r="E3121" s="451"/>
      <c r="F3121" s="451"/>
      <c r="G3121" s="77" t="s">
        <v>17</v>
      </c>
      <c r="H3121" s="77" t="s">
        <v>416</v>
      </c>
      <c r="I3121" s="78" t="s">
        <v>17</v>
      </c>
      <c r="J3121" s="79" t="s">
        <v>416</v>
      </c>
      <c r="K3121" s="79" t="s">
        <v>17</v>
      </c>
      <c r="L3121" s="79" t="s">
        <v>416</v>
      </c>
    </row>
    <row r="3122" spans="1:12" ht="12" customHeight="1" x14ac:dyDescent="0.35">
      <c r="B3122" s="451"/>
      <c r="C3122" s="451"/>
      <c r="D3122" s="454"/>
      <c r="E3122" s="451"/>
      <c r="F3122" s="451"/>
      <c r="G3122" s="106"/>
      <c r="H3122" s="77" t="s">
        <v>17</v>
      </c>
      <c r="I3122" s="94"/>
      <c r="J3122" s="79" t="s">
        <v>17</v>
      </c>
      <c r="K3122" s="85"/>
      <c r="L3122" s="79" t="s">
        <v>17</v>
      </c>
    </row>
    <row r="3123" spans="1:12" ht="12" customHeight="1" x14ac:dyDescent="0.35">
      <c r="B3123" s="80" t="s">
        <v>5</v>
      </c>
      <c r="C3123" s="81" t="s">
        <v>417</v>
      </c>
      <c r="D3123" s="82"/>
      <c r="E3123" s="82"/>
      <c r="F3123" s="82"/>
      <c r="G3123" s="82"/>
      <c r="H3123" s="82"/>
      <c r="I3123" s="83"/>
      <c r="J3123" s="83"/>
      <c r="K3123" s="83"/>
      <c r="L3123" s="83"/>
    </row>
    <row r="3124" spans="1:12" ht="12" customHeight="1" x14ac:dyDescent="0.35">
      <c r="A3124" s="134">
        <v>10130000</v>
      </c>
      <c r="B3124" s="84"/>
      <c r="C3124" s="85" t="s">
        <v>28</v>
      </c>
      <c r="D3124" s="84" t="s">
        <v>418</v>
      </c>
      <c r="E3124" s="84" t="str">
        <f>VLOOKUP(C3124,HSD!B:K,2,FALSE)</f>
        <v>OH</v>
      </c>
      <c r="F3124" s="128">
        <v>0.22</v>
      </c>
      <c r="G3124" s="87">
        <f>VLOOKUP(C3124,HSD!B:K,10,FALSE)</f>
        <v>120000</v>
      </c>
      <c r="H3124" s="87">
        <f>F3124*G3124</f>
        <v>26400</v>
      </c>
      <c r="I3124" s="87">
        <v>91500</v>
      </c>
      <c r="J3124" s="87">
        <f>F3124*I3124</f>
        <v>20130</v>
      </c>
      <c r="K3124" s="87">
        <v>91500</v>
      </c>
      <c r="L3124" s="87">
        <f>F3124*K3124</f>
        <v>20130</v>
      </c>
    </row>
    <row r="3125" spans="1:12" ht="12" customHeight="1" x14ac:dyDescent="0.35">
      <c r="A3125" s="134">
        <v>10142000</v>
      </c>
      <c r="B3125" s="84"/>
      <c r="C3125" s="85" t="s">
        <v>434</v>
      </c>
      <c r="D3125" s="84" t="s">
        <v>418</v>
      </c>
      <c r="E3125" s="84" t="str">
        <f>VLOOKUP(C3125,HSD!B:K,2,FALSE)</f>
        <v>OH</v>
      </c>
      <c r="F3125" s="128">
        <v>0.11</v>
      </c>
      <c r="G3125" s="87">
        <f>VLOOKUP(C3125,HSD!B:K,10,FALSE)</f>
        <v>250000</v>
      </c>
      <c r="H3125" s="87">
        <f>F3125*G3125</f>
        <v>27500</v>
      </c>
      <c r="I3125" s="87"/>
      <c r="J3125" s="87"/>
      <c r="K3125" s="87"/>
      <c r="L3125" s="87"/>
    </row>
    <row r="3126" spans="1:12" ht="12" customHeight="1" x14ac:dyDescent="0.35">
      <c r="A3126" s="134">
        <v>10120000</v>
      </c>
      <c r="B3126" s="84"/>
      <c r="C3126" s="85" t="s">
        <v>27</v>
      </c>
      <c r="D3126" s="84" t="s">
        <v>418</v>
      </c>
      <c r="E3126" s="84" t="str">
        <f>VLOOKUP(C3126,HSD!B:K,2,FALSE)</f>
        <v>OH</v>
      </c>
      <c r="F3126" s="128">
        <f>F3125/10</f>
        <v>1.0999999999999999E-2</v>
      </c>
      <c r="G3126" s="87">
        <f>VLOOKUP(C3126,HSD!B:K,10,FALSE)</f>
        <v>150000</v>
      </c>
      <c r="H3126" s="87">
        <f>F3126*G3126</f>
        <v>1650</v>
      </c>
      <c r="I3126" s="87"/>
      <c r="J3126" s="87"/>
      <c r="K3126" s="87"/>
      <c r="L3126" s="87"/>
    </row>
    <row r="3127" spans="1:12" ht="12" customHeight="1" x14ac:dyDescent="0.35">
      <c r="A3127" s="134">
        <v>10110000</v>
      </c>
      <c r="B3127" s="84"/>
      <c r="C3127" s="85" t="s">
        <v>30</v>
      </c>
      <c r="D3127" s="84" t="s">
        <v>418</v>
      </c>
      <c r="E3127" s="84" t="str">
        <f>VLOOKUP(C3127,HSD!B:K,2,FALSE)</f>
        <v>OH</v>
      </c>
      <c r="F3127" s="128">
        <f>F3124/10</f>
        <v>2.1999999999999999E-2</v>
      </c>
      <c r="G3127" s="87">
        <f>VLOOKUP(C3127,HSD!B:K,10,FALSE)</f>
        <v>150000</v>
      </c>
      <c r="H3127" s="87">
        <f>F3127*G3127</f>
        <v>3300</v>
      </c>
      <c r="I3127" s="87">
        <v>92500</v>
      </c>
      <c r="J3127" s="87">
        <f>F3127*I3127</f>
        <v>2034.9999999999998</v>
      </c>
      <c r="K3127" s="87">
        <v>92500</v>
      </c>
      <c r="L3127" s="87">
        <f>F3127*K3127</f>
        <v>2034.9999999999998</v>
      </c>
    </row>
    <row r="3128" spans="1:12" ht="12" customHeight="1" x14ac:dyDescent="0.35">
      <c r="B3128" s="84"/>
      <c r="C3128" s="85"/>
      <c r="D3128" s="84"/>
      <c r="E3128" s="84"/>
      <c r="F3128" s="86"/>
      <c r="G3128" s="87"/>
      <c r="H3128" s="87"/>
      <c r="I3128" s="87"/>
      <c r="J3128" s="87"/>
      <c r="K3128" s="87"/>
      <c r="L3128" s="87"/>
    </row>
    <row r="3129" spans="1:12" ht="12" customHeight="1" x14ac:dyDescent="0.35">
      <c r="B3129" s="84"/>
      <c r="C3129" s="88"/>
      <c r="D3129" s="79"/>
      <c r="E3129" s="79"/>
      <c r="F3129" s="89" t="s">
        <v>421</v>
      </c>
      <c r="G3129" s="101"/>
      <c r="H3129" s="87">
        <f>SUM(H3124:H3128)</f>
        <v>58850</v>
      </c>
      <c r="I3129" s="101"/>
      <c r="J3129" s="87">
        <f>SUM(J3127:J3128)</f>
        <v>2034.9999999999998</v>
      </c>
      <c r="K3129" s="101"/>
      <c r="L3129" s="87">
        <f>SUM(L3127:L3128)</f>
        <v>2034.9999999999998</v>
      </c>
    </row>
    <row r="3130" spans="1:12" ht="12" customHeight="1" x14ac:dyDescent="0.35">
      <c r="B3130" s="84" t="s">
        <v>6</v>
      </c>
      <c r="C3130" s="88" t="s">
        <v>422</v>
      </c>
      <c r="D3130" s="79"/>
      <c r="E3130" s="79"/>
      <c r="F3130" s="90"/>
      <c r="G3130" s="84"/>
      <c r="H3130" s="87"/>
      <c r="I3130" s="84"/>
      <c r="J3130" s="87"/>
      <c r="K3130" s="84"/>
      <c r="L3130" s="87"/>
    </row>
    <row r="3131" spans="1:12" x14ac:dyDescent="0.35">
      <c r="A3131" s="134">
        <v>21924004</v>
      </c>
      <c r="B3131" s="84"/>
      <c r="C3131" s="85" t="s">
        <v>456</v>
      </c>
      <c r="D3131" s="84" t="s">
        <v>418</v>
      </c>
      <c r="E3131" s="84" t="str">
        <f>VLOOKUP(C3131,HSD!B:K,2,FALSE)</f>
        <v>lbr</v>
      </c>
      <c r="F3131" s="128">
        <v>0.128</v>
      </c>
      <c r="G3131" s="87">
        <f>VLOOKUP(C3131,HSD!B:K,10,FALSE)</f>
        <v>288600</v>
      </c>
      <c r="H3131" s="87">
        <f>F3131*G3131</f>
        <v>36940.800000000003</v>
      </c>
      <c r="I3131" s="87">
        <v>232500</v>
      </c>
      <c r="J3131" s="87">
        <f>F3131*I3131</f>
        <v>29760</v>
      </c>
      <c r="K3131" s="87">
        <v>270000</v>
      </c>
      <c r="L3131" s="87">
        <f>F3131*K3131</f>
        <v>34560</v>
      </c>
    </row>
    <row r="3132" spans="1:12" x14ac:dyDescent="0.35">
      <c r="A3132" s="134">
        <v>21401200</v>
      </c>
      <c r="B3132" s="84"/>
      <c r="C3132" s="85" t="s">
        <v>1873</v>
      </c>
      <c r="D3132" s="84" t="s">
        <v>418</v>
      </c>
      <c r="E3132" s="84" t="str">
        <f>VLOOKUP(C3132,HSD!B:K,2,FALSE)</f>
        <v>m3</v>
      </c>
      <c r="F3132" s="128">
        <v>6.0000000000000001E-3</v>
      </c>
      <c r="G3132" s="87">
        <f>VLOOKUP(C3132,HSD!B:K,10,FALSE)</f>
        <v>3885000</v>
      </c>
      <c r="H3132" s="87">
        <f>F3132*G3132</f>
        <v>23310</v>
      </c>
      <c r="I3132" s="87"/>
      <c r="J3132" s="87"/>
      <c r="K3132" s="87"/>
      <c r="L3132" s="87"/>
    </row>
    <row r="3133" spans="1:12" x14ac:dyDescent="0.35">
      <c r="A3133" s="134">
        <v>21911005</v>
      </c>
      <c r="B3133" s="84"/>
      <c r="C3133" s="85" t="s">
        <v>151</v>
      </c>
      <c r="D3133" s="84" t="s">
        <v>418</v>
      </c>
      <c r="E3133" s="84" t="str">
        <f>VLOOKUP(C3133,HSD!B:K,2,FALSE)</f>
        <v>kg</v>
      </c>
      <c r="F3133" s="128">
        <v>0.25</v>
      </c>
      <c r="G3133" s="87">
        <f>VLOOKUP(C3133,HSD!B:K,10,FALSE)</f>
        <v>18426</v>
      </c>
      <c r="H3133" s="87">
        <f>F3133*G3133</f>
        <v>4606.5</v>
      </c>
      <c r="I3133" s="87"/>
      <c r="J3133" s="87"/>
      <c r="K3133" s="87"/>
      <c r="L3133" s="87"/>
    </row>
    <row r="3134" spans="1:12" x14ac:dyDescent="0.35">
      <c r="A3134" s="134">
        <v>21961000</v>
      </c>
      <c r="B3134" s="84"/>
      <c r="C3134" s="85" t="s">
        <v>215</v>
      </c>
      <c r="D3134" s="84" t="s">
        <v>418</v>
      </c>
      <c r="E3134" s="84" t="str">
        <f>VLOOKUP(C3134,HSD!B:K,2,FALSE)</f>
        <v>ltr</v>
      </c>
      <c r="F3134" s="128">
        <v>0.2</v>
      </c>
      <c r="G3134" s="87">
        <f>VLOOKUP(C3134,HSD!B:K,10,FALSE)</f>
        <v>34410</v>
      </c>
      <c r="H3134" s="87">
        <f>F3134*G3134</f>
        <v>6882</v>
      </c>
      <c r="I3134" s="87"/>
      <c r="J3134" s="87"/>
      <c r="K3134" s="87"/>
      <c r="L3134" s="87"/>
    </row>
    <row r="3135" spans="1:12" ht="12" customHeight="1" x14ac:dyDescent="0.35">
      <c r="B3135" s="84"/>
      <c r="C3135" s="88"/>
      <c r="D3135" s="79"/>
      <c r="E3135" s="79"/>
      <c r="F3135" s="129" t="s">
        <v>423</v>
      </c>
      <c r="G3135" s="129"/>
      <c r="H3135" s="87">
        <f>SUM(H3131:H3134)</f>
        <v>71739.3</v>
      </c>
      <c r="I3135" s="101"/>
      <c r="J3135" s="87" t="e">
        <f>SUM(#REF!)</f>
        <v>#REF!</v>
      </c>
      <c r="K3135" s="101"/>
      <c r="L3135" s="87" t="e">
        <f>SUM(#REF!)</f>
        <v>#REF!</v>
      </c>
    </row>
    <row r="3136" spans="1:12" ht="12" customHeight="1" x14ac:dyDescent="0.35">
      <c r="B3136" s="84" t="s">
        <v>7</v>
      </c>
      <c r="C3136" s="88" t="s">
        <v>424</v>
      </c>
      <c r="D3136" s="79"/>
      <c r="E3136" s="79"/>
      <c r="F3136" s="90"/>
      <c r="G3136" s="84"/>
      <c r="H3136" s="87"/>
      <c r="I3136" s="84"/>
      <c r="J3136" s="87"/>
      <c r="K3136" s="84"/>
      <c r="L3136" s="87"/>
    </row>
    <row r="3137" spans="1:12" ht="12" customHeight="1" x14ac:dyDescent="0.35">
      <c r="B3137" s="84"/>
      <c r="C3137" s="85"/>
      <c r="D3137" s="84"/>
      <c r="E3137" s="84"/>
      <c r="F3137" s="128"/>
      <c r="G3137" s="87"/>
      <c r="H3137" s="87">
        <f>F3137*G3137</f>
        <v>0</v>
      </c>
      <c r="I3137" s="87"/>
      <c r="J3137" s="87">
        <f>H3137*I3137</f>
        <v>0</v>
      </c>
      <c r="K3137" s="87"/>
      <c r="L3137" s="87">
        <f>J3137*K3137</f>
        <v>0</v>
      </c>
    </row>
    <row r="3138" spans="1:12" ht="12" customHeight="1" x14ac:dyDescent="0.35">
      <c r="B3138" s="84"/>
      <c r="C3138" s="85"/>
      <c r="D3138" s="84"/>
      <c r="E3138" s="84"/>
      <c r="F3138" s="128"/>
      <c r="G3138" s="87"/>
      <c r="H3138" s="87">
        <f>F3138*G3138</f>
        <v>0</v>
      </c>
      <c r="I3138" s="87"/>
      <c r="J3138" s="87"/>
      <c r="K3138" s="87"/>
      <c r="L3138" s="87"/>
    </row>
    <row r="3139" spans="1:12" ht="12" customHeight="1" x14ac:dyDescent="0.35">
      <c r="B3139" s="84"/>
      <c r="C3139" s="85"/>
      <c r="D3139" s="84"/>
      <c r="E3139" s="84"/>
      <c r="F3139" s="128"/>
      <c r="G3139" s="87"/>
      <c r="H3139" s="87">
        <f>F3139*G3139</f>
        <v>0</v>
      </c>
      <c r="I3139" s="87"/>
      <c r="J3139" s="87"/>
      <c r="K3139" s="87"/>
      <c r="L3139" s="87"/>
    </row>
    <row r="3140" spans="1:12" ht="12" customHeight="1" x14ac:dyDescent="0.35">
      <c r="B3140" s="84"/>
      <c r="C3140" s="88"/>
      <c r="D3140" s="79"/>
      <c r="E3140" s="79"/>
      <c r="F3140" s="89" t="s">
        <v>425</v>
      </c>
      <c r="G3140" s="101"/>
      <c r="H3140" s="87">
        <f>SUM(H3137:H3139)</f>
        <v>0</v>
      </c>
      <c r="I3140" s="101"/>
      <c r="J3140" s="87">
        <f>SUM(J3137)</f>
        <v>0</v>
      </c>
      <c r="K3140" s="101"/>
      <c r="L3140" s="87">
        <f>SUM(L3137)</f>
        <v>0</v>
      </c>
    </row>
    <row r="3141" spans="1:12" ht="12" customHeight="1" x14ac:dyDescent="0.35">
      <c r="B3141" s="84" t="s">
        <v>8</v>
      </c>
      <c r="C3141" s="103" t="s">
        <v>426</v>
      </c>
      <c r="D3141" s="104"/>
      <c r="E3141" s="104"/>
      <c r="F3141" s="104"/>
      <c r="G3141" s="105"/>
      <c r="H3141" s="87">
        <f>H3129+H3135+H3140</f>
        <v>130589.3</v>
      </c>
      <c r="I3141" s="105"/>
      <c r="J3141" s="87" t="e">
        <f>J3129+J3135+J3140</f>
        <v>#REF!</v>
      </c>
      <c r="K3141" s="105"/>
      <c r="L3141" s="87" t="e">
        <f>L3129+L3135+L3140</f>
        <v>#REF!</v>
      </c>
    </row>
    <row r="3142" spans="1:12" ht="12" customHeight="1" x14ac:dyDescent="0.35">
      <c r="B3142" s="84" t="s">
        <v>9</v>
      </c>
      <c r="C3142" s="455" t="s">
        <v>427</v>
      </c>
      <c r="D3142" s="455"/>
      <c r="E3142" s="455"/>
      <c r="F3142" s="95">
        <f>0</f>
        <v>0</v>
      </c>
      <c r="G3142" s="85" t="s">
        <v>428</v>
      </c>
      <c r="H3142" s="87">
        <f>H3141*F3142</f>
        <v>0</v>
      </c>
      <c r="I3142" s="85" t="s">
        <v>428</v>
      </c>
      <c r="J3142" s="87" t="e">
        <f>J3141*F3142</f>
        <v>#REF!</v>
      </c>
      <c r="K3142" s="85" t="s">
        <v>428</v>
      </c>
      <c r="L3142" s="87" t="e">
        <f>L3141*F3142</f>
        <v>#REF!</v>
      </c>
    </row>
    <row r="3143" spans="1:12" ht="12" customHeight="1" x14ac:dyDescent="0.35">
      <c r="B3143" s="84" t="s">
        <v>10</v>
      </c>
      <c r="C3143" s="103" t="s">
        <v>429</v>
      </c>
      <c r="D3143" s="104"/>
      <c r="E3143" s="104"/>
      <c r="F3143" s="104"/>
      <c r="G3143" s="105"/>
      <c r="H3143" s="96">
        <f>H3141+H3142</f>
        <v>130589.3</v>
      </c>
      <c r="I3143" s="97"/>
      <c r="J3143" s="96" t="e">
        <f>J3141+J3142</f>
        <v>#REF!</v>
      </c>
      <c r="K3143" s="97"/>
      <c r="L3143" s="96" t="e">
        <f>L3141+L3142</f>
        <v>#REF!</v>
      </c>
    </row>
    <row r="3144" spans="1:12" x14ac:dyDescent="0.35">
      <c r="B3144" s="75" t="s">
        <v>806</v>
      </c>
    </row>
    <row r="3145" spans="1:12" ht="14" customHeight="1" x14ac:dyDescent="0.35"/>
    <row r="3146" spans="1:12" ht="37" customHeight="1" x14ac:dyDescent="0.35">
      <c r="B3146" s="76" t="s">
        <v>827</v>
      </c>
      <c r="C3146" s="458" t="s">
        <v>830</v>
      </c>
      <c r="D3146" s="459"/>
      <c r="E3146" s="459"/>
      <c r="F3146" s="459"/>
      <c r="G3146" s="456"/>
      <c r="H3146" s="457"/>
      <c r="I3146" s="455" t="s">
        <v>3</v>
      </c>
      <c r="J3146" s="455"/>
      <c r="K3146" s="455" t="s">
        <v>4</v>
      </c>
      <c r="L3146" s="455"/>
    </row>
    <row r="3147" spans="1:12" ht="12" customHeight="1" x14ac:dyDescent="0.35">
      <c r="B3147" s="451" t="s">
        <v>409</v>
      </c>
      <c r="C3147" s="451" t="s">
        <v>410</v>
      </c>
      <c r="D3147" s="452" t="s">
        <v>411</v>
      </c>
      <c r="E3147" s="451" t="s">
        <v>412</v>
      </c>
      <c r="F3147" s="451" t="s">
        <v>413</v>
      </c>
      <c r="G3147" s="77" t="s">
        <v>414</v>
      </c>
      <c r="H3147" s="77" t="s">
        <v>415</v>
      </c>
      <c r="I3147" s="78" t="s">
        <v>414</v>
      </c>
      <c r="J3147" s="79" t="s">
        <v>415</v>
      </c>
      <c r="K3147" s="79" t="s">
        <v>414</v>
      </c>
      <c r="L3147" s="79" t="s">
        <v>415</v>
      </c>
    </row>
    <row r="3148" spans="1:12" ht="12" customHeight="1" x14ac:dyDescent="0.35">
      <c r="B3148" s="451"/>
      <c r="C3148" s="451"/>
      <c r="D3148" s="453"/>
      <c r="E3148" s="451"/>
      <c r="F3148" s="451"/>
      <c r="G3148" s="77" t="s">
        <v>17</v>
      </c>
      <c r="H3148" s="77" t="s">
        <v>416</v>
      </c>
      <c r="I3148" s="78" t="s">
        <v>17</v>
      </c>
      <c r="J3148" s="79" t="s">
        <v>416</v>
      </c>
      <c r="K3148" s="79" t="s">
        <v>17</v>
      </c>
      <c r="L3148" s="79" t="s">
        <v>416</v>
      </c>
    </row>
    <row r="3149" spans="1:12" ht="12" customHeight="1" x14ac:dyDescent="0.35">
      <c r="B3149" s="451"/>
      <c r="C3149" s="451"/>
      <c r="D3149" s="454"/>
      <c r="E3149" s="451"/>
      <c r="F3149" s="451"/>
      <c r="G3149" s="106"/>
      <c r="H3149" s="77" t="s">
        <v>17</v>
      </c>
      <c r="I3149" s="94"/>
      <c r="J3149" s="79" t="s">
        <v>17</v>
      </c>
      <c r="K3149" s="85"/>
      <c r="L3149" s="79" t="s">
        <v>17</v>
      </c>
    </row>
    <row r="3150" spans="1:12" ht="12" customHeight="1" x14ac:dyDescent="0.35">
      <c r="B3150" s="80" t="s">
        <v>5</v>
      </c>
      <c r="C3150" s="81" t="s">
        <v>417</v>
      </c>
      <c r="D3150" s="82"/>
      <c r="E3150" s="82"/>
      <c r="F3150" s="82"/>
      <c r="G3150" s="82"/>
      <c r="H3150" s="82"/>
      <c r="I3150" s="83"/>
      <c r="J3150" s="83"/>
      <c r="K3150" s="83"/>
      <c r="L3150" s="83"/>
    </row>
    <row r="3151" spans="1:12" ht="12" customHeight="1" x14ac:dyDescent="0.35">
      <c r="A3151" s="134">
        <v>10130000</v>
      </c>
      <c r="B3151" s="84"/>
      <c r="C3151" s="85" t="s">
        <v>28</v>
      </c>
      <c r="D3151" s="84" t="s">
        <v>418</v>
      </c>
      <c r="E3151" s="84" t="str">
        <f>VLOOKUP(C3151,HSD!B:K,2,FALSE)</f>
        <v>OH</v>
      </c>
      <c r="F3151" s="128">
        <v>0.33</v>
      </c>
      <c r="G3151" s="87">
        <f>VLOOKUP(C3151,HSD!B:K,10,FALSE)</f>
        <v>120000</v>
      </c>
      <c r="H3151" s="87">
        <f>F3151*G3151</f>
        <v>39600</v>
      </c>
      <c r="I3151" s="87">
        <v>91500</v>
      </c>
      <c r="J3151" s="87">
        <f>F3151*I3151</f>
        <v>30195</v>
      </c>
      <c r="K3151" s="87">
        <v>91500</v>
      </c>
      <c r="L3151" s="87">
        <f>F3151*K3151</f>
        <v>30195</v>
      </c>
    </row>
    <row r="3152" spans="1:12" ht="12" customHeight="1" x14ac:dyDescent="0.35">
      <c r="A3152" s="134">
        <v>10142000</v>
      </c>
      <c r="B3152" s="84"/>
      <c r="C3152" s="85" t="s">
        <v>434</v>
      </c>
      <c r="D3152" s="84" t="s">
        <v>418</v>
      </c>
      <c r="E3152" s="84" t="str">
        <f>VLOOKUP(C3152,HSD!B:K,2,FALSE)</f>
        <v>OH</v>
      </c>
      <c r="F3152" s="128">
        <v>0.33</v>
      </c>
      <c r="G3152" s="87">
        <f>VLOOKUP(C3152,HSD!B:K,10,FALSE)</f>
        <v>250000</v>
      </c>
      <c r="H3152" s="87">
        <f>F3152*G3152</f>
        <v>82500</v>
      </c>
      <c r="I3152" s="87"/>
      <c r="J3152" s="87"/>
      <c r="K3152" s="87"/>
      <c r="L3152" s="87"/>
    </row>
    <row r="3153" spans="1:12" ht="12" customHeight="1" x14ac:dyDescent="0.35">
      <c r="A3153" s="134">
        <v>10120000</v>
      </c>
      <c r="B3153" s="84"/>
      <c r="C3153" s="85" t="s">
        <v>27</v>
      </c>
      <c r="D3153" s="84" t="s">
        <v>418</v>
      </c>
      <c r="E3153" s="84" t="str">
        <f>VLOOKUP(C3153,HSD!B:K,2,FALSE)</f>
        <v>OH</v>
      </c>
      <c r="F3153" s="128">
        <f>F3152/10</f>
        <v>3.3000000000000002E-2</v>
      </c>
      <c r="G3153" s="87">
        <f>VLOOKUP(C3153,HSD!B:K,10,FALSE)</f>
        <v>150000</v>
      </c>
      <c r="H3153" s="87">
        <f>F3153*G3153</f>
        <v>4950</v>
      </c>
      <c r="I3153" s="87"/>
      <c r="J3153" s="87"/>
      <c r="K3153" s="87"/>
      <c r="L3153" s="87"/>
    </row>
    <row r="3154" spans="1:12" ht="12" customHeight="1" x14ac:dyDescent="0.35">
      <c r="A3154" s="134">
        <v>10110000</v>
      </c>
      <c r="B3154" s="84"/>
      <c r="C3154" s="85" t="s">
        <v>30</v>
      </c>
      <c r="D3154" s="84" t="s">
        <v>418</v>
      </c>
      <c r="E3154" s="84" t="str">
        <f>VLOOKUP(C3154,HSD!B:K,2,FALSE)</f>
        <v>OH</v>
      </c>
      <c r="F3154" s="128">
        <f>F3151/10</f>
        <v>3.3000000000000002E-2</v>
      </c>
      <c r="G3154" s="87">
        <f>VLOOKUP(C3154,HSD!B:K,10,FALSE)</f>
        <v>150000</v>
      </c>
      <c r="H3154" s="87">
        <f>F3154*G3154</f>
        <v>4950</v>
      </c>
      <c r="I3154" s="87">
        <v>92500</v>
      </c>
      <c r="J3154" s="87">
        <f>F3154*I3154</f>
        <v>3052.5</v>
      </c>
      <c r="K3154" s="87">
        <v>92500</v>
      </c>
      <c r="L3154" s="87">
        <f>F3154*K3154</f>
        <v>3052.5</v>
      </c>
    </row>
    <row r="3155" spans="1:12" ht="12" customHeight="1" x14ac:dyDescent="0.35">
      <c r="B3155" s="84"/>
      <c r="C3155" s="85"/>
      <c r="D3155" s="84"/>
      <c r="E3155" s="84"/>
      <c r="F3155" s="86"/>
      <c r="G3155" s="87"/>
      <c r="H3155" s="87"/>
      <c r="I3155" s="87"/>
      <c r="J3155" s="87"/>
      <c r="K3155" s="87"/>
      <c r="L3155" s="87"/>
    </row>
    <row r="3156" spans="1:12" ht="12" customHeight="1" x14ac:dyDescent="0.35">
      <c r="B3156" s="84"/>
      <c r="C3156" s="88"/>
      <c r="D3156" s="79"/>
      <c r="E3156" s="79"/>
      <c r="F3156" s="89" t="s">
        <v>421</v>
      </c>
      <c r="G3156" s="101"/>
      <c r="H3156" s="87">
        <f>SUM(H3151:H3155)</f>
        <v>132000</v>
      </c>
      <c r="I3156" s="101"/>
      <c r="J3156" s="87">
        <f>SUM(J3154:J3155)</f>
        <v>3052.5</v>
      </c>
      <c r="K3156" s="101"/>
      <c r="L3156" s="87">
        <f>SUM(L3154:L3155)</f>
        <v>3052.5</v>
      </c>
    </row>
    <row r="3157" spans="1:12" ht="12" customHeight="1" x14ac:dyDescent="0.35">
      <c r="B3157" s="84" t="s">
        <v>6</v>
      </c>
      <c r="C3157" s="88" t="s">
        <v>422</v>
      </c>
      <c r="D3157" s="79"/>
      <c r="E3157" s="79"/>
      <c r="F3157" s="90"/>
      <c r="G3157" s="84"/>
      <c r="H3157" s="87"/>
      <c r="I3157" s="84"/>
      <c r="J3157" s="87"/>
      <c r="K3157" s="84"/>
      <c r="L3157" s="87"/>
    </row>
    <row r="3158" spans="1:12" x14ac:dyDescent="0.35">
      <c r="A3158" s="134">
        <v>21924004</v>
      </c>
      <c r="B3158" s="84"/>
      <c r="C3158" s="85" t="s">
        <v>456</v>
      </c>
      <c r="D3158" s="84" t="s">
        <v>418</v>
      </c>
      <c r="E3158" s="84" t="str">
        <f>VLOOKUP(C3158,HSD!B:K,2,FALSE)</f>
        <v>lbr</v>
      </c>
      <c r="F3158" s="128">
        <v>0.128</v>
      </c>
      <c r="G3158" s="87">
        <f>VLOOKUP(C3158,HSD!B:K,10,FALSE)</f>
        <v>288600</v>
      </c>
      <c r="H3158" s="87">
        <f>F3158*G3158</f>
        <v>36940.800000000003</v>
      </c>
      <c r="I3158" s="87">
        <v>232500</v>
      </c>
      <c r="J3158" s="87">
        <f>F3158*I3158</f>
        <v>29760</v>
      </c>
      <c r="K3158" s="87">
        <v>270000</v>
      </c>
      <c r="L3158" s="87">
        <f>F3158*K3158</f>
        <v>34560</v>
      </c>
    </row>
    <row r="3159" spans="1:12" x14ac:dyDescent="0.35">
      <c r="A3159" s="134">
        <v>21401200</v>
      </c>
      <c r="B3159" s="84"/>
      <c r="C3159" s="85" t="s">
        <v>1873</v>
      </c>
      <c r="D3159" s="84" t="s">
        <v>418</v>
      </c>
      <c r="E3159" s="84" t="str">
        <f>VLOOKUP(C3159,HSD!B:K,2,FALSE)</f>
        <v>m3</v>
      </c>
      <c r="F3159" s="128">
        <v>7.0000000000000001E-3</v>
      </c>
      <c r="G3159" s="87">
        <f>VLOOKUP(C3159,HSD!B:K,10,FALSE)</f>
        <v>3885000</v>
      </c>
      <c r="H3159" s="87">
        <f>F3159*G3159</f>
        <v>27195</v>
      </c>
      <c r="I3159" s="87"/>
      <c r="J3159" s="87"/>
      <c r="K3159" s="87"/>
      <c r="L3159" s="87"/>
    </row>
    <row r="3160" spans="1:12" x14ac:dyDescent="0.35">
      <c r="A3160" s="134">
        <v>21911005</v>
      </c>
      <c r="B3160" s="84"/>
      <c r="C3160" s="85" t="s">
        <v>151</v>
      </c>
      <c r="D3160" s="84" t="s">
        <v>418</v>
      </c>
      <c r="E3160" s="84" t="str">
        <f>VLOOKUP(C3160,HSD!B:K,2,FALSE)</f>
        <v>kg</v>
      </c>
      <c r="F3160" s="128">
        <v>0.25</v>
      </c>
      <c r="G3160" s="87">
        <f>VLOOKUP(C3160,HSD!B:K,10,FALSE)</f>
        <v>18426</v>
      </c>
      <c r="H3160" s="87">
        <f>F3160*G3160</f>
        <v>4606.5</v>
      </c>
      <c r="I3160" s="87"/>
      <c r="J3160" s="87"/>
      <c r="K3160" s="87"/>
      <c r="L3160" s="87"/>
    </row>
    <row r="3161" spans="1:12" x14ac:dyDescent="0.35">
      <c r="A3161" s="134">
        <v>21961000</v>
      </c>
      <c r="B3161" s="84"/>
      <c r="C3161" s="85" t="s">
        <v>215</v>
      </c>
      <c r="D3161" s="84" t="s">
        <v>418</v>
      </c>
      <c r="E3161" s="84" t="str">
        <f>VLOOKUP(C3161,HSD!B:K,2,FALSE)</f>
        <v>ltr</v>
      </c>
      <c r="F3161" s="128">
        <v>0.2</v>
      </c>
      <c r="G3161" s="87">
        <f>VLOOKUP(C3161,HSD!B:K,10,FALSE)</f>
        <v>34410</v>
      </c>
      <c r="H3161" s="87">
        <f>F3161*G3161</f>
        <v>6882</v>
      </c>
      <c r="I3161" s="87"/>
      <c r="J3161" s="87"/>
      <c r="K3161" s="87"/>
      <c r="L3161" s="87"/>
    </row>
    <row r="3162" spans="1:12" ht="12" customHeight="1" x14ac:dyDescent="0.35">
      <c r="B3162" s="84"/>
      <c r="C3162" s="88"/>
      <c r="D3162" s="79"/>
      <c r="E3162" s="79"/>
      <c r="F3162" s="129" t="s">
        <v>423</v>
      </c>
      <c r="G3162" s="129"/>
      <c r="H3162" s="87">
        <f>SUM(H3158:H3161)</f>
        <v>75624.3</v>
      </c>
      <c r="I3162" s="101"/>
      <c r="J3162" s="87" t="e">
        <f>SUM(#REF!)</f>
        <v>#REF!</v>
      </c>
      <c r="K3162" s="101"/>
      <c r="L3162" s="87" t="e">
        <f>SUM(#REF!)</f>
        <v>#REF!</v>
      </c>
    </row>
    <row r="3163" spans="1:12" ht="12" customHeight="1" x14ac:dyDescent="0.35">
      <c r="B3163" s="84" t="s">
        <v>7</v>
      </c>
      <c r="C3163" s="88" t="s">
        <v>424</v>
      </c>
      <c r="D3163" s="79"/>
      <c r="E3163" s="79"/>
      <c r="F3163" s="90"/>
      <c r="G3163" s="84"/>
      <c r="H3163" s="87"/>
      <c r="I3163" s="84"/>
      <c r="J3163" s="87"/>
      <c r="K3163" s="84"/>
      <c r="L3163" s="87"/>
    </row>
    <row r="3164" spans="1:12" ht="12" customHeight="1" x14ac:dyDescent="0.35">
      <c r="B3164" s="84"/>
      <c r="C3164" s="85"/>
      <c r="D3164" s="84"/>
      <c r="E3164" s="84"/>
      <c r="F3164" s="128"/>
      <c r="G3164" s="87"/>
      <c r="H3164" s="87">
        <f>F3164*G3164</f>
        <v>0</v>
      </c>
      <c r="I3164" s="87"/>
      <c r="J3164" s="87">
        <f>H3164*I3164</f>
        <v>0</v>
      </c>
      <c r="K3164" s="87"/>
      <c r="L3164" s="87">
        <f>J3164*K3164</f>
        <v>0</v>
      </c>
    </row>
    <row r="3165" spans="1:12" ht="12" customHeight="1" x14ac:dyDescent="0.35">
      <c r="B3165" s="84"/>
      <c r="C3165" s="85"/>
      <c r="D3165" s="84"/>
      <c r="E3165" s="84"/>
      <c r="F3165" s="128"/>
      <c r="G3165" s="87"/>
      <c r="H3165" s="87">
        <f>F3165*G3165</f>
        <v>0</v>
      </c>
      <c r="I3165" s="87"/>
      <c r="J3165" s="87"/>
      <c r="K3165" s="87"/>
      <c r="L3165" s="87"/>
    </row>
    <row r="3166" spans="1:12" ht="12" customHeight="1" x14ac:dyDescent="0.35">
      <c r="B3166" s="84"/>
      <c r="C3166" s="85"/>
      <c r="D3166" s="84"/>
      <c r="E3166" s="84"/>
      <c r="F3166" s="128"/>
      <c r="G3166" s="87"/>
      <c r="H3166" s="87">
        <f>F3166*G3166</f>
        <v>0</v>
      </c>
      <c r="I3166" s="87"/>
      <c r="J3166" s="87"/>
      <c r="K3166" s="87"/>
      <c r="L3166" s="87"/>
    </row>
    <row r="3167" spans="1:12" ht="12" customHeight="1" x14ac:dyDescent="0.35">
      <c r="B3167" s="84"/>
      <c r="C3167" s="88"/>
      <c r="D3167" s="79"/>
      <c r="E3167" s="79"/>
      <c r="F3167" s="89" t="s">
        <v>425</v>
      </c>
      <c r="G3167" s="101"/>
      <c r="H3167" s="87">
        <f>SUM(H3164:H3166)</f>
        <v>0</v>
      </c>
      <c r="I3167" s="101"/>
      <c r="J3167" s="87">
        <f>SUM(J3164)</f>
        <v>0</v>
      </c>
      <c r="K3167" s="101"/>
      <c r="L3167" s="87">
        <f>SUM(L3164)</f>
        <v>0</v>
      </c>
    </row>
    <row r="3168" spans="1:12" ht="12" customHeight="1" x14ac:dyDescent="0.35">
      <c r="B3168" s="84" t="s">
        <v>8</v>
      </c>
      <c r="C3168" s="103" t="s">
        <v>426</v>
      </c>
      <c r="D3168" s="104"/>
      <c r="E3168" s="104"/>
      <c r="F3168" s="104"/>
      <c r="G3168" s="105"/>
      <c r="H3168" s="87">
        <f>H3156+H3162+H3167</f>
        <v>207624.3</v>
      </c>
      <c r="I3168" s="105"/>
      <c r="J3168" s="87" t="e">
        <f>J3156+J3162+J3167</f>
        <v>#REF!</v>
      </c>
      <c r="K3168" s="105"/>
      <c r="L3168" s="87" t="e">
        <f>L3156+L3162+L3167</f>
        <v>#REF!</v>
      </c>
    </row>
    <row r="3169" spans="1:12" ht="12" customHeight="1" x14ac:dyDescent="0.35">
      <c r="B3169" s="84" t="s">
        <v>9</v>
      </c>
      <c r="C3169" s="455" t="s">
        <v>427</v>
      </c>
      <c r="D3169" s="455"/>
      <c r="E3169" s="455"/>
      <c r="F3169" s="95">
        <f>0</f>
        <v>0</v>
      </c>
      <c r="G3169" s="85" t="s">
        <v>428</v>
      </c>
      <c r="H3169" s="87">
        <f>H3168*F3169</f>
        <v>0</v>
      </c>
      <c r="I3169" s="85" t="s">
        <v>428</v>
      </c>
      <c r="J3169" s="87" t="e">
        <f>J3168*F3169</f>
        <v>#REF!</v>
      </c>
      <c r="K3169" s="85" t="s">
        <v>428</v>
      </c>
      <c r="L3169" s="87" t="e">
        <f>L3168*F3169</f>
        <v>#REF!</v>
      </c>
    </row>
    <row r="3170" spans="1:12" ht="12" customHeight="1" x14ac:dyDescent="0.35">
      <c r="B3170" s="84" t="s">
        <v>10</v>
      </c>
      <c r="C3170" s="103" t="s">
        <v>429</v>
      </c>
      <c r="D3170" s="104"/>
      <c r="E3170" s="104"/>
      <c r="F3170" s="104"/>
      <c r="G3170" s="105"/>
      <c r="H3170" s="96">
        <f>H3168+H3169</f>
        <v>207624.3</v>
      </c>
      <c r="I3170" s="97"/>
      <c r="J3170" s="96" t="e">
        <f>J3168+J3169</f>
        <v>#REF!</v>
      </c>
      <c r="K3170" s="97"/>
      <c r="L3170" s="96" t="e">
        <f>L3168+L3169</f>
        <v>#REF!</v>
      </c>
    </row>
    <row r="3171" spans="1:12" x14ac:dyDescent="0.35">
      <c r="B3171" s="75" t="s">
        <v>806</v>
      </c>
    </row>
    <row r="3172" spans="1:12" ht="14" customHeight="1" x14ac:dyDescent="0.35"/>
    <row r="3173" spans="1:12" ht="37" customHeight="1" x14ac:dyDescent="0.35">
      <c r="B3173" s="76" t="s">
        <v>828</v>
      </c>
      <c r="C3173" s="458" t="s">
        <v>829</v>
      </c>
      <c r="D3173" s="459"/>
      <c r="E3173" s="459"/>
      <c r="F3173" s="459"/>
      <c r="G3173" s="456"/>
      <c r="H3173" s="457"/>
      <c r="I3173" s="455" t="s">
        <v>3</v>
      </c>
      <c r="J3173" s="455"/>
      <c r="K3173" s="455" t="s">
        <v>4</v>
      </c>
      <c r="L3173" s="455"/>
    </row>
    <row r="3174" spans="1:12" ht="12" customHeight="1" x14ac:dyDescent="0.35">
      <c r="B3174" s="451" t="s">
        <v>409</v>
      </c>
      <c r="C3174" s="451" t="s">
        <v>410</v>
      </c>
      <c r="D3174" s="452" t="s">
        <v>411</v>
      </c>
      <c r="E3174" s="451" t="s">
        <v>412</v>
      </c>
      <c r="F3174" s="451" t="s">
        <v>413</v>
      </c>
      <c r="G3174" s="77" t="s">
        <v>414</v>
      </c>
      <c r="H3174" s="77" t="s">
        <v>415</v>
      </c>
      <c r="I3174" s="78" t="s">
        <v>414</v>
      </c>
      <c r="J3174" s="79" t="s">
        <v>415</v>
      </c>
      <c r="K3174" s="79" t="s">
        <v>414</v>
      </c>
      <c r="L3174" s="79" t="s">
        <v>415</v>
      </c>
    </row>
    <row r="3175" spans="1:12" ht="12" customHeight="1" x14ac:dyDescent="0.35">
      <c r="B3175" s="451"/>
      <c r="C3175" s="451"/>
      <c r="D3175" s="453"/>
      <c r="E3175" s="451"/>
      <c r="F3175" s="451"/>
      <c r="G3175" s="77" t="s">
        <v>17</v>
      </c>
      <c r="H3175" s="77" t="s">
        <v>416</v>
      </c>
      <c r="I3175" s="78" t="s">
        <v>17</v>
      </c>
      <c r="J3175" s="79" t="s">
        <v>416</v>
      </c>
      <c r="K3175" s="79" t="s">
        <v>17</v>
      </c>
      <c r="L3175" s="79" t="s">
        <v>416</v>
      </c>
    </row>
    <row r="3176" spans="1:12" ht="12" customHeight="1" x14ac:dyDescent="0.35">
      <c r="B3176" s="451"/>
      <c r="C3176" s="451"/>
      <c r="D3176" s="454"/>
      <c r="E3176" s="451"/>
      <c r="F3176" s="451"/>
      <c r="G3176" s="106"/>
      <c r="H3176" s="77" t="s">
        <v>17</v>
      </c>
      <c r="I3176" s="94"/>
      <c r="J3176" s="79" t="s">
        <v>17</v>
      </c>
      <c r="K3176" s="85"/>
      <c r="L3176" s="79" t="s">
        <v>17</v>
      </c>
    </row>
    <row r="3177" spans="1:12" ht="12" customHeight="1" x14ac:dyDescent="0.35">
      <c r="B3177" s="80" t="s">
        <v>5</v>
      </c>
      <c r="C3177" s="81" t="s">
        <v>417</v>
      </c>
      <c r="D3177" s="82"/>
      <c r="E3177" s="82"/>
      <c r="F3177" s="82"/>
      <c r="G3177" s="82"/>
      <c r="H3177" s="82"/>
      <c r="I3177" s="83"/>
      <c r="J3177" s="83"/>
      <c r="K3177" s="83"/>
      <c r="L3177" s="83"/>
    </row>
    <row r="3178" spans="1:12" ht="12" customHeight="1" x14ac:dyDescent="0.35">
      <c r="A3178" s="134">
        <v>10130000</v>
      </c>
      <c r="B3178" s="84"/>
      <c r="C3178" s="85" t="s">
        <v>28</v>
      </c>
      <c r="D3178" s="84" t="s">
        <v>418</v>
      </c>
      <c r="E3178" s="84" t="str">
        <f>VLOOKUP(C3178,HSD!B:K,2,FALSE)</f>
        <v>OH</v>
      </c>
      <c r="F3178" s="128">
        <v>0.34</v>
      </c>
      <c r="G3178" s="87">
        <f>VLOOKUP(C3178,HSD!B:K,10,FALSE)</f>
        <v>120000</v>
      </c>
      <c r="H3178" s="87">
        <f>F3178*G3178</f>
        <v>40800</v>
      </c>
      <c r="I3178" s="87">
        <v>91500</v>
      </c>
      <c r="J3178" s="87">
        <f>F3178*I3178</f>
        <v>31110.000000000004</v>
      </c>
      <c r="K3178" s="87">
        <v>91500</v>
      </c>
      <c r="L3178" s="87">
        <f>F3178*K3178</f>
        <v>31110.000000000004</v>
      </c>
    </row>
    <row r="3179" spans="1:12" ht="12" customHeight="1" x14ac:dyDescent="0.35">
      <c r="A3179" s="134">
        <v>10142000</v>
      </c>
      <c r="B3179" s="84"/>
      <c r="C3179" s="85" t="s">
        <v>434</v>
      </c>
      <c r="D3179" s="84" t="s">
        <v>418</v>
      </c>
      <c r="E3179" s="84" t="str">
        <f>VLOOKUP(C3179,HSD!B:K,2,FALSE)</f>
        <v>OH</v>
      </c>
      <c r="F3179" s="128">
        <v>0.17</v>
      </c>
      <c r="G3179" s="87">
        <f>VLOOKUP(C3179,HSD!B:K,10,FALSE)</f>
        <v>250000</v>
      </c>
      <c r="H3179" s="87">
        <f>F3179*G3179</f>
        <v>42500</v>
      </c>
      <c r="I3179" s="87"/>
      <c r="J3179" s="87"/>
      <c r="K3179" s="87"/>
      <c r="L3179" s="87"/>
    </row>
    <row r="3180" spans="1:12" ht="12" customHeight="1" x14ac:dyDescent="0.35">
      <c r="A3180" s="134">
        <v>10120000</v>
      </c>
      <c r="B3180" s="84"/>
      <c r="C3180" s="85" t="s">
        <v>27</v>
      </c>
      <c r="D3180" s="84" t="s">
        <v>418</v>
      </c>
      <c r="E3180" s="84" t="str">
        <f>VLOOKUP(C3180,HSD!B:K,2,FALSE)</f>
        <v>OH</v>
      </c>
      <c r="F3180" s="128">
        <f>F3179/10</f>
        <v>1.7000000000000001E-2</v>
      </c>
      <c r="G3180" s="87">
        <f>VLOOKUP(C3180,HSD!B:K,10,FALSE)</f>
        <v>150000</v>
      </c>
      <c r="H3180" s="87">
        <f>F3180*G3180</f>
        <v>2550</v>
      </c>
      <c r="I3180" s="87"/>
      <c r="J3180" s="87"/>
      <c r="K3180" s="87"/>
      <c r="L3180" s="87"/>
    </row>
    <row r="3181" spans="1:12" ht="12" customHeight="1" x14ac:dyDescent="0.35">
      <c r="A3181" s="134">
        <v>10110000</v>
      </c>
      <c r="B3181" s="84"/>
      <c r="C3181" s="85" t="s">
        <v>30</v>
      </c>
      <c r="D3181" s="84" t="s">
        <v>418</v>
      </c>
      <c r="E3181" s="84" t="str">
        <f>VLOOKUP(C3181,HSD!B:K,2,FALSE)</f>
        <v>OH</v>
      </c>
      <c r="F3181" s="128">
        <f>F3178/10</f>
        <v>3.4000000000000002E-2</v>
      </c>
      <c r="G3181" s="87">
        <f>VLOOKUP(C3181,HSD!B:K,10,FALSE)</f>
        <v>150000</v>
      </c>
      <c r="H3181" s="87">
        <f>F3181*G3181</f>
        <v>5100</v>
      </c>
      <c r="I3181" s="87">
        <v>92500</v>
      </c>
      <c r="J3181" s="87">
        <f>F3181*I3181</f>
        <v>3145</v>
      </c>
      <c r="K3181" s="87">
        <v>92500</v>
      </c>
      <c r="L3181" s="87">
        <f>F3181*K3181</f>
        <v>3145</v>
      </c>
    </row>
    <row r="3182" spans="1:12" ht="12" customHeight="1" x14ac:dyDescent="0.35">
      <c r="B3182" s="84"/>
      <c r="C3182" s="85"/>
      <c r="D3182" s="84"/>
      <c r="E3182" s="84"/>
      <c r="F3182" s="86"/>
      <c r="G3182" s="87"/>
      <c r="H3182" s="87"/>
      <c r="I3182" s="87"/>
      <c r="J3182" s="87"/>
      <c r="K3182" s="87"/>
      <c r="L3182" s="87"/>
    </row>
    <row r="3183" spans="1:12" ht="12" customHeight="1" x14ac:dyDescent="0.35">
      <c r="B3183" s="84"/>
      <c r="C3183" s="88"/>
      <c r="D3183" s="79"/>
      <c r="E3183" s="79"/>
      <c r="F3183" s="89" t="s">
        <v>421</v>
      </c>
      <c r="G3183" s="101"/>
      <c r="H3183" s="87">
        <f>SUM(H3178:H3182)</f>
        <v>90950</v>
      </c>
      <c r="I3183" s="101"/>
      <c r="J3183" s="87">
        <f>SUM(J3181:J3182)</f>
        <v>3145</v>
      </c>
      <c r="K3183" s="101"/>
      <c r="L3183" s="87">
        <f>SUM(L3181:L3182)</f>
        <v>3145</v>
      </c>
    </row>
    <row r="3184" spans="1:12" ht="12" customHeight="1" x14ac:dyDescent="0.35">
      <c r="B3184" s="84" t="s">
        <v>6</v>
      </c>
      <c r="C3184" s="88" t="s">
        <v>422</v>
      </c>
      <c r="D3184" s="79"/>
      <c r="E3184" s="79"/>
      <c r="F3184" s="90"/>
      <c r="G3184" s="84"/>
      <c r="H3184" s="87"/>
      <c r="I3184" s="84"/>
      <c r="J3184" s="87"/>
      <c r="K3184" s="84"/>
      <c r="L3184" s="87"/>
    </row>
    <row r="3185" spans="1:12" x14ac:dyDescent="0.35">
      <c r="A3185" s="134">
        <v>21401200</v>
      </c>
      <c r="B3185" s="84"/>
      <c r="C3185" s="85" t="s">
        <v>1873</v>
      </c>
      <c r="D3185" s="84" t="s">
        <v>418</v>
      </c>
      <c r="E3185" s="84" t="str">
        <f>VLOOKUP(C3185,HSD!B:K,2,FALSE)</f>
        <v>m3</v>
      </c>
      <c r="F3185" s="128">
        <v>1.0999999999999999E-2</v>
      </c>
      <c r="G3185" s="87">
        <f>VLOOKUP(C3185,HSD!B:K,10,FALSE)</f>
        <v>3885000</v>
      </c>
      <c r="H3185" s="87">
        <f>F3185*G3185</f>
        <v>42735</v>
      </c>
      <c r="I3185" s="87"/>
      <c r="J3185" s="87"/>
      <c r="K3185" s="87"/>
      <c r="L3185" s="87"/>
    </row>
    <row r="3186" spans="1:12" x14ac:dyDescent="0.35">
      <c r="A3186" s="134">
        <v>21911005</v>
      </c>
      <c r="B3186" s="84"/>
      <c r="C3186" s="85" t="s">
        <v>151</v>
      </c>
      <c r="D3186" s="84" t="s">
        <v>418</v>
      </c>
      <c r="E3186" s="84" t="str">
        <f>VLOOKUP(C3186,HSD!B:K,2,FALSE)</f>
        <v>kg</v>
      </c>
      <c r="F3186" s="128">
        <v>0.24</v>
      </c>
      <c r="G3186" s="87">
        <f>VLOOKUP(C3186,HSD!B:K,10,FALSE)</f>
        <v>18426</v>
      </c>
      <c r="H3186" s="87">
        <f>F3186*G3186</f>
        <v>4422.24</v>
      </c>
      <c r="I3186" s="87"/>
      <c r="J3186" s="87"/>
      <c r="K3186" s="87"/>
      <c r="L3186" s="87"/>
    </row>
    <row r="3187" spans="1:12" x14ac:dyDescent="0.35">
      <c r="B3187" s="84"/>
      <c r="C3187" s="85"/>
      <c r="D3187" s="84"/>
      <c r="E3187" s="84"/>
      <c r="F3187" s="128"/>
      <c r="G3187" s="87"/>
      <c r="H3187" s="87">
        <f>F3187*G3187</f>
        <v>0</v>
      </c>
      <c r="I3187" s="87"/>
      <c r="J3187" s="87"/>
      <c r="K3187" s="87"/>
      <c r="L3187" s="87"/>
    </row>
    <row r="3188" spans="1:12" ht="12" customHeight="1" x14ac:dyDescent="0.35">
      <c r="B3188" s="84"/>
      <c r="C3188" s="88"/>
      <c r="D3188" s="79"/>
      <c r="E3188" s="79"/>
      <c r="F3188" s="129" t="s">
        <v>423</v>
      </c>
      <c r="G3188" s="129"/>
      <c r="H3188" s="87">
        <f>SUM(H3185:H3187)</f>
        <v>47157.24</v>
      </c>
      <c r="I3188" s="101"/>
      <c r="J3188" s="87" t="e">
        <f>SUM(#REF!)</f>
        <v>#REF!</v>
      </c>
      <c r="K3188" s="101"/>
      <c r="L3188" s="87" t="e">
        <f>SUM(#REF!)</f>
        <v>#REF!</v>
      </c>
    </row>
    <row r="3189" spans="1:12" ht="12" customHeight="1" x14ac:dyDescent="0.35">
      <c r="B3189" s="84" t="s">
        <v>7</v>
      </c>
      <c r="C3189" s="88" t="s">
        <v>424</v>
      </c>
      <c r="D3189" s="79"/>
      <c r="E3189" s="79"/>
      <c r="F3189" s="90"/>
      <c r="G3189" s="84"/>
      <c r="H3189" s="87"/>
      <c r="I3189" s="84"/>
      <c r="J3189" s="87"/>
      <c r="K3189" s="84"/>
      <c r="L3189" s="87"/>
    </row>
    <row r="3190" spans="1:12" ht="12" customHeight="1" x14ac:dyDescent="0.35">
      <c r="B3190" s="84"/>
      <c r="C3190" s="85"/>
      <c r="D3190" s="84"/>
      <c r="E3190" s="84"/>
      <c r="F3190" s="128"/>
      <c r="G3190" s="87"/>
      <c r="H3190" s="87">
        <f>F3190*G3190</f>
        <v>0</v>
      </c>
      <c r="I3190" s="87"/>
      <c r="J3190" s="87">
        <f>H3190*I3190</f>
        <v>0</v>
      </c>
      <c r="K3190" s="87"/>
      <c r="L3190" s="87">
        <f>J3190*K3190</f>
        <v>0</v>
      </c>
    </row>
    <row r="3191" spans="1:12" ht="12" customHeight="1" x14ac:dyDescent="0.35">
      <c r="B3191" s="84"/>
      <c r="C3191" s="85"/>
      <c r="D3191" s="84"/>
      <c r="E3191" s="84"/>
      <c r="F3191" s="128"/>
      <c r="G3191" s="87"/>
      <c r="H3191" s="87">
        <f>F3191*G3191</f>
        <v>0</v>
      </c>
      <c r="I3191" s="87"/>
      <c r="J3191" s="87"/>
      <c r="K3191" s="87"/>
      <c r="L3191" s="87"/>
    </row>
    <row r="3192" spans="1:12" ht="12" customHeight="1" x14ac:dyDescent="0.35">
      <c r="B3192" s="84"/>
      <c r="C3192" s="85"/>
      <c r="D3192" s="84"/>
      <c r="E3192" s="84"/>
      <c r="F3192" s="128"/>
      <c r="G3192" s="87"/>
      <c r="H3192" s="87">
        <f>F3192*G3192</f>
        <v>0</v>
      </c>
      <c r="I3192" s="87"/>
      <c r="J3192" s="87"/>
      <c r="K3192" s="87"/>
      <c r="L3192" s="87"/>
    </row>
    <row r="3193" spans="1:12" ht="12" customHeight="1" x14ac:dyDescent="0.35">
      <c r="B3193" s="84"/>
      <c r="C3193" s="88"/>
      <c r="D3193" s="79"/>
      <c r="E3193" s="79"/>
      <c r="F3193" s="89" t="s">
        <v>425</v>
      </c>
      <c r="G3193" s="101"/>
      <c r="H3193" s="87">
        <f>SUM(H3190:H3192)</f>
        <v>0</v>
      </c>
      <c r="I3193" s="101"/>
      <c r="J3193" s="87">
        <f>SUM(J3190)</f>
        <v>0</v>
      </c>
      <c r="K3193" s="101"/>
      <c r="L3193" s="87">
        <f>SUM(L3190)</f>
        <v>0</v>
      </c>
    </row>
    <row r="3194" spans="1:12" ht="12" customHeight="1" x14ac:dyDescent="0.35">
      <c r="B3194" s="84" t="s">
        <v>8</v>
      </c>
      <c r="C3194" s="103" t="s">
        <v>426</v>
      </c>
      <c r="D3194" s="104"/>
      <c r="E3194" s="104"/>
      <c r="F3194" s="104"/>
      <c r="G3194" s="105"/>
      <c r="H3194" s="87">
        <f>H3183+H3188+H3193</f>
        <v>138107.24</v>
      </c>
      <c r="I3194" s="105"/>
      <c r="J3194" s="87" t="e">
        <f>J3183+J3188+J3193</f>
        <v>#REF!</v>
      </c>
      <c r="K3194" s="105"/>
      <c r="L3194" s="87" t="e">
        <f>L3183+L3188+L3193</f>
        <v>#REF!</v>
      </c>
    </row>
    <row r="3195" spans="1:12" ht="12" customHeight="1" x14ac:dyDescent="0.35">
      <c r="B3195" s="84" t="s">
        <v>9</v>
      </c>
      <c r="C3195" s="455" t="s">
        <v>427</v>
      </c>
      <c r="D3195" s="455"/>
      <c r="E3195" s="455"/>
      <c r="F3195" s="95">
        <f>0</f>
        <v>0</v>
      </c>
      <c r="G3195" s="85" t="s">
        <v>428</v>
      </c>
      <c r="H3195" s="87">
        <f>H3194*F3195</f>
        <v>0</v>
      </c>
      <c r="I3195" s="85" t="s">
        <v>428</v>
      </c>
      <c r="J3195" s="87" t="e">
        <f>J3194*F3195</f>
        <v>#REF!</v>
      </c>
      <c r="K3195" s="85" t="s">
        <v>428</v>
      </c>
      <c r="L3195" s="87" t="e">
        <f>L3194*F3195</f>
        <v>#REF!</v>
      </c>
    </row>
    <row r="3196" spans="1:12" ht="12" customHeight="1" x14ac:dyDescent="0.35">
      <c r="B3196" s="84" t="s">
        <v>10</v>
      </c>
      <c r="C3196" s="103" t="s">
        <v>429</v>
      </c>
      <c r="D3196" s="104"/>
      <c r="E3196" s="104"/>
      <c r="F3196" s="104"/>
      <c r="G3196" s="105"/>
      <c r="H3196" s="96">
        <f>H3194+H3195</f>
        <v>138107.24</v>
      </c>
      <c r="I3196" s="97"/>
      <c r="J3196" s="96" t="e">
        <f>J3194+J3195</f>
        <v>#REF!</v>
      </c>
      <c r="K3196" s="97"/>
      <c r="L3196" s="96" t="e">
        <f>L3194+L3195</f>
        <v>#REF!</v>
      </c>
    </row>
    <row r="3197" spans="1:12" x14ac:dyDescent="0.35">
      <c r="B3197" s="75" t="s">
        <v>806</v>
      </c>
    </row>
    <row r="3198" spans="1:12" ht="14" customHeight="1" x14ac:dyDescent="0.35"/>
    <row r="3199" spans="1:12" ht="37" customHeight="1" x14ac:dyDescent="0.35">
      <c r="B3199" s="76" t="s">
        <v>831</v>
      </c>
      <c r="C3199" s="458" t="s">
        <v>833</v>
      </c>
      <c r="D3199" s="459"/>
      <c r="E3199" s="459"/>
      <c r="F3199" s="459"/>
      <c r="G3199" s="456"/>
      <c r="H3199" s="457"/>
      <c r="I3199" s="455" t="s">
        <v>3</v>
      </c>
      <c r="J3199" s="455"/>
      <c r="K3199" s="455" t="s">
        <v>4</v>
      </c>
      <c r="L3199" s="455"/>
    </row>
    <row r="3200" spans="1:12" ht="12" customHeight="1" x14ac:dyDescent="0.35">
      <c r="B3200" s="451" t="s">
        <v>409</v>
      </c>
      <c r="C3200" s="451" t="s">
        <v>410</v>
      </c>
      <c r="D3200" s="452" t="s">
        <v>411</v>
      </c>
      <c r="E3200" s="451" t="s">
        <v>412</v>
      </c>
      <c r="F3200" s="451" t="s">
        <v>413</v>
      </c>
      <c r="G3200" s="77" t="s">
        <v>414</v>
      </c>
      <c r="H3200" s="77" t="s">
        <v>415</v>
      </c>
      <c r="I3200" s="78" t="s">
        <v>414</v>
      </c>
      <c r="J3200" s="79" t="s">
        <v>415</v>
      </c>
      <c r="K3200" s="79" t="s">
        <v>414</v>
      </c>
      <c r="L3200" s="79" t="s">
        <v>415</v>
      </c>
    </row>
    <row r="3201" spans="1:12" ht="12" customHeight="1" x14ac:dyDescent="0.35">
      <c r="B3201" s="451"/>
      <c r="C3201" s="451"/>
      <c r="D3201" s="453"/>
      <c r="E3201" s="451"/>
      <c r="F3201" s="451"/>
      <c r="G3201" s="77" t="s">
        <v>17</v>
      </c>
      <c r="H3201" s="77" t="s">
        <v>416</v>
      </c>
      <c r="I3201" s="78" t="s">
        <v>17</v>
      </c>
      <c r="J3201" s="79" t="s">
        <v>416</v>
      </c>
      <c r="K3201" s="79" t="s">
        <v>17</v>
      </c>
      <c r="L3201" s="79" t="s">
        <v>416</v>
      </c>
    </row>
    <row r="3202" spans="1:12" ht="12" customHeight="1" x14ac:dyDescent="0.35">
      <c r="B3202" s="451"/>
      <c r="C3202" s="451"/>
      <c r="D3202" s="454"/>
      <c r="E3202" s="451"/>
      <c r="F3202" s="451"/>
      <c r="G3202" s="106"/>
      <c r="H3202" s="77" t="s">
        <v>17</v>
      </c>
      <c r="I3202" s="94"/>
      <c r="J3202" s="79" t="s">
        <v>17</v>
      </c>
      <c r="K3202" s="85"/>
      <c r="L3202" s="79" t="s">
        <v>17</v>
      </c>
    </row>
    <row r="3203" spans="1:12" ht="12" customHeight="1" x14ac:dyDescent="0.35">
      <c r="B3203" s="80" t="s">
        <v>5</v>
      </c>
      <c r="C3203" s="81" t="s">
        <v>417</v>
      </c>
      <c r="D3203" s="82"/>
      <c r="E3203" s="82"/>
      <c r="F3203" s="82"/>
      <c r="G3203" s="82"/>
      <c r="H3203" s="82"/>
      <c r="I3203" s="83"/>
      <c r="J3203" s="83"/>
      <c r="K3203" s="83"/>
      <c r="L3203" s="83"/>
    </row>
    <row r="3204" spans="1:12" ht="12" customHeight="1" x14ac:dyDescent="0.35">
      <c r="A3204" s="134">
        <v>10130000</v>
      </c>
      <c r="B3204" s="84"/>
      <c r="C3204" s="85" t="s">
        <v>28</v>
      </c>
      <c r="D3204" s="84" t="s">
        <v>418</v>
      </c>
      <c r="E3204" s="84" t="str">
        <f>VLOOKUP(C3204,HSD!B:K,2,FALSE)</f>
        <v>OH</v>
      </c>
      <c r="F3204" s="128">
        <v>0.38</v>
      </c>
      <c r="G3204" s="87">
        <f>VLOOKUP(C3204,HSD!B:K,10,FALSE)</f>
        <v>120000</v>
      </c>
      <c r="H3204" s="87">
        <f>F3204*G3204</f>
        <v>45600</v>
      </c>
      <c r="I3204" s="87">
        <v>91500</v>
      </c>
      <c r="J3204" s="87">
        <f>F3204*I3204</f>
        <v>34770</v>
      </c>
      <c r="K3204" s="87">
        <v>91500</v>
      </c>
      <c r="L3204" s="87">
        <f>F3204*K3204</f>
        <v>34770</v>
      </c>
    </row>
    <row r="3205" spans="1:12" ht="12" customHeight="1" x14ac:dyDescent="0.35">
      <c r="A3205" s="134">
        <v>10142000</v>
      </c>
      <c r="B3205" s="84"/>
      <c r="C3205" s="85" t="s">
        <v>434</v>
      </c>
      <c r="D3205" s="84" t="s">
        <v>418</v>
      </c>
      <c r="E3205" s="84" t="str">
        <f>VLOOKUP(C3205,HSD!B:K,2,FALSE)</f>
        <v>OH</v>
      </c>
      <c r="F3205" s="128">
        <v>0.19</v>
      </c>
      <c r="G3205" s="87">
        <f>VLOOKUP(C3205,HSD!B:K,10,FALSE)</f>
        <v>250000</v>
      </c>
      <c r="H3205" s="87">
        <f>F3205*G3205</f>
        <v>47500</v>
      </c>
      <c r="I3205" s="87"/>
      <c r="J3205" s="87"/>
      <c r="K3205" s="87"/>
      <c r="L3205" s="87"/>
    </row>
    <row r="3206" spans="1:12" ht="12" customHeight="1" x14ac:dyDescent="0.35">
      <c r="A3206" s="134">
        <v>10120000</v>
      </c>
      <c r="B3206" s="84"/>
      <c r="C3206" s="85" t="s">
        <v>27</v>
      </c>
      <c r="D3206" s="84" t="s">
        <v>418</v>
      </c>
      <c r="E3206" s="84" t="str">
        <f>VLOOKUP(C3206,HSD!B:K,2,FALSE)</f>
        <v>OH</v>
      </c>
      <c r="F3206" s="128">
        <f>F3205/10</f>
        <v>1.9E-2</v>
      </c>
      <c r="G3206" s="87">
        <f>VLOOKUP(C3206,HSD!B:K,10,FALSE)</f>
        <v>150000</v>
      </c>
      <c r="H3206" s="87">
        <f>F3206*G3206</f>
        <v>2850</v>
      </c>
      <c r="I3206" s="87"/>
      <c r="J3206" s="87"/>
      <c r="K3206" s="87"/>
      <c r="L3206" s="87"/>
    </row>
    <row r="3207" spans="1:12" ht="12" customHeight="1" x14ac:dyDescent="0.35">
      <c r="A3207" s="134">
        <v>10110000</v>
      </c>
      <c r="B3207" s="84"/>
      <c r="C3207" s="85" t="s">
        <v>30</v>
      </c>
      <c r="D3207" s="84" t="s">
        <v>418</v>
      </c>
      <c r="E3207" s="84" t="str">
        <f>VLOOKUP(C3207,HSD!B:K,2,FALSE)</f>
        <v>OH</v>
      </c>
      <c r="F3207" s="128">
        <f>F3204/10</f>
        <v>3.7999999999999999E-2</v>
      </c>
      <c r="G3207" s="87">
        <f>VLOOKUP(C3207,HSD!B:K,10,FALSE)</f>
        <v>150000</v>
      </c>
      <c r="H3207" s="87">
        <f>F3207*G3207</f>
        <v>5700</v>
      </c>
      <c r="I3207" s="87">
        <v>92500</v>
      </c>
      <c r="J3207" s="87">
        <f>F3207*I3207</f>
        <v>3515</v>
      </c>
      <c r="K3207" s="87">
        <v>92500</v>
      </c>
      <c r="L3207" s="87">
        <f>F3207*K3207</f>
        <v>3515</v>
      </c>
    </row>
    <row r="3208" spans="1:12" ht="12" customHeight="1" x14ac:dyDescent="0.35">
      <c r="B3208" s="84"/>
      <c r="C3208" s="85"/>
      <c r="D3208" s="84"/>
      <c r="E3208" s="84"/>
      <c r="F3208" s="86"/>
      <c r="G3208" s="87"/>
      <c r="H3208" s="87"/>
      <c r="I3208" s="87"/>
      <c r="J3208" s="87"/>
      <c r="K3208" s="87"/>
      <c r="L3208" s="87"/>
    </row>
    <row r="3209" spans="1:12" ht="12" customHeight="1" x14ac:dyDescent="0.35">
      <c r="B3209" s="84"/>
      <c r="C3209" s="88"/>
      <c r="D3209" s="79"/>
      <c r="E3209" s="79"/>
      <c r="F3209" s="89" t="s">
        <v>421</v>
      </c>
      <c r="G3209" s="101"/>
      <c r="H3209" s="87">
        <f>SUM(H3204:H3208)</f>
        <v>101650</v>
      </c>
      <c r="I3209" s="101"/>
      <c r="J3209" s="87">
        <f>SUM(J3207:J3208)</f>
        <v>3515</v>
      </c>
      <c r="K3209" s="101"/>
      <c r="L3209" s="87">
        <f>SUM(L3207:L3208)</f>
        <v>3515</v>
      </c>
    </row>
    <row r="3210" spans="1:12" ht="12" customHeight="1" x14ac:dyDescent="0.35">
      <c r="B3210" s="84" t="s">
        <v>6</v>
      </c>
      <c r="C3210" s="88" t="s">
        <v>422</v>
      </c>
      <c r="D3210" s="79"/>
      <c r="E3210" s="79"/>
      <c r="F3210" s="90"/>
      <c r="G3210" s="84"/>
      <c r="H3210" s="87"/>
      <c r="I3210" s="84"/>
      <c r="J3210" s="87"/>
      <c r="K3210" s="84"/>
      <c r="L3210" s="87"/>
    </row>
    <row r="3211" spans="1:12" x14ac:dyDescent="0.35">
      <c r="A3211" s="134">
        <v>21404010</v>
      </c>
      <c r="B3211" s="84"/>
      <c r="C3211" s="85" t="s">
        <v>1834</v>
      </c>
      <c r="D3211" s="84" t="s">
        <v>418</v>
      </c>
      <c r="E3211" s="84" t="str">
        <f>VLOOKUP(C3211,HSD!B:K,2,FALSE)</f>
        <v>btg</v>
      </c>
      <c r="F3211" s="128">
        <v>0.748</v>
      </c>
      <c r="G3211" s="87">
        <f>VLOOKUP(C3211,HSD!B:K,10,FALSE)</f>
        <v>39960</v>
      </c>
      <c r="H3211" s="87">
        <f>F3211*G3211</f>
        <v>29890.080000000002</v>
      </c>
      <c r="I3211" s="87"/>
      <c r="J3211" s="87"/>
      <c r="K3211" s="87"/>
      <c r="L3211" s="87"/>
    </row>
    <row r="3212" spans="1:12" x14ac:dyDescent="0.35">
      <c r="A3212" s="134">
        <v>21911005</v>
      </c>
      <c r="B3212" s="84"/>
      <c r="C3212" s="85" t="s">
        <v>151</v>
      </c>
      <c r="D3212" s="84" t="s">
        <v>418</v>
      </c>
      <c r="E3212" s="84" t="str">
        <f>VLOOKUP(C3212,HSD!B:K,2,FALSE)</f>
        <v>kg</v>
      </c>
      <c r="F3212" s="128">
        <v>0.24</v>
      </c>
      <c r="G3212" s="87">
        <f>VLOOKUP(C3212,HSD!B:K,10,FALSE)</f>
        <v>18426</v>
      </c>
      <c r="H3212" s="87">
        <f>F3212*G3212</f>
        <v>4422.24</v>
      </c>
      <c r="I3212" s="87"/>
      <c r="J3212" s="87"/>
      <c r="K3212" s="87"/>
      <c r="L3212" s="87"/>
    </row>
    <row r="3213" spans="1:12" x14ac:dyDescent="0.35">
      <c r="B3213" s="84"/>
      <c r="C3213" s="85"/>
      <c r="D3213" s="84"/>
      <c r="E3213" s="84"/>
      <c r="F3213" s="128"/>
      <c r="G3213" s="87"/>
      <c r="H3213" s="87">
        <f>F3213*G3213</f>
        <v>0</v>
      </c>
      <c r="I3213" s="87"/>
      <c r="J3213" s="87"/>
      <c r="K3213" s="87"/>
      <c r="L3213" s="87"/>
    </row>
    <row r="3214" spans="1:12" ht="12" customHeight="1" x14ac:dyDescent="0.35">
      <c r="B3214" s="84"/>
      <c r="C3214" s="88"/>
      <c r="D3214" s="79"/>
      <c r="E3214" s="79"/>
      <c r="F3214" s="129" t="s">
        <v>423</v>
      </c>
      <c r="G3214" s="129"/>
      <c r="H3214" s="87">
        <f>SUM(H3211:H3213)</f>
        <v>34312.32</v>
      </c>
      <c r="I3214" s="101"/>
      <c r="J3214" s="87" t="e">
        <f>SUM(#REF!)</f>
        <v>#REF!</v>
      </c>
      <c r="K3214" s="101"/>
      <c r="L3214" s="87" t="e">
        <f>SUM(#REF!)</f>
        <v>#REF!</v>
      </c>
    </row>
    <row r="3215" spans="1:12" ht="12" customHeight="1" x14ac:dyDescent="0.35">
      <c r="B3215" s="84" t="s">
        <v>7</v>
      </c>
      <c r="C3215" s="88" t="s">
        <v>424</v>
      </c>
      <c r="D3215" s="79"/>
      <c r="E3215" s="79"/>
      <c r="F3215" s="90"/>
      <c r="G3215" s="84"/>
      <c r="H3215" s="87"/>
      <c r="I3215" s="84"/>
      <c r="J3215" s="87"/>
      <c r="K3215" s="84"/>
      <c r="L3215" s="87"/>
    </row>
    <row r="3216" spans="1:12" ht="12" customHeight="1" x14ac:dyDescent="0.35">
      <c r="B3216" s="84"/>
      <c r="C3216" s="85"/>
      <c r="D3216" s="84"/>
      <c r="E3216" s="84"/>
      <c r="F3216" s="128"/>
      <c r="G3216" s="87"/>
      <c r="H3216" s="87">
        <f>F3216*G3216</f>
        <v>0</v>
      </c>
      <c r="I3216" s="87"/>
      <c r="J3216" s="87">
        <f>H3216*I3216</f>
        <v>0</v>
      </c>
      <c r="K3216" s="87"/>
      <c r="L3216" s="87">
        <f>J3216*K3216</f>
        <v>0</v>
      </c>
    </row>
    <row r="3217" spans="1:12" ht="12" customHeight="1" x14ac:dyDescent="0.35">
      <c r="B3217" s="84"/>
      <c r="C3217" s="85"/>
      <c r="D3217" s="84"/>
      <c r="E3217" s="84"/>
      <c r="F3217" s="128"/>
      <c r="G3217" s="87"/>
      <c r="H3217" s="87">
        <f>F3217*G3217</f>
        <v>0</v>
      </c>
      <c r="I3217" s="87"/>
      <c r="J3217" s="87"/>
      <c r="K3217" s="87"/>
      <c r="L3217" s="87"/>
    </row>
    <row r="3218" spans="1:12" ht="12" customHeight="1" x14ac:dyDescent="0.35">
      <c r="B3218" s="84"/>
      <c r="C3218" s="85"/>
      <c r="D3218" s="84"/>
      <c r="E3218" s="84"/>
      <c r="F3218" s="128"/>
      <c r="G3218" s="87"/>
      <c r="H3218" s="87">
        <f>F3218*G3218</f>
        <v>0</v>
      </c>
      <c r="I3218" s="87"/>
      <c r="J3218" s="87"/>
      <c r="K3218" s="87"/>
      <c r="L3218" s="87"/>
    </row>
    <row r="3219" spans="1:12" ht="12" customHeight="1" x14ac:dyDescent="0.35">
      <c r="B3219" s="84"/>
      <c r="C3219" s="88"/>
      <c r="D3219" s="79"/>
      <c r="E3219" s="79"/>
      <c r="F3219" s="89" t="s">
        <v>425</v>
      </c>
      <c r="G3219" s="101"/>
      <c r="H3219" s="87">
        <f>SUM(H3216:H3218)</f>
        <v>0</v>
      </c>
      <c r="I3219" s="101"/>
      <c r="J3219" s="87">
        <f>SUM(J3216)</f>
        <v>0</v>
      </c>
      <c r="K3219" s="101"/>
      <c r="L3219" s="87">
        <f>SUM(L3216)</f>
        <v>0</v>
      </c>
    </row>
    <row r="3220" spans="1:12" ht="12" customHeight="1" x14ac:dyDescent="0.35">
      <c r="B3220" s="84" t="s">
        <v>8</v>
      </c>
      <c r="C3220" s="103" t="s">
        <v>426</v>
      </c>
      <c r="D3220" s="104"/>
      <c r="E3220" s="104"/>
      <c r="F3220" s="104"/>
      <c r="G3220" s="105"/>
      <c r="H3220" s="87">
        <f>H3209+H3214+H3219</f>
        <v>135962.32</v>
      </c>
      <c r="I3220" s="105"/>
      <c r="J3220" s="87" t="e">
        <f>J3209+J3214+J3219</f>
        <v>#REF!</v>
      </c>
      <c r="K3220" s="105"/>
      <c r="L3220" s="87" t="e">
        <f>L3209+L3214+L3219</f>
        <v>#REF!</v>
      </c>
    </row>
    <row r="3221" spans="1:12" ht="12" customHeight="1" x14ac:dyDescent="0.35">
      <c r="B3221" s="84" t="s">
        <v>9</v>
      </c>
      <c r="C3221" s="455" t="s">
        <v>427</v>
      </c>
      <c r="D3221" s="455"/>
      <c r="E3221" s="455"/>
      <c r="F3221" s="95">
        <f>0</f>
        <v>0</v>
      </c>
      <c r="G3221" s="85" t="s">
        <v>428</v>
      </c>
      <c r="H3221" s="87">
        <f>H3220*F3221</f>
        <v>0</v>
      </c>
      <c r="I3221" s="85" t="s">
        <v>428</v>
      </c>
      <c r="J3221" s="87" t="e">
        <f>J3220*F3221</f>
        <v>#REF!</v>
      </c>
      <c r="K3221" s="85" t="s">
        <v>428</v>
      </c>
      <c r="L3221" s="87" t="e">
        <f>L3220*F3221</f>
        <v>#REF!</v>
      </c>
    </row>
    <row r="3222" spans="1:12" ht="12" customHeight="1" x14ac:dyDescent="0.35">
      <c r="B3222" s="84" t="s">
        <v>10</v>
      </c>
      <c r="C3222" s="103" t="s">
        <v>429</v>
      </c>
      <c r="D3222" s="104"/>
      <c r="E3222" s="104"/>
      <c r="F3222" s="104"/>
      <c r="G3222" s="105"/>
      <c r="H3222" s="96">
        <f>H3220+H3221</f>
        <v>135962.32</v>
      </c>
      <c r="I3222" s="97"/>
      <c r="J3222" s="96" t="e">
        <f>J3220+J3221</f>
        <v>#REF!</v>
      </c>
      <c r="K3222" s="97"/>
      <c r="L3222" s="96" t="e">
        <f>L3220+L3221</f>
        <v>#REF!</v>
      </c>
    </row>
    <row r="3223" spans="1:12" x14ac:dyDescent="0.35">
      <c r="B3223" s="75" t="s">
        <v>806</v>
      </c>
    </row>
    <row r="3224" spans="1:12" ht="14" customHeight="1" x14ac:dyDescent="0.35"/>
    <row r="3225" spans="1:12" ht="37" customHeight="1" x14ac:dyDescent="0.35">
      <c r="B3225" s="76" t="s">
        <v>832</v>
      </c>
      <c r="C3225" s="458" t="s">
        <v>834</v>
      </c>
      <c r="D3225" s="459"/>
      <c r="E3225" s="459"/>
      <c r="F3225" s="459"/>
      <c r="G3225" s="456"/>
      <c r="H3225" s="457"/>
      <c r="I3225" s="455" t="s">
        <v>3</v>
      </c>
      <c r="J3225" s="455"/>
      <c r="K3225" s="455" t="s">
        <v>4</v>
      </c>
      <c r="L3225" s="455"/>
    </row>
    <row r="3226" spans="1:12" ht="12" customHeight="1" x14ac:dyDescent="0.35">
      <c r="B3226" s="451" t="s">
        <v>409</v>
      </c>
      <c r="C3226" s="451" t="s">
        <v>410</v>
      </c>
      <c r="D3226" s="452" t="s">
        <v>411</v>
      </c>
      <c r="E3226" s="451" t="s">
        <v>412</v>
      </c>
      <c r="F3226" s="451" t="s">
        <v>413</v>
      </c>
      <c r="G3226" s="77" t="s">
        <v>414</v>
      </c>
      <c r="H3226" s="77" t="s">
        <v>415</v>
      </c>
      <c r="I3226" s="78" t="s">
        <v>414</v>
      </c>
      <c r="J3226" s="79" t="s">
        <v>415</v>
      </c>
      <c r="K3226" s="79" t="s">
        <v>414</v>
      </c>
      <c r="L3226" s="79" t="s">
        <v>415</v>
      </c>
    </row>
    <row r="3227" spans="1:12" ht="12" customHeight="1" x14ac:dyDescent="0.35">
      <c r="B3227" s="451"/>
      <c r="C3227" s="451"/>
      <c r="D3227" s="453"/>
      <c r="E3227" s="451"/>
      <c r="F3227" s="451"/>
      <c r="G3227" s="77" t="s">
        <v>17</v>
      </c>
      <c r="H3227" s="77" t="s">
        <v>416</v>
      </c>
      <c r="I3227" s="78" t="s">
        <v>17</v>
      </c>
      <c r="J3227" s="79" t="s">
        <v>416</v>
      </c>
      <c r="K3227" s="79" t="s">
        <v>17</v>
      </c>
      <c r="L3227" s="79" t="s">
        <v>416</v>
      </c>
    </row>
    <row r="3228" spans="1:12" ht="12" customHeight="1" x14ac:dyDescent="0.35">
      <c r="B3228" s="451"/>
      <c r="C3228" s="451"/>
      <c r="D3228" s="454"/>
      <c r="E3228" s="451"/>
      <c r="F3228" s="451"/>
      <c r="G3228" s="106"/>
      <c r="H3228" s="77" t="s">
        <v>17</v>
      </c>
      <c r="I3228" s="94"/>
      <c r="J3228" s="79" t="s">
        <v>17</v>
      </c>
      <c r="K3228" s="85"/>
      <c r="L3228" s="79" t="s">
        <v>17</v>
      </c>
    </row>
    <row r="3229" spans="1:12" ht="12" customHeight="1" x14ac:dyDescent="0.35">
      <c r="B3229" s="80" t="s">
        <v>5</v>
      </c>
      <c r="C3229" s="81" t="s">
        <v>417</v>
      </c>
      <c r="D3229" s="82"/>
      <c r="E3229" s="82"/>
      <c r="F3229" s="82"/>
      <c r="G3229" s="82"/>
      <c r="H3229" s="82"/>
      <c r="I3229" s="83"/>
      <c r="J3229" s="83"/>
      <c r="K3229" s="83"/>
      <c r="L3229" s="83"/>
    </row>
    <row r="3230" spans="1:12" ht="12" customHeight="1" x14ac:dyDescent="0.35">
      <c r="A3230" s="134">
        <v>10130000</v>
      </c>
      <c r="B3230" s="84"/>
      <c r="C3230" s="85" t="s">
        <v>28</v>
      </c>
      <c r="D3230" s="84" t="s">
        <v>418</v>
      </c>
      <c r="E3230" s="84" t="str">
        <f>VLOOKUP(C3230,HSD!B:K,2,FALSE)</f>
        <v>OH</v>
      </c>
      <c r="F3230" s="128">
        <v>0.36</v>
      </c>
      <c r="G3230" s="87">
        <f>VLOOKUP(C3230,HSD!B:K,10,FALSE)</f>
        <v>120000</v>
      </c>
      <c r="H3230" s="87">
        <f>F3230*G3230</f>
        <v>43200</v>
      </c>
      <c r="I3230" s="87">
        <v>91500</v>
      </c>
      <c r="J3230" s="87">
        <f>F3230*I3230</f>
        <v>32940</v>
      </c>
      <c r="K3230" s="87">
        <v>91500</v>
      </c>
      <c r="L3230" s="87">
        <f>F3230*K3230</f>
        <v>32940</v>
      </c>
    </row>
    <row r="3231" spans="1:12" ht="12" customHeight="1" x14ac:dyDescent="0.35">
      <c r="A3231" s="134">
        <v>10142000</v>
      </c>
      <c r="B3231" s="84"/>
      <c r="C3231" s="85" t="s">
        <v>434</v>
      </c>
      <c r="D3231" s="84" t="s">
        <v>418</v>
      </c>
      <c r="E3231" s="84" t="str">
        <f>VLOOKUP(C3231,HSD!B:K,2,FALSE)</f>
        <v>OH</v>
      </c>
      <c r="F3231" s="128">
        <v>0.18</v>
      </c>
      <c r="G3231" s="87">
        <f>VLOOKUP(C3231,HSD!B:K,10,FALSE)</f>
        <v>250000</v>
      </c>
      <c r="H3231" s="87">
        <f>F3231*G3231</f>
        <v>45000</v>
      </c>
      <c r="I3231" s="87"/>
      <c r="J3231" s="87"/>
      <c r="K3231" s="87"/>
      <c r="L3231" s="87"/>
    </row>
    <row r="3232" spans="1:12" ht="12" customHeight="1" x14ac:dyDescent="0.35">
      <c r="A3232" s="134">
        <v>10120000</v>
      </c>
      <c r="B3232" s="84"/>
      <c r="C3232" s="85" t="s">
        <v>27</v>
      </c>
      <c r="D3232" s="84" t="s">
        <v>418</v>
      </c>
      <c r="E3232" s="84" t="str">
        <f>VLOOKUP(C3232,HSD!B:K,2,FALSE)</f>
        <v>OH</v>
      </c>
      <c r="F3232" s="128">
        <f>F3231/10</f>
        <v>1.7999999999999999E-2</v>
      </c>
      <c r="G3232" s="87">
        <f>VLOOKUP(C3232,HSD!B:K,10,FALSE)</f>
        <v>150000</v>
      </c>
      <c r="H3232" s="87">
        <f>F3232*G3232</f>
        <v>2700</v>
      </c>
      <c r="I3232" s="87"/>
      <c r="J3232" s="87"/>
      <c r="K3232" s="87"/>
      <c r="L3232" s="87"/>
    </row>
    <row r="3233" spans="1:12" ht="12" customHeight="1" x14ac:dyDescent="0.35">
      <c r="A3233" s="134">
        <v>10110000</v>
      </c>
      <c r="B3233" s="84"/>
      <c r="C3233" s="85" t="s">
        <v>30</v>
      </c>
      <c r="D3233" s="84" t="s">
        <v>418</v>
      </c>
      <c r="E3233" s="84" t="str">
        <f>VLOOKUP(C3233,HSD!B:K,2,FALSE)</f>
        <v>OH</v>
      </c>
      <c r="F3233" s="128">
        <f>F3230/10</f>
        <v>3.5999999999999997E-2</v>
      </c>
      <c r="G3233" s="87">
        <f>VLOOKUP(C3233,HSD!B:K,10,FALSE)</f>
        <v>150000</v>
      </c>
      <c r="H3233" s="87">
        <f>F3233*G3233</f>
        <v>5400</v>
      </c>
      <c r="I3233" s="87">
        <v>92500</v>
      </c>
      <c r="J3233" s="87">
        <f>F3233*I3233</f>
        <v>3329.9999999999995</v>
      </c>
      <c r="K3233" s="87">
        <v>92500</v>
      </c>
      <c r="L3233" s="87">
        <f>F3233*K3233</f>
        <v>3329.9999999999995</v>
      </c>
    </row>
    <row r="3234" spans="1:12" ht="12" customHeight="1" x14ac:dyDescent="0.35">
      <c r="B3234" s="84"/>
      <c r="C3234" s="85"/>
      <c r="D3234" s="84"/>
      <c r="E3234" s="84"/>
      <c r="F3234" s="86"/>
      <c r="G3234" s="87"/>
      <c r="H3234" s="87"/>
      <c r="I3234" s="87"/>
      <c r="J3234" s="87"/>
      <c r="K3234" s="87"/>
      <c r="L3234" s="87"/>
    </row>
    <row r="3235" spans="1:12" ht="12" customHeight="1" x14ac:dyDescent="0.35">
      <c r="B3235" s="84"/>
      <c r="C3235" s="88"/>
      <c r="D3235" s="79"/>
      <c r="E3235" s="79"/>
      <c r="F3235" s="89" t="s">
        <v>421</v>
      </c>
      <c r="G3235" s="101"/>
      <c r="H3235" s="87">
        <f>SUM(H3230:H3234)</f>
        <v>96300</v>
      </c>
      <c r="I3235" s="101"/>
      <c r="J3235" s="87">
        <f>SUM(J3233:J3234)</f>
        <v>3329.9999999999995</v>
      </c>
      <c r="K3235" s="101"/>
      <c r="L3235" s="87">
        <f>SUM(L3233:L3234)</f>
        <v>3329.9999999999995</v>
      </c>
    </row>
    <row r="3236" spans="1:12" ht="12" customHeight="1" x14ac:dyDescent="0.35">
      <c r="B3236" s="84" t="s">
        <v>6</v>
      </c>
      <c r="C3236" s="88" t="s">
        <v>422</v>
      </c>
      <c r="D3236" s="79"/>
      <c r="E3236" s="79"/>
      <c r="F3236" s="90"/>
      <c r="G3236" s="84"/>
      <c r="H3236" s="87"/>
      <c r="I3236" s="84"/>
      <c r="J3236" s="87"/>
      <c r="K3236" s="84"/>
      <c r="L3236" s="87"/>
    </row>
    <row r="3237" spans="1:12" x14ac:dyDescent="0.35">
      <c r="A3237" s="134">
        <v>21403008</v>
      </c>
      <c r="B3237" s="84"/>
      <c r="C3237" s="85" t="s">
        <v>1790</v>
      </c>
      <c r="D3237" s="84" t="s">
        <v>418</v>
      </c>
      <c r="E3237" s="84" t="str">
        <f>VLOOKUP(C3237,HSD!B:K,2,FALSE)</f>
        <v>btg</v>
      </c>
      <c r="F3237" s="128">
        <v>0.92</v>
      </c>
      <c r="G3237" s="87">
        <f>VLOOKUP(C3237,HSD!B:K,10,FALSE)</f>
        <v>28860</v>
      </c>
      <c r="H3237" s="87">
        <f>F3237*G3237</f>
        <v>26551.200000000001</v>
      </c>
      <c r="I3237" s="87"/>
      <c r="J3237" s="87"/>
      <c r="K3237" s="87"/>
      <c r="L3237" s="87"/>
    </row>
    <row r="3238" spans="1:12" x14ac:dyDescent="0.35">
      <c r="A3238" s="134">
        <v>21911005</v>
      </c>
      <c r="B3238" s="84"/>
      <c r="C3238" s="85" t="s">
        <v>151</v>
      </c>
      <c r="D3238" s="84" t="s">
        <v>418</v>
      </c>
      <c r="E3238" s="84" t="str">
        <f>VLOOKUP(C3238,HSD!B:K,2,FALSE)</f>
        <v>kg</v>
      </c>
      <c r="F3238" s="128">
        <v>0.24</v>
      </c>
      <c r="G3238" s="87">
        <f>VLOOKUP(C3238,HSD!B:K,10,FALSE)</f>
        <v>18426</v>
      </c>
      <c r="H3238" s="87">
        <f>F3238*G3238</f>
        <v>4422.24</v>
      </c>
      <c r="I3238" s="87"/>
      <c r="J3238" s="87"/>
      <c r="K3238" s="87"/>
      <c r="L3238" s="87"/>
    </row>
    <row r="3239" spans="1:12" x14ac:dyDescent="0.35">
      <c r="A3239" s="134">
        <v>24100000</v>
      </c>
      <c r="B3239" s="84"/>
      <c r="C3239" s="85" t="s">
        <v>1856</v>
      </c>
      <c r="D3239" s="84" t="s">
        <v>418</v>
      </c>
      <c r="E3239" s="84" t="str">
        <f>VLOOKUP(C3239,HSD!B:K,2,FALSE)</f>
        <v>kg</v>
      </c>
      <c r="F3239" s="128">
        <v>0.3</v>
      </c>
      <c r="G3239" s="87">
        <f>VLOOKUP(C3239,HSD!B:K,10,FALSE)</f>
        <v>46176</v>
      </c>
      <c r="H3239" s="87">
        <f>F3239*G3239</f>
        <v>13852.8</v>
      </c>
      <c r="I3239" s="87"/>
      <c r="J3239" s="87"/>
      <c r="K3239" s="87"/>
      <c r="L3239" s="87"/>
    </row>
    <row r="3240" spans="1:12" ht="12" customHeight="1" x14ac:dyDescent="0.35">
      <c r="B3240" s="84"/>
      <c r="C3240" s="88"/>
      <c r="D3240" s="79"/>
      <c r="E3240" s="79"/>
      <c r="F3240" s="129" t="s">
        <v>423</v>
      </c>
      <c r="G3240" s="129"/>
      <c r="H3240" s="87">
        <f>SUM(H3237:H3239)</f>
        <v>44826.240000000005</v>
      </c>
      <c r="I3240" s="101"/>
      <c r="J3240" s="87" t="e">
        <f>SUM(#REF!)</f>
        <v>#REF!</v>
      </c>
      <c r="K3240" s="101"/>
      <c r="L3240" s="87" t="e">
        <f>SUM(#REF!)</f>
        <v>#REF!</v>
      </c>
    </row>
    <row r="3241" spans="1:12" ht="12" customHeight="1" x14ac:dyDescent="0.35">
      <c r="B3241" s="84" t="s">
        <v>7</v>
      </c>
      <c r="C3241" s="88" t="s">
        <v>424</v>
      </c>
      <c r="D3241" s="79"/>
      <c r="E3241" s="79"/>
      <c r="F3241" s="90"/>
      <c r="G3241" s="84"/>
      <c r="H3241" s="87"/>
      <c r="I3241" s="84"/>
      <c r="J3241" s="87"/>
      <c r="K3241" s="84"/>
      <c r="L3241" s="87"/>
    </row>
    <row r="3242" spans="1:12" ht="12" customHeight="1" x14ac:dyDescent="0.35">
      <c r="B3242" s="84"/>
      <c r="C3242" s="85"/>
      <c r="D3242" s="84"/>
      <c r="E3242" s="84"/>
      <c r="F3242" s="128"/>
      <c r="G3242" s="87"/>
      <c r="H3242" s="87">
        <f>F3242*G3242</f>
        <v>0</v>
      </c>
      <c r="I3242" s="87"/>
      <c r="J3242" s="87">
        <f>H3242*I3242</f>
        <v>0</v>
      </c>
      <c r="K3242" s="87"/>
      <c r="L3242" s="87">
        <f>J3242*K3242</f>
        <v>0</v>
      </c>
    </row>
    <row r="3243" spans="1:12" ht="12" customHeight="1" x14ac:dyDescent="0.35">
      <c r="B3243" s="84"/>
      <c r="C3243" s="85"/>
      <c r="D3243" s="84"/>
      <c r="E3243" s="84"/>
      <c r="F3243" s="128"/>
      <c r="G3243" s="87"/>
      <c r="H3243" s="87">
        <f>F3243*G3243</f>
        <v>0</v>
      </c>
      <c r="I3243" s="87"/>
      <c r="J3243" s="87"/>
      <c r="K3243" s="87"/>
      <c r="L3243" s="87"/>
    </row>
    <row r="3244" spans="1:12" ht="12" customHeight="1" x14ac:dyDescent="0.35">
      <c r="B3244" s="84"/>
      <c r="C3244" s="85"/>
      <c r="D3244" s="84"/>
      <c r="E3244" s="84"/>
      <c r="F3244" s="128"/>
      <c r="G3244" s="87"/>
      <c r="H3244" s="87">
        <f>F3244*G3244</f>
        <v>0</v>
      </c>
      <c r="I3244" s="87"/>
      <c r="J3244" s="87"/>
      <c r="K3244" s="87"/>
      <c r="L3244" s="87"/>
    </row>
    <row r="3245" spans="1:12" ht="12" customHeight="1" x14ac:dyDescent="0.35">
      <c r="B3245" s="84"/>
      <c r="C3245" s="88"/>
      <c r="D3245" s="79"/>
      <c r="E3245" s="79"/>
      <c r="F3245" s="89" t="s">
        <v>425</v>
      </c>
      <c r="G3245" s="101"/>
      <c r="H3245" s="87">
        <f>SUM(H3242:H3244)</f>
        <v>0</v>
      </c>
      <c r="I3245" s="101"/>
      <c r="J3245" s="87">
        <f>SUM(J3242)</f>
        <v>0</v>
      </c>
      <c r="K3245" s="101"/>
      <c r="L3245" s="87">
        <f>SUM(L3242)</f>
        <v>0</v>
      </c>
    </row>
    <row r="3246" spans="1:12" ht="12" customHeight="1" x14ac:dyDescent="0.35">
      <c r="B3246" s="84" t="s">
        <v>8</v>
      </c>
      <c r="C3246" s="103" t="s">
        <v>426</v>
      </c>
      <c r="D3246" s="104"/>
      <c r="E3246" s="104"/>
      <c r="F3246" s="104"/>
      <c r="G3246" s="105"/>
      <c r="H3246" s="87">
        <f>H3235+H3240+H3245</f>
        <v>141126.24</v>
      </c>
      <c r="I3246" s="105"/>
      <c r="J3246" s="87" t="e">
        <f>J3235+J3240+J3245</f>
        <v>#REF!</v>
      </c>
      <c r="K3246" s="105"/>
      <c r="L3246" s="87" t="e">
        <f>L3235+L3240+L3245</f>
        <v>#REF!</v>
      </c>
    </row>
    <row r="3247" spans="1:12" ht="12" customHeight="1" x14ac:dyDescent="0.35">
      <c r="B3247" s="84" t="s">
        <v>9</v>
      </c>
      <c r="C3247" s="455" t="s">
        <v>427</v>
      </c>
      <c r="D3247" s="455"/>
      <c r="E3247" s="455"/>
      <c r="F3247" s="95">
        <f>0</f>
        <v>0</v>
      </c>
      <c r="G3247" s="85" t="s">
        <v>428</v>
      </c>
      <c r="H3247" s="87">
        <f>H3246*F3247</f>
        <v>0</v>
      </c>
      <c r="I3247" s="85" t="s">
        <v>428</v>
      </c>
      <c r="J3247" s="87" t="e">
        <f>J3246*F3247</f>
        <v>#REF!</v>
      </c>
      <c r="K3247" s="85" t="s">
        <v>428</v>
      </c>
      <c r="L3247" s="87" t="e">
        <f>L3246*F3247</f>
        <v>#REF!</v>
      </c>
    </row>
    <row r="3248" spans="1:12" ht="12" customHeight="1" x14ac:dyDescent="0.35">
      <c r="B3248" s="84" t="s">
        <v>10</v>
      </c>
      <c r="C3248" s="103" t="s">
        <v>429</v>
      </c>
      <c r="D3248" s="104"/>
      <c r="E3248" s="104"/>
      <c r="F3248" s="104"/>
      <c r="G3248" s="105"/>
      <c r="H3248" s="96">
        <f>H3246+H3247</f>
        <v>141126.24</v>
      </c>
      <c r="I3248" s="97"/>
      <c r="J3248" s="96" t="e">
        <f>J3246+J3247</f>
        <v>#REF!</v>
      </c>
      <c r="K3248" s="97"/>
      <c r="L3248" s="96" t="e">
        <f>L3246+L3247</f>
        <v>#REF!</v>
      </c>
    </row>
    <row r="3249" spans="1:12" x14ac:dyDescent="0.35">
      <c r="B3249" s="75" t="s">
        <v>806</v>
      </c>
    </row>
    <row r="3250" spans="1:12" ht="14" customHeight="1" x14ac:dyDescent="0.35"/>
    <row r="3251" spans="1:12" ht="37" customHeight="1" x14ac:dyDescent="0.35">
      <c r="B3251" s="76" t="s">
        <v>835</v>
      </c>
      <c r="C3251" s="458" t="s">
        <v>836</v>
      </c>
      <c r="D3251" s="459"/>
      <c r="E3251" s="459"/>
      <c r="F3251" s="459"/>
      <c r="G3251" s="456"/>
      <c r="H3251" s="457"/>
      <c r="I3251" s="455" t="s">
        <v>3</v>
      </c>
      <c r="J3251" s="455"/>
      <c r="K3251" s="455" t="s">
        <v>4</v>
      </c>
      <c r="L3251" s="455"/>
    </row>
    <row r="3252" spans="1:12" ht="12" customHeight="1" x14ac:dyDescent="0.35">
      <c r="B3252" s="451" t="s">
        <v>409</v>
      </c>
      <c r="C3252" s="451" t="s">
        <v>410</v>
      </c>
      <c r="D3252" s="452" t="s">
        <v>411</v>
      </c>
      <c r="E3252" s="451" t="s">
        <v>412</v>
      </c>
      <c r="F3252" s="451" t="s">
        <v>413</v>
      </c>
      <c r="G3252" s="77" t="s">
        <v>414</v>
      </c>
      <c r="H3252" s="77" t="s">
        <v>415</v>
      </c>
      <c r="I3252" s="78" t="s">
        <v>414</v>
      </c>
      <c r="J3252" s="79" t="s">
        <v>415</v>
      </c>
      <c r="K3252" s="79" t="s">
        <v>414</v>
      </c>
      <c r="L3252" s="79" t="s">
        <v>415</v>
      </c>
    </row>
    <row r="3253" spans="1:12" ht="12" customHeight="1" x14ac:dyDescent="0.35">
      <c r="B3253" s="451"/>
      <c r="C3253" s="451"/>
      <c r="D3253" s="453"/>
      <c r="E3253" s="451"/>
      <c r="F3253" s="451"/>
      <c r="G3253" s="77" t="s">
        <v>17</v>
      </c>
      <c r="H3253" s="77" t="s">
        <v>416</v>
      </c>
      <c r="I3253" s="78" t="s">
        <v>17</v>
      </c>
      <c r="J3253" s="79" t="s">
        <v>416</v>
      </c>
      <c r="K3253" s="79" t="s">
        <v>17</v>
      </c>
      <c r="L3253" s="79" t="s">
        <v>416</v>
      </c>
    </row>
    <row r="3254" spans="1:12" ht="12" customHeight="1" x14ac:dyDescent="0.35">
      <c r="B3254" s="451"/>
      <c r="C3254" s="451"/>
      <c r="D3254" s="454"/>
      <c r="E3254" s="451"/>
      <c r="F3254" s="451"/>
      <c r="G3254" s="106"/>
      <c r="H3254" s="77" t="s">
        <v>17</v>
      </c>
      <c r="I3254" s="94"/>
      <c r="J3254" s="79" t="s">
        <v>17</v>
      </c>
      <c r="K3254" s="85"/>
      <c r="L3254" s="79" t="s">
        <v>17</v>
      </c>
    </row>
    <row r="3255" spans="1:12" ht="12" customHeight="1" x14ac:dyDescent="0.35">
      <c r="B3255" s="80" t="s">
        <v>5</v>
      </c>
      <c r="C3255" s="81" t="s">
        <v>417</v>
      </c>
      <c r="D3255" s="82"/>
      <c r="E3255" s="82"/>
      <c r="F3255" s="82"/>
      <c r="G3255" s="82"/>
      <c r="H3255" s="82"/>
      <c r="I3255" s="83"/>
      <c r="J3255" s="83"/>
      <c r="K3255" s="83"/>
      <c r="L3255" s="83"/>
    </row>
    <row r="3256" spans="1:12" ht="12" customHeight="1" x14ac:dyDescent="0.35">
      <c r="A3256" s="134">
        <v>10130000</v>
      </c>
      <c r="B3256" s="84"/>
      <c r="C3256" s="85" t="s">
        <v>28</v>
      </c>
      <c r="D3256" s="84" t="s">
        <v>418</v>
      </c>
      <c r="E3256" s="84" t="str">
        <f>VLOOKUP(C3256,HSD!B:K,2,FALSE)</f>
        <v>OH</v>
      </c>
      <c r="F3256" s="128">
        <v>0.24</v>
      </c>
      <c r="G3256" s="87">
        <f>VLOOKUP(C3256,HSD!B:K,10,FALSE)</f>
        <v>120000</v>
      </c>
      <c r="H3256" s="87">
        <f>F3256*G3256</f>
        <v>28800</v>
      </c>
      <c r="I3256" s="87">
        <v>91500</v>
      </c>
      <c r="J3256" s="87">
        <f>F3256*I3256</f>
        <v>21960</v>
      </c>
      <c r="K3256" s="87">
        <v>91500</v>
      </c>
      <c r="L3256" s="87">
        <f>F3256*K3256</f>
        <v>21960</v>
      </c>
    </row>
    <row r="3257" spans="1:12" ht="12" customHeight="1" x14ac:dyDescent="0.35">
      <c r="A3257" s="134">
        <v>10142000</v>
      </c>
      <c r="B3257" s="84"/>
      <c r="C3257" s="85" t="s">
        <v>434</v>
      </c>
      <c r="D3257" s="84" t="s">
        <v>418</v>
      </c>
      <c r="E3257" s="84" t="str">
        <f>VLOOKUP(C3257,HSD!B:K,2,FALSE)</f>
        <v>OH</v>
      </c>
      <c r="F3257" s="128">
        <v>0.12</v>
      </c>
      <c r="G3257" s="87">
        <f>VLOOKUP(C3257,HSD!B:K,10,FALSE)</f>
        <v>250000</v>
      </c>
      <c r="H3257" s="87">
        <f>F3257*G3257</f>
        <v>30000</v>
      </c>
      <c r="I3257" s="87"/>
      <c r="J3257" s="87"/>
      <c r="K3257" s="87"/>
      <c r="L3257" s="87"/>
    </row>
    <row r="3258" spans="1:12" ht="12" customHeight="1" x14ac:dyDescent="0.35">
      <c r="A3258" s="134">
        <v>10120000</v>
      </c>
      <c r="B3258" s="84"/>
      <c r="C3258" s="85" t="s">
        <v>27</v>
      </c>
      <c r="D3258" s="84" t="s">
        <v>418</v>
      </c>
      <c r="E3258" s="84" t="str">
        <f>VLOOKUP(C3258,HSD!B:K,2,FALSE)</f>
        <v>OH</v>
      </c>
      <c r="F3258" s="128">
        <f>F3257/10</f>
        <v>1.2E-2</v>
      </c>
      <c r="G3258" s="87">
        <f>VLOOKUP(C3258,HSD!B:K,10,FALSE)</f>
        <v>150000</v>
      </c>
      <c r="H3258" s="87">
        <f>F3258*G3258</f>
        <v>1800</v>
      </c>
      <c r="I3258" s="87"/>
      <c r="J3258" s="87"/>
      <c r="K3258" s="87"/>
      <c r="L3258" s="87"/>
    </row>
    <row r="3259" spans="1:12" ht="12" customHeight="1" x14ac:dyDescent="0.35">
      <c r="A3259" s="134">
        <v>10110000</v>
      </c>
      <c r="B3259" s="84"/>
      <c r="C3259" s="85" t="s">
        <v>30</v>
      </c>
      <c r="D3259" s="84" t="s">
        <v>418</v>
      </c>
      <c r="E3259" s="84" t="str">
        <f>VLOOKUP(C3259,HSD!B:K,2,FALSE)</f>
        <v>OH</v>
      </c>
      <c r="F3259" s="128">
        <f>F3256/10</f>
        <v>2.4E-2</v>
      </c>
      <c r="G3259" s="87">
        <f>VLOOKUP(C3259,HSD!B:K,10,FALSE)</f>
        <v>150000</v>
      </c>
      <c r="H3259" s="87">
        <f>F3259*G3259</f>
        <v>3600</v>
      </c>
      <c r="I3259" s="87">
        <v>92500</v>
      </c>
      <c r="J3259" s="87">
        <f>F3259*I3259</f>
        <v>2220</v>
      </c>
      <c r="K3259" s="87">
        <v>92500</v>
      </c>
      <c r="L3259" s="87">
        <f>F3259*K3259</f>
        <v>2220</v>
      </c>
    </row>
    <row r="3260" spans="1:12" ht="12" customHeight="1" x14ac:dyDescent="0.35">
      <c r="B3260" s="84"/>
      <c r="C3260" s="85"/>
      <c r="D3260" s="84"/>
      <c r="E3260" s="84"/>
      <c r="F3260" s="86"/>
      <c r="G3260" s="87"/>
      <c r="H3260" s="87"/>
      <c r="I3260" s="87"/>
      <c r="J3260" s="87"/>
      <c r="K3260" s="87"/>
      <c r="L3260" s="87"/>
    </row>
    <row r="3261" spans="1:12" ht="12" customHeight="1" x14ac:dyDescent="0.35">
      <c r="B3261" s="84"/>
      <c r="C3261" s="88"/>
      <c r="D3261" s="79"/>
      <c r="E3261" s="79"/>
      <c r="F3261" s="89" t="s">
        <v>421</v>
      </c>
      <c r="G3261" s="101"/>
      <c r="H3261" s="87">
        <f>SUM(H3256:H3260)</f>
        <v>64200</v>
      </c>
      <c r="I3261" s="101"/>
      <c r="J3261" s="87">
        <f>SUM(J3259:J3260)</f>
        <v>2220</v>
      </c>
      <c r="K3261" s="101"/>
      <c r="L3261" s="87">
        <f>SUM(L3259:L3260)</f>
        <v>2220</v>
      </c>
    </row>
    <row r="3262" spans="1:12" ht="12" customHeight="1" x14ac:dyDescent="0.35">
      <c r="B3262" s="84" t="s">
        <v>6</v>
      </c>
      <c r="C3262" s="88" t="s">
        <v>422</v>
      </c>
      <c r="D3262" s="79"/>
      <c r="E3262" s="79"/>
      <c r="F3262" s="90"/>
      <c r="G3262" s="84"/>
      <c r="H3262" s="87"/>
      <c r="I3262" s="84"/>
      <c r="J3262" s="87"/>
      <c r="K3262" s="84"/>
      <c r="L3262" s="87"/>
    </row>
    <row r="3263" spans="1:12" x14ac:dyDescent="0.35">
      <c r="A3263" s="134">
        <v>21924004</v>
      </c>
      <c r="B3263" s="84"/>
      <c r="C3263" s="85" t="s">
        <v>456</v>
      </c>
      <c r="D3263" s="84" t="s">
        <v>418</v>
      </c>
      <c r="E3263" s="84" t="str">
        <f>VLOOKUP(C3263,HSD!B:K,2,FALSE)</f>
        <v>lbr</v>
      </c>
      <c r="F3263" s="128">
        <v>0.128</v>
      </c>
      <c r="G3263" s="87">
        <f>VLOOKUP(C3263,HSD!B:K,10,FALSE)</f>
        <v>288600</v>
      </c>
      <c r="H3263" s="87">
        <f>F3263*G3263</f>
        <v>36940.800000000003</v>
      </c>
      <c r="I3263" s="87">
        <v>232500</v>
      </c>
      <c r="J3263" s="87">
        <f>F3263*I3263</f>
        <v>29760</v>
      </c>
      <c r="K3263" s="87">
        <v>270000</v>
      </c>
      <c r="L3263" s="87">
        <f>F3263*K3263</f>
        <v>34560</v>
      </c>
    </row>
    <row r="3264" spans="1:12" x14ac:dyDescent="0.35">
      <c r="A3264" s="134">
        <v>21401200</v>
      </c>
      <c r="B3264" s="84"/>
      <c r="C3264" s="85" t="s">
        <v>1873</v>
      </c>
      <c r="D3264" s="84" t="s">
        <v>418</v>
      </c>
      <c r="E3264" s="84" t="str">
        <f>VLOOKUP(C3264,HSD!B:K,2,FALSE)</f>
        <v>m3</v>
      </c>
      <c r="F3264" s="128">
        <v>5.0000000000000001E-3</v>
      </c>
      <c r="G3264" s="87">
        <f>VLOOKUP(C3264,HSD!B:K,10,FALSE)</f>
        <v>3885000</v>
      </c>
      <c r="H3264" s="87">
        <f>F3264*G3264</f>
        <v>19425</v>
      </c>
      <c r="I3264" s="87"/>
      <c r="J3264" s="87"/>
      <c r="K3264" s="87"/>
      <c r="L3264" s="87"/>
    </row>
    <row r="3265" spans="1:12" x14ac:dyDescent="0.35">
      <c r="A3265" s="134">
        <v>21911005</v>
      </c>
      <c r="B3265" s="84"/>
      <c r="C3265" s="85" t="s">
        <v>151</v>
      </c>
      <c r="D3265" s="84" t="s">
        <v>418</v>
      </c>
      <c r="E3265" s="84" t="str">
        <f>VLOOKUP(C3265,HSD!B:K,2,FALSE)</f>
        <v>kg</v>
      </c>
      <c r="F3265" s="128">
        <v>0.24</v>
      </c>
      <c r="G3265" s="87">
        <f>VLOOKUP(C3265,HSD!B:K,10,FALSE)</f>
        <v>18426</v>
      </c>
      <c r="H3265" s="87">
        <f>F3265*G3265</f>
        <v>4422.24</v>
      </c>
      <c r="I3265" s="87"/>
      <c r="J3265" s="87"/>
      <c r="K3265" s="87"/>
      <c r="L3265" s="87"/>
    </row>
    <row r="3266" spans="1:12" x14ac:dyDescent="0.35">
      <c r="A3266" s="134">
        <v>21961000</v>
      </c>
      <c r="B3266" s="84"/>
      <c r="C3266" s="85" t="s">
        <v>215</v>
      </c>
      <c r="D3266" s="84" t="s">
        <v>418</v>
      </c>
      <c r="E3266" s="84" t="str">
        <f>VLOOKUP(C3266,HSD!B:K,2,FALSE)</f>
        <v>ltr</v>
      </c>
      <c r="F3266" s="128">
        <v>0.2</v>
      </c>
      <c r="G3266" s="87">
        <f>VLOOKUP(C3266,HSD!B:K,10,FALSE)</f>
        <v>34410</v>
      </c>
      <c r="H3266" s="87">
        <f>F3266*G3266</f>
        <v>6882</v>
      </c>
      <c r="I3266" s="87"/>
      <c r="J3266" s="87"/>
      <c r="K3266" s="87"/>
      <c r="L3266" s="87"/>
    </row>
    <row r="3267" spans="1:12" ht="12" customHeight="1" x14ac:dyDescent="0.35">
      <c r="B3267" s="84"/>
      <c r="C3267" s="88"/>
      <c r="D3267" s="79"/>
      <c r="E3267" s="79"/>
      <c r="F3267" s="129" t="s">
        <v>423</v>
      </c>
      <c r="G3267" s="129"/>
      <c r="H3267" s="87">
        <f>SUM(H3263:H3266)</f>
        <v>67670.040000000008</v>
      </c>
      <c r="I3267" s="101"/>
      <c r="J3267" s="87" t="e">
        <f>SUM(#REF!)</f>
        <v>#REF!</v>
      </c>
      <c r="K3267" s="101"/>
      <c r="L3267" s="87" t="e">
        <f>SUM(#REF!)</f>
        <v>#REF!</v>
      </c>
    </row>
    <row r="3268" spans="1:12" ht="12" customHeight="1" x14ac:dyDescent="0.35">
      <c r="B3268" s="84" t="s">
        <v>7</v>
      </c>
      <c r="C3268" s="88" t="s">
        <v>424</v>
      </c>
      <c r="D3268" s="79"/>
      <c r="E3268" s="79"/>
      <c r="F3268" s="90"/>
      <c r="G3268" s="84"/>
      <c r="H3268" s="87"/>
      <c r="I3268" s="84"/>
      <c r="J3268" s="87"/>
      <c r="K3268" s="84"/>
      <c r="L3268" s="87"/>
    </row>
    <row r="3269" spans="1:12" ht="12" customHeight="1" x14ac:dyDescent="0.35">
      <c r="B3269" s="84"/>
      <c r="C3269" s="85"/>
      <c r="D3269" s="84"/>
      <c r="E3269" s="84"/>
      <c r="F3269" s="128"/>
      <c r="G3269" s="87"/>
      <c r="H3269" s="87">
        <f>F3269*G3269</f>
        <v>0</v>
      </c>
      <c r="I3269" s="87"/>
      <c r="J3269" s="87">
        <f>H3269*I3269</f>
        <v>0</v>
      </c>
      <c r="K3269" s="87"/>
      <c r="L3269" s="87">
        <f>J3269*K3269</f>
        <v>0</v>
      </c>
    </row>
    <row r="3270" spans="1:12" ht="12" customHeight="1" x14ac:dyDescent="0.35">
      <c r="B3270" s="84"/>
      <c r="C3270" s="85"/>
      <c r="D3270" s="84"/>
      <c r="E3270" s="84"/>
      <c r="F3270" s="128"/>
      <c r="G3270" s="87"/>
      <c r="H3270" s="87">
        <f>F3270*G3270</f>
        <v>0</v>
      </c>
      <c r="I3270" s="87"/>
      <c r="J3270" s="87"/>
      <c r="K3270" s="87"/>
      <c r="L3270" s="87"/>
    </row>
    <row r="3271" spans="1:12" ht="12" customHeight="1" x14ac:dyDescent="0.35">
      <c r="B3271" s="84"/>
      <c r="C3271" s="85"/>
      <c r="D3271" s="84"/>
      <c r="E3271" s="84"/>
      <c r="F3271" s="128"/>
      <c r="G3271" s="87"/>
      <c r="H3271" s="87">
        <f>F3271*G3271</f>
        <v>0</v>
      </c>
      <c r="I3271" s="87"/>
      <c r="J3271" s="87"/>
      <c r="K3271" s="87"/>
      <c r="L3271" s="87"/>
    </row>
    <row r="3272" spans="1:12" ht="12" customHeight="1" x14ac:dyDescent="0.35">
      <c r="B3272" s="84"/>
      <c r="C3272" s="88"/>
      <c r="D3272" s="79"/>
      <c r="E3272" s="79"/>
      <c r="F3272" s="89" t="s">
        <v>425</v>
      </c>
      <c r="G3272" s="101"/>
      <c r="H3272" s="87">
        <f>SUM(H3269:H3271)</f>
        <v>0</v>
      </c>
      <c r="I3272" s="101"/>
      <c r="J3272" s="87">
        <f>SUM(J3269)</f>
        <v>0</v>
      </c>
      <c r="K3272" s="101"/>
      <c r="L3272" s="87">
        <f>SUM(L3269)</f>
        <v>0</v>
      </c>
    </row>
    <row r="3273" spans="1:12" ht="12" customHeight="1" x14ac:dyDescent="0.35">
      <c r="B3273" s="84" t="s">
        <v>8</v>
      </c>
      <c r="C3273" s="103" t="s">
        <v>426</v>
      </c>
      <c r="D3273" s="104"/>
      <c r="E3273" s="104"/>
      <c r="F3273" s="104"/>
      <c r="G3273" s="105"/>
      <c r="H3273" s="87">
        <f>H3261+H3267+H3272</f>
        <v>131870.04</v>
      </c>
      <c r="I3273" s="105"/>
      <c r="J3273" s="87" t="e">
        <f>J3261+J3267+J3272</f>
        <v>#REF!</v>
      </c>
      <c r="K3273" s="105"/>
      <c r="L3273" s="87" t="e">
        <f>L3261+L3267+L3272</f>
        <v>#REF!</v>
      </c>
    </row>
    <row r="3274" spans="1:12" ht="12" customHeight="1" x14ac:dyDescent="0.35">
      <c r="B3274" s="84" t="s">
        <v>9</v>
      </c>
      <c r="C3274" s="455" t="s">
        <v>427</v>
      </c>
      <c r="D3274" s="455"/>
      <c r="E3274" s="455"/>
      <c r="F3274" s="95">
        <f>0</f>
        <v>0</v>
      </c>
      <c r="G3274" s="85" t="s">
        <v>428</v>
      </c>
      <c r="H3274" s="87">
        <f>H3273*F3274</f>
        <v>0</v>
      </c>
      <c r="I3274" s="85" t="s">
        <v>428</v>
      </c>
      <c r="J3274" s="87" t="e">
        <f>J3273*F3274</f>
        <v>#REF!</v>
      </c>
      <c r="K3274" s="85" t="s">
        <v>428</v>
      </c>
      <c r="L3274" s="87" t="e">
        <f>L3273*F3274</f>
        <v>#REF!</v>
      </c>
    </row>
    <row r="3275" spans="1:12" ht="12" customHeight="1" x14ac:dyDescent="0.35">
      <c r="B3275" s="84" t="s">
        <v>10</v>
      </c>
      <c r="C3275" s="103" t="s">
        <v>429</v>
      </c>
      <c r="D3275" s="104"/>
      <c r="E3275" s="104"/>
      <c r="F3275" s="104"/>
      <c r="G3275" s="105"/>
      <c r="H3275" s="96">
        <f>H3273+H3274</f>
        <v>131870.04</v>
      </c>
      <c r="I3275" s="97"/>
      <c r="J3275" s="96" t="e">
        <f>J3273+J3274</f>
        <v>#REF!</v>
      </c>
      <c r="K3275" s="97"/>
      <c r="L3275" s="96" t="e">
        <f>L3273+L3274</f>
        <v>#REF!</v>
      </c>
    </row>
    <row r="3276" spans="1:12" x14ac:dyDescent="0.35">
      <c r="B3276" s="75" t="s">
        <v>806</v>
      </c>
    </row>
    <row r="3277" spans="1:12" ht="14" customHeight="1" x14ac:dyDescent="0.35"/>
    <row r="3278" spans="1:12" ht="37" customHeight="1" x14ac:dyDescent="0.35">
      <c r="B3278" s="76" t="s">
        <v>837</v>
      </c>
      <c r="C3278" s="458" t="s">
        <v>838</v>
      </c>
      <c r="D3278" s="459"/>
      <c r="E3278" s="459"/>
      <c r="F3278" s="459"/>
      <c r="G3278" s="456"/>
      <c r="H3278" s="457"/>
      <c r="I3278" s="455" t="s">
        <v>3</v>
      </c>
      <c r="J3278" s="455"/>
      <c r="K3278" s="455" t="s">
        <v>4</v>
      </c>
      <c r="L3278" s="455"/>
    </row>
    <row r="3279" spans="1:12" ht="12" customHeight="1" x14ac:dyDescent="0.35">
      <c r="B3279" s="451" t="s">
        <v>409</v>
      </c>
      <c r="C3279" s="451" t="s">
        <v>410</v>
      </c>
      <c r="D3279" s="452" t="s">
        <v>411</v>
      </c>
      <c r="E3279" s="451" t="s">
        <v>412</v>
      </c>
      <c r="F3279" s="451" t="s">
        <v>413</v>
      </c>
      <c r="G3279" s="77" t="s">
        <v>414</v>
      </c>
      <c r="H3279" s="77" t="s">
        <v>415</v>
      </c>
      <c r="I3279" s="78" t="s">
        <v>414</v>
      </c>
      <c r="J3279" s="79" t="s">
        <v>415</v>
      </c>
      <c r="K3279" s="79" t="s">
        <v>414</v>
      </c>
      <c r="L3279" s="79" t="s">
        <v>415</v>
      </c>
    </row>
    <row r="3280" spans="1:12" ht="12" customHeight="1" x14ac:dyDescent="0.35">
      <c r="B3280" s="451"/>
      <c r="C3280" s="451"/>
      <c r="D3280" s="453"/>
      <c r="E3280" s="451"/>
      <c r="F3280" s="451"/>
      <c r="G3280" s="77" t="s">
        <v>17</v>
      </c>
      <c r="H3280" s="77" t="s">
        <v>416</v>
      </c>
      <c r="I3280" s="78" t="s">
        <v>17</v>
      </c>
      <c r="J3280" s="79" t="s">
        <v>416</v>
      </c>
      <c r="K3280" s="79" t="s">
        <v>17</v>
      </c>
      <c r="L3280" s="79" t="s">
        <v>416</v>
      </c>
    </row>
    <row r="3281" spans="1:12" ht="12" customHeight="1" x14ac:dyDescent="0.35">
      <c r="B3281" s="451"/>
      <c r="C3281" s="451"/>
      <c r="D3281" s="454"/>
      <c r="E3281" s="451"/>
      <c r="F3281" s="451"/>
      <c r="G3281" s="106"/>
      <c r="H3281" s="77" t="s">
        <v>17</v>
      </c>
      <c r="I3281" s="94"/>
      <c r="J3281" s="79" t="s">
        <v>17</v>
      </c>
      <c r="K3281" s="85"/>
      <c r="L3281" s="79" t="s">
        <v>17</v>
      </c>
    </row>
    <row r="3282" spans="1:12" ht="12" customHeight="1" x14ac:dyDescent="0.35">
      <c r="B3282" s="80" t="s">
        <v>5</v>
      </c>
      <c r="C3282" s="81" t="s">
        <v>417</v>
      </c>
      <c r="D3282" s="82"/>
      <c r="E3282" s="82"/>
      <c r="F3282" s="82"/>
      <c r="G3282" s="82"/>
      <c r="H3282" s="82"/>
      <c r="I3282" s="83"/>
      <c r="J3282" s="83"/>
      <c r="K3282" s="83"/>
      <c r="L3282" s="83"/>
    </row>
    <row r="3283" spans="1:12" ht="12" customHeight="1" x14ac:dyDescent="0.35">
      <c r="A3283" s="134">
        <v>10130000</v>
      </c>
      <c r="B3283" s="84"/>
      <c r="C3283" s="85" t="s">
        <v>28</v>
      </c>
      <c r="D3283" s="84" t="s">
        <v>418</v>
      </c>
      <c r="E3283" s="84" t="str">
        <f>VLOOKUP(C3283,HSD!B:K,2,FALSE)</f>
        <v>OH</v>
      </c>
      <c r="F3283" s="128">
        <v>0.36</v>
      </c>
      <c r="G3283" s="87">
        <f>VLOOKUP(C3283,HSD!B:K,10,FALSE)</f>
        <v>120000</v>
      </c>
      <c r="H3283" s="87">
        <f>F3283*G3283</f>
        <v>43200</v>
      </c>
      <c r="I3283" s="87">
        <v>91500</v>
      </c>
      <c r="J3283" s="87">
        <f>F3283*I3283</f>
        <v>32940</v>
      </c>
      <c r="K3283" s="87">
        <v>91500</v>
      </c>
      <c r="L3283" s="87">
        <f>F3283*K3283</f>
        <v>32940</v>
      </c>
    </row>
    <row r="3284" spans="1:12" ht="12" customHeight="1" x14ac:dyDescent="0.35">
      <c r="A3284" s="134">
        <v>10142000</v>
      </c>
      <c r="B3284" s="84"/>
      <c r="C3284" s="85" t="s">
        <v>434</v>
      </c>
      <c r="D3284" s="84" t="s">
        <v>418</v>
      </c>
      <c r="E3284" s="84" t="str">
        <f>VLOOKUP(C3284,HSD!B:K,2,FALSE)</f>
        <v>OH</v>
      </c>
      <c r="F3284" s="128">
        <v>0.36</v>
      </c>
      <c r="G3284" s="87">
        <f>VLOOKUP(C3284,HSD!B:K,10,FALSE)</f>
        <v>250000</v>
      </c>
      <c r="H3284" s="87">
        <f>F3284*G3284</f>
        <v>90000</v>
      </c>
      <c r="I3284" s="87"/>
      <c r="J3284" s="87"/>
      <c r="K3284" s="87"/>
      <c r="L3284" s="87"/>
    </row>
    <row r="3285" spans="1:12" ht="12" customHeight="1" x14ac:dyDescent="0.35">
      <c r="A3285" s="134">
        <v>10120000</v>
      </c>
      <c r="B3285" s="84"/>
      <c r="C3285" s="85" t="s">
        <v>27</v>
      </c>
      <c r="D3285" s="84" t="s">
        <v>418</v>
      </c>
      <c r="E3285" s="84" t="str">
        <f>VLOOKUP(C3285,HSD!B:K,2,FALSE)</f>
        <v>OH</v>
      </c>
      <c r="F3285" s="128">
        <f>F3284/10</f>
        <v>3.5999999999999997E-2</v>
      </c>
      <c r="G3285" s="87">
        <f>VLOOKUP(C3285,HSD!B:K,10,FALSE)</f>
        <v>150000</v>
      </c>
      <c r="H3285" s="87">
        <f>F3285*G3285</f>
        <v>5400</v>
      </c>
      <c r="I3285" s="87"/>
      <c r="J3285" s="87"/>
      <c r="K3285" s="87"/>
      <c r="L3285" s="87"/>
    </row>
    <row r="3286" spans="1:12" ht="12" customHeight="1" x14ac:dyDescent="0.35">
      <c r="A3286" s="134">
        <v>10110000</v>
      </c>
      <c r="B3286" s="84"/>
      <c r="C3286" s="85" t="s">
        <v>30</v>
      </c>
      <c r="D3286" s="84" t="s">
        <v>418</v>
      </c>
      <c r="E3286" s="84" t="str">
        <f>VLOOKUP(C3286,HSD!B:K,2,FALSE)</f>
        <v>OH</v>
      </c>
      <c r="F3286" s="128">
        <f>F3283/10</f>
        <v>3.5999999999999997E-2</v>
      </c>
      <c r="G3286" s="87">
        <f>VLOOKUP(C3286,HSD!B:K,10,FALSE)</f>
        <v>150000</v>
      </c>
      <c r="H3286" s="87">
        <f>F3286*G3286</f>
        <v>5400</v>
      </c>
      <c r="I3286" s="87">
        <v>92500</v>
      </c>
      <c r="J3286" s="87">
        <f>F3286*I3286</f>
        <v>3329.9999999999995</v>
      </c>
      <c r="K3286" s="87">
        <v>92500</v>
      </c>
      <c r="L3286" s="87">
        <f>F3286*K3286</f>
        <v>3329.9999999999995</v>
      </c>
    </row>
    <row r="3287" spans="1:12" ht="12" customHeight="1" x14ac:dyDescent="0.35">
      <c r="B3287" s="84"/>
      <c r="C3287" s="85"/>
      <c r="D3287" s="84"/>
      <c r="E3287" s="84"/>
      <c r="F3287" s="86"/>
      <c r="G3287" s="87"/>
      <c r="H3287" s="87"/>
      <c r="I3287" s="87"/>
      <c r="J3287" s="87"/>
      <c r="K3287" s="87"/>
      <c r="L3287" s="87"/>
    </row>
    <row r="3288" spans="1:12" ht="12" customHeight="1" x14ac:dyDescent="0.35">
      <c r="B3288" s="84"/>
      <c r="C3288" s="88"/>
      <c r="D3288" s="79"/>
      <c r="E3288" s="79"/>
      <c r="F3288" s="89" t="s">
        <v>421</v>
      </c>
      <c r="G3288" s="101"/>
      <c r="H3288" s="87">
        <f>SUM(H3283:H3287)</f>
        <v>144000</v>
      </c>
      <c r="I3288" s="101"/>
      <c r="J3288" s="87">
        <f>SUM(J3286:J3287)</f>
        <v>3329.9999999999995</v>
      </c>
      <c r="K3288" s="101"/>
      <c r="L3288" s="87">
        <f>SUM(L3286:L3287)</f>
        <v>3329.9999999999995</v>
      </c>
    </row>
    <row r="3289" spans="1:12" ht="12" customHeight="1" x14ac:dyDescent="0.35">
      <c r="B3289" s="84" t="s">
        <v>6</v>
      </c>
      <c r="C3289" s="88" t="s">
        <v>422</v>
      </c>
      <c r="D3289" s="79"/>
      <c r="E3289" s="79"/>
      <c r="F3289" s="90"/>
      <c r="G3289" s="84"/>
      <c r="H3289" s="87"/>
      <c r="I3289" s="84"/>
      <c r="J3289" s="87"/>
      <c r="K3289" s="84"/>
      <c r="L3289" s="87"/>
    </row>
    <row r="3290" spans="1:12" x14ac:dyDescent="0.35">
      <c r="A3290" s="134">
        <v>21924004</v>
      </c>
      <c r="B3290" s="84"/>
      <c r="C3290" s="85" t="s">
        <v>456</v>
      </c>
      <c r="D3290" s="84" t="s">
        <v>418</v>
      </c>
      <c r="E3290" s="84" t="str">
        <f>VLOOKUP(C3290,HSD!B:K,2,FALSE)</f>
        <v>lbr</v>
      </c>
      <c r="F3290" s="128">
        <v>0.128</v>
      </c>
      <c r="G3290" s="87">
        <f>VLOOKUP(C3290,HSD!B:K,10,FALSE)</f>
        <v>288600</v>
      </c>
      <c r="H3290" s="87">
        <f>F3290*G3290</f>
        <v>36940.800000000003</v>
      </c>
      <c r="I3290" s="87">
        <v>232500</v>
      </c>
      <c r="J3290" s="87">
        <f>F3290*I3290</f>
        <v>29760</v>
      </c>
      <c r="K3290" s="87">
        <v>270000</v>
      </c>
      <c r="L3290" s="87">
        <f>F3290*K3290</f>
        <v>34560</v>
      </c>
    </row>
    <row r="3291" spans="1:12" x14ac:dyDescent="0.35">
      <c r="A3291" s="134">
        <v>21401200</v>
      </c>
      <c r="B3291" s="84"/>
      <c r="C3291" s="85" t="s">
        <v>1873</v>
      </c>
      <c r="D3291" s="84" t="s">
        <v>418</v>
      </c>
      <c r="E3291" s="84" t="str">
        <f>VLOOKUP(C3291,HSD!B:K,2,FALSE)</f>
        <v>m3</v>
      </c>
      <c r="F3291" s="128">
        <v>7.0000000000000001E-3</v>
      </c>
      <c r="G3291" s="87">
        <f>VLOOKUP(C3291,HSD!B:K,10,FALSE)</f>
        <v>3885000</v>
      </c>
      <c r="H3291" s="87">
        <f>F3291*G3291</f>
        <v>27195</v>
      </c>
      <c r="I3291" s="87"/>
      <c r="J3291" s="87"/>
      <c r="K3291" s="87"/>
      <c r="L3291" s="87"/>
    </row>
    <row r="3292" spans="1:12" x14ac:dyDescent="0.35">
      <c r="A3292" s="134">
        <v>21911005</v>
      </c>
      <c r="B3292" s="84"/>
      <c r="C3292" s="85" t="s">
        <v>151</v>
      </c>
      <c r="D3292" s="84" t="s">
        <v>418</v>
      </c>
      <c r="E3292" s="84" t="str">
        <f>VLOOKUP(C3292,HSD!B:K,2,FALSE)</f>
        <v>kg</v>
      </c>
      <c r="F3292" s="128">
        <v>0.3</v>
      </c>
      <c r="G3292" s="87">
        <f>VLOOKUP(C3292,HSD!B:K,10,FALSE)</f>
        <v>18426</v>
      </c>
      <c r="H3292" s="87">
        <f>F3292*G3292</f>
        <v>5527.8</v>
      </c>
      <c r="I3292" s="87"/>
      <c r="J3292" s="87"/>
      <c r="K3292" s="87"/>
      <c r="L3292" s="87"/>
    </row>
    <row r="3293" spans="1:12" x14ac:dyDescent="0.35">
      <c r="A3293" s="134">
        <v>21961000</v>
      </c>
      <c r="B3293" s="84"/>
      <c r="C3293" s="85" t="s">
        <v>215</v>
      </c>
      <c r="D3293" s="84" t="s">
        <v>418</v>
      </c>
      <c r="E3293" s="84" t="str">
        <f>VLOOKUP(C3293,HSD!B:K,2,FALSE)</f>
        <v>ltr</v>
      </c>
      <c r="F3293" s="128">
        <v>0.2</v>
      </c>
      <c r="G3293" s="87">
        <f>VLOOKUP(C3293,HSD!B:K,10,FALSE)</f>
        <v>34410</v>
      </c>
      <c r="H3293" s="87">
        <f>F3293*G3293</f>
        <v>6882</v>
      </c>
      <c r="I3293" s="87"/>
      <c r="J3293" s="87"/>
      <c r="K3293" s="87"/>
      <c r="L3293" s="87"/>
    </row>
    <row r="3294" spans="1:12" ht="12" customHeight="1" x14ac:dyDescent="0.35">
      <c r="B3294" s="84"/>
      <c r="C3294" s="88"/>
      <c r="D3294" s="79"/>
      <c r="E3294" s="79"/>
      <c r="F3294" s="129" t="s">
        <v>423</v>
      </c>
      <c r="G3294" s="129"/>
      <c r="H3294" s="87">
        <f>SUM(H3290:H3293)</f>
        <v>76545.600000000006</v>
      </c>
      <c r="I3294" s="101"/>
      <c r="J3294" s="87" t="e">
        <f>SUM(#REF!)</f>
        <v>#REF!</v>
      </c>
      <c r="K3294" s="101"/>
      <c r="L3294" s="87" t="e">
        <f>SUM(#REF!)</f>
        <v>#REF!</v>
      </c>
    </row>
    <row r="3295" spans="1:12" ht="12" customHeight="1" x14ac:dyDescent="0.35">
      <c r="B3295" s="84" t="s">
        <v>7</v>
      </c>
      <c r="C3295" s="88" t="s">
        <v>424</v>
      </c>
      <c r="D3295" s="79"/>
      <c r="E3295" s="79"/>
      <c r="F3295" s="90"/>
      <c r="G3295" s="84"/>
      <c r="H3295" s="87"/>
      <c r="I3295" s="84"/>
      <c r="J3295" s="87"/>
      <c r="K3295" s="84"/>
      <c r="L3295" s="87"/>
    </row>
    <row r="3296" spans="1:12" ht="12" customHeight="1" x14ac:dyDescent="0.35">
      <c r="B3296" s="84"/>
      <c r="C3296" s="85"/>
      <c r="D3296" s="84"/>
      <c r="E3296" s="84"/>
      <c r="F3296" s="128"/>
      <c r="G3296" s="87"/>
      <c r="H3296" s="87">
        <f>F3296*G3296</f>
        <v>0</v>
      </c>
      <c r="I3296" s="87"/>
      <c r="J3296" s="87">
        <f>H3296*I3296</f>
        <v>0</v>
      </c>
      <c r="K3296" s="87"/>
      <c r="L3296" s="87">
        <f>J3296*K3296</f>
        <v>0</v>
      </c>
    </row>
    <row r="3297" spans="1:12" ht="12" customHeight="1" x14ac:dyDescent="0.35">
      <c r="B3297" s="84"/>
      <c r="C3297" s="85"/>
      <c r="D3297" s="84"/>
      <c r="E3297" s="84"/>
      <c r="F3297" s="128"/>
      <c r="G3297" s="87"/>
      <c r="H3297" s="87">
        <f>F3297*G3297</f>
        <v>0</v>
      </c>
      <c r="I3297" s="87"/>
      <c r="J3297" s="87"/>
      <c r="K3297" s="87"/>
      <c r="L3297" s="87"/>
    </row>
    <row r="3298" spans="1:12" ht="12" customHeight="1" x14ac:dyDescent="0.35">
      <c r="B3298" s="84"/>
      <c r="C3298" s="85"/>
      <c r="D3298" s="84"/>
      <c r="E3298" s="84"/>
      <c r="F3298" s="128"/>
      <c r="G3298" s="87"/>
      <c r="H3298" s="87">
        <f>F3298*G3298</f>
        <v>0</v>
      </c>
      <c r="I3298" s="87"/>
      <c r="J3298" s="87"/>
      <c r="K3298" s="87"/>
      <c r="L3298" s="87"/>
    </row>
    <row r="3299" spans="1:12" ht="12" customHeight="1" x14ac:dyDescent="0.35">
      <c r="B3299" s="84"/>
      <c r="C3299" s="88"/>
      <c r="D3299" s="79"/>
      <c r="E3299" s="79"/>
      <c r="F3299" s="89" t="s">
        <v>425</v>
      </c>
      <c r="G3299" s="101"/>
      <c r="H3299" s="87">
        <f>SUM(H3296:H3298)</f>
        <v>0</v>
      </c>
      <c r="I3299" s="101"/>
      <c r="J3299" s="87">
        <f>SUM(J3296)</f>
        <v>0</v>
      </c>
      <c r="K3299" s="101"/>
      <c r="L3299" s="87">
        <f>SUM(L3296)</f>
        <v>0</v>
      </c>
    </row>
    <row r="3300" spans="1:12" ht="12" customHeight="1" x14ac:dyDescent="0.35">
      <c r="B3300" s="84" t="s">
        <v>8</v>
      </c>
      <c r="C3300" s="103" t="s">
        <v>426</v>
      </c>
      <c r="D3300" s="104"/>
      <c r="E3300" s="104"/>
      <c r="F3300" s="104"/>
      <c r="G3300" s="105"/>
      <c r="H3300" s="87">
        <f>H3288+H3294+H3299</f>
        <v>220545.6</v>
      </c>
      <c r="I3300" s="105"/>
      <c r="J3300" s="87" t="e">
        <f>J3288+J3294+J3299</f>
        <v>#REF!</v>
      </c>
      <c r="K3300" s="105"/>
      <c r="L3300" s="87" t="e">
        <f>L3288+L3294+L3299</f>
        <v>#REF!</v>
      </c>
    </row>
    <row r="3301" spans="1:12" ht="12" customHeight="1" x14ac:dyDescent="0.35">
      <c r="B3301" s="84" t="s">
        <v>9</v>
      </c>
      <c r="C3301" s="455" t="s">
        <v>427</v>
      </c>
      <c r="D3301" s="455"/>
      <c r="E3301" s="455"/>
      <c r="F3301" s="95">
        <f>0</f>
        <v>0</v>
      </c>
      <c r="G3301" s="85" t="s">
        <v>428</v>
      </c>
      <c r="H3301" s="87">
        <f>H3300*F3301</f>
        <v>0</v>
      </c>
      <c r="I3301" s="85" t="s">
        <v>428</v>
      </c>
      <c r="J3301" s="87" t="e">
        <f>J3300*F3301</f>
        <v>#REF!</v>
      </c>
      <c r="K3301" s="85" t="s">
        <v>428</v>
      </c>
      <c r="L3301" s="87" t="e">
        <f>L3300*F3301</f>
        <v>#REF!</v>
      </c>
    </row>
    <row r="3302" spans="1:12" ht="12" customHeight="1" x14ac:dyDescent="0.35">
      <c r="B3302" s="84" t="s">
        <v>10</v>
      </c>
      <c r="C3302" s="103" t="s">
        <v>429</v>
      </c>
      <c r="D3302" s="104"/>
      <c r="E3302" s="104"/>
      <c r="F3302" s="104"/>
      <c r="G3302" s="105"/>
      <c r="H3302" s="96">
        <f>H3300+H3301</f>
        <v>220545.6</v>
      </c>
      <c r="I3302" s="97"/>
      <c r="J3302" s="96" t="e">
        <f>J3300+J3301</f>
        <v>#REF!</v>
      </c>
      <c r="K3302" s="97"/>
      <c r="L3302" s="96" t="e">
        <f>L3300+L3301</f>
        <v>#REF!</v>
      </c>
    </row>
    <row r="3303" spans="1:12" x14ac:dyDescent="0.35">
      <c r="B3303" s="75" t="s">
        <v>806</v>
      </c>
    </row>
    <row r="3304" spans="1:12" ht="14" customHeight="1" x14ac:dyDescent="0.35"/>
    <row r="3305" spans="1:12" ht="37" customHeight="1" x14ac:dyDescent="0.35">
      <c r="B3305" s="76" t="s">
        <v>839</v>
      </c>
      <c r="C3305" s="458" t="s">
        <v>840</v>
      </c>
      <c r="D3305" s="459"/>
      <c r="E3305" s="459"/>
      <c r="F3305" s="459"/>
      <c r="G3305" s="456"/>
      <c r="H3305" s="457"/>
      <c r="I3305" s="455" t="s">
        <v>3</v>
      </c>
      <c r="J3305" s="455"/>
      <c r="K3305" s="455" t="s">
        <v>4</v>
      </c>
      <c r="L3305" s="455"/>
    </row>
    <row r="3306" spans="1:12" ht="12" customHeight="1" x14ac:dyDescent="0.35">
      <c r="B3306" s="451" t="s">
        <v>409</v>
      </c>
      <c r="C3306" s="451" t="s">
        <v>410</v>
      </c>
      <c r="D3306" s="452" t="s">
        <v>411</v>
      </c>
      <c r="E3306" s="451" t="s">
        <v>412</v>
      </c>
      <c r="F3306" s="451" t="s">
        <v>413</v>
      </c>
      <c r="G3306" s="77" t="s">
        <v>414</v>
      </c>
      <c r="H3306" s="77" t="s">
        <v>415</v>
      </c>
      <c r="I3306" s="78" t="s">
        <v>414</v>
      </c>
      <c r="J3306" s="79" t="s">
        <v>415</v>
      </c>
      <c r="K3306" s="79" t="s">
        <v>414</v>
      </c>
      <c r="L3306" s="79" t="s">
        <v>415</v>
      </c>
    </row>
    <row r="3307" spans="1:12" ht="12" customHeight="1" x14ac:dyDescent="0.35">
      <c r="B3307" s="451"/>
      <c r="C3307" s="451"/>
      <c r="D3307" s="453"/>
      <c r="E3307" s="451"/>
      <c r="F3307" s="451"/>
      <c r="G3307" s="77" t="s">
        <v>17</v>
      </c>
      <c r="H3307" s="77" t="s">
        <v>416</v>
      </c>
      <c r="I3307" s="78" t="s">
        <v>17</v>
      </c>
      <c r="J3307" s="79" t="s">
        <v>416</v>
      </c>
      <c r="K3307" s="79" t="s">
        <v>17</v>
      </c>
      <c r="L3307" s="79" t="s">
        <v>416</v>
      </c>
    </row>
    <row r="3308" spans="1:12" ht="12" customHeight="1" x14ac:dyDescent="0.35">
      <c r="B3308" s="451"/>
      <c r="C3308" s="451"/>
      <c r="D3308" s="454"/>
      <c r="E3308" s="451"/>
      <c r="F3308" s="451"/>
      <c r="G3308" s="106"/>
      <c r="H3308" s="77" t="s">
        <v>17</v>
      </c>
      <c r="I3308" s="94"/>
      <c r="J3308" s="79" t="s">
        <v>17</v>
      </c>
      <c r="K3308" s="85"/>
      <c r="L3308" s="79" t="s">
        <v>17</v>
      </c>
    </row>
    <row r="3309" spans="1:12" ht="12" customHeight="1" x14ac:dyDescent="0.35">
      <c r="B3309" s="80" t="s">
        <v>5</v>
      </c>
      <c r="C3309" s="81" t="s">
        <v>417</v>
      </c>
      <c r="D3309" s="82"/>
      <c r="E3309" s="82"/>
      <c r="F3309" s="82"/>
      <c r="G3309" s="82"/>
      <c r="H3309" s="82"/>
      <c r="I3309" s="83"/>
      <c r="J3309" s="83"/>
      <c r="K3309" s="83"/>
      <c r="L3309" s="83"/>
    </row>
    <row r="3310" spans="1:12" ht="12" customHeight="1" x14ac:dyDescent="0.35">
      <c r="A3310" s="134">
        <v>10130000</v>
      </c>
      <c r="B3310" s="84"/>
      <c r="C3310" s="85" t="s">
        <v>28</v>
      </c>
      <c r="D3310" s="84" t="s">
        <v>418</v>
      </c>
      <c r="E3310" s="84" t="str">
        <f>VLOOKUP(C3310,HSD!B:K,2,FALSE)</f>
        <v>OH</v>
      </c>
      <c r="F3310" s="128">
        <v>0.36</v>
      </c>
      <c r="G3310" s="87">
        <f>VLOOKUP(C3310,HSD!B:K,10,FALSE)</f>
        <v>120000</v>
      </c>
      <c r="H3310" s="87">
        <f>F3310*G3310</f>
        <v>43200</v>
      </c>
      <c r="I3310" s="87">
        <v>91500</v>
      </c>
      <c r="J3310" s="87">
        <f>F3310*I3310</f>
        <v>32940</v>
      </c>
      <c r="K3310" s="87">
        <v>91500</v>
      </c>
      <c r="L3310" s="87">
        <f>F3310*K3310</f>
        <v>32940</v>
      </c>
    </row>
    <row r="3311" spans="1:12" ht="12" customHeight="1" x14ac:dyDescent="0.35">
      <c r="A3311" s="134">
        <v>10142000</v>
      </c>
      <c r="B3311" s="84"/>
      <c r="C3311" s="85" t="s">
        <v>434</v>
      </c>
      <c r="D3311" s="84" t="s">
        <v>418</v>
      </c>
      <c r="E3311" s="84" t="str">
        <f>VLOOKUP(C3311,HSD!B:K,2,FALSE)</f>
        <v>OH</v>
      </c>
      <c r="F3311" s="128">
        <v>0.18</v>
      </c>
      <c r="G3311" s="87">
        <f>VLOOKUP(C3311,HSD!B:K,10,FALSE)</f>
        <v>250000</v>
      </c>
      <c r="H3311" s="87">
        <f>F3311*G3311</f>
        <v>45000</v>
      </c>
      <c r="I3311" s="87"/>
      <c r="J3311" s="87"/>
      <c r="K3311" s="87"/>
      <c r="L3311" s="87"/>
    </row>
    <row r="3312" spans="1:12" ht="12" customHeight="1" x14ac:dyDescent="0.35">
      <c r="A3312" s="134">
        <v>10120000</v>
      </c>
      <c r="B3312" s="84"/>
      <c r="C3312" s="85" t="s">
        <v>27</v>
      </c>
      <c r="D3312" s="84" t="s">
        <v>418</v>
      </c>
      <c r="E3312" s="84" t="str">
        <f>VLOOKUP(C3312,HSD!B:K,2,FALSE)</f>
        <v>OH</v>
      </c>
      <c r="F3312" s="128">
        <f>F3311/10</f>
        <v>1.7999999999999999E-2</v>
      </c>
      <c r="G3312" s="87">
        <f>VLOOKUP(C3312,HSD!B:K,10,FALSE)</f>
        <v>150000</v>
      </c>
      <c r="H3312" s="87">
        <f>F3312*G3312</f>
        <v>2700</v>
      </c>
      <c r="I3312" s="87"/>
      <c r="J3312" s="87"/>
      <c r="K3312" s="87"/>
      <c r="L3312" s="87"/>
    </row>
    <row r="3313" spans="1:12" ht="12" customHeight="1" x14ac:dyDescent="0.35">
      <c r="A3313" s="134">
        <v>10110000</v>
      </c>
      <c r="B3313" s="84"/>
      <c r="C3313" s="85" t="s">
        <v>30</v>
      </c>
      <c r="D3313" s="84" t="s">
        <v>418</v>
      </c>
      <c r="E3313" s="84" t="str">
        <f>VLOOKUP(C3313,HSD!B:K,2,FALSE)</f>
        <v>OH</v>
      </c>
      <c r="F3313" s="128">
        <f>F3310/10</f>
        <v>3.5999999999999997E-2</v>
      </c>
      <c r="G3313" s="87">
        <f>VLOOKUP(C3313,HSD!B:K,10,FALSE)</f>
        <v>150000</v>
      </c>
      <c r="H3313" s="87">
        <f>F3313*G3313</f>
        <v>5400</v>
      </c>
      <c r="I3313" s="87">
        <v>92500</v>
      </c>
      <c r="J3313" s="87">
        <f>F3313*I3313</f>
        <v>3329.9999999999995</v>
      </c>
      <c r="K3313" s="87">
        <v>92500</v>
      </c>
      <c r="L3313" s="87">
        <f>F3313*K3313</f>
        <v>3329.9999999999995</v>
      </c>
    </row>
    <row r="3314" spans="1:12" ht="12" customHeight="1" x14ac:dyDescent="0.35">
      <c r="B3314" s="84"/>
      <c r="C3314" s="85"/>
      <c r="D3314" s="84"/>
      <c r="E3314" s="84"/>
      <c r="F3314" s="86"/>
      <c r="G3314" s="87"/>
      <c r="H3314" s="87"/>
      <c r="I3314" s="87"/>
      <c r="J3314" s="87"/>
      <c r="K3314" s="87"/>
      <c r="L3314" s="87"/>
    </row>
    <row r="3315" spans="1:12" ht="12" customHeight="1" x14ac:dyDescent="0.35">
      <c r="B3315" s="84"/>
      <c r="C3315" s="88"/>
      <c r="D3315" s="79"/>
      <c r="E3315" s="79"/>
      <c r="F3315" s="89" t="s">
        <v>421</v>
      </c>
      <c r="G3315" s="101"/>
      <c r="H3315" s="87">
        <f>SUM(H3310:H3314)</f>
        <v>96300</v>
      </c>
      <c r="I3315" s="101"/>
      <c r="J3315" s="87">
        <f>SUM(J3313:J3314)</f>
        <v>3329.9999999999995</v>
      </c>
      <c r="K3315" s="101"/>
      <c r="L3315" s="87">
        <f>SUM(L3313:L3314)</f>
        <v>3329.9999999999995</v>
      </c>
    </row>
    <row r="3316" spans="1:12" ht="12" customHeight="1" x14ac:dyDescent="0.35">
      <c r="B3316" s="84" t="s">
        <v>6</v>
      </c>
      <c r="C3316" s="88" t="s">
        <v>422</v>
      </c>
      <c r="D3316" s="79"/>
      <c r="E3316" s="79"/>
      <c r="F3316" s="90"/>
      <c r="G3316" s="84"/>
      <c r="H3316" s="87"/>
      <c r="I3316" s="84"/>
      <c r="J3316" s="87"/>
      <c r="K3316" s="84"/>
      <c r="L3316" s="87"/>
    </row>
    <row r="3317" spans="1:12" x14ac:dyDescent="0.35">
      <c r="A3317" s="134">
        <v>21401200</v>
      </c>
      <c r="B3317" s="84"/>
      <c r="C3317" s="85" t="s">
        <v>1873</v>
      </c>
      <c r="D3317" s="84" t="s">
        <v>418</v>
      </c>
      <c r="E3317" s="84" t="str">
        <f>VLOOKUP(C3317,HSD!B:K,2,FALSE)</f>
        <v>m3</v>
      </c>
      <c r="F3317" s="128">
        <v>0.01</v>
      </c>
      <c r="G3317" s="87">
        <f>VLOOKUP(C3317,HSD!B:K,10,FALSE)</f>
        <v>3885000</v>
      </c>
      <c r="H3317" s="87">
        <f>F3317*G3317</f>
        <v>38850</v>
      </c>
      <c r="I3317" s="87"/>
      <c r="J3317" s="87"/>
      <c r="K3317" s="87"/>
      <c r="L3317" s="87"/>
    </row>
    <row r="3318" spans="1:12" x14ac:dyDescent="0.35">
      <c r="A3318" s="134">
        <v>21911005</v>
      </c>
      <c r="B3318" s="84"/>
      <c r="C3318" s="85" t="s">
        <v>151</v>
      </c>
      <c r="D3318" s="84" t="s">
        <v>418</v>
      </c>
      <c r="E3318" s="84" t="str">
        <f>VLOOKUP(C3318,HSD!B:K,2,FALSE)</f>
        <v>kg</v>
      </c>
      <c r="F3318" s="128">
        <v>0.24</v>
      </c>
      <c r="G3318" s="87">
        <f>VLOOKUP(C3318,HSD!B:K,10,FALSE)</f>
        <v>18426</v>
      </c>
      <c r="H3318" s="87">
        <f>F3318*G3318</f>
        <v>4422.24</v>
      </c>
      <c r="I3318" s="87"/>
      <c r="J3318" s="87"/>
      <c r="K3318" s="87"/>
      <c r="L3318" s="87"/>
    </row>
    <row r="3319" spans="1:12" x14ac:dyDescent="0.35">
      <c r="B3319" s="84"/>
      <c r="C3319" s="85"/>
      <c r="D3319" s="84"/>
      <c r="E3319" s="84"/>
      <c r="F3319" s="128"/>
      <c r="G3319" s="87"/>
      <c r="H3319" s="87">
        <f>F3319*G3319</f>
        <v>0</v>
      </c>
      <c r="I3319" s="87"/>
      <c r="J3319" s="87"/>
      <c r="K3319" s="87"/>
      <c r="L3319" s="87"/>
    </row>
    <row r="3320" spans="1:12" ht="12" customHeight="1" x14ac:dyDescent="0.35">
      <c r="B3320" s="84"/>
      <c r="C3320" s="88"/>
      <c r="D3320" s="79"/>
      <c r="E3320" s="79"/>
      <c r="F3320" s="129" t="s">
        <v>423</v>
      </c>
      <c r="G3320" s="129"/>
      <c r="H3320" s="87">
        <f>SUM(H3317:H3319)</f>
        <v>43272.24</v>
      </c>
      <c r="I3320" s="101"/>
      <c r="J3320" s="87" t="e">
        <f>SUM(#REF!)</f>
        <v>#REF!</v>
      </c>
      <c r="K3320" s="101"/>
      <c r="L3320" s="87" t="e">
        <f>SUM(#REF!)</f>
        <v>#REF!</v>
      </c>
    </row>
    <row r="3321" spans="1:12" ht="12" customHeight="1" x14ac:dyDescent="0.35">
      <c r="B3321" s="84" t="s">
        <v>7</v>
      </c>
      <c r="C3321" s="88" t="s">
        <v>424</v>
      </c>
      <c r="D3321" s="79"/>
      <c r="E3321" s="79"/>
      <c r="F3321" s="90"/>
      <c r="G3321" s="84"/>
      <c r="H3321" s="87"/>
      <c r="I3321" s="84"/>
      <c r="J3321" s="87"/>
      <c r="K3321" s="84"/>
      <c r="L3321" s="87"/>
    </row>
    <row r="3322" spans="1:12" ht="12" customHeight="1" x14ac:dyDescent="0.35">
      <c r="B3322" s="84"/>
      <c r="C3322" s="85"/>
      <c r="D3322" s="84"/>
      <c r="E3322" s="84"/>
      <c r="F3322" s="128"/>
      <c r="G3322" s="87"/>
      <c r="H3322" s="87">
        <f>F3322*G3322</f>
        <v>0</v>
      </c>
      <c r="I3322" s="87"/>
      <c r="J3322" s="87">
        <f>H3322*I3322</f>
        <v>0</v>
      </c>
      <c r="K3322" s="87"/>
      <c r="L3322" s="87">
        <f>J3322*K3322</f>
        <v>0</v>
      </c>
    </row>
    <row r="3323" spans="1:12" ht="12" customHeight="1" x14ac:dyDescent="0.35">
      <c r="B3323" s="84"/>
      <c r="C3323" s="85"/>
      <c r="D3323" s="84"/>
      <c r="E3323" s="84"/>
      <c r="F3323" s="128"/>
      <c r="G3323" s="87"/>
      <c r="H3323" s="87">
        <f>F3323*G3323</f>
        <v>0</v>
      </c>
      <c r="I3323" s="87"/>
      <c r="J3323" s="87"/>
      <c r="K3323" s="87"/>
      <c r="L3323" s="87"/>
    </row>
    <row r="3324" spans="1:12" ht="12" customHeight="1" x14ac:dyDescent="0.35">
      <c r="B3324" s="84"/>
      <c r="C3324" s="85"/>
      <c r="D3324" s="84"/>
      <c r="E3324" s="84"/>
      <c r="F3324" s="128"/>
      <c r="G3324" s="87"/>
      <c r="H3324" s="87">
        <f>F3324*G3324</f>
        <v>0</v>
      </c>
      <c r="I3324" s="87"/>
      <c r="J3324" s="87"/>
      <c r="K3324" s="87"/>
      <c r="L3324" s="87"/>
    </row>
    <row r="3325" spans="1:12" ht="12" customHeight="1" x14ac:dyDescent="0.35">
      <c r="B3325" s="84"/>
      <c r="C3325" s="88"/>
      <c r="D3325" s="79"/>
      <c r="E3325" s="79"/>
      <c r="F3325" s="89" t="s">
        <v>425</v>
      </c>
      <c r="G3325" s="101"/>
      <c r="H3325" s="87">
        <f>SUM(H3322:H3324)</f>
        <v>0</v>
      </c>
      <c r="I3325" s="101"/>
      <c r="J3325" s="87">
        <f>SUM(J3322)</f>
        <v>0</v>
      </c>
      <c r="K3325" s="101"/>
      <c r="L3325" s="87">
        <f>SUM(L3322)</f>
        <v>0</v>
      </c>
    </row>
    <row r="3326" spans="1:12" ht="12" customHeight="1" x14ac:dyDescent="0.35">
      <c r="B3326" s="84" t="s">
        <v>8</v>
      </c>
      <c r="C3326" s="103" t="s">
        <v>426</v>
      </c>
      <c r="D3326" s="104"/>
      <c r="E3326" s="104"/>
      <c r="F3326" s="104"/>
      <c r="G3326" s="105"/>
      <c r="H3326" s="87">
        <f>H3315+H3320+H3325</f>
        <v>139572.24</v>
      </c>
      <c r="I3326" s="105"/>
      <c r="J3326" s="87" t="e">
        <f>J3315+J3320+J3325</f>
        <v>#REF!</v>
      </c>
      <c r="K3326" s="105"/>
      <c r="L3326" s="87" t="e">
        <f>L3315+L3320+L3325</f>
        <v>#REF!</v>
      </c>
    </row>
    <row r="3327" spans="1:12" ht="12" customHeight="1" x14ac:dyDescent="0.35">
      <c r="B3327" s="84" t="s">
        <v>9</v>
      </c>
      <c r="C3327" s="455" t="s">
        <v>427</v>
      </c>
      <c r="D3327" s="455"/>
      <c r="E3327" s="455"/>
      <c r="F3327" s="95">
        <f>0</f>
        <v>0</v>
      </c>
      <c r="G3327" s="85" t="s">
        <v>428</v>
      </c>
      <c r="H3327" s="87">
        <f>H3326*F3327</f>
        <v>0</v>
      </c>
      <c r="I3327" s="85" t="s">
        <v>428</v>
      </c>
      <c r="J3327" s="87" t="e">
        <f>J3326*F3327</f>
        <v>#REF!</v>
      </c>
      <c r="K3327" s="85" t="s">
        <v>428</v>
      </c>
      <c r="L3327" s="87" t="e">
        <f>L3326*F3327</f>
        <v>#REF!</v>
      </c>
    </row>
    <row r="3328" spans="1:12" ht="12" customHeight="1" x14ac:dyDescent="0.35">
      <c r="B3328" s="84" t="s">
        <v>10</v>
      </c>
      <c r="C3328" s="103" t="s">
        <v>429</v>
      </c>
      <c r="D3328" s="104"/>
      <c r="E3328" s="104"/>
      <c r="F3328" s="104"/>
      <c r="G3328" s="105"/>
      <c r="H3328" s="96">
        <f>H3326+H3327</f>
        <v>139572.24</v>
      </c>
      <c r="I3328" s="97"/>
      <c r="J3328" s="96" t="e">
        <f>J3326+J3327</f>
        <v>#REF!</v>
      </c>
      <c r="K3328" s="97"/>
      <c r="L3328" s="96" t="e">
        <f>L3326+L3327</f>
        <v>#REF!</v>
      </c>
    </row>
    <row r="3329" spans="1:12" x14ac:dyDescent="0.35">
      <c r="B3329" s="75" t="s">
        <v>806</v>
      </c>
    </row>
    <row r="3330" spans="1:12" ht="14" customHeight="1" x14ac:dyDescent="0.35"/>
    <row r="3331" spans="1:12" ht="37" customHeight="1" x14ac:dyDescent="0.35">
      <c r="B3331" s="76" t="s">
        <v>831</v>
      </c>
      <c r="C3331" s="458" t="s">
        <v>841</v>
      </c>
      <c r="D3331" s="459"/>
      <c r="E3331" s="459"/>
      <c r="F3331" s="459"/>
      <c r="G3331" s="456"/>
      <c r="H3331" s="457"/>
      <c r="I3331" s="455" t="s">
        <v>3</v>
      </c>
      <c r="J3331" s="455"/>
      <c r="K3331" s="455" t="s">
        <v>4</v>
      </c>
      <c r="L3331" s="455"/>
    </row>
    <row r="3332" spans="1:12" ht="12" customHeight="1" x14ac:dyDescent="0.35">
      <c r="B3332" s="451" t="s">
        <v>409</v>
      </c>
      <c r="C3332" s="451" t="s">
        <v>410</v>
      </c>
      <c r="D3332" s="452" t="s">
        <v>411</v>
      </c>
      <c r="E3332" s="451" t="s">
        <v>412</v>
      </c>
      <c r="F3332" s="451" t="s">
        <v>413</v>
      </c>
      <c r="G3332" s="77" t="s">
        <v>414</v>
      </c>
      <c r="H3332" s="77" t="s">
        <v>415</v>
      </c>
      <c r="I3332" s="78" t="s">
        <v>414</v>
      </c>
      <c r="J3332" s="79" t="s">
        <v>415</v>
      </c>
      <c r="K3332" s="79" t="s">
        <v>414</v>
      </c>
      <c r="L3332" s="79" t="s">
        <v>415</v>
      </c>
    </row>
    <row r="3333" spans="1:12" ht="12" customHeight="1" x14ac:dyDescent="0.35">
      <c r="B3333" s="451"/>
      <c r="C3333" s="451"/>
      <c r="D3333" s="453"/>
      <c r="E3333" s="451"/>
      <c r="F3333" s="451"/>
      <c r="G3333" s="77" t="s">
        <v>17</v>
      </c>
      <c r="H3333" s="77" t="s">
        <v>416</v>
      </c>
      <c r="I3333" s="78" t="s">
        <v>17</v>
      </c>
      <c r="J3333" s="79" t="s">
        <v>416</v>
      </c>
      <c r="K3333" s="79" t="s">
        <v>17</v>
      </c>
      <c r="L3333" s="79" t="s">
        <v>416</v>
      </c>
    </row>
    <row r="3334" spans="1:12" ht="12" customHeight="1" x14ac:dyDescent="0.35">
      <c r="B3334" s="451"/>
      <c r="C3334" s="451"/>
      <c r="D3334" s="454"/>
      <c r="E3334" s="451"/>
      <c r="F3334" s="451"/>
      <c r="G3334" s="106"/>
      <c r="H3334" s="77" t="s">
        <v>17</v>
      </c>
      <c r="I3334" s="94"/>
      <c r="J3334" s="79" t="s">
        <v>17</v>
      </c>
      <c r="K3334" s="85"/>
      <c r="L3334" s="79" t="s">
        <v>17</v>
      </c>
    </row>
    <row r="3335" spans="1:12" ht="12" customHeight="1" x14ac:dyDescent="0.35">
      <c r="B3335" s="80" t="s">
        <v>5</v>
      </c>
      <c r="C3335" s="81" t="s">
        <v>417</v>
      </c>
      <c r="D3335" s="82"/>
      <c r="E3335" s="82"/>
      <c r="F3335" s="82"/>
      <c r="G3335" s="82"/>
      <c r="H3335" s="82"/>
      <c r="I3335" s="83"/>
      <c r="J3335" s="83"/>
      <c r="K3335" s="83"/>
      <c r="L3335" s="83"/>
    </row>
    <row r="3336" spans="1:12" ht="12" customHeight="1" x14ac:dyDescent="0.35">
      <c r="A3336" s="134">
        <v>10130000</v>
      </c>
      <c r="B3336" s="84"/>
      <c r="C3336" s="85" t="s">
        <v>28</v>
      </c>
      <c r="D3336" s="84" t="s">
        <v>418</v>
      </c>
      <c r="E3336" s="84" t="str">
        <f>VLOOKUP(C3336,HSD!B:K,2,FALSE)</f>
        <v>OH</v>
      </c>
      <c r="F3336" s="128">
        <v>0.4</v>
      </c>
      <c r="G3336" s="87">
        <f>VLOOKUP(C3336,HSD!B:K,10,FALSE)</f>
        <v>120000</v>
      </c>
      <c r="H3336" s="87">
        <f>F3336*G3336</f>
        <v>48000</v>
      </c>
      <c r="I3336" s="87">
        <v>91500</v>
      </c>
      <c r="J3336" s="87">
        <f>F3336*I3336</f>
        <v>36600</v>
      </c>
      <c r="K3336" s="87">
        <v>91500</v>
      </c>
      <c r="L3336" s="87">
        <f>F3336*K3336</f>
        <v>36600</v>
      </c>
    </row>
    <row r="3337" spans="1:12" ht="12" customHeight="1" x14ac:dyDescent="0.35">
      <c r="A3337" s="134">
        <v>10142000</v>
      </c>
      <c r="B3337" s="84"/>
      <c r="C3337" s="85" t="s">
        <v>434</v>
      </c>
      <c r="D3337" s="84" t="s">
        <v>418</v>
      </c>
      <c r="E3337" s="84" t="str">
        <f>VLOOKUP(C3337,HSD!B:K,2,FALSE)</f>
        <v>OH</v>
      </c>
      <c r="F3337" s="128">
        <v>0.2</v>
      </c>
      <c r="G3337" s="87">
        <f>VLOOKUP(C3337,HSD!B:K,10,FALSE)</f>
        <v>250000</v>
      </c>
      <c r="H3337" s="87">
        <f>F3337*G3337</f>
        <v>50000</v>
      </c>
      <c r="I3337" s="87"/>
      <c r="J3337" s="87"/>
      <c r="K3337" s="87"/>
      <c r="L3337" s="87"/>
    </row>
    <row r="3338" spans="1:12" ht="12" customHeight="1" x14ac:dyDescent="0.35">
      <c r="A3338" s="134">
        <v>10120000</v>
      </c>
      <c r="B3338" s="84"/>
      <c r="C3338" s="85" t="s">
        <v>27</v>
      </c>
      <c r="D3338" s="84" t="s">
        <v>418</v>
      </c>
      <c r="E3338" s="84" t="str">
        <f>VLOOKUP(C3338,HSD!B:K,2,FALSE)</f>
        <v>OH</v>
      </c>
      <c r="F3338" s="128">
        <f>F3337/10</f>
        <v>0.02</v>
      </c>
      <c r="G3338" s="87">
        <f>VLOOKUP(C3338,HSD!B:K,10,FALSE)</f>
        <v>150000</v>
      </c>
      <c r="H3338" s="87">
        <f>F3338*G3338</f>
        <v>3000</v>
      </c>
      <c r="I3338" s="87"/>
      <c r="J3338" s="87"/>
      <c r="K3338" s="87"/>
      <c r="L3338" s="87"/>
    </row>
    <row r="3339" spans="1:12" ht="12" customHeight="1" x14ac:dyDescent="0.35">
      <c r="A3339" s="134">
        <v>10110000</v>
      </c>
      <c r="B3339" s="84"/>
      <c r="C3339" s="85" t="s">
        <v>30</v>
      </c>
      <c r="D3339" s="84" t="s">
        <v>418</v>
      </c>
      <c r="E3339" s="84" t="str">
        <f>VLOOKUP(C3339,HSD!B:K,2,FALSE)</f>
        <v>OH</v>
      </c>
      <c r="F3339" s="128">
        <f>F3336/10</f>
        <v>0.04</v>
      </c>
      <c r="G3339" s="87">
        <f>VLOOKUP(C3339,HSD!B:K,10,FALSE)</f>
        <v>150000</v>
      </c>
      <c r="H3339" s="87">
        <f>F3339*G3339</f>
        <v>6000</v>
      </c>
      <c r="I3339" s="87">
        <v>92500</v>
      </c>
      <c r="J3339" s="87">
        <f>F3339*I3339</f>
        <v>3700</v>
      </c>
      <c r="K3339" s="87">
        <v>92500</v>
      </c>
      <c r="L3339" s="87">
        <f>F3339*K3339</f>
        <v>3700</v>
      </c>
    </row>
    <row r="3340" spans="1:12" ht="12" customHeight="1" x14ac:dyDescent="0.35">
      <c r="B3340" s="84"/>
      <c r="C3340" s="85"/>
      <c r="D3340" s="84"/>
      <c r="E3340" s="84"/>
      <c r="F3340" s="86"/>
      <c r="G3340" s="87"/>
      <c r="H3340" s="87"/>
      <c r="I3340" s="87"/>
      <c r="J3340" s="87"/>
      <c r="K3340" s="87"/>
      <c r="L3340" s="87"/>
    </row>
    <row r="3341" spans="1:12" ht="12" customHeight="1" x14ac:dyDescent="0.35">
      <c r="B3341" s="84"/>
      <c r="C3341" s="88"/>
      <c r="D3341" s="79"/>
      <c r="E3341" s="79"/>
      <c r="F3341" s="89" t="s">
        <v>421</v>
      </c>
      <c r="G3341" s="101"/>
      <c r="H3341" s="87">
        <f>SUM(H3336:H3340)</f>
        <v>107000</v>
      </c>
      <c r="I3341" s="101"/>
      <c r="J3341" s="87">
        <f>SUM(J3339:J3340)</f>
        <v>3700</v>
      </c>
      <c r="K3341" s="101"/>
      <c r="L3341" s="87">
        <f>SUM(L3339:L3340)</f>
        <v>3700</v>
      </c>
    </row>
    <row r="3342" spans="1:12" ht="12" customHeight="1" x14ac:dyDescent="0.35">
      <c r="B3342" s="84" t="s">
        <v>6</v>
      </c>
      <c r="C3342" s="88" t="s">
        <v>422</v>
      </c>
      <c r="D3342" s="79"/>
      <c r="E3342" s="79"/>
      <c r="F3342" s="90"/>
      <c r="G3342" s="84"/>
      <c r="H3342" s="87"/>
      <c r="I3342" s="84"/>
      <c r="J3342" s="87"/>
      <c r="K3342" s="84"/>
      <c r="L3342" s="87"/>
    </row>
    <row r="3343" spans="1:12" x14ac:dyDescent="0.35">
      <c r="A3343" s="134">
        <v>21401180</v>
      </c>
      <c r="B3343" s="84"/>
      <c r="C3343" s="85" t="s">
        <v>1381</v>
      </c>
      <c r="D3343" s="84" t="s">
        <v>418</v>
      </c>
      <c r="E3343" s="84" t="str">
        <f>VLOOKUP(C3343,HSD!B:K,2,FALSE)</f>
        <v>m3</v>
      </c>
      <c r="F3343" s="128">
        <v>0.02</v>
      </c>
      <c r="G3343" s="87">
        <f>VLOOKUP(C3343,HSD!B:K,10,FALSE)</f>
        <v>3885000</v>
      </c>
      <c r="H3343" s="87">
        <f>F3343*G3343</f>
        <v>77700</v>
      </c>
      <c r="I3343" s="87"/>
      <c r="J3343" s="87"/>
      <c r="K3343" s="87"/>
      <c r="L3343" s="87"/>
    </row>
    <row r="3344" spans="1:12" x14ac:dyDescent="0.35">
      <c r="A3344" s="134">
        <v>21911005</v>
      </c>
      <c r="B3344" s="84"/>
      <c r="C3344" s="85" t="s">
        <v>151</v>
      </c>
      <c r="D3344" s="84" t="s">
        <v>418</v>
      </c>
      <c r="E3344" s="84" t="str">
        <f>VLOOKUP(C3344,HSD!B:K,2,FALSE)</f>
        <v>kg</v>
      </c>
      <c r="F3344" s="128">
        <v>0.24</v>
      </c>
      <c r="G3344" s="87">
        <f>VLOOKUP(C3344,HSD!B:K,10,FALSE)</f>
        <v>18426</v>
      </c>
      <c r="H3344" s="87">
        <f>F3344*G3344</f>
        <v>4422.24</v>
      </c>
      <c r="I3344" s="87"/>
      <c r="J3344" s="87"/>
      <c r="K3344" s="87"/>
      <c r="L3344" s="87"/>
    </row>
    <row r="3345" spans="2:12" x14ac:dyDescent="0.35">
      <c r="B3345" s="84"/>
      <c r="C3345" s="85"/>
      <c r="D3345" s="84"/>
      <c r="E3345" s="84"/>
      <c r="F3345" s="128"/>
      <c r="G3345" s="87"/>
      <c r="H3345" s="87">
        <f>F3345*G3345</f>
        <v>0</v>
      </c>
      <c r="I3345" s="87"/>
      <c r="J3345" s="87"/>
      <c r="K3345" s="87"/>
      <c r="L3345" s="87"/>
    </row>
    <row r="3346" spans="2:12" ht="12" customHeight="1" x14ac:dyDescent="0.35">
      <c r="B3346" s="84"/>
      <c r="C3346" s="88"/>
      <c r="D3346" s="79"/>
      <c r="E3346" s="79"/>
      <c r="F3346" s="129" t="s">
        <v>423</v>
      </c>
      <c r="G3346" s="129"/>
      <c r="H3346" s="87">
        <f>SUM(H3343:H3345)</f>
        <v>82122.240000000005</v>
      </c>
      <c r="I3346" s="101"/>
      <c r="J3346" s="87" t="e">
        <f>SUM(#REF!)</f>
        <v>#REF!</v>
      </c>
      <c r="K3346" s="101"/>
      <c r="L3346" s="87" t="e">
        <f>SUM(#REF!)</f>
        <v>#REF!</v>
      </c>
    </row>
    <row r="3347" spans="2:12" ht="12" customHeight="1" x14ac:dyDescent="0.35">
      <c r="B3347" s="84" t="s">
        <v>7</v>
      </c>
      <c r="C3347" s="88" t="s">
        <v>424</v>
      </c>
      <c r="D3347" s="79"/>
      <c r="E3347" s="79"/>
      <c r="F3347" s="90"/>
      <c r="G3347" s="84"/>
      <c r="H3347" s="87"/>
      <c r="I3347" s="84"/>
      <c r="J3347" s="87"/>
      <c r="K3347" s="84"/>
      <c r="L3347" s="87"/>
    </row>
    <row r="3348" spans="2:12" ht="12" customHeight="1" x14ac:dyDescent="0.35">
      <c r="B3348" s="84"/>
      <c r="C3348" s="85"/>
      <c r="D3348" s="84"/>
      <c r="E3348" s="84"/>
      <c r="F3348" s="128"/>
      <c r="G3348" s="87"/>
      <c r="H3348" s="87">
        <f>F3348*G3348</f>
        <v>0</v>
      </c>
      <c r="I3348" s="87"/>
      <c r="J3348" s="87">
        <f>H3348*I3348</f>
        <v>0</v>
      </c>
      <c r="K3348" s="87"/>
      <c r="L3348" s="87">
        <f>J3348*K3348</f>
        <v>0</v>
      </c>
    </row>
    <row r="3349" spans="2:12" ht="12" customHeight="1" x14ac:dyDescent="0.35">
      <c r="B3349" s="84"/>
      <c r="C3349" s="85"/>
      <c r="D3349" s="84"/>
      <c r="E3349" s="84"/>
      <c r="F3349" s="128"/>
      <c r="G3349" s="87"/>
      <c r="H3349" s="87">
        <f>F3349*G3349</f>
        <v>0</v>
      </c>
      <c r="I3349" s="87"/>
      <c r="J3349" s="87"/>
      <c r="K3349" s="87"/>
      <c r="L3349" s="87"/>
    </row>
    <row r="3350" spans="2:12" ht="12" customHeight="1" x14ac:dyDescent="0.35">
      <c r="B3350" s="84"/>
      <c r="C3350" s="85"/>
      <c r="D3350" s="84"/>
      <c r="E3350" s="84"/>
      <c r="F3350" s="128"/>
      <c r="G3350" s="87"/>
      <c r="H3350" s="87">
        <f>F3350*G3350</f>
        <v>0</v>
      </c>
      <c r="I3350" s="87"/>
      <c r="J3350" s="87"/>
      <c r="K3350" s="87"/>
      <c r="L3350" s="87"/>
    </row>
    <row r="3351" spans="2:12" ht="12" customHeight="1" x14ac:dyDescent="0.35">
      <c r="B3351" s="84"/>
      <c r="C3351" s="88"/>
      <c r="D3351" s="79"/>
      <c r="E3351" s="79"/>
      <c r="F3351" s="89" t="s">
        <v>425</v>
      </c>
      <c r="G3351" s="101"/>
      <c r="H3351" s="87">
        <f>SUM(H3348:H3350)</f>
        <v>0</v>
      </c>
      <c r="I3351" s="101"/>
      <c r="J3351" s="87">
        <f>SUM(J3348)</f>
        <v>0</v>
      </c>
      <c r="K3351" s="101"/>
      <c r="L3351" s="87">
        <f>SUM(L3348)</f>
        <v>0</v>
      </c>
    </row>
    <row r="3352" spans="2:12" ht="12" customHeight="1" x14ac:dyDescent="0.35">
      <c r="B3352" s="84" t="s">
        <v>8</v>
      </c>
      <c r="C3352" s="103" t="s">
        <v>426</v>
      </c>
      <c r="D3352" s="104"/>
      <c r="E3352" s="104"/>
      <c r="F3352" s="104"/>
      <c r="G3352" s="105"/>
      <c r="H3352" s="87">
        <f>H3341+H3346+H3351</f>
        <v>189122.24</v>
      </c>
      <c r="I3352" s="105"/>
      <c r="J3352" s="87" t="e">
        <f>J3341+J3346+J3351</f>
        <v>#REF!</v>
      </c>
      <c r="K3352" s="105"/>
      <c r="L3352" s="87" t="e">
        <f>L3341+L3346+L3351</f>
        <v>#REF!</v>
      </c>
    </row>
    <row r="3353" spans="2:12" ht="12" customHeight="1" x14ac:dyDescent="0.35">
      <c r="B3353" s="84" t="s">
        <v>9</v>
      </c>
      <c r="C3353" s="455" t="s">
        <v>427</v>
      </c>
      <c r="D3353" s="455"/>
      <c r="E3353" s="455"/>
      <c r="F3353" s="95">
        <f>0</f>
        <v>0</v>
      </c>
      <c r="G3353" s="85" t="s">
        <v>428</v>
      </c>
      <c r="H3353" s="87">
        <f>H3352*F3353</f>
        <v>0</v>
      </c>
      <c r="I3353" s="85" t="s">
        <v>428</v>
      </c>
      <c r="J3353" s="87" t="e">
        <f>J3352*F3353</f>
        <v>#REF!</v>
      </c>
      <c r="K3353" s="85" t="s">
        <v>428</v>
      </c>
      <c r="L3353" s="87" t="e">
        <f>L3352*F3353</f>
        <v>#REF!</v>
      </c>
    </row>
    <row r="3354" spans="2:12" ht="12" customHeight="1" x14ac:dyDescent="0.35">
      <c r="B3354" s="84" t="s">
        <v>10</v>
      </c>
      <c r="C3354" s="103" t="s">
        <v>429</v>
      </c>
      <c r="D3354" s="104"/>
      <c r="E3354" s="104"/>
      <c r="F3354" s="104"/>
      <c r="G3354" s="105"/>
      <c r="H3354" s="96">
        <f>H3352+H3353</f>
        <v>189122.24</v>
      </c>
      <c r="I3354" s="97"/>
      <c r="J3354" s="96" t="e">
        <f>J3352+J3353</f>
        <v>#REF!</v>
      </c>
      <c r="K3354" s="97"/>
      <c r="L3354" s="96" t="e">
        <f>L3352+L3353</f>
        <v>#REF!</v>
      </c>
    </row>
    <row r="3355" spans="2:12" x14ac:dyDescent="0.35">
      <c r="B3355" s="75" t="s">
        <v>806</v>
      </c>
    </row>
    <row r="3356" spans="2:12" ht="14" customHeight="1" x14ac:dyDescent="0.35"/>
    <row r="3357" spans="2:12" ht="37" customHeight="1" x14ac:dyDescent="0.35">
      <c r="B3357" s="76" t="s">
        <v>842</v>
      </c>
      <c r="C3357" s="458" t="s">
        <v>843</v>
      </c>
      <c r="D3357" s="459"/>
      <c r="E3357" s="459"/>
      <c r="F3357" s="459"/>
      <c r="G3357" s="456"/>
      <c r="H3357" s="457"/>
      <c r="I3357" s="455" t="s">
        <v>3</v>
      </c>
      <c r="J3357" s="455"/>
      <c r="K3357" s="455" t="s">
        <v>4</v>
      </c>
      <c r="L3357" s="455"/>
    </row>
    <row r="3358" spans="2:12" ht="12" customHeight="1" x14ac:dyDescent="0.35">
      <c r="B3358" s="451" t="s">
        <v>409</v>
      </c>
      <c r="C3358" s="451" t="s">
        <v>410</v>
      </c>
      <c r="D3358" s="452" t="s">
        <v>411</v>
      </c>
      <c r="E3358" s="451" t="s">
        <v>412</v>
      </c>
      <c r="F3358" s="451" t="s">
        <v>413</v>
      </c>
      <c r="G3358" s="77" t="s">
        <v>414</v>
      </c>
      <c r="H3358" s="77" t="s">
        <v>415</v>
      </c>
      <c r="I3358" s="78" t="s">
        <v>414</v>
      </c>
      <c r="J3358" s="79" t="s">
        <v>415</v>
      </c>
      <c r="K3358" s="79" t="s">
        <v>414</v>
      </c>
      <c r="L3358" s="79" t="s">
        <v>415</v>
      </c>
    </row>
    <row r="3359" spans="2:12" ht="12" customHeight="1" x14ac:dyDescent="0.35">
      <c r="B3359" s="451"/>
      <c r="C3359" s="451"/>
      <c r="D3359" s="453"/>
      <c r="E3359" s="451"/>
      <c r="F3359" s="451"/>
      <c r="G3359" s="77" t="s">
        <v>17</v>
      </c>
      <c r="H3359" s="77" t="s">
        <v>416</v>
      </c>
      <c r="I3359" s="78" t="s">
        <v>17</v>
      </c>
      <c r="J3359" s="79" t="s">
        <v>416</v>
      </c>
      <c r="K3359" s="79" t="s">
        <v>17</v>
      </c>
      <c r="L3359" s="79" t="s">
        <v>416</v>
      </c>
    </row>
    <row r="3360" spans="2:12" ht="12" customHeight="1" x14ac:dyDescent="0.35">
      <c r="B3360" s="451"/>
      <c r="C3360" s="451"/>
      <c r="D3360" s="454"/>
      <c r="E3360" s="451"/>
      <c r="F3360" s="451"/>
      <c r="G3360" s="106"/>
      <c r="H3360" s="77" t="s">
        <v>17</v>
      </c>
      <c r="I3360" s="94"/>
      <c r="J3360" s="79" t="s">
        <v>17</v>
      </c>
      <c r="K3360" s="85"/>
      <c r="L3360" s="79" t="s">
        <v>17</v>
      </c>
    </row>
    <row r="3361" spans="1:12" ht="12" customHeight="1" x14ac:dyDescent="0.35">
      <c r="B3361" s="80" t="s">
        <v>5</v>
      </c>
      <c r="C3361" s="81" t="s">
        <v>417</v>
      </c>
      <c r="D3361" s="82"/>
      <c r="E3361" s="82"/>
      <c r="F3361" s="82"/>
      <c r="G3361" s="82"/>
      <c r="H3361" s="82"/>
      <c r="I3361" s="83"/>
      <c r="J3361" s="83"/>
      <c r="K3361" s="83"/>
      <c r="L3361" s="83"/>
    </row>
    <row r="3362" spans="1:12" ht="12" customHeight="1" x14ac:dyDescent="0.35">
      <c r="A3362" s="134">
        <v>10130000</v>
      </c>
      <c r="B3362" s="84"/>
      <c r="C3362" s="85" t="s">
        <v>28</v>
      </c>
      <c r="D3362" s="84" t="s">
        <v>418</v>
      </c>
      <c r="E3362" s="84" t="str">
        <f>VLOOKUP(C3362,HSD!B:K,2,FALSE)</f>
        <v>OH</v>
      </c>
      <c r="F3362" s="128">
        <v>0.2</v>
      </c>
      <c r="G3362" s="87">
        <f>VLOOKUP(C3362,HSD!B:K,10,FALSE)</f>
        <v>120000</v>
      </c>
      <c r="H3362" s="87">
        <f>F3362*G3362</f>
        <v>24000</v>
      </c>
      <c r="I3362" s="87">
        <v>91500</v>
      </c>
      <c r="J3362" s="87">
        <f>F3362*I3362</f>
        <v>18300</v>
      </c>
      <c r="K3362" s="87">
        <v>91500</v>
      </c>
      <c r="L3362" s="87">
        <f>F3362*K3362</f>
        <v>18300</v>
      </c>
    </row>
    <row r="3363" spans="1:12" ht="12" customHeight="1" x14ac:dyDescent="0.35">
      <c r="A3363" s="134">
        <v>10142000</v>
      </c>
      <c r="B3363" s="84"/>
      <c r="C3363" s="85" t="s">
        <v>434</v>
      </c>
      <c r="D3363" s="84" t="s">
        <v>418</v>
      </c>
      <c r="E3363" s="84" t="str">
        <f>VLOOKUP(C3363,HSD!B:K,2,FALSE)</f>
        <v>OH</v>
      </c>
      <c r="F3363" s="128">
        <v>0.1</v>
      </c>
      <c r="G3363" s="87">
        <f>VLOOKUP(C3363,HSD!B:K,10,FALSE)</f>
        <v>250000</v>
      </c>
      <c r="H3363" s="87">
        <f>F3363*G3363</f>
        <v>25000</v>
      </c>
      <c r="I3363" s="87"/>
      <c r="J3363" s="87"/>
      <c r="K3363" s="87"/>
      <c r="L3363" s="87"/>
    </row>
    <row r="3364" spans="1:12" ht="12" customHeight="1" x14ac:dyDescent="0.35">
      <c r="A3364" s="134">
        <v>10120000</v>
      </c>
      <c r="B3364" s="84"/>
      <c r="C3364" s="85" t="s">
        <v>27</v>
      </c>
      <c r="D3364" s="84" t="s">
        <v>418</v>
      </c>
      <c r="E3364" s="84" t="str">
        <f>VLOOKUP(C3364,HSD!B:K,2,FALSE)</f>
        <v>OH</v>
      </c>
      <c r="F3364" s="128">
        <f>F3363/10</f>
        <v>0.01</v>
      </c>
      <c r="G3364" s="87">
        <f>VLOOKUP(C3364,HSD!B:K,10,FALSE)</f>
        <v>150000</v>
      </c>
      <c r="H3364" s="87">
        <f>F3364*G3364</f>
        <v>1500</v>
      </c>
      <c r="I3364" s="87"/>
      <c r="J3364" s="87"/>
      <c r="K3364" s="87"/>
      <c r="L3364" s="87"/>
    </row>
    <row r="3365" spans="1:12" ht="12" customHeight="1" x14ac:dyDescent="0.35">
      <c r="A3365" s="134">
        <v>10110000</v>
      </c>
      <c r="B3365" s="84"/>
      <c r="C3365" s="85" t="s">
        <v>30</v>
      </c>
      <c r="D3365" s="84" t="s">
        <v>418</v>
      </c>
      <c r="E3365" s="84" t="str">
        <f>VLOOKUP(C3365,HSD!B:K,2,FALSE)</f>
        <v>OH</v>
      </c>
      <c r="F3365" s="128">
        <f>F3362/10</f>
        <v>0.02</v>
      </c>
      <c r="G3365" s="87">
        <f>VLOOKUP(C3365,HSD!B:K,10,FALSE)</f>
        <v>150000</v>
      </c>
      <c r="H3365" s="87">
        <f>F3365*G3365</f>
        <v>3000</v>
      </c>
      <c r="I3365" s="87">
        <v>92500</v>
      </c>
      <c r="J3365" s="87">
        <f>F3365*I3365</f>
        <v>1850</v>
      </c>
      <c r="K3365" s="87">
        <v>92500</v>
      </c>
      <c r="L3365" s="87">
        <f>F3365*K3365</f>
        <v>1850</v>
      </c>
    </row>
    <row r="3366" spans="1:12" ht="12" customHeight="1" x14ac:dyDescent="0.35">
      <c r="B3366" s="84"/>
      <c r="C3366" s="85"/>
      <c r="D3366" s="84"/>
      <c r="E3366" s="84"/>
      <c r="F3366" s="86"/>
      <c r="G3366" s="87"/>
      <c r="H3366" s="87"/>
      <c r="I3366" s="87"/>
      <c r="J3366" s="87"/>
      <c r="K3366" s="87"/>
      <c r="L3366" s="87"/>
    </row>
    <row r="3367" spans="1:12" ht="12" customHeight="1" x14ac:dyDescent="0.35">
      <c r="B3367" s="84"/>
      <c r="C3367" s="88"/>
      <c r="D3367" s="79"/>
      <c r="E3367" s="79"/>
      <c r="F3367" s="89" t="s">
        <v>421</v>
      </c>
      <c r="G3367" s="101"/>
      <c r="H3367" s="87">
        <f>SUM(H3362:H3366)</f>
        <v>53500</v>
      </c>
      <c r="I3367" s="101"/>
      <c r="J3367" s="87">
        <f>SUM(J3365:J3366)</f>
        <v>1850</v>
      </c>
      <c r="K3367" s="101"/>
      <c r="L3367" s="87">
        <f>SUM(L3365:L3366)</f>
        <v>1850</v>
      </c>
    </row>
    <row r="3368" spans="1:12" ht="12" customHeight="1" x14ac:dyDescent="0.35">
      <c r="B3368" s="84" t="s">
        <v>6</v>
      </c>
      <c r="C3368" s="88" t="s">
        <v>422</v>
      </c>
      <c r="D3368" s="79"/>
      <c r="E3368" s="79"/>
      <c r="F3368" s="90"/>
      <c r="G3368" s="84"/>
      <c r="H3368" s="87"/>
      <c r="I3368" s="84"/>
      <c r="J3368" s="87"/>
      <c r="K3368" s="84"/>
      <c r="L3368" s="87"/>
    </row>
    <row r="3369" spans="1:12" x14ac:dyDescent="0.35">
      <c r="A3369" s="134">
        <v>21924004</v>
      </c>
      <c r="B3369" s="84"/>
      <c r="C3369" s="85" t="s">
        <v>456</v>
      </c>
      <c r="D3369" s="84" t="s">
        <v>418</v>
      </c>
      <c r="E3369" s="84" t="str">
        <f>VLOOKUP(C3369,HSD!B:K,2,FALSE)</f>
        <v>lbr</v>
      </c>
      <c r="F3369" s="128">
        <v>0.128</v>
      </c>
      <c r="G3369" s="87">
        <f>VLOOKUP(C3369,HSD!B:K,10,FALSE)</f>
        <v>288600</v>
      </c>
      <c r="H3369" s="87">
        <f>F3369*G3369</f>
        <v>36940.800000000003</v>
      </c>
      <c r="I3369" s="87">
        <v>232500</v>
      </c>
      <c r="J3369" s="87">
        <f>F3369*I3369</f>
        <v>29760</v>
      </c>
      <c r="K3369" s="87">
        <v>270000</v>
      </c>
      <c r="L3369" s="87">
        <f>F3369*K3369</f>
        <v>34560</v>
      </c>
    </row>
    <row r="3370" spans="1:12" x14ac:dyDescent="0.35">
      <c r="A3370" s="134">
        <v>21401200</v>
      </c>
      <c r="B3370" s="84"/>
      <c r="C3370" s="85" t="s">
        <v>1873</v>
      </c>
      <c r="D3370" s="84" t="s">
        <v>418</v>
      </c>
      <c r="E3370" s="84" t="str">
        <f>VLOOKUP(C3370,HSD!B:K,2,FALSE)</f>
        <v>m3</v>
      </c>
      <c r="F3370" s="128">
        <v>8.9999999999999993E-3</v>
      </c>
      <c r="G3370" s="87">
        <f>VLOOKUP(C3370,HSD!B:K,10,FALSE)</f>
        <v>3885000</v>
      </c>
      <c r="H3370" s="87">
        <f>F3370*G3370</f>
        <v>34965</v>
      </c>
      <c r="I3370" s="87"/>
      <c r="J3370" s="87"/>
      <c r="K3370" s="87"/>
      <c r="L3370" s="87"/>
    </row>
    <row r="3371" spans="1:12" x14ac:dyDescent="0.35">
      <c r="A3371" s="134">
        <v>21911005</v>
      </c>
      <c r="B3371" s="84"/>
      <c r="C3371" s="85" t="s">
        <v>151</v>
      </c>
      <c r="D3371" s="84" t="s">
        <v>418</v>
      </c>
      <c r="E3371" s="84" t="str">
        <f>VLOOKUP(C3371,HSD!B:K,2,FALSE)</f>
        <v>kg</v>
      </c>
      <c r="F3371" s="128">
        <v>0.25</v>
      </c>
      <c r="G3371" s="87">
        <f>VLOOKUP(C3371,HSD!B:K,10,FALSE)</f>
        <v>18426</v>
      </c>
      <c r="H3371" s="87">
        <f>F3371*G3371</f>
        <v>4606.5</v>
      </c>
      <c r="I3371" s="87"/>
      <c r="J3371" s="87"/>
      <c r="K3371" s="87"/>
      <c r="L3371" s="87"/>
    </row>
    <row r="3372" spans="1:12" x14ac:dyDescent="0.35">
      <c r="A3372" s="134">
        <v>21961000</v>
      </c>
      <c r="B3372" s="84"/>
      <c r="C3372" s="85" t="s">
        <v>215</v>
      </c>
      <c r="D3372" s="84" t="s">
        <v>418</v>
      </c>
      <c r="E3372" s="84" t="str">
        <f>VLOOKUP(C3372,HSD!B:K,2,FALSE)</f>
        <v>ltr</v>
      </c>
      <c r="F3372" s="128">
        <v>0.2</v>
      </c>
      <c r="G3372" s="87">
        <f>VLOOKUP(C3372,HSD!B:K,10,FALSE)</f>
        <v>34410</v>
      </c>
      <c r="H3372" s="87">
        <f>F3372*G3372</f>
        <v>6882</v>
      </c>
      <c r="I3372" s="87"/>
      <c r="J3372" s="87"/>
      <c r="K3372" s="87"/>
      <c r="L3372" s="87"/>
    </row>
    <row r="3373" spans="1:12" ht="12" customHeight="1" x14ac:dyDescent="0.35">
      <c r="B3373" s="84"/>
      <c r="C3373" s="88"/>
      <c r="D3373" s="79"/>
      <c r="E3373" s="79"/>
      <c r="F3373" s="129" t="s">
        <v>423</v>
      </c>
      <c r="G3373" s="129"/>
      <c r="H3373" s="87">
        <f>SUM(H3369:H3372)</f>
        <v>83394.3</v>
      </c>
      <c r="I3373" s="101"/>
      <c r="J3373" s="87" t="e">
        <f>SUM(#REF!)</f>
        <v>#REF!</v>
      </c>
      <c r="K3373" s="101"/>
      <c r="L3373" s="87" t="e">
        <f>SUM(#REF!)</f>
        <v>#REF!</v>
      </c>
    </row>
    <row r="3374" spans="1:12" ht="12" customHeight="1" x14ac:dyDescent="0.35">
      <c r="B3374" s="84" t="s">
        <v>7</v>
      </c>
      <c r="C3374" s="88" t="s">
        <v>424</v>
      </c>
      <c r="D3374" s="79"/>
      <c r="E3374" s="79"/>
      <c r="F3374" s="90"/>
      <c r="G3374" s="84"/>
      <c r="H3374" s="87"/>
      <c r="I3374" s="84"/>
      <c r="J3374" s="87"/>
      <c r="K3374" s="84"/>
      <c r="L3374" s="87"/>
    </row>
    <row r="3375" spans="1:12" ht="12" customHeight="1" x14ac:dyDescent="0.35">
      <c r="B3375" s="84"/>
      <c r="C3375" s="85"/>
      <c r="D3375" s="84"/>
      <c r="E3375" s="84"/>
      <c r="F3375" s="128"/>
      <c r="G3375" s="87"/>
      <c r="H3375" s="87">
        <f>F3375*G3375</f>
        <v>0</v>
      </c>
      <c r="I3375" s="87"/>
      <c r="J3375" s="87">
        <f>H3375*I3375</f>
        <v>0</v>
      </c>
      <c r="K3375" s="87"/>
      <c r="L3375" s="87">
        <f>J3375*K3375</f>
        <v>0</v>
      </c>
    </row>
    <row r="3376" spans="1:12" ht="12" customHeight="1" x14ac:dyDescent="0.35">
      <c r="B3376" s="84"/>
      <c r="C3376" s="85"/>
      <c r="D3376" s="84"/>
      <c r="E3376" s="84"/>
      <c r="F3376" s="128"/>
      <c r="G3376" s="87"/>
      <c r="H3376" s="87">
        <f>F3376*G3376</f>
        <v>0</v>
      </c>
      <c r="I3376" s="87"/>
      <c r="J3376" s="87"/>
      <c r="K3376" s="87"/>
      <c r="L3376" s="87"/>
    </row>
    <row r="3377" spans="1:12" ht="12" customHeight="1" x14ac:dyDescent="0.35">
      <c r="B3377" s="84"/>
      <c r="C3377" s="85"/>
      <c r="D3377" s="84"/>
      <c r="E3377" s="84"/>
      <c r="F3377" s="128"/>
      <c r="G3377" s="87"/>
      <c r="H3377" s="87">
        <f>F3377*G3377</f>
        <v>0</v>
      </c>
      <c r="I3377" s="87"/>
      <c r="J3377" s="87"/>
      <c r="K3377" s="87"/>
      <c r="L3377" s="87"/>
    </row>
    <row r="3378" spans="1:12" ht="12" customHeight="1" x14ac:dyDescent="0.35">
      <c r="B3378" s="84"/>
      <c r="C3378" s="88"/>
      <c r="D3378" s="79"/>
      <c r="E3378" s="79"/>
      <c r="F3378" s="89" t="s">
        <v>425</v>
      </c>
      <c r="G3378" s="101"/>
      <c r="H3378" s="87">
        <f>SUM(H3375:H3377)</f>
        <v>0</v>
      </c>
      <c r="I3378" s="101"/>
      <c r="J3378" s="87">
        <f>SUM(J3375)</f>
        <v>0</v>
      </c>
      <c r="K3378" s="101"/>
      <c r="L3378" s="87">
        <f>SUM(L3375)</f>
        <v>0</v>
      </c>
    </row>
    <row r="3379" spans="1:12" ht="12" customHeight="1" x14ac:dyDescent="0.35">
      <c r="B3379" s="84" t="s">
        <v>8</v>
      </c>
      <c r="C3379" s="103" t="s">
        <v>426</v>
      </c>
      <c r="D3379" s="104"/>
      <c r="E3379" s="104"/>
      <c r="F3379" s="104"/>
      <c r="G3379" s="105"/>
      <c r="H3379" s="87">
        <f>H3367+H3373+H3378</f>
        <v>136894.29999999999</v>
      </c>
      <c r="I3379" s="105"/>
      <c r="J3379" s="87" t="e">
        <f>J3367+J3373+J3378</f>
        <v>#REF!</v>
      </c>
      <c r="K3379" s="105"/>
      <c r="L3379" s="87" t="e">
        <f>L3367+L3373+L3378</f>
        <v>#REF!</v>
      </c>
    </row>
    <row r="3380" spans="1:12" ht="12" customHeight="1" x14ac:dyDescent="0.35">
      <c r="B3380" s="84" t="s">
        <v>9</v>
      </c>
      <c r="C3380" s="455" t="s">
        <v>427</v>
      </c>
      <c r="D3380" s="455"/>
      <c r="E3380" s="455"/>
      <c r="F3380" s="95">
        <f>0</f>
        <v>0</v>
      </c>
      <c r="G3380" s="85" t="s">
        <v>428</v>
      </c>
      <c r="H3380" s="87">
        <f>H3379*F3380</f>
        <v>0</v>
      </c>
      <c r="I3380" s="85" t="s">
        <v>428</v>
      </c>
      <c r="J3380" s="87" t="e">
        <f>J3379*F3380</f>
        <v>#REF!</v>
      </c>
      <c r="K3380" s="85" t="s">
        <v>428</v>
      </c>
      <c r="L3380" s="87" t="e">
        <f>L3379*F3380</f>
        <v>#REF!</v>
      </c>
    </row>
    <row r="3381" spans="1:12" ht="12" customHeight="1" x14ac:dyDescent="0.35">
      <c r="B3381" s="84" t="s">
        <v>10</v>
      </c>
      <c r="C3381" s="103" t="s">
        <v>429</v>
      </c>
      <c r="D3381" s="104"/>
      <c r="E3381" s="104"/>
      <c r="F3381" s="104"/>
      <c r="G3381" s="105"/>
      <c r="H3381" s="96">
        <f>H3379+H3380</f>
        <v>136894.29999999999</v>
      </c>
      <c r="I3381" s="97"/>
      <c r="J3381" s="96" t="e">
        <f>J3379+J3380</f>
        <v>#REF!</v>
      </c>
      <c r="K3381" s="97"/>
      <c r="L3381" s="96" t="e">
        <f>L3379+L3380</f>
        <v>#REF!</v>
      </c>
    </row>
    <row r="3382" spans="1:12" x14ac:dyDescent="0.35">
      <c r="B3382" s="75" t="s">
        <v>806</v>
      </c>
    </row>
    <row r="3383" spans="1:12" ht="14" customHeight="1" x14ac:dyDescent="0.35"/>
    <row r="3384" spans="1:12" ht="37" customHeight="1" x14ac:dyDescent="0.35">
      <c r="B3384" s="76" t="s">
        <v>844</v>
      </c>
      <c r="C3384" s="458" t="s">
        <v>845</v>
      </c>
      <c r="D3384" s="459"/>
      <c r="E3384" s="459"/>
      <c r="F3384" s="459"/>
      <c r="G3384" s="456"/>
      <c r="H3384" s="457"/>
      <c r="I3384" s="455" t="s">
        <v>3</v>
      </c>
      <c r="J3384" s="455"/>
      <c r="K3384" s="455" t="s">
        <v>4</v>
      </c>
      <c r="L3384" s="455"/>
    </row>
    <row r="3385" spans="1:12" ht="12" customHeight="1" x14ac:dyDescent="0.35">
      <c r="B3385" s="451" t="s">
        <v>409</v>
      </c>
      <c r="C3385" s="451" t="s">
        <v>410</v>
      </c>
      <c r="D3385" s="452" t="s">
        <v>411</v>
      </c>
      <c r="E3385" s="451" t="s">
        <v>412</v>
      </c>
      <c r="F3385" s="451" t="s">
        <v>413</v>
      </c>
      <c r="G3385" s="77" t="s">
        <v>414</v>
      </c>
      <c r="H3385" s="77" t="s">
        <v>415</v>
      </c>
      <c r="I3385" s="78" t="s">
        <v>414</v>
      </c>
      <c r="J3385" s="79" t="s">
        <v>415</v>
      </c>
      <c r="K3385" s="79" t="s">
        <v>414</v>
      </c>
      <c r="L3385" s="79" t="s">
        <v>415</v>
      </c>
    </row>
    <row r="3386" spans="1:12" ht="12" customHeight="1" x14ac:dyDescent="0.35">
      <c r="B3386" s="451"/>
      <c r="C3386" s="451"/>
      <c r="D3386" s="453"/>
      <c r="E3386" s="451"/>
      <c r="F3386" s="451"/>
      <c r="G3386" s="77" t="s">
        <v>17</v>
      </c>
      <c r="H3386" s="77" t="s">
        <v>416</v>
      </c>
      <c r="I3386" s="78" t="s">
        <v>17</v>
      </c>
      <c r="J3386" s="79" t="s">
        <v>416</v>
      </c>
      <c r="K3386" s="79" t="s">
        <v>17</v>
      </c>
      <c r="L3386" s="79" t="s">
        <v>416</v>
      </c>
    </row>
    <row r="3387" spans="1:12" ht="12" customHeight="1" x14ac:dyDescent="0.35">
      <c r="B3387" s="451"/>
      <c r="C3387" s="451"/>
      <c r="D3387" s="454"/>
      <c r="E3387" s="451"/>
      <c r="F3387" s="451"/>
      <c r="G3387" s="106"/>
      <c r="H3387" s="77" t="s">
        <v>17</v>
      </c>
      <c r="I3387" s="94"/>
      <c r="J3387" s="79" t="s">
        <v>17</v>
      </c>
      <c r="K3387" s="85"/>
      <c r="L3387" s="79" t="s">
        <v>17</v>
      </c>
    </row>
    <row r="3388" spans="1:12" ht="12" customHeight="1" x14ac:dyDescent="0.35">
      <c r="B3388" s="80" t="s">
        <v>5</v>
      </c>
      <c r="C3388" s="81" t="s">
        <v>417</v>
      </c>
      <c r="D3388" s="82"/>
      <c r="E3388" s="82"/>
      <c r="F3388" s="82"/>
      <c r="G3388" s="82"/>
      <c r="H3388" s="82"/>
      <c r="I3388" s="83"/>
      <c r="J3388" s="83"/>
      <c r="K3388" s="83"/>
      <c r="L3388" s="83"/>
    </row>
    <row r="3389" spans="1:12" ht="12" customHeight="1" x14ac:dyDescent="0.35">
      <c r="A3389" s="134">
        <v>10130000</v>
      </c>
      <c r="B3389" s="84"/>
      <c r="C3389" s="85" t="s">
        <v>28</v>
      </c>
      <c r="D3389" s="84" t="s">
        <v>418</v>
      </c>
      <c r="E3389" s="84" t="str">
        <f>VLOOKUP(C3389,HSD!B:K,2,FALSE)</f>
        <v>OH</v>
      </c>
      <c r="F3389" s="128">
        <v>0.2</v>
      </c>
      <c r="G3389" s="87">
        <f>VLOOKUP(C3389,HSD!B:K,10,FALSE)</f>
        <v>120000</v>
      </c>
      <c r="H3389" s="87">
        <f>F3389*G3389</f>
        <v>24000</v>
      </c>
      <c r="I3389" s="87">
        <v>91500</v>
      </c>
      <c r="J3389" s="87">
        <f>F3389*I3389</f>
        <v>18300</v>
      </c>
      <c r="K3389" s="87">
        <v>91500</v>
      </c>
      <c r="L3389" s="87">
        <f>F3389*K3389</f>
        <v>18300</v>
      </c>
    </row>
    <row r="3390" spans="1:12" ht="12" customHeight="1" x14ac:dyDescent="0.35">
      <c r="A3390" s="134">
        <v>10142000</v>
      </c>
      <c r="B3390" s="84"/>
      <c r="C3390" s="85" t="s">
        <v>434</v>
      </c>
      <c r="D3390" s="84" t="s">
        <v>418</v>
      </c>
      <c r="E3390" s="84" t="str">
        <f>VLOOKUP(C3390,HSD!B:K,2,FALSE)</f>
        <v>OH</v>
      </c>
      <c r="F3390" s="128">
        <v>0.1</v>
      </c>
      <c r="G3390" s="87">
        <f>VLOOKUP(C3390,HSD!B:K,10,FALSE)</f>
        <v>250000</v>
      </c>
      <c r="H3390" s="87">
        <f>F3390*G3390</f>
        <v>25000</v>
      </c>
      <c r="I3390" s="87"/>
      <c r="J3390" s="87"/>
      <c r="K3390" s="87"/>
      <c r="L3390" s="87"/>
    </row>
    <row r="3391" spans="1:12" ht="12" customHeight="1" x14ac:dyDescent="0.35">
      <c r="A3391" s="134">
        <v>10120000</v>
      </c>
      <c r="B3391" s="84"/>
      <c r="C3391" s="85" t="s">
        <v>27</v>
      </c>
      <c r="D3391" s="84" t="s">
        <v>418</v>
      </c>
      <c r="E3391" s="84" t="str">
        <f>VLOOKUP(C3391,HSD!B:K,2,FALSE)</f>
        <v>OH</v>
      </c>
      <c r="F3391" s="128">
        <f>F3390/10</f>
        <v>0.01</v>
      </c>
      <c r="G3391" s="87">
        <f>VLOOKUP(C3391,HSD!B:K,10,FALSE)</f>
        <v>150000</v>
      </c>
      <c r="H3391" s="87">
        <f>F3391*G3391</f>
        <v>1500</v>
      </c>
      <c r="I3391" s="87"/>
      <c r="J3391" s="87"/>
      <c r="K3391" s="87"/>
      <c r="L3391" s="87"/>
    </row>
    <row r="3392" spans="1:12" ht="12" customHeight="1" x14ac:dyDescent="0.35">
      <c r="A3392" s="134">
        <v>10110000</v>
      </c>
      <c r="B3392" s="84"/>
      <c r="C3392" s="85" t="s">
        <v>30</v>
      </c>
      <c r="D3392" s="84" t="s">
        <v>418</v>
      </c>
      <c r="E3392" s="84" t="str">
        <f>VLOOKUP(C3392,HSD!B:K,2,FALSE)</f>
        <v>OH</v>
      </c>
      <c r="F3392" s="128">
        <f>F3389/10</f>
        <v>0.02</v>
      </c>
      <c r="G3392" s="87">
        <f>VLOOKUP(C3392,HSD!B:K,10,FALSE)</f>
        <v>150000</v>
      </c>
      <c r="H3392" s="87">
        <f>F3392*G3392</f>
        <v>3000</v>
      </c>
      <c r="I3392" s="87">
        <v>92500</v>
      </c>
      <c r="J3392" s="87">
        <f>F3392*I3392</f>
        <v>1850</v>
      </c>
      <c r="K3392" s="87">
        <v>92500</v>
      </c>
      <c r="L3392" s="87">
        <f>F3392*K3392</f>
        <v>1850</v>
      </c>
    </row>
    <row r="3393" spans="1:12" ht="12" customHeight="1" x14ac:dyDescent="0.35">
      <c r="B3393" s="84"/>
      <c r="C3393" s="85"/>
      <c r="D3393" s="84"/>
      <c r="E3393" s="84"/>
      <c r="F3393" s="86"/>
      <c r="G3393" s="87"/>
      <c r="H3393" s="87"/>
      <c r="I3393" s="87"/>
      <c r="J3393" s="87"/>
      <c r="K3393" s="87"/>
      <c r="L3393" s="87"/>
    </row>
    <row r="3394" spans="1:12" ht="12" customHeight="1" x14ac:dyDescent="0.35">
      <c r="B3394" s="84"/>
      <c r="C3394" s="88"/>
      <c r="D3394" s="79"/>
      <c r="E3394" s="79"/>
      <c r="F3394" s="89" t="s">
        <v>421</v>
      </c>
      <c r="G3394" s="101"/>
      <c r="H3394" s="87">
        <f>SUM(H3389:H3393)</f>
        <v>53500</v>
      </c>
      <c r="I3394" s="101"/>
      <c r="J3394" s="87">
        <f>SUM(J3392:J3393)</f>
        <v>1850</v>
      </c>
      <c r="K3394" s="101"/>
      <c r="L3394" s="87">
        <f>SUM(L3392:L3393)</f>
        <v>1850</v>
      </c>
    </row>
    <row r="3395" spans="1:12" ht="12" customHeight="1" x14ac:dyDescent="0.35">
      <c r="B3395" s="84" t="s">
        <v>6</v>
      </c>
      <c r="C3395" s="88" t="s">
        <v>422</v>
      </c>
      <c r="D3395" s="79"/>
      <c r="E3395" s="79"/>
      <c r="F3395" s="90"/>
      <c r="G3395" s="84"/>
      <c r="H3395" s="87"/>
      <c r="I3395" s="84"/>
      <c r="J3395" s="87"/>
      <c r="K3395" s="84"/>
      <c r="L3395" s="87"/>
    </row>
    <row r="3396" spans="1:12" x14ac:dyDescent="0.35">
      <c r="A3396" s="134">
        <v>21401200</v>
      </c>
      <c r="B3396" s="84"/>
      <c r="C3396" s="85" t="s">
        <v>1873</v>
      </c>
      <c r="D3396" s="84" t="s">
        <v>418</v>
      </c>
      <c r="E3396" s="84" t="str">
        <f>VLOOKUP(C3396,HSD!B:K,2,FALSE)</f>
        <v>m3</v>
      </c>
      <c r="F3396" s="128">
        <v>1.4E-2</v>
      </c>
      <c r="G3396" s="87">
        <f>VLOOKUP(C3396,HSD!B:K,10,FALSE)</f>
        <v>3885000</v>
      </c>
      <c r="H3396" s="87">
        <f>F3396*G3396</f>
        <v>54390</v>
      </c>
      <c r="I3396" s="87"/>
      <c r="J3396" s="87"/>
      <c r="K3396" s="87"/>
      <c r="L3396" s="87"/>
    </row>
    <row r="3397" spans="1:12" x14ac:dyDescent="0.35">
      <c r="A3397" s="134">
        <v>21911005</v>
      </c>
      <c r="B3397" s="84"/>
      <c r="C3397" s="85" t="s">
        <v>151</v>
      </c>
      <c r="D3397" s="84" t="s">
        <v>418</v>
      </c>
      <c r="E3397" s="84" t="str">
        <f>VLOOKUP(C3397,HSD!B:K,2,FALSE)</f>
        <v>kg</v>
      </c>
      <c r="F3397" s="128">
        <v>0.25</v>
      </c>
      <c r="G3397" s="87">
        <f>VLOOKUP(C3397,HSD!B:K,10,FALSE)</f>
        <v>18426</v>
      </c>
      <c r="H3397" s="87">
        <f>F3397*G3397</f>
        <v>4606.5</v>
      </c>
      <c r="I3397" s="87"/>
      <c r="J3397" s="87"/>
      <c r="K3397" s="87"/>
      <c r="L3397" s="87"/>
    </row>
    <row r="3398" spans="1:12" x14ac:dyDescent="0.35">
      <c r="B3398" s="84"/>
      <c r="C3398" s="85"/>
      <c r="D3398" s="84"/>
      <c r="E3398" s="84"/>
      <c r="F3398" s="128"/>
      <c r="G3398" s="87"/>
      <c r="H3398" s="87">
        <f>F3398*G3398</f>
        <v>0</v>
      </c>
      <c r="I3398" s="87"/>
      <c r="J3398" s="87"/>
      <c r="K3398" s="87"/>
      <c r="L3398" s="87"/>
    </row>
    <row r="3399" spans="1:12" ht="12" customHeight="1" x14ac:dyDescent="0.35">
      <c r="B3399" s="84"/>
      <c r="C3399" s="88"/>
      <c r="D3399" s="79"/>
      <c r="E3399" s="79"/>
      <c r="F3399" s="129" t="s">
        <v>423</v>
      </c>
      <c r="G3399" s="129"/>
      <c r="H3399" s="87">
        <f>SUM(H3396:H3398)</f>
        <v>58996.5</v>
      </c>
      <c r="I3399" s="101"/>
      <c r="J3399" s="87" t="e">
        <f>SUM(#REF!)</f>
        <v>#REF!</v>
      </c>
      <c r="K3399" s="101"/>
      <c r="L3399" s="87" t="e">
        <f>SUM(#REF!)</f>
        <v>#REF!</v>
      </c>
    </row>
    <row r="3400" spans="1:12" ht="12" customHeight="1" x14ac:dyDescent="0.35">
      <c r="B3400" s="84" t="s">
        <v>7</v>
      </c>
      <c r="C3400" s="88" t="s">
        <v>424</v>
      </c>
      <c r="D3400" s="79"/>
      <c r="E3400" s="79"/>
      <c r="F3400" s="90"/>
      <c r="G3400" s="84"/>
      <c r="H3400" s="87"/>
      <c r="I3400" s="84"/>
      <c r="J3400" s="87"/>
      <c r="K3400" s="84"/>
      <c r="L3400" s="87"/>
    </row>
    <row r="3401" spans="1:12" ht="12" customHeight="1" x14ac:dyDescent="0.35">
      <c r="B3401" s="84"/>
      <c r="C3401" s="85"/>
      <c r="D3401" s="84"/>
      <c r="E3401" s="84"/>
      <c r="F3401" s="128"/>
      <c r="G3401" s="87"/>
      <c r="H3401" s="87">
        <f>F3401*G3401</f>
        <v>0</v>
      </c>
      <c r="I3401" s="87"/>
      <c r="J3401" s="87">
        <f>H3401*I3401</f>
        <v>0</v>
      </c>
      <c r="K3401" s="87"/>
      <c r="L3401" s="87">
        <f>J3401*K3401</f>
        <v>0</v>
      </c>
    </row>
    <row r="3402" spans="1:12" ht="12" customHeight="1" x14ac:dyDescent="0.35">
      <c r="B3402" s="84"/>
      <c r="C3402" s="85"/>
      <c r="D3402" s="84"/>
      <c r="E3402" s="84"/>
      <c r="F3402" s="128"/>
      <c r="G3402" s="87"/>
      <c r="H3402" s="87">
        <f>F3402*G3402</f>
        <v>0</v>
      </c>
      <c r="I3402" s="87"/>
      <c r="J3402" s="87"/>
      <c r="K3402" s="87"/>
      <c r="L3402" s="87"/>
    </row>
    <row r="3403" spans="1:12" ht="12" customHeight="1" x14ac:dyDescent="0.35">
      <c r="B3403" s="84"/>
      <c r="C3403" s="85"/>
      <c r="D3403" s="84"/>
      <c r="E3403" s="84"/>
      <c r="F3403" s="128"/>
      <c r="G3403" s="87"/>
      <c r="H3403" s="87">
        <f>F3403*G3403</f>
        <v>0</v>
      </c>
      <c r="I3403" s="87"/>
      <c r="J3403" s="87"/>
      <c r="K3403" s="87"/>
      <c r="L3403" s="87"/>
    </row>
    <row r="3404" spans="1:12" ht="12" customHeight="1" x14ac:dyDescent="0.35">
      <c r="B3404" s="84"/>
      <c r="C3404" s="88"/>
      <c r="D3404" s="79"/>
      <c r="E3404" s="79"/>
      <c r="F3404" s="89" t="s">
        <v>425</v>
      </c>
      <c r="G3404" s="101"/>
      <c r="H3404" s="87">
        <f>SUM(H3401:H3403)</f>
        <v>0</v>
      </c>
      <c r="I3404" s="101"/>
      <c r="J3404" s="87">
        <f>SUM(J3401)</f>
        <v>0</v>
      </c>
      <c r="K3404" s="101"/>
      <c r="L3404" s="87">
        <f>SUM(L3401)</f>
        <v>0</v>
      </c>
    </row>
    <row r="3405" spans="1:12" ht="12" customHeight="1" x14ac:dyDescent="0.35">
      <c r="B3405" s="84" t="s">
        <v>8</v>
      </c>
      <c r="C3405" s="103" t="s">
        <v>426</v>
      </c>
      <c r="D3405" s="104"/>
      <c r="E3405" s="104"/>
      <c r="F3405" s="104"/>
      <c r="G3405" s="105"/>
      <c r="H3405" s="87">
        <f>H3394+H3399+H3404</f>
        <v>112496.5</v>
      </c>
      <c r="I3405" s="105"/>
      <c r="J3405" s="87" t="e">
        <f>J3394+J3399+J3404</f>
        <v>#REF!</v>
      </c>
      <c r="K3405" s="105"/>
      <c r="L3405" s="87" t="e">
        <f>L3394+L3399+L3404</f>
        <v>#REF!</v>
      </c>
    </row>
    <row r="3406" spans="1:12" ht="12" customHeight="1" x14ac:dyDescent="0.35">
      <c r="B3406" s="84" t="s">
        <v>9</v>
      </c>
      <c r="C3406" s="455" t="s">
        <v>427</v>
      </c>
      <c r="D3406" s="455"/>
      <c r="E3406" s="455"/>
      <c r="F3406" s="95">
        <f>0</f>
        <v>0</v>
      </c>
      <c r="G3406" s="85" t="s">
        <v>428</v>
      </c>
      <c r="H3406" s="87">
        <f>H3405*F3406</f>
        <v>0</v>
      </c>
      <c r="I3406" s="85" t="s">
        <v>428</v>
      </c>
      <c r="J3406" s="87" t="e">
        <f>J3405*F3406</f>
        <v>#REF!</v>
      </c>
      <c r="K3406" s="85" t="s">
        <v>428</v>
      </c>
      <c r="L3406" s="87" t="e">
        <f>L3405*F3406</f>
        <v>#REF!</v>
      </c>
    </row>
    <row r="3407" spans="1:12" ht="12" customHeight="1" x14ac:dyDescent="0.35">
      <c r="B3407" s="84" t="s">
        <v>10</v>
      </c>
      <c r="C3407" s="103" t="s">
        <v>429</v>
      </c>
      <c r="D3407" s="104"/>
      <c r="E3407" s="104"/>
      <c r="F3407" s="104"/>
      <c r="G3407" s="105"/>
      <c r="H3407" s="96">
        <f>H3405+H3406</f>
        <v>112496.5</v>
      </c>
      <c r="I3407" s="97"/>
      <c r="J3407" s="96" t="e">
        <f>J3405+J3406</f>
        <v>#REF!</v>
      </c>
      <c r="K3407" s="97"/>
      <c r="L3407" s="96" t="e">
        <f>L3405+L3406</f>
        <v>#REF!</v>
      </c>
    </row>
    <row r="3408" spans="1:12" x14ac:dyDescent="0.35">
      <c r="B3408" s="75" t="s">
        <v>806</v>
      </c>
    </row>
    <row r="3409" spans="1:12" ht="14" customHeight="1" x14ac:dyDescent="0.35"/>
    <row r="3410" spans="1:12" ht="37" customHeight="1" x14ac:dyDescent="0.35">
      <c r="B3410" s="76" t="s">
        <v>846</v>
      </c>
      <c r="C3410" s="458" t="s">
        <v>847</v>
      </c>
      <c r="D3410" s="459"/>
      <c r="E3410" s="459"/>
      <c r="F3410" s="459"/>
      <c r="G3410" s="456"/>
      <c r="H3410" s="457"/>
      <c r="I3410" s="455" t="s">
        <v>3</v>
      </c>
      <c r="J3410" s="455"/>
      <c r="K3410" s="455" t="s">
        <v>4</v>
      </c>
      <c r="L3410" s="455"/>
    </row>
    <row r="3411" spans="1:12" ht="12" customHeight="1" x14ac:dyDescent="0.35">
      <c r="B3411" s="451" t="s">
        <v>409</v>
      </c>
      <c r="C3411" s="451" t="s">
        <v>410</v>
      </c>
      <c r="D3411" s="452" t="s">
        <v>411</v>
      </c>
      <c r="E3411" s="451" t="s">
        <v>412</v>
      </c>
      <c r="F3411" s="451" t="s">
        <v>413</v>
      </c>
      <c r="G3411" s="77" t="s">
        <v>414</v>
      </c>
      <c r="H3411" s="77" t="s">
        <v>415</v>
      </c>
      <c r="I3411" s="78" t="s">
        <v>414</v>
      </c>
      <c r="J3411" s="79" t="s">
        <v>415</v>
      </c>
      <c r="K3411" s="79" t="s">
        <v>414</v>
      </c>
      <c r="L3411" s="79" t="s">
        <v>415</v>
      </c>
    </row>
    <row r="3412" spans="1:12" ht="12" customHeight="1" x14ac:dyDescent="0.35">
      <c r="B3412" s="451"/>
      <c r="C3412" s="451"/>
      <c r="D3412" s="453"/>
      <c r="E3412" s="451"/>
      <c r="F3412" s="451"/>
      <c r="G3412" s="77" t="s">
        <v>17</v>
      </c>
      <c r="H3412" s="77" t="s">
        <v>416</v>
      </c>
      <c r="I3412" s="78" t="s">
        <v>17</v>
      </c>
      <c r="J3412" s="79" t="s">
        <v>416</v>
      </c>
      <c r="K3412" s="79" t="s">
        <v>17</v>
      </c>
      <c r="L3412" s="79" t="s">
        <v>416</v>
      </c>
    </row>
    <row r="3413" spans="1:12" ht="12" customHeight="1" x14ac:dyDescent="0.35">
      <c r="B3413" s="451"/>
      <c r="C3413" s="451"/>
      <c r="D3413" s="454"/>
      <c r="E3413" s="451"/>
      <c r="F3413" s="451"/>
      <c r="G3413" s="106"/>
      <c r="H3413" s="77" t="s">
        <v>17</v>
      </c>
      <c r="I3413" s="94"/>
      <c r="J3413" s="79" t="s">
        <v>17</v>
      </c>
      <c r="K3413" s="85"/>
      <c r="L3413" s="79" t="s">
        <v>17</v>
      </c>
    </row>
    <row r="3414" spans="1:12" ht="12" customHeight="1" x14ac:dyDescent="0.35">
      <c r="B3414" s="80" t="s">
        <v>5</v>
      </c>
      <c r="C3414" s="81" t="s">
        <v>417</v>
      </c>
      <c r="D3414" s="82"/>
      <c r="E3414" s="82"/>
      <c r="F3414" s="82"/>
      <c r="G3414" s="82"/>
      <c r="H3414" s="82"/>
      <c r="I3414" s="83"/>
      <c r="J3414" s="83"/>
      <c r="K3414" s="83"/>
      <c r="L3414" s="83"/>
    </row>
    <row r="3415" spans="1:12" ht="12" customHeight="1" x14ac:dyDescent="0.35">
      <c r="A3415" s="134">
        <v>10130000</v>
      </c>
      <c r="B3415" s="84"/>
      <c r="C3415" s="85" t="s">
        <v>28</v>
      </c>
      <c r="D3415" s="84" t="s">
        <v>418</v>
      </c>
      <c r="E3415" s="84" t="str">
        <f>VLOOKUP(C3415,HSD!B:K,2,FALSE)</f>
        <v>OH</v>
      </c>
      <c r="F3415" s="128">
        <v>0.04</v>
      </c>
      <c r="G3415" s="87">
        <f>VLOOKUP(C3415,HSD!B:K,10,FALSE)</f>
        <v>120000</v>
      </c>
      <c r="H3415" s="87">
        <f>F3415*G3415</f>
        <v>4800</v>
      </c>
      <c r="I3415" s="87">
        <v>91500</v>
      </c>
      <c r="J3415" s="87">
        <f>F3415*I3415</f>
        <v>3660</v>
      </c>
      <c r="K3415" s="87">
        <v>91500</v>
      </c>
      <c r="L3415" s="87">
        <f>F3415*K3415</f>
        <v>3660</v>
      </c>
    </row>
    <row r="3416" spans="1:12" ht="12" customHeight="1" x14ac:dyDescent="0.35">
      <c r="A3416" s="134">
        <v>10110000</v>
      </c>
      <c r="B3416" s="84"/>
      <c r="C3416" s="85" t="s">
        <v>30</v>
      </c>
      <c r="D3416" s="84" t="s">
        <v>418</v>
      </c>
      <c r="E3416" s="84" t="str">
        <f>VLOOKUP(C3416,HSD!B:K,2,FALSE)</f>
        <v>OH</v>
      </c>
      <c r="F3416" s="128">
        <f>F3415/10</f>
        <v>4.0000000000000001E-3</v>
      </c>
      <c r="G3416" s="87">
        <f>VLOOKUP(C3416,HSD!B:K,10,FALSE)</f>
        <v>150000</v>
      </c>
      <c r="H3416" s="87">
        <f>F3416*G3416</f>
        <v>600</v>
      </c>
      <c r="I3416" s="87">
        <v>92500</v>
      </c>
      <c r="J3416" s="87">
        <f>F3416*I3416</f>
        <v>370</v>
      </c>
      <c r="K3416" s="87">
        <v>92500</v>
      </c>
      <c r="L3416" s="87">
        <f>F3416*K3416</f>
        <v>370</v>
      </c>
    </row>
    <row r="3417" spans="1:12" ht="12" customHeight="1" x14ac:dyDescent="0.35">
      <c r="B3417" s="84"/>
      <c r="C3417" s="85"/>
      <c r="D3417" s="84"/>
      <c r="E3417" s="84"/>
      <c r="F3417" s="86"/>
      <c r="G3417" s="87"/>
      <c r="H3417" s="87"/>
      <c r="I3417" s="87"/>
      <c r="J3417" s="87"/>
      <c r="K3417" s="87"/>
      <c r="L3417" s="87"/>
    </row>
    <row r="3418" spans="1:12" ht="12" customHeight="1" x14ac:dyDescent="0.35">
      <c r="B3418" s="84"/>
      <c r="C3418" s="88"/>
      <c r="D3418" s="79"/>
      <c r="E3418" s="79"/>
      <c r="F3418" s="89" t="s">
        <v>421</v>
      </c>
      <c r="G3418" s="101"/>
      <c r="H3418" s="87">
        <f>SUM(H3415:H3417)</f>
        <v>5400</v>
      </c>
      <c r="I3418" s="101"/>
      <c r="J3418" s="87">
        <f>SUM(J3416:J3417)</f>
        <v>370</v>
      </c>
      <c r="K3418" s="101"/>
      <c r="L3418" s="87">
        <f>SUM(L3416:L3417)</f>
        <v>370</v>
      </c>
    </row>
    <row r="3419" spans="1:12" ht="12" customHeight="1" x14ac:dyDescent="0.35">
      <c r="B3419" s="84" t="s">
        <v>6</v>
      </c>
      <c r="C3419" s="88" t="s">
        <v>422</v>
      </c>
      <c r="D3419" s="79"/>
      <c r="E3419" s="79"/>
      <c r="F3419" s="90"/>
      <c r="G3419" s="84"/>
      <c r="H3419" s="87"/>
      <c r="I3419" s="84"/>
      <c r="J3419" s="87"/>
      <c r="K3419" s="84"/>
      <c r="L3419" s="87"/>
    </row>
    <row r="3420" spans="1:12" x14ac:dyDescent="0.35">
      <c r="B3420" s="84"/>
      <c r="C3420" s="85"/>
      <c r="D3420" s="84"/>
      <c r="E3420" s="84"/>
      <c r="F3420" s="128"/>
      <c r="G3420" s="87"/>
      <c r="H3420" s="87">
        <f>F3420*G3420</f>
        <v>0</v>
      </c>
      <c r="I3420" s="87"/>
      <c r="J3420" s="87"/>
      <c r="K3420" s="87"/>
      <c r="L3420" s="87"/>
    </row>
    <row r="3421" spans="1:12" x14ac:dyDescent="0.35">
      <c r="B3421" s="84"/>
      <c r="C3421" s="85"/>
      <c r="D3421" s="84"/>
      <c r="E3421" s="84"/>
      <c r="F3421" s="128"/>
      <c r="G3421" s="87"/>
      <c r="H3421" s="87">
        <f>F3421*G3421</f>
        <v>0</v>
      </c>
      <c r="I3421" s="87"/>
      <c r="J3421" s="87"/>
      <c r="K3421" s="87"/>
      <c r="L3421" s="87"/>
    </row>
    <row r="3422" spans="1:12" x14ac:dyDescent="0.35">
      <c r="B3422" s="84"/>
      <c r="C3422" s="85"/>
      <c r="D3422" s="84"/>
      <c r="E3422" s="84"/>
      <c r="F3422" s="128"/>
      <c r="G3422" s="87"/>
      <c r="H3422" s="87">
        <f>F3422*G3422</f>
        <v>0</v>
      </c>
      <c r="I3422" s="87"/>
      <c r="J3422" s="87"/>
      <c r="K3422" s="87"/>
      <c r="L3422" s="87"/>
    </row>
    <row r="3423" spans="1:12" ht="12" customHeight="1" x14ac:dyDescent="0.35">
      <c r="B3423" s="84"/>
      <c r="C3423" s="88"/>
      <c r="D3423" s="79"/>
      <c r="E3423" s="79"/>
      <c r="F3423" s="129" t="s">
        <v>423</v>
      </c>
      <c r="G3423" s="129"/>
      <c r="H3423" s="87">
        <f>SUM(H3420:H3422)</f>
        <v>0</v>
      </c>
      <c r="I3423" s="101"/>
      <c r="J3423" s="87" t="e">
        <f>SUM(#REF!)</f>
        <v>#REF!</v>
      </c>
      <c r="K3423" s="101"/>
      <c r="L3423" s="87" t="e">
        <f>SUM(#REF!)</f>
        <v>#REF!</v>
      </c>
    </row>
    <row r="3424" spans="1:12" ht="12" customHeight="1" x14ac:dyDescent="0.35">
      <c r="B3424" s="84" t="s">
        <v>7</v>
      </c>
      <c r="C3424" s="88" t="s">
        <v>424</v>
      </c>
      <c r="D3424" s="79"/>
      <c r="E3424" s="79"/>
      <c r="F3424" s="90"/>
      <c r="G3424" s="84"/>
      <c r="H3424" s="87"/>
      <c r="I3424" s="84"/>
      <c r="J3424" s="87"/>
      <c r="K3424" s="84"/>
      <c r="L3424" s="87"/>
    </row>
    <row r="3425" spans="1:12" ht="12" customHeight="1" x14ac:dyDescent="0.35">
      <c r="B3425" s="84"/>
      <c r="C3425" s="85"/>
      <c r="D3425" s="84"/>
      <c r="E3425" s="84"/>
      <c r="F3425" s="128"/>
      <c r="G3425" s="87"/>
      <c r="H3425" s="87">
        <f>F3425*G3425</f>
        <v>0</v>
      </c>
      <c r="I3425" s="87"/>
      <c r="J3425" s="87">
        <f>H3425*I3425</f>
        <v>0</v>
      </c>
      <c r="K3425" s="87"/>
      <c r="L3425" s="87">
        <f>J3425*K3425</f>
        <v>0</v>
      </c>
    </row>
    <row r="3426" spans="1:12" ht="12" customHeight="1" x14ac:dyDescent="0.35">
      <c r="B3426" s="84"/>
      <c r="C3426" s="85"/>
      <c r="D3426" s="84"/>
      <c r="E3426" s="84"/>
      <c r="F3426" s="128"/>
      <c r="G3426" s="87"/>
      <c r="H3426" s="87">
        <f>F3426*G3426</f>
        <v>0</v>
      </c>
      <c r="I3426" s="87"/>
      <c r="J3426" s="87"/>
      <c r="K3426" s="87"/>
      <c r="L3426" s="87"/>
    </row>
    <row r="3427" spans="1:12" ht="12" customHeight="1" x14ac:dyDescent="0.35">
      <c r="B3427" s="84"/>
      <c r="C3427" s="85"/>
      <c r="D3427" s="84"/>
      <c r="E3427" s="84"/>
      <c r="F3427" s="128"/>
      <c r="G3427" s="87"/>
      <c r="H3427" s="87">
        <f>F3427*G3427</f>
        <v>0</v>
      </c>
      <c r="I3427" s="87"/>
      <c r="J3427" s="87"/>
      <c r="K3427" s="87"/>
      <c r="L3427" s="87"/>
    </row>
    <row r="3428" spans="1:12" ht="12" customHeight="1" x14ac:dyDescent="0.35">
      <c r="B3428" s="84"/>
      <c r="C3428" s="88"/>
      <c r="D3428" s="79"/>
      <c r="E3428" s="79"/>
      <c r="F3428" s="89" t="s">
        <v>425</v>
      </c>
      <c r="G3428" s="101"/>
      <c r="H3428" s="87">
        <f>SUM(H3425:H3427)</f>
        <v>0</v>
      </c>
      <c r="I3428" s="101"/>
      <c r="J3428" s="87">
        <f>SUM(J3425)</f>
        <v>0</v>
      </c>
      <c r="K3428" s="101"/>
      <c r="L3428" s="87">
        <f>SUM(L3425)</f>
        <v>0</v>
      </c>
    </row>
    <row r="3429" spans="1:12" ht="12" customHeight="1" x14ac:dyDescent="0.35">
      <c r="B3429" s="84" t="s">
        <v>8</v>
      </c>
      <c r="C3429" s="103" t="s">
        <v>426</v>
      </c>
      <c r="D3429" s="104"/>
      <c r="E3429" s="104"/>
      <c r="F3429" s="104"/>
      <c r="G3429" s="105"/>
      <c r="H3429" s="87">
        <f>H3418+H3423+H3428</f>
        <v>5400</v>
      </c>
      <c r="I3429" s="105"/>
      <c r="J3429" s="87" t="e">
        <f>J3418+J3423+J3428</f>
        <v>#REF!</v>
      </c>
      <c r="K3429" s="105"/>
      <c r="L3429" s="87" t="e">
        <f>L3418+L3423+L3428</f>
        <v>#REF!</v>
      </c>
    </row>
    <row r="3430" spans="1:12" ht="12" customHeight="1" x14ac:dyDescent="0.35">
      <c r="B3430" s="84" t="s">
        <v>9</v>
      </c>
      <c r="C3430" s="455" t="s">
        <v>427</v>
      </c>
      <c r="D3430" s="455"/>
      <c r="E3430" s="455"/>
      <c r="F3430" s="95">
        <f>0</f>
        <v>0</v>
      </c>
      <c r="G3430" s="85" t="s">
        <v>428</v>
      </c>
      <c r="H3430" s="87">
        <f>H3429*F3430</f>
        <v>0</v>
      </c>
      <c r="I3430" s="85" t="s">
        <v>428</v>
      </c>
      <c r="J3430" s="87" t="e">
        <f>J3429*F3430</f>
        <v>#REF!</v>
      </c>
      <c r="K3430" s="85" t="s">
        <v>428</v>
      </c>
      <c r="L3430" s="87" t="e">
        <f>L3429*F3430</f>
        <v>#REF!</v>
      </c>
    </row>
    <row r="3431" spans="1:12" ht="12" customHeight="1" x14ac:dyDescent="0.35">
      <c r="B3431" s="84" t="s">
        <v>10</v>
      </c>
      <c r="C3431" s="103" t="s">
        <v>429</v>
      </c>
      <c r="D3431" s="104"/>
      <c r="E3431" s="104"/>
      <c r="F3431" s="104"/>
      <c r="G3431" s="105"/>
      <c r="H3431" s="96">
        <f>H3429+H3430</f>
        <v>5400</v>
      </c>
      <c r="I3431" s="97"/>
      <c r="J3431" s="96" t="e">
        <f>J3429+J3430</f>
        <v>#REF!</v>
      </c>
      <c r="K3431" s="97"/>
      <c r="L3431" s="96" t="e">
        <f>L3429+L3430</f>
        <v>#REF!</v>
      </c>
    </row>
    <row r="3432" spans="1:12" ht="14" customHeight="1" x14ac:dyDescent="0.35"/>
    <row r="3433" spans="1:12" ht="37" customHeight="1" x14ac:dyDescent="0.35">
      <c r="B3433" s="76" t="s">
        <v>848</v>
      </c>
      <c r="C3433" s="458" t="s">
        <v>849</v>
      </c>
      <c r="D3433" s="459"/>
      <c r="E3433" s="459"/>
      <c r="F3433" s="459"/>
      <c r="G3433" s="456"/>
      <c r="H3433" s="457"/>
      <c r="I3433" s="455" t="s">
        <v>3</v>
      </c>
      <c r="J3433" s="455"/>
      <c r="K3433" s="455" t="s">
        <v>4</v>
      </c>
      <c r="L3433" s="455"/>
    </row>
    <row r="3434" spans="1:12" ht="12" customHeight="1" x14ac:dyDescent="0.35">
      <c r="B3434" s="451" t="s">
        <v>409</v>
      </c>
      <c r="C3434" s="451" t="s">
        <v>410</v>
      </c>
      <c r="D3434" s="452" t="s">
        <v>411</v>
      </c>
      <c r="E3434" s="451" t="s">
        <v>412</v>
      </c>
      <c r="F3434" s="451" t="s">
        <v>413</v>
      </c>
      <c r="G3434" s="77" t="s">
        <v>414</v>
      </c>
      <c r="H3434" s="77" t="s">
        <v>415</v>
      </c>
      <c r="I3434" s="78" t="s">
        <v>414</v>
      </c>
      <c r="J3434" s="79" t="s">
        <v>415</v>
      </c>
      <c r="K3434" s="79" t="s">
        <v>414</v>
      </c>
      <c r="L3434" s="79" t="s">
        <v>415</v>
      </c>
    </row>
    <row r="3435" spans="1:12" ht="12" customHeight="1" x14ac:dyDescent="0.35">
      <c r="B3435" s="451"/>
      <c r="C3435" s="451"/>
      <c r="D3435" s="453"/>
      <c r="E3435" s="451"/>
      <c r="F3435" s="451"/>
      <c r="G3435" s="77" t="s">
        <v>17</v>
      </c>
      <c r="H3435" s="77" t="s">
        <v>416</v>
      </c>
      <c r="I3435" s="78" t="s">
        <v>17</v>
      </c>
      <c r="J3435" s="79" t="s">
        <v>416</v>
      </c>
      <c r="K3435" s="79" t="s">
        <v>17</v>
      </c>
      <c r="L3435" s="79" t="s">
        <v>416</v>
      </c>
    </row>
    <row r="3436" spans="1:12" ht="12" customHeight="1" x14ac:dyDescent="0.35">
      <c r="B3436" s="451"/>
      <c r="C3436" s="451"/>
      <c r="D3436" s="454"/>
      <c r="E3436" s="451"/>
      <c r="F3436" s="451"/>
      <c r="G3436" s="106"/>
      <c r="H3436" s="77" t="s">
        <v>17</v>
      </c>
      <c r="I3436" s="94"/>
      <c r="J3436" s="79" t="s">
        <v>17</v>
      </c>
      <c r="K3436" s="85"/>
      <c r="L3436" s="79" t="s">
        <v>17</v>
      </c>
    </row>
    <row r="3437" spans="1:12" ht="12" customHeight="1" x14ac:dyDescent="0.35">
      <c r="B3437" s="80" t="s">
        <v>5</v>
      </c>
      <c r="C3437" s="81" t="s">
        <v>417</v>
      </c>
      <c r="D3437" s="82"/>
      <c r="E3437" s="82"/>
      <c r="F3437" s="82"/>
      <c r="G3437" s="82"/>
      <c r="H3437" s="82"/>
      <c r="I3437" s="83"/>
      <c r="J3437" s="83"/>
      <c r="K3437" s="83"/>
      <c r="L3437" s="83"/>
    </row>
    <row r="3438" spans="1:12" ht="12" customHeight="1" x14ac:dyDescent="0.35">
      <c r="A3438" s="134">
        <v>10130000</v>
      </c>
      <c r="B3438" s="84"/>
      <c r="C3438" s="85" t="s">
        <v>28</v>
      </c>
      <c r="D3438" s="84" t="s">
        <v>418</v>
      </c>
      <c r="E3438" s="84" t="str">
        <f>VLOOKUP(C3438,HSD!B:K,2,FALSE)</f>
        <v>OH</v>
      </c>
      <c r="F3438" s="128">
        <v>0.06</v>
      </c>
      <c r="G3438" s="87">
        <f>VLOOKUP(C3438,HSD!B:K,10,FALSE)</f>
        <v>120000</v>
      </c>
      <c r="H3438" s="87">
        <f>F3438*G3438</f>
        <v>7200</v>
      </c>
      <c r="I3438" s="87">
        <v>91500</v>
      </c>
      <c r="J3438" s="87">
        <f>F3438*I3438</f>
        <v>5490</v>
      </c>
      <c r="K3438" s="87">
        <v>91500</v>
      </c>
      <c r="L3438" s="87">
        <f>F3438*K3438</f>
        <v>5490</v>
      </c>
    </row>
    <row r="3439" spans="1:12" ht="12" customHeight="1" x14ac:dyDescent="0.35">
      <c r="A3439" s="134">
        <v>10110000</v>
      </c>
      <c r="B3439" s="84"/>
      <c r="C3439" s="85" t="s">
        <v>30</v>
      </c>
      <c r="D3439" s="84" t="s">
        <v>418</v>
      </c>
      <c r="E3439" s="84" t="str">
        <f>VLOOKUP(C3439,HSD!B:K,2,FALSE)</f>
        <v>OH</v>
      </c>
      <c r="F3439" s="128">
        <f>F3438/10</f>
        <v>6.0000000000000001E-3</v>
      </c>
      <c r="G3439" s="87">
        <f>VLOOKUP(C3439,HSD!B:K,10,FALSE)</f>
        <v>150000</v>
      </c>
      <c r="H3439" s="87">
        <f>F3439*G3439</f>
        <v>900</v>
      </c>
      <c r="I3439" s="87">
        <v>92500</v>
      </c>
      <c r="J3439" s="87">
        <f>F3439*I3439</f>
        <v>555</v>
      </c>
      <c r="K3439" s="87">
        <v>92500</v>
      </c>
      <c r="L3439" s="87">
        <f>F3439*K3439</f>
        <v>555</v>
      </c>
    </row>
    <row r="3440" spans="1:12" ht="12" customHeight="1" x14ac:dyDescent="0.35">
      <c r="B3440" s="84"/>
      <c r="C3440" s="85"/>
      <c r="D3440" s="84"/>
      <c r="E3440" s="84"/>
      <c r="F3440" s="86"/>
      <c r="G3440" s="87"/>
      <c r="H3440" s="87"/>
      <c r="I3440" s="87"/>
      <c r="J3440" s="87"/>
      <c r="K3440" s="87"/>
      <c r="L3440" s="87"/>
    </row>
    <row r="3441" spans="2:12" ht="12" customHeight="1" x14ac:dyDescent="0.35">
      <c r="B3441" s="84"/>
      <c r="C3441" s="88"/>
      <c r="D3441" s="79"/>
      <c r="E3441" s="79"/>
      <c r="F3441" s="89" t="s">
        <v>421</v>
      </c>
      <c r="G3441" s="101"/>
      <c r="H3441" s="87">
        <f>SUM(H3438:H3440)</f>
        <v>8100</v>
      </c>
      <c r="I3441" s="101"/>
      <c r="J3441" s="87">
        <f>SUM(J3439:J3440)</f>
        <v>555</v>
      </c>
      <c r="K3441" s="101"/>
      <c r="L3441" s="87">
        <f>SUM(L3439:L3440)</f>
        <v>555</v>
      </c>
    </row>
    <row r="3442" spans="2:12" ht="12" customHeight="1" x14ac:dyDescent="0.35">
      <c r="B3442" s="84" t="s">
        <v>6</v>
      </c>
      <c r="C3442" s="88" t="s">
        <v>422</v>
      </c>
      <c r="D3442" s="79"/>
      <c r="E3442" s="79"/>
      <c r="F3442" s="90"/>
      <c r="G3442" s="84"/>
      <c r="H3442" s="87"/>
      <c r="I3442" s="84"/>
      <c r="J3442" s="87"/>
      <c r="K3442" s="84"/>
      <c r="L3442" s="87"/>
    </row>
    <row r="3443" spans="2:12" x14ac:dyDescent="0.35">
      <c r="B3443" s="84"/>
      <c r="C3443" s="85"/>
      <c r="D3443" s="84"/>
      <c r="E3443" s="84"/>
      <c r="F3443" s="128"/>
      <c r="G3443" s="87"/>
      <c r="H3443" s="87">
        <f>F3443*G3443</f>
        <v>0</v>
      </c>
      <c r="I3443" s="87"/>
      <c r="J3443" s="87"/>
      <c r="K3443" s="87"/>
      <c r="L3443" s="87"/>
    </row>
    <row r="3444" spans="2:12" x14ac:dyDescent="0.35">
      <c r="B3444" s="84"/>
      <c r="C3444" s="85"/>
      <c r="D3444" s="84"/>
      <c r="E3444" s="84"/>
      <c r="F3444" s="128"/>
      <c r="G3444" s="87"/>
      <c r="H3444" s="87">
        <f>F3444*G3444</f>
        <v>0</v>
      </c>
      <c r="I3444" s="87"/>
      <c r="J3444" s="87"/>
      <c r="K3444" s="87"/>
      <c r="L3444" s="87"/>
    </row>
    <row r="3445" spans="2:12" x14ac:dyDescent="0.35">
      <c r="B3445" s="84"/>
      <c r="C3445" s="85"/>
      <c r="D3445" s="84"/>
      <c r="E3445" s="84"/>
      <c r="F3445" s="128"/>
      <c r="G3445" s="87"/>
      <c r="H3445" s="87">
        <f>F3445*G3445</f>
        <v>0</v>
      </c>
      <c r="I3445" s="87"/>
      <c r="J3445" s="87"/>
      <c r="K3445" s="87"/>
      <c r="L3445" s="87"/>
    </row>
    <row r="3446" spans="2:12" ht="12" customHeight="1" x14ac:dyDescent="0.35">
      <c r="B3446" s="84"/>
      <c r="C3446" s="88"/>
      <c r="D3446" s="79"/>
      <c r="E3446" s="79"/>
      <c r="F3446" s="129" t="s">
        <v>423</v>
      </c>
      <c r="G3446" s="129"/>
      <c r="H3446" s="87">
        <f>SUM(H3443:H3445)</f>
        <v>0</v>
      </c>
      <c r="I3446" s="101"/>
      <c r="J3446" s="87" t="e">
        <f>SUM(#REF!)</f>
        <v>#REF!</v>
      </c>
      <c r="K3446" s="101"/>
      <c r="L3446" s="87" t="e">
        <f>SUM(#REF!)</f>
        <v>#REF!</v>
      </c>
    </row>
    <row r="3447" spans="2:12" ht="12" customHeight="1" x14ac:dyDescent="0.35">
      <c r="B3447" s="84" t="s">
        <v>7</v>
      </c>
      <c r="C3447" s="88" t="s">
        <v>424</v>
      </c>
      <c r="D3447" s="79"/>
      <c r="E3447" s="79"/>
      <c r="F3447" s="90"/>
      <c r="G3447" s="84"/>
      <c r="H3447" s="87"/>
      <c r="I3447" s="84"/>
      <c r="J3447" s="87"/>
      <c r="K3447" s="84"/>
      <c r="L3447" s="87"/>
    </row>
    <row r="3448" spans="2:12" ht="12" customHeight="1" x14ac:dyDescent="0.35">
      <c r="B3448" s="84"/>
      <c r="C3448" s="85"/>
      <c r="D3448" s="84"/>
      <c r="E3448" s="84"/>
      <c r="F3448" s="128"/>
      <c r="G3448" s="87"/>
      <c r="H3448" s="87">
        <f>F3448*G3448</f>
        <v>0</v>
      </c>
      <c r="I3448" s="87"/>
      <c r="J3448" s="87">
        <f>H3448*I3448</f>
        <v>0</v>
      </c>
      <c r="K3448" s="87"/>
      <c r="L3448" s="87">
        <f>J3448*K3448</f>
        <v>0</v>
      </c>
    </row>
    <row r="3449" spans="2:12" ht="12" customHeight="1" x14ac:dyDescent="0.35">
      <c r="B3449" s="84"/>
      <c r="C3449" s="85"/>
      <c r="D3449" s="84"/>
      <c r="E3449" s="84"/>
      <c r="F3449" s="128"/>
      <c r="G3449" s="87"/>
      <c r="H3449" s="87">
        <f>F3449*G3449</f>
        <v>0</v>
      </c>
      <c r="I3449" s="87"/>
      <c r="J3449" s="87"/>
      <c r="K3449" s="87"/>
      <c r="L3449" s="87"/>
    </row>
    <row r="3450" spans="2:12" ht="12" customHeight="1" x14ac:dyDescent="0.35">
      <c r="B3450" s="84"/>
      <c r="C3450" s="85"/>
      <c r="D3450" s="84"/>
      <c r="E3450" s="84"/>
      <c r="F3450" s="128"/>
      <c r="G3450" s="87"/>
      <c r="H3450" s="87">
        <f>F3450*G3450</f>
        <v>0</v>
      </c>
      <c r="I3450" s="87"/>
      <c r="J3450" s="87"/>
      <c r="K3450" s="87"/>
      <c r="L3450" s="87"/>
    </row>
    <row r="3451" spans="2:12" ht="12" customHeight="1" x14ac:dyDescent="0.35">
      <c r="B3451" s="84"/>
      <c r="C3451" s="88"/>
      <c r="D3451" s="79"/>
      <c r="E3451" s="79"/>
      <c r="F3451" s="89" t="s">
        <v>425</v>
      </c>
      <c r="G3451" s="101"/>
      <c r="H3451" s="87">
        <f>SUM(H3448:H3450)</f>
        <v>0</v>
      </c>
      <c r="I3451" s="101"/>
      <c r="J3451" s="87">
        <f>SUM(J3448)</f>
        <v>0</v>
      </c>
      <c r="K3451" s="101"/>
      <c r="L3451" s="87">
        <f>SUM(L3448)</f>
        <v>0</v>
      </c>
    </row>
    <row r="3452" spans="2:12" ht="12" customHeight="1" x14ac:dyDescent="0.35">
      <c r="B3452" s="84" t="s">
        <v>8</v>
      </c>
      <c r="C3452" s="103" t="s">
        <v>426</v>
      </c>
      <c r="D3452" s="104"/>
      <c r="E3452" s="104"/>
      <c r="F3452" s="104"/>
      <c r="G3452" s="105"/>
      <c r="H3452" s="87">
        <f>H3441+H3446+H3451</f>
        <v>8100</v>
      </c>
      <c r="I3452" s="105"/>
      <c r="J3452" s="87" t="e">
        <f>J3441+J3446+J3451</f>
        <v>#REF!</v>
      </c>
      <c r="K3452" s="105"/>
      <c r="L3452" s="87" t="e">
        <f>L3441+L3446+L3451</f>
        <v>#REF!</v>
      </c>
    </row>
    <row r="3453" spans="2:12" ht="12" customHeight="1" x14ac:dyDescent="0.35">
      <c r="B3453" s="84" t="s">
        <v>9</v>
      </c>
      <c r="C3453" s="455" t="s">
        <v>427</v>
      </c>
      <c r="D3453" s="455"/>
      <c r="E3453" s="455"/>
      <c r="F3453" s="95">
        <f>0</f>
        <v>0</v>
      </c>
      <c r="G3453" s="85" t="s">
        <v>428</v>
      </c>
      <c r="H3453" s="87">
        <f>H3452*F3453</f>
        <v>0</v>
      </c>
      <c r="I3453" s="85" t="s">
        <v>428</v>
      </c>
      <c r="J3453" s="87" t="e">
        <f>J3452*F3453</f>
        <v>#REF!</v>
      </c>
      <c r="K3453" s="85" t="s">
        <v>428</v>
      </c>
      <c r="L3453" s="87" t="e">
        <f>L3452*F3453</f>
        <v>#REF!</v>
      </c>
    </row>
    <row r="3454" spans="2:12" ht="12" customHeight="1" x14ac:dyDescent="0.35">
      <c r="B3454" s="84" t="s">
        <v>10</v>
      </c>
      <c r="C3454" s="103" t="s">
        <v>429</v>
      </c>
      <c r="D3454" s="104"/>
      <c r="E3454" s="104"/>
      <c r="F3454" s="104"/>
      <c r="G3454" s="105"/>
      <c r="H3454" s="96">
        <f>H3452+H3453</f>
        <v>8100</v>
      </c>
      <c r="I3454" s="97"/>
      <c r="J3454" s="96" t="e">
        <f>J3452+J3453</f>
        <v>#REF!</v>
      </c>
      <c r="K3454" s="97"/>
      <c r="L3454" s="96" t="e">
        <f>L3452+L3453</f>
        <v>#REF!</v>
      </c>
    </row>
    <row r="3455" spans="2:12" ht="14" customHeight="1" x14ac:dyDescent="0.35"/>
    <row r="3456" spans="2:12" ht="37" customHeight="1" x14ac:dyDescent="0.35">
      <c r="B3456" s="76" t="s">
        <v>850</v>
      </c>
      <c r="C3456" s="458" t="s">
        <v>851</v>
      </c>
      <c r="D3456" s="459"/>
      <c r="E3456" s="459"/>
      <c r="F3456" s="459"/>
      <c r="G3456" s="456"/>
      <c r="H3456" s="457"/>
      <c r="I3456" s="455" t="s">
        <v>3</v>
      </c>
      <c r="J3456" s="455"/>
      <c r="K3456" s="455" t="s">
        <v>4</v>
      </c>
      <c r="L3456" s="455"/>
    </row>
    <row r="3457" spans="1:12" ht="12" customHeight="1" x14ac:dyDescent="0.35">
      <c r="B3457" s="451" t="s">
        <v>409</v>
      </c>
      <c r="C3457" s="451" t="s">
        <v>410</v>
      </c>
      <c r="D3457" s="452" t="s">
        <v>411</v>
      </c>
      <c r="E3457" s="451" t="s">
        <v>412</v>
      </c>
      <c r="F3457" s="451" t="s">
        <v>413</v>
      </c>
      <c r="G3457" s="77" t="s">
        <v>414</v>
      </c>
      <c r="H3457" s="77" t="s">
        <v>415</v>
      </c>
      <c r="I3457" s="78" t="s">
        <v>414</v>
      </c>
      <c r="J3457" s="79" t="s">
        <v>415</v>
      </c>
      <c r="K3457" s="79" t="s">
        <v>414</v>
      </c>
      <c r="L3457" s="79" t="s">
        <v>415</v>
      </c>
    </row>
    <row r="3458" spans="1:12" ht="12" customHeight="1" x14ac:dyDescent="0.35">
      <c r="B3458" s="451"/>
      <c r="C3458" s="451"/>
      <c r="D3458" s="453"/>
      <c r="E3458" s="451"/>
      <c r="F3458" s="451"/>
      <c r="G3458" s="77" t="s">
        <v>17</v>
      </c>
      <c r="H3458" s="77" t="s">
        <v>416</v>
      </c>
      <c r="I3458" s="78" t="s">
        <v>17</v>
      </c>
      <c r="J3458" s="79" t="s">
        <v>416</v>
      </c>
      <c r="K3458" s="79" t="s">
        <v>17</v>
      </c>
      <c r="L3458" s="79" t="s">
        <v>416</v>
      </c>
    </row>
    <row r="3459" spans="1:12" ht="12" customHeight="1" x14ac:dyDescent="0.35">
      <c r="B3459" s="451"/>
      <c r="C3459" s="451"/>
      <c r="D3459" s="454"/>
      <c r="E3459" s="451"/>
      <c r="F3459" s="451"/>
      <c r="G3459" s="106"/>
      <c r="H3459" s="77" t="s">
        <v>17</v>
      </c>
      <c r="I3459" s="94"/>
      <c r="J3459" s="79" t="s">
        <v>17</v>
      </c>
      <c r="K3459" s="85"/>
      <c r="L3459" s="79" t="s">
        <v>17</v>
      </c>
    </row>
    <row r="3460" spans="1:12" ht="12" customHeight="1" x14ac:dyDescent="0.35">
      <c r="B3460" s="80" t="s">
        <v>5</v>
      </c>
      <c r="C3460" s="81" t="s">
        <v>417</v>
      </c>
      <c r="D3460" s="82"/>
      <c r="E3460" s="82"/>
      <c r="F3460" s="82"/>
      <c r="G3460" s="82"/>
      <c r="H3460" s="82"/>
      <c r="I3460" s="83"/>
      <c r="J3460" s="83"/>
      <c r="K3460" s="83"/>
      <c r="L3460" s="83"/>
    </row>
    <row r="3461" spans="1:12" ht="12" customHeight="1" x14ac:dyDescent="0.35">
      <c r="A3461" s="134">
        <v>10130000</v>
      </c>
      <c r="B3461" s="84"/>
      <c r="C3461" s="85" t="s">
        <v>28</v>
      </c>
      <c r="D3461" s="84" t="s">
        <v>418</v>
      </c>
      <c r="E3461" s="84" t="str">
        <f>VLOOKUP(C3461,HSD!B:K,2,FALSE)</f>
        <v>OH</v>
      </c>
      <c r="F3461" s="128">
        <v>0.18</v>
      </c>
      <c r="G3461" s="87">
        <f>VLOOKUP(C3461,HSD!B:K,10,FALSE)</f>
        <v>120000</v>
      </c>
      <c r="H3461" s="87">
        <f>F3461*G3461</f>
        <v>21600</v>
      </c>
      <c r="I3461" s="87">
        <v>91500</v>
      </c>
      <c r="J3461" s="87">
        <f>F3461*I3461</f>
        <v>16470</v>
      </c>
      <c r="K3461" s="87">
        <v>91500</v>
      </c>
      <c r="L3461" s="87">
        <f>F3461*K3461</f>
        <v>16470</v>
      </c>
    </row>
    <row r="3462" spans="1:12" ht="12" customHeight="1" x14ac:dyDescent="0.35">
      <c r="A3462" s="134">
        <v>10110000</v>
      </c>
      <c r="B3462" s="84"/>
      <c r="C3462" s="85" t="s">
        <v>30</v>
      </c>
      <c r="D3462" s="84" t="s">
        <v>418</v>
      </c>
      <c r="E3462" s="84" t="str">
        <f>VLOOKUP(C3462,HSD!B:K,2,FALSE)</f>
        <v>OH</v>
      </c>
      <c r="F3462" s="128">
        <f>F3461/10</f>
        <v>1.7999999999999999E-2</v>
      </c>
      <c r="G3462" s="87">
        <f>VLOOKUP(C3462,HSD!B:K,10,FALSE)</f>
        <v>150000</v>
      </c>
      <c r="H3462" s="87">
        <f>F3462*G3462</f>
        <v>2700</v>
      </c>
      <c r="I3462" s="87">
        <v>92500</v>
      </c>
      <c r="J3462" s="87">
        <f>F3462*I3462</f>
        <v>1664.9999999999998</v>
      </c>
      <c r="K3462" s="87">
        <v>92500</v>
      </c>
      <c r="L3462" s="87">
        <f>F3462*K3462</f>
        <v>1664.9999999999998</v>
      </c>
    </row>
    <row r="3463" spans="1:12" ht="12" customHeight="1" x14ac:dyDescent="0.35">
      <c r="B3463" s="84"/>
      <c r="C3463" s="85"/>
      <c r="D3463" s="84"/>
      <c r="E3463" s="84"/>
      <c r="F3463" s="86"/>
      <c r="G3463" s="87"/>
      <c r="H3463" s="87"/>
      <c r="I3463" s="87"/>
      <c r="J3463" s="87"/>
      <c r="K3463" s="87"/>
      <c r="L3463" s="87"/>
    </row>
    <row r="3464" spans="1:12" ht="12" customHeight="1" x14ac:dyDescent="0.35">
      <c r="B3464" s="84"/>
      <c r="C3464" s="88"/>
      <c r="D3464" s="79"/>
      <c r="E3464" s="79"/>
      <c r="F3464" s="89" t="s">
        <v>421</v>
      </c>
      <c r="G3464" s="101"/>
      <c r="H3464" s="87">
        <f>SUM(H3461:H3463)</f>
        <v>24300</v>
      </c>
      <c r="I3464" s="101"/>
      <c r="J3464" s="87">
        <f>SUM(J3462:J3463)</f>
        <v>1664.9999999999998</v>
      </c>
      <c r="K3464" s="101"/>
      <c r="L3464" s="87">
        <f>SUM(L3462:L3463)</f>
        <v>1664.9999999999998</v>
      </c>
    </row>
    <row r="3465" spans="1:12" ht="12" customHeight="1" x14ac:dyDescent="0.35">
      <c r="B3465" s="84" t="s">
        <v>6</v>
      </c>
      <c r="C3465" s="88" t="s">
        <v>422</v>
      </c>
      <c r="D3465" s="79"/>
      <c r="E3465" s="79"/>
      <c r="F3465" s="90"/>
      <c r="G3465" s="84"/>
      <c r="H3465" s="87"/>
      <c r="I3465" s="84"/>
      <c r="J3465" s="87"/>
      <c r="K3465" s="84"/>
      <c r="L3465" s="87"/>
    </row>
    <row r="3466" spans="1:12" x14ac:dyDescent="0.35">
      <c r="B3466" s="84"/>
      <c r="C3466" s="85"/>
      <c r="D3466" s="84"/>
      <c r="E3466" s="84"/>
      <c r="F3466" s="128"/>
      <c r="G3466" s="87"/>
      <c r="H3466" s="87">
        <f>F3466*G3466</f>
        <v>0</v>
      </c>
      <c r="I3466" s="87"/>
      <c r="J3466" s="87"/>
      <c r="K3466" s="87"/>
      <c r="L3466" s="87"/>
    </row>
    <row r="3467" spans="1:12" x14ac:dyDescent="0.35">
      <c r="B3467" s="84"/>
      <c r="C3467" s="85"/>
      <c r="D3467" s="84"/>
      <c r="E3467" s="84"/>
      <c r="F3467" s="128"/>
      <c r="G3467" s="87"/>
      <c r="H3467" s="87">
        <f>F3467*G3467</f>
        <v>0</v>
      </c>
      <c r="I3467" s="87"/>
      <c r="J3467" s="87"/>
      <c r="K3467" s="87"/>
      <c r="L3467" s="87"/>
    </row>
    <row r="3468" spans="1:12" x14ac:dyDescent="0.35">
      <c r="B3468" s="84"/>
      <c r="C3468" s="85"/>
      <c r="D3468" s="84"/>
      <c r="E3468" s="84"/>
      <c r="F3468" s="128"/>
      <c r="G3468" s="87"/>
      <c r="H3468" s="87">
        <f>F3468*G3468</f>
        <v>0</v>
      </c>
      <c r="I3468" s="87"/>
      <c r="J3468" s="87"/>
      <c r="K3468" s="87"/>
      <c r="L3468" s="87"/>
    </row>
    <row r="3469" spans="1:12" ht="12" customHeight="1" x14ac:dyDescent="0.35">
      <c r="B3469" s="84"/>
      <c r="C3469" s="88"/>
      <c r="D3469" s="79"/>
      <c r="E3469" s="79"/>
      <c r="F3469" s="129" t="s">
        <v>423</v>
      </c>
      <c r="G3469" s="129"/>
      <c r="H3469" s="87">
        <f>SUM(H3466:H3468)</f>
        <v>0</v>
      </c>
      <c r="I3469" s="101"/>
      <c r="J3469" s="87" t="e">
        <f>SUM(#REF!)</f>
        <v>#REF!</v>
      </c>
      <c r="K3469" s="101"/>
      <c r="L3469" s="87" t="e">
        <f>SUM(#REF!)</f>
        <v>#REF!</v>
      </c>
    </row>
    <row r="3470" spans="1:12" ht="12" customHeight="1" x14ac:dyDescent="0.35">
      <c r="B3470" s="84" t="s">
        <v>7</v>
      </c>
      <c r="C3470" s="88" t="s">
        <v>424</v>
      </c>
      <c r="D3470" s="79"/>
      <c r="E3470" s="79"/>
      <c r="F3470" s="90"/>
      <c r="G3470" s="84"/>
      <c r="H3470" s="87"/>
      <c r="I3470" s="84"/>
      <c r="J3470" s="87"/>
      <c r="K3470" s="84"/>
      <c r="L3470" s="87"/>
    </row>
    <row r="3471" spans="1:12" ht="12" customHeight="1" x14ac:dyDescent="0.35">
      <c r="A3471" s="134">
        <v>31210000</v>
      </c>
      <c r="B3471" s="84"/>
      <c r="C3471" s="85" t="s">
        <v>472</v>
      </c>
      <c r="D3471" s="84" t="s">
        <v>418</v>
      </c>
      <c r="E3471" s="84" t="s">
        <v>473</v>
      </c>
      <c r="F3471" s="128">
        <v>0.06</v>
      </c>
      <c r="G3471" s="87">
        <f>VLOOKUP(C3471,HSD!B:K,10,FALSE)</f>
        <v>493079</v>
      </c>
      <c r="H3471" s="87">
        <f>F3471*G3471</f>
        <v>29584.739999999998</v>
      </c>
      <c r="I3471" s="87"/>
      <c r="J3471" s="87">
        <f>H3471*I3471</f>
        <v>0</v>
      </c>
      <c r="K3471" s="87"/>
      <c r="L3471" s="87">
        <f>J3471*K3471</f>
        <v>0</v>
      </c>
    </row>
    <row r="3472" spans="1:12" ht="12" customHeight="1" x14ac:dyDescent="0.35">
      <c r="B3472" s="84"/>
      <c r="C3472" s="85"/>
      <c r="D3472" s="84"/>
      <c r="E3472" s="84"/>
      <c r="F3472" s="128"/>
      <c r="G3472" s="87"/>
      <c r="H3472" s="87">
        <f>F3472*G3472</f>
        <v>0</v>
      </c>
      <c r="I3472" s="87"/>
      <c r="J3472" s="87"/>
      <c r="K3472" s="87"/>
      <c r="L3472" s="87"/>
    </row>
    <row r="3473" spans="1:12" ht="12" customHeight="1" x14ac:dyDescent="0.35">
      <c r="B3473" s="84"/>
      <c r="C3473" s="85"/>
      <c r="D3473" s="84"/>
      <c r="E3473" s="84"/>
      <c r="F3473" s="128"/>
      <c r="G3473" s="87"/>
      <c r="H3473" s="87">
        <f>F3473*G3473</f>
        <v>0</v>
      </c>
      <c r="I3473" s="87"/>
      <c r="J3473" s="87"/>
      <c r="K3473" s="87"/>
      <c r="L3473" s="87"/>
    </row>
    <row r="3474" spans="1:12" ht="12" customHeight="1" x14ac:dyDescent="0.35">
      <c r="B3474" s="84"/>
      <c r="C3474" s="88"/>
      <c r="D3474" s="79"/>
      <c r="E3474" s="79"/>
      <c r="F3474" s="89" t="s">
        <v>425</v>
      </c>
      <c r="G3474" s="101"/>
      <c r="H3474" s="87">
        <f>SUM(H3471:H3473)</f>
        <v>29584.739999999998</v>
      </c>
      <c r="I3474" s="101"/>
      <c r="J3474" s="87">
        <f>SUM(J3471)</f>
        <v>0</v>
      </c>
      <c r="K3474" s="101"/>
      <c r="L3474" s="87">
        <f>SUM(L3471)</f>
        <v>0</v>
      </c>
    </row>
    <row r="3475" spans="1:12" ht="12" customHeight="1" x14ac:dyDescent="0.35">
      <c r="B3475" s="84" t="s">
        <v>8</v>
      </c>
      <c r="C3475" s="103" t="s">
        <v>426</v>
      </c>
      <c r="D3475" s="104"/>
      <c r="E3475" s="104"/>
      <c r="F3475" s="104"/>
      <c r="G3475" s="105"/>
      <c r="H3475" s="87">
        <f>H3464+H3469+H3474</f>
        <v>53884.74</v>
      </c>
      <c r="I3475" s="105"/>
      <c r="J3475" s="87" t="e">
        <f>J3464+J3469+J3474</f>
        <v>#REF!</v>
      </c>
      <c r="K3475" s="105"/>
      <c r="L3475" s="87" t="e">
        <f>L3464+L3469+L3474</f>
        <v>#REF!</v>
      </c>
    </row>
    <row r="3476" spans="1:12" ht="12" customHeight="1" x14ac:dyDescent="0.35">
      <c r="B3476" s="84" t="s">
        <v>9</v>
      </c>
      <c r="C3476" s="455" t="s">
        <v>427</v>
      </c>
      <c r="D3476" s="455"/>
      <c r="E3476" s="455"/>
      <c r="F3476" s="95">
        <f>0</f>
        <v>0</v>
      </c>
      <c r="G3476" s="85" t="s">
        <v>428</v>
      </c>
      <c r="H3476" s="87">
        <f>H3475*F3476</f>
        <v>0</v>
      </c>
      <c r="I3476" s="85" t="s">
        <v>428</v>
      </c>
      <c r="J3476" s="87" t="e">
        <f>J3475*F3476</f>
        <v>#REF!</v>
      </c>
      <c r="K3476" s="85" t="s">
        <v>428</v>
      </c>
      <c r="L3476" s="87" t="e">
        <f>L3475*F3476</f>
        <v>#REF!</v>
      </c>
    </row>
    <row r="3477" spans="1:12" ht="12" customHeight="1" x14ac:dyDescent="0.35">
      <c r="B3477" s="84" t="s">
        <v>10</v>
      </c>
      <c r="C3477" s="103" t="s">
        <v>429</v>
      </c>
      <c r="D3477" s="104"/>
      <c r="E3477" s="104"/>
      <c r="F3477" s="104"/>
      <c r="G3477" s="105"/>
      <c r="H3477" s="96">
        <f>H3475+H3476</f>
        <v>53884.74</v>
      </c>
      <c r="I3477" s="97"/>
      <c r="J3477" s="96" t="e">
        <f>J3475+J3476</f>
        <v>#REF!</v>
      </c>
      <c r="K3477" s="97"/>
      <c r="L3477" s="96" t="e">
        <f>L3475+L3476</f>
        <v>#REF!</v>
      </c>
    </row>
    <row r="3478" spans="1:12" ht="14" customHeight="1" x14ac:dyDescent="0.35"/>
    <row r="3479" spans="1:12" ht="37" customHeight="1" x14ac:dyDescent="0.35">
      <c r="B3479" s="76" t="s">
        <v>852</v>
      </c>
      <c r="C3479" s="458" t="s">
        <v>1868</v>
      </c>
      <c r="D3479" s="459"/>
      <c r="E3479" s="459"/>
      <c r="F3479" s="459"/>
      <c r="G3479" s="456"/>
      <c r="H3479" s="457"/>
      <c r="I3479" s="455" t="s">
        <v>3</v>
      </c>
      <c r="J3479" s="455"/>
      <c r="K3479" s="455" t="s">
        <v>4</v>
      </c>
      <c r="L3479" s="455"/>
    </row>
    <row r="3480" spans="1:12" ht="12" customHeight="1" x14ac:dyDescent="0.35">
      <c r="B3480" s="451" t="s">
        <v>409</v>
      </c>
      <c r="C3480" s="451" t="s">
        <v>410</v>
      </c>
      <c r="D3480" s="452" t="s">
        <v>411</v>
      </c>
      <c r="E3480" s="451" t="s">
        <v>412</v>
      </c>
      <c r="F3480" s="451" t="s">
        <v>413</v>
      </c>
      <c r="G3480" s="77" t="s">
        <v>414</v>
      </c>
      <c r="H3480" s="77" t="s">
        <v>415</v>
      </c>
      <c r="I3480" s="78" t="s">
        <v>414</v>
      </c>
      <c r="J3480" s="79" t="s">
        <v>415</v>
      </c>
      <c r="K3480" s="79" t="s">
        <v>414</v>
      </c>
      <c r="L3480" s="79" t="s">
        <v>415</v>
      </c>
    </row>
    <row r="3481" spans="1:12" ht="12" customHeight="1" x14ac:dyDescent="0.35">
      <c r="B3481" s="451"/>
      <c r="C3481" s="451"/>
      <c r="D3481" s="453"/>
      <c r="E3481" s="451"/>
      <c r="F3481" s="451"/>
      <c r="G3481" s="77" t="s">
        <v>17</v>
      </c>
      <c r="H3481" s="77" t="s">
        <v>416</v>
      </c>
      <c r="I3481" s="78" t="s">
        <v>17</v>
      </c>
      <c r="J3481" s="79" t="s">
        <v>416</v>
      </c>
      <c r="K3481" s="79" t="s">
        <v>17</v>
      </c>
      <c r="L3481" s="79" t="s">
        <v>416</v>
      </c>
    </row>
    <row r="3482" spans="1:12" ht="12" customHeight="1" x14ac:dyDescent="0.35">
      <c r="B3482" s="451"/>
      <c r="C3482" s="451"/>
      <c r="D3482" s="454"/>
      <c r="E3482" s="451"/>
      <c r="F3482" s="451"/>
      <c r="G3482" s="106"/>
      <c r="H3482" s="77" t="s">
        <v>17</v>
      </c>
      <c r="I3482" s="94"/>
      <c r="J3482" s="79" t="s">
        <v>17</v>
      </c>
      <c r="K3482" s="85"/>
      <c r="L3482" s="79" t="s">
        <v>17</v>
      </c>
    </row>
    <row r="3483" spans="1:12" ht="12" customHeight="1" x14ac:dyDescent="0.35">
      <c r="B3483" s="80" t="s">
        <v>5</v>
      </c>
      <c r="C3483" s="81" t="s">
        <v>417</v>
      </c>
      <c r="D3483" s="82"/>
      <c r="E3483" s="82"/>
      <c r="F3483" s="82"/>
      <c r="G3483" s="82"/>
      <c r="H3483" s="82"/>
      <c r="I3483" s="83"/>
      <c r="J3483" s="83"/>
      <c r="K3483" s="83"/>
      <c r="L3483" s="83"/>
    </row>
    <row r="3484" spans="1:12" ht="12" customHeight="1" x14ac:dyDescent="0.35">
      <c r="A3484" s="134">
        <v>10130000</v>
      </c>
      <c r="B3484" s="84"/>
      <c r="C3484" s="85" t="s">
        <v>28</v>
      </c>
      <c r="D3484" s="84" t="s">
        <v>418</v>
      </c>
      <c r="E3484" s="84" t="str">
        <f>VLOOKUP(C3484,HSD!B:K,2,FALSE)</f>
        <v>OH</v>
      </c>
      <c r="F3484" s="128">
        <v>0.04</v>
      </c>
      <c r="G3484" s="87">
        <f>VLOOKUP(C3484,HSD!B:K,10,FALSE)</f>
        <v>120000</v>
      </c>
      <c r="H3484" s="87">
        <f>F3484*G3484</f>
        <v>4800</v>
      </c>
      <c r="I3484" s="87">
        <v>91500</v>
      </c>
      <c r="J3484" s="87">
        <f>F3484*I3484</f>
        <v>3660</v>
      </c>
      <c r="K3484" s="87">
        <v>91500</v>
      </c>
      <c r="L3484" s="87">
        <f>F3484*K3484</f>
        <v>3660</v>
      </c>
    </row>
    <row r="3485" spans="1:12" ht="12" customHeight="1" x14ac:dyDescent="0.35">
      <c r="A3485" s="134">
        <v>10110000</v>
      </c>
      <c r="B3485" s="84"/>
      <c r="C3485" s="85" t="s">
        <v>30</v>
      </c>
      <c r="D3485" s="84" t="s">
        <v>418</v>
      </c>
      <c r="E3485" s="84" t="str">
        <f>VLOOKUP(C3485,HSD!B:K,2,FALSE)</f>
        <v>OH</v>
      </c>
      <c r="F3485" s="128">
        <f>F3484/10</f>
        <v>4.0000000000000001E-3</v>
      </c>
      <c r="G3485" s="87">
        <f>VLOOKUP(C3485,HSD!B:K,10,FALSE)</f>
        <v>150000</v>
      </c>
      <c r="H3485" s="87">
        <f>F3485*G3485</f>
        <v>600</v>
      </c>
      <c r="I3485" s="87">
        <v>92500</v>
      </c>
      <c r="J3485" s="87">
        <f>F3485*I3485</f>
        <v>370</v>
      </c>
      <c r="K3485" s="87">
        <v>92500</v>
      </c>
      <c r="L3485" s="87">
        <f>F3485*K3485</f>
        <v>370</v>
      </c>
    </row>
    <row r="3486" spans="1:12" ht="12" customHeight="1" x14ac:dyDescent="0.35">
      <c r="B3486" s="84"/>
      <c r="C3486" s="85"/>
      <c r="D3486" s="84"/>
      <c r="E3486" s="84"/>
      <c r="F3486" s="86"/>
      <c r="G3486" s="87"/>
      <c r="H3486" s="87"/>
      <c r="I3486" s="87"/>
      <c r="J3486" s="87"/>
      <c r="K3486" s="87"/>
      <c r="L3486" s="87"/>
    </row>
    <row r="3487" spans="1:12" ht="12" customHeight="1" x14ac:dyDescent="0.35">
      <c r="B3487" s="84"/>
      <c r="C3487" s="88"/>
      <c r="D3487" s="79"/>
      <c r="E3487" s="79"/>
      <c r="F3487" s="89" t="s">
        <v>421</v>
      </c>
      <c r="G3487" s="101"/>
      <c r="H3487" s="87">
        <f>SUM(H3484:H3486)</f>
        <v>5400</v>
      </c>
      <c r="I3487" s="101"/>
      <c r="J3487" s="87">
        <f>SUM(J3485:J3486)</f>
        <v>370</v>
      </c>
      <c r="K3487" s="101"/>
      <c r="L3487" s="87">
        <f>SUM(L3485:L3486)</f>
        <v>370</v>
      </c>
    </row>
    <row r="3488" spans="1:12" ht="12" customHeight="1" x14ac:dyDescent="0.35">
      <c r="B3488" s="84" t="s">
        <v>6</v>
      </c>
      <c r="C3488" s="88" t="s">
        <v>422</v>
      </c>
      <c r="D3488" s="79"/>
      <c r="E3488" s="79"/>
      <c r="F3488" s="90"/>
      <c r="G3488" s="84"/>
      <c r="H3488" s="87"/>
      <c r="I3488" s="84"/>
      <c r="J3488" s="87"/>
      <c r="K3488" s="84"/>
      <c r="L3488" s="87"/>
    </row>
    <row r="3489" spans="1:12" x14ac:dyDescent="0.35">
      <c r="A3489" s="134">
        <v>24510000</v>
      </c>
      <c r="B3489" s="84"/>
      <c r="C3489" s="85" t="s">
        <v>1867</v>
      </c>
      <c r="D3489" s="84" t="s">
        <v>418</v>
      </c>
      <c r="E3489" s="84" t="str">
        <f>VLOOKUP(C3489,HSD!B:K,2,FALSE)</f>
        <v>m2</v>
      </c>
      <c r="F3489" s="128">
        <v>1</v>
      </c>
      <c r="G3489" s="87">
        <f>VLOOKUP(C3489,HSD!B:K,10,FALSE)</f>
        <v>6660</v>
      </c>
      <c r="H3489" s="87">
        <f>F3489*G3489</f>
        <v>6660</v>
      </c>
      <c r="I3489" s="87"/>
      <c r="J3489" s="87"/>
      <c r="K3489" s="87"/>
      <c r="L3489" s="87"/>
    </row>
    <row r="3490" spans="1:12" x14ac:dyDescent="0.35">
      <c r="A3490" s="134">
        <v>24510020</v>
      </c>
      <c r="B3490" s="84"/>
      <c r="C3490" s="85" t="s">
        <v>855</v>
      </c>
      <c r="D3490" s="84" t="s">
        <v>418</v>
      </c>
      <c r="E3490" s="84" t="str">
        <f>VLOOKUP(C3490,HSD!B:K,2,FALSE)</f>
        <v>roll</v>
      </c>
      <c r="F3490" s="128">
        <f>2/50</f>
        <v>0.04</v>
      </c>
      <c r="G3490" s="87">
        <f>VLOOKUP(C3490,HSD!B:K,10,FALSE)</f>
        <v>34000</v>
      </c>
      <c r="H3490" s="87">
        <f>F3490*G3490</f>
        <v>1360</v>
      </c>
      <c r="I3490" s="87"/>
      <c r="J3490" s="87"/>
      <c r="K3490" s="87"/>
      <c r="L3490" s="87"/>
    </row>
    <row r="3491" spans="1:12" x14ac:dyDescent="0.35">
      <c r="A3491" s="134">
        <v>211100113</v>
      </c>
      <c r="B3491" s="84"/>
      <c r="C3491" s="85" t="s">
        <v>49</v>
      </c>
      <c r="D3491" s="84" t="s">
        <v>418</v>
      </c>
      <c r="E3491" s="84" t="str">
        <f>VLOOKUP(C3491,HSD!B:K,2,FALSE)</f>
        <v>m3</v>
      </c>
      <c r="F3491" s="128">
        <v>2.1999999999999999E-2</v>
      </c>
      <c r="G3491" s="87">
        <f>VLOOKUP(C3491,HSD!B:K,10,FALSE)</f>
        <v>230880</v>
      </c>
      <c r="H3491" s="87">
        <f>F3491*G3491</f>
        <v>5079.3599999999997</v>
      </c>
      <c r="I3491" s="87"/>
      <c r="J3491" s="87"/>
      <c r="K3491" s="87"/>
      <c r="L3491" s="87"/>
    </row>
    <row r="3492" spans="1:12" ht="12" customHeight="1" x14ac:dyDescent="0.35">
      <c r="B3492" s="84"/>
      <c r="C3492" s="88"/>
      <c r="D3492" s="79"/>
      <c r="E3492" s="79"/>
      <c r="F3492" s="129" t="s">
        <v>423</v>
      </c>
      <c r="G3492" s="129"/>
      <c r="H3492" s="87">
        <f>SUM(H3489:H3491)</f>
        <v>13099.36</v>
      </c>
      <c r="I3492" s="101"/>
      <c r="J3492" s="87" t="e">
        <f>SUM(#REF!)</f>
        <v>#REF!</v>
      </c>
      <c r="K3492" s="101"/>
      <c r="L3492" s="87" t="e">
        <f>SUM(#REF!)</f>
        <v>#REF!</v>
      </c>
    </row>
    <row r="3493" spans="1:12" ht="12" customHeight="1" x14ac:dyDescent="0.35">
      <c r="B3493" s="84" t="s">
        <v>7</v>
      </c>
      <c r="C3493" s="88" t="s">
        <v>424</v>
      </c>
      <c r="D3493" s="79"/>
      <c r="E3493" s="79"/>
      <c r="F3493" s="90"/>
      <c r="G3493" s="84"/>
      <c r="H3493" s="87"/>
      <c r="I3493" s="84"/>
      <c r="J3493" s="87"/>
      <c r="K3493" s="84"/>
      <c r="L3493" s="87"/>
    </row>
    <row r="3494" spans="1:12" ht="12" customHeight="1" x14ac:dyDescent="0.35">
      <c r="A3494" s="134">
        <v>31210000</v>
      </c>
      <c r="B3494" s="84"/>
      <c r="C3494" s="85" t="s">
        <v>472</v>
      </c>
      <c r="D3494" s="84" t="s">
        <v>418</v>
      </c>
      <c r="E3494" s="84" t="str">
        <f>VLOOKUP(C3494,HSD!B:K,2,FALSE)</f>
        <v>jam</v>
      </c>
      <c r="F3494" s="128">
        <v>0.06</v>
      </c>
      <c r="G3494" s="87">
        <f>VLOOKUP(C3494,HSD!B:K,10,FALSE)</f>
        <v>493079</v>
      </c>
      <c r="H3494" s="87">
        <f>F3494*G3494</f>
        <v>29584.739999999998</v>
      </c>
      <c r="I3494" s="87"/>
      <c r="J3494" s="87">
        <f>H3494*I3494</f>
        <v>0</v>
      </c>
      <c r="K3494" s="87"/>
      <c r="L3494" s="87">
        <f>J3494*K3494</f>
        <v>0</v>
      </c>
    </row>
    <row r="3495" spans="1:12" ht="12" customHeight="1" x14ac:dyDescent="0.35">
      <c r="B3495" s="84"/>
      <c r="C3495" s="85"/>
      <c r="D3495" s="84"/>
      <c r="E3495" s="84"/>
      <c r="F3495" s="128"/>
      <c r="G3495" s="87"/>
      <c r="H3495" s="87">
        <f>F3495*G3495</f>
        <v>0</v>
      </c>
      <c r="I3495" s="87"/>
      <c r="J3495" s="87"/>
      <c r="K3495" s="87"/>
      <c r="L3495" s="87"/>
    </row>
    <row r="3496" spans="1:12" ht="12" customHeight="1" x14ac:dyDescent="0.35">
      <c r="B3496" s="84"/>
      <c r="C3496" s="85"/>
      <c r="D3496" s="84"/>
      <c r="E3496" s="84"/>
      <c r="F3496" s="128"/>
      <c r="G3496" s="87"/>
      <c r="H3496" s="87">
        <f>F3496*G3496</f>
        <v>0</v>
      </c>
      <c r="I3496" s="87"/>
      <c r="J3496" s="87"/>
      <c r="K3496" s="87"/>
      <c r="L3496" s="87"/>
    </row>
    <row r="3497" spans="1:12" ht="12" customHeight="1" x14ac:dyDescent="0.35">
      <c r="B3497" s="84"/>
      <c r="C3497" s="88"/>
      <c r="D3497" s="79"/>
      <c r="E3497" s="79"/>
      <c r="F3497" s="89" t="s">
        <v>425</v>
      </c>
      <c r="G3497" s="101"/>
      <c r="H3497" s="87">
        <f>SUM(H3494:H3496)</f>
        <v>29584.739999999998</v>
      </c>
      <c r="I3497" s="101"/>
      <c r="J3497" s="87">
        <f>SUM(J3494)</f>
        <v>0</v>
      </c>
      <c r="K3497" s="101"/>
      <c r="L3497" s="87">
        <f>SUM(L3494)</f>
        <v>0</v>
      </c>
    </row>
    <row r="3498" spans="1:12" ht="12" customHeight="1" x14ac:dyDescent="0.35">
      <c r="B3498" s="84" t="s">
        <v>8</v>
      </c>
      <c r="C3498" s="103" t="s">
        <v>426</v>
      </c>
      <c r="D3498" s="104"/>
      <c r="E3498" s="104"/>
      <c r="F3498" s="104"/>
      <c r="G3498" s="105"/>
      <c r="H3498" s="87">
        <f>H3487+H3492+H3497</f>
        <v>48084.1</v>
      </c>
      <c r="I3498" s="105"/>
      <c r="J3498" s="87" t="e">
        <f>J3487+J3492+J3497</f>
        <v>#REF!</v>
      </c>
      <c r="K3498" s="105"/>
      <c r="L3498" s="87" t="e">
        <f>L3487+L3492+L3497</f>
        <v>#REF!</v>
      </c>
    </row>
    <row r="3499" spans="1:12" ht="12" customHeight="1" x14ac:dyDescent="0.35">
      <c r="B3499" s="84" t="s">
        <v>9</v>
      </c>
      <c r="C3499" s="455" t="s">
        <v>427</v>
      </c>
      <c r="D3499" s="455"/>
      <c r="E3499" s="455"/>
      <c r="F3499" s="95">
        <f>0</f>
        <v>0</v>
      </c>
      <c r="G3499" s="85" t="s">
        <v>428</v>
      </c>
      <c r="H3499" s="87">
        <f>H3498*F3499</f>
        <v>0</v>
      </c>
      <c r="I3499" s="85" t="s">
        <v>428</v>
      </c>
      <c r="J3499" s="87" t="e">
        <f>J3498*F3499</f>
        <v>#REF!</v>
      </c>
      <c r="K3499" s="85" t="s">
        <v>428</v>
      </c>
      <c r="L3499" s="87" t="e">
        <f>L3498*F3499</f>
        <v>#REF!</v>
      </c>
    </row>
    <row r="3500" spans="1:12" ht="12" customHeight="1" x14ac:dyDescent="0.35">
      <c r="B3500" s="84" t="s">
        <v>10</v>
      </c>
      <c r="C3500" s="103" t="s">
        <v>429</v>
      </c>
      <c r="D3500" s="104"/>
      <c r="E3500" s="104"/>
      <c r="F3500" s="104"/>
      <c r="G3500" s="105"/>
      <c r="H3500" s="96">
        <f>H3498+H3499</f>
        <v>48084.1</v>
      </c>
      <c r="I3500" s="97"/>
      <c r="J3500" s="96" t="e">
        <f>J3498+J3499</f>
        <v>#REF!</v>
      </c>
      <c r="K3500" s="97"/>
      <c r="L3500" s="96" t="e">
        <f>L3498+L3499</f>
        <v>#REF!</v>
      </c>
    </row>
    <row r="3501" spans="1:12" ht="14" customHeight="1" x14ac:dyDescent="0.35"/>
    <row r="3502" spans="1:12" ht="37" customHeight="1" x14ac:dyDescent="0.35">
      <c r="B3502" s="76" t="s">
        <v>856</v>
      </c>
      <c r="C3502" s="458" t="s">
        <v>857</v>
      </c>
      <c r="D3502" s="459"/>
      <c r="E3502" s="459"/>
      <c r="F3502" s="459"/>
      <c r="G3502" s="456"/>
      <c r="H3502" s="457"/>
      <c r="I3502" s="455" t="s">
        <v>3</v>
      </c>
      <c r="J3502" s="455"/>
      <c r="K3502" s="455" t="s">
        <v>4</v>
      </c>
      <c r="L3502" s="455"/>
    </row>
    <row r="3503" spans="1:12" ht="12" customHeight="1" x14ac:dyDescent="0.35">
      <c r="B3503" s="451" t="s">
        <v>409</v>
      </c>
      <c r="C3503" s="451" t="s">
        <v>410</v>
      </c>
      <c r="D3503" s="452" t="s">
        <v>411</v>
      </c>
      <c r="E3503" s="451" t="s">
        <v>412</v>
      </c>
      <c r="F3503" s="451" t="s">
        <v>413</v>
      </c>
      <c r="G3503" s="77" t="s">
        <v>414</v>
      </c>
      <c r="H3503" s="77" t="s">
        <v>415</v>
      </c>
      <c r="I3503" s="78" t="s">
        <v>414</v>
      </c>
      <c r="J3503" s="79" t="s">
        <v>415</v>
      </c>
      <c r="K3503" s="79" t="s">
        <v>414</v>
      </c>
      <c r="L3503" s="79" t="s">
        <v>415</v>
      </c>
    </row>
    <row r="3504" spans="1:12" ht="12" customHeight="1" x14ac:dyDescent="0.35">
      <c r="B3504" s="451"/>
      <c r="C3504" s="451"/>
      <c r="D3504" s="453"/>
      <c r="E3504" s="451"/>
      <c r="F3504" s="451"/>
      <c r="G3504" s="77" t="s">
        <v>17</v>
      </c>
      <c r="H3504" s="77" t="s">
        <v>416</v>
      </c>
      <c r="I3504" s="78" t="s">
        <v>17</v>
      </c>
      <c r="J3504" s="79" t="s">
        <v>416</v>
      </c>
      <c r="K3504" s="79" t="s">
        <v>17</v>
      </c>
      <c r="L3504" s="79" t="s">
        <v>416</v>
      </c>
    </row>
    <row r="3505" spans="1:12" ht="12" customHeight="1" x14ac:dyDescent="0.35">
      <c r="B3505" s="451"/>
      <c r="C3505" s="451"/>
      <c r="D3505" s="454"/>
      <c r="E3505" s="451"/>
      <c r="F3505" s="451"/>
      <c r="G3505" s="106"/>
      <c r="H3505" s="77" t="s">
        <v>17</v>
      </c>
      <c r="I3505" s="94"/>
      <c r="J3505" s="79" t="s">
        <v>17</v>
      </c>
      <c r="K3505" s="85"/>
      <c r="L3505" s="79" t="s">
        <v>17</v>
      </c>
    </row>
    <row r="3506" spans="1:12" ht="12" customHeight="1" x14ac:dyDescent="0.35">
      <c r="B3506" s="80" t="s">
        <v>5</v>
      </c>
      <c r="C3506" s="81" t="s">
        <v>417</v>
      </c>
      <c r="D3506" s="82"/>
      <c r="E3506" s="82"/>
      <c r="F3506" s="82"/>
      <c r="G3506" s="82"/>
      <c r="H3506" s="82"/>
      <c r="I3506" s="83"/>
      <c r="J3506" s="83"/>
      <c r="K3506" s="83"/>
      <c r="L3506" s="83"/>
    </row>
    <row r="3507" spans="1:12" ht="12" customHeight="1" x14ac:dyDescent="0.35">
      <c r="A3507" s="134">
        <v>10130000</v>
      </c>
      <c r="B3507" s="84"/>
      <c r="C3507" s="85" t="s">
        <v>28</v>
      </c>
      <c r="D3507" s="84" t="s">
        <v>418</v>
      </c>
      <c r="E3507" s="84" t="str">
        <f>VLOOKUP(C3507,HSD!B:K,2,FALSE)</f>
        <v>OH</v>
      </c>
      <c r="F3507" s="128">
        <v>0.1</v>
      </c>
      <c r="G3507" s="87">
        <f>VLOOKUP(C3507,HSD!B:K,10,FALSE)</f>
        <v>120000</v>
      </c>
      <c r="H3507" s="87">
        <f>F3507*G3507</f>
        <v>12000</v>
      </c>
      <c r="I3507" s="87">
        <v>91500</v>
      </c>
      <c r="J3507" s="87">
        <f>F3507*I3507</f>
        <v>9150</v>
      </c>
      <c r="K3507" s="87">
        <v>91500</v>
      </c>
      <c r="L3507" s="87">
        <f>F3507*K3507</f>
        <v>9150</v>
      </c>
    </row>
    <row r="3508" spans="1:12" ht="12" customHeight="1" x14ac:dyDescent="0.35">
      <c r="A3508" s="134">
        <v>10142000</v>
      </c>
      <c r="B3508" s="84"/>
      <c r="C3508" s="85" t="s">
        <v>434</v>
      </c>
      <c r="D3508" s="84" t="s">
        <v>418</v>
      </c>
      <c r="E3508" s="84" t="str">
        <f>VLOOKUP(C3508,HSD!B:K,2,FALSE)</f>
        <v>OH</v>
      </c>
      <c r="F3508" s="128">
        <v>0.05</v>
      </c>
      <c r="G3508" s="87">
        <f>VLOOKUP(C3508,HSD!B:K,10,FALSE)</f>
        <v>250000</v>
      </c>
      <c r="H3508" s="87">
        <f>F3508*G3508</f>
        <v>12500</v>
      </c>
      <c r="I3508" s="87"/>
      <c r="J3508" s="87"/>
      <c r="K3508" s="87"/>
      <c r="L3508" s="87"/>
    </row>
    <row r="3509" spans="1:12" ht="12" customHeight="1" x14ac:dyDescent="0.35">
      <c r="A3509" s="134">
        <v>10120000</v>
      </c>
      <c r="B3509" s="84"/>
      <c r="C3509" s="85" t="s">
        <v>27</v>
      </c>
      <c r="D3509" s="84" t="s">
        <v>418</v>
      </c>
      <c r="E3509" s="84" t="str">
        <f>VLOOKUP(C3509,HSD!B:K,2,FALSE)</f>
        <v>OH</v>
      </c>
      <c r="F3509" s="128">
        <f>F3508/10</f>
        <v>5.0000000000000001E-3</v>
      </c>
      <c r="G3509" s="87">
        <f>VLOOKUP(C3509,HSD!B:K,10,FALSE)</f>
        <v>150000</v>
      </c>
      <c r="H3509" s="87"/>
      <c r="I3509" s="87"/>
      <c r="J3509" s="87"/>
      <c r="K3509" s="87"/>
      <c r="L3509" s="87"/>
    </row>
    <row r="3510" spans="1:12" ht="12" customHeight="1" x14ac:dyDescent="0.35">
      <c r="A3510" s="134">
        <v>10110000</v>
      </c>
      <c r="B3510" s="84"/>
      <c r="C3510" s="85" t="s">
        <v>30</v>
      </c>
      <c r="D3510" s="84" t="s">
        <v>418</v>
      </c>
      <c r="E3510" s="84" t="str">
        <f>VLOOKUP(C3510,HSD!B:K,2,FALSE)</f>
        <v>OH</v>
      </c>
      <c r="F3510" s="128">
        <f>F3507/10</f>
        <v>0.01</v>
      </c>
      <c r="G3510" s="87">
        <f>VLOOKUP(C3510,HSD!B:K,10,FALSE)</f>
        <v>150000</v>
      </c>
      <c r="H3510" s="87">
        <f>F3510*G3510</f>
        <v>1500</v>
      </c>
      <c r="I3510" s="87">
        <v>92500</v>
      </c>
      <c r="J3510" s="87">
        <f>F3510*I3510</f>
        <v>925</v>
      </c>
      <c r="K3510" s="87">
        <v>92500</v>
      </c>
      <c r="L3510" s="87">
        <f>F3510*K3510</f>
        <v>925</v>
      </c>
    </row>
    <row r="3511" spans="1:12" ht="12" customHeight="1" x14ac:dyDescent="0.35">
      <c r="B3511" s="84"/>
      <c r="C3511" s="85"/>
      <c r="D3511" s="84"/>
      <c r="E3511" s="84"/>
      <c r="F3511" s="86"/>
      <c r="G3511" s="87"/>
      <c r="H3511" s="87"/>
      <c r="I3511" s="87"/>
      <c r="J3511" s="87"/>
      <c r="K3511" s="87"/>
      <c r="L3511" s="87"/>
    </row>
    <row r="3512" spans="1:12" ht="12" customHeight="1" x14ac:dyDescent="0.35">
      <c r="B3512" s="84"/>
      <c r="C3512" s="88"/>
      <c r="D3512" s="79"/>
      <c r="E3512" s="79"/>
      <c r="F3512" s="89" t="s">
        <v>421</v>
      </c>
      <c r="G3512" s="101"/>
      <c r="H3512" s="87">
        <f>SUM(H3507:H3511)</f>
        <v>26000</v>
      </c>
      <c r="I3512" s="101"/>
      <c r="J3512" s="87">
        <f>SUM(J3510:J3511)</f>
        <v>925</v>
      </c>
      <c r="K3512" s="101"/>
      <c r="L3512" s="87">
        <f>SUM(L3510:L3511)</f>
        <v>925</v>
      </c>
    </row>
    <row r="3513" spans="1:12" ht="12" customHeight="1" x14ac:dyDescent="0.35">
      <c r="B3513" s="84" t="s">
        <v>6</v>
      </c>
      <c r="C3513" s="88" t="s">
        <v>422</v>
      </c>
      <c r="D3513" s="79"/>
      <c r="E3513" s="79"/>
      <c r="F3513" s="90"/>
      <c r="G3513" s="84"/>
      <c r="H3513" s="87"/>
      <c r="I3513" s="84"/>
      <c r="J3513" s="87"/>
      <c r="K3513" s="84"/>
      <c r="L3513" s="87"/>
    </row>
    <row r="3514" spans="1:12" x14ac:dyDescent="0.35">
      <c r="A3514" s="134">
        <v>21401200</v>
      </c>
      <c r="B3514" s="84"/>
      <c r="C3514" s="85" t="s">
        <v>1873</v>
      </c>
      <c r="D3514" s="84" t="s">
        <v>418</v>
      </c>
      <c r="E3514" s="84" t="str">
        <f>VLOOKUP(C3514,HSD!B:K,2,FALSE)</f>
        <v>m3</v>
      </c>
      <c r="F3514" s="128">
        <v>3.6400000000000002E-2</v>
      </c>
      <c r="G3514" s="87">
        <f>VLOOKUP(C3514,HSD!B:K,10,FALSE)</f>
        <v>3885000</v>
      </c>
      <c r="H3514" s="87">
        <f>F3514*G3514</f>
        <v>141414</v>
      </c>
      <c r="I3514" s="87"/>
      <c r="J3514" s="87"/>
      <c r="K3514" s="87"/>
      <c r="L3514" s="87"/>
    </row>
    <row r="3515" spans="1:12" x14ac:dyDescent="0.35">
      <c r="A3515" s="134">
        <v>21911005</v>
      </c>
      <c r="B3515" s="84"/>
      <c r="C3515" s="85" t="s">
        <v>151</v>
      </c>
      <c r="D3515" s="84" t="s">
        <v>418</v>
      </c>
      <c r="E3515" s="84" t="str">
        <f>VLOOKUP(C3515,HSD!B:K,2,FALSE)</f>
        <v>kg</v>
      </c>
      <c r="F3515" s="128">
        <v>0.32500000000000001</v>
      </c>
      <c r="G3515" s="87">
        <f>VLOOKUP(C3515,HSD!B:K,10,FALSE)</f>
        <v>18426</v>
      </c>
      <c r="H3515" s="87">
        <f>F3515*G3515</f>
        <v>5988.45</v>
      </c>
      <c r="I3515" s="87"/>
      <c r="J3515" s="87"/>
      <c r="K3515" s="87"/>
      <c r="L3515" s="87"/>
    </row>
    <row r="3516" spans="1:12" x14ac:dyDescent="0.35">
      <c r="B3516" s="84"/>
      <c r="C3516" s="85"/>
      <c r="D3516" s="84"/>
      <c r="E3516" s="84"/>
      <c r="F3516" s="128"/>
      <c r="G3516" s="87"/>
      <c r="H3516" s="87">
        <f>F3516*G3516</f>
        <v>0</v>
      </c>
      <c r="I3516" s="87"/>
      <c r="J3516" s="87"/>
      <c r="K3516" s="87"/>
      <c r="L3516" s="87"/>
    </row>
    <row r="3517" spans="1:12" ht="12" customHeight="1" x14ac:dyDescent="0.35">
      <c r="B3517" s="84"/>
      <c r="C3517" s="88"/>
      <c r="D3517" s="79"/>
      <c r="E3517" s="79"/>
      <c r="F3517" s="129" t="s">
        <v>423</v>
      </c>
      <c r="G3517" s="129"/>
      <c r="H3517" s="87">
        <f>SUM(H3514:H3516)</f>
        <v>147402.45000000001</v>
      </c>
      <c r="I3517" s="101"/>
      <c r="J3517" s="87" t="e">
        <f>SUM(#REF!)</f>
        <v>#REF!</v>
      </c>
      <c r="K3517" s="101"/>
      <c r="L3517" s="87" t="e">
        <f>SUM(#REF!)</f>
        <v>#REF!</v>
      </c>
    </row>
    <row r="3518" spans="1:12" ht="12" customHeight="1" x14ac:dyDescent="0.35">
      <c r="B3518" s="84" t="s">
        <v>7</v>
      </c>
      <c r="C3518" s="88" t="s">
        <v>424</v>
      </c>
      <c r="D3518" s="79"/>
      <c r="E3518" s="79"/>
      <c r="F3518" s="90"/>
      <c r="G3518" s="84"/>
      <c r="H3518" s="87"/>
      <c r="I3518" s="84"/>
      <c r="J3518" s="87"/>
      <c r="K3518" s="84"/>
      <c r="L3518" s="87"/>
    </row>
    <row r="3519" spans="1:12" ht="12" customHeight="1" x14ac:dyDescent="0.35">
      <c r="B3519" s="84"/>
      <c r="C3519" s="85"/>
      <c r="D3519" s="84"/>
      <c r="E3519" s="84"/>
      <c r="F3519" s="128"/>
      <c r="G3519" s="87"/>
      <c r="H3519" s="87">
        <f>F3519*G3519</f>
        <v>0</v>
      </c>
      <c r="I3519" s="87"/>
      <c r="J3519" s="87">
        <f>H3519*I3519</f>
        <v>0</v>
      </c>
      <c r="K3519" s="87"/>
      <c r="L3519" s="87">
        <f>J3519*K3519</f>
        <v>0</v>
      </c>
    </row>
    <row r="3520" spans="1:12" ht="12" customHeight="1" x14ac:dyDescent="0.35">
      <c r="B3520" s="84"/>
      <c r="C3520" s="85"/>
      <c r="D3520" s="84"/>
      <c r="E3520" s="84"/>
      <c r="F3520" s="128"/>
      <c r="G3520" s="87"/>
      <c r="H3520" s="87">
        <f>F3520*G3520</f>
        <v>0</v>
      </c>
      <c r="I3520" s="87"/>
      <c r="J3520" s="87"/>
      <c r="K3520" s="87"/>
      <c r="L3520" s="87"/>
    </row>
    <row r="3521" spans="1:12" ht="12" customHeight="1" x14ac:dyDescent="0.35">
      <c r="B3521" s="84"/>
      <c r="C3521" s="85"/>
      <c r="D3521" s="84"/>
      <c r="E3521" s="84"/>
      <c r="F3521" s="128"/>
      <c r="G3521" s="87"/>
      <c r="H3521" s="87">
        <f>F3521*G3521</f>
        <v>0</v>
      </c>
      <c r="I3521" s="87"/>
      <c r="J3521" s="87"/>
      <c r="K3521" s="87"/>
      <c r="L3521" s="87"/>
    </row>
    <row r="3522" spans="1:12" ht="12" customHeight="1" x14ac:dyDescent="0.35">
      <c r="B3522" s="84"/>
      <c r="C3522" s="88"/>
      <c r="D3522" s="79"/>
      <c r="E3522" s="79"/>
      <c r="F3522" s="89" t="s">
        <v>425</v>
      </c>
      <c r="G3522" s="101"/>
      <c r="H3522" s="87">
        <f>SUM(H3519:H3521)</f>
        <v>0</v>
      </c>
      <c r="I3522" s="101"/>
      <c r="J3522" s="87">
        <f>SUM(J3519)</f>
        <v>0</v>
      </c>
      <c r="K3522" s="101"/>
      <c r="L3522" s="87">
        <f>SUM(L3519)</f>
        <v>0</v>
      </c>
    </row>
    <row r="3523" spans="1:12" ht="12" customHeight="1" x14ac:dyDescent="0.35">
      <c r="B3523" s="84" t="s">
        <v>8</v>
      </c>
      <c r="C3523" s="103" t="s">
        <v>426</v>
      </c>
      <c r="D3523" s="104"/>
      <c r="E3523" s="104"/>
      <c r="F3523" s="104"/>
      <c r="G3523" s="105"/>
      <c r="H3523" s="87">
        <f>H3512+H3517+H3522</f>
        <v>173402.45</v>
      </c>
      <c r="I3523" s="105"/>
      <c r="J3523" s="87" t="e">
        <f>J3512+J3517+J3522</f>
        <v>#REF!</v>
      </c>
      <c r="K3523" s="105"/>
      <c r="L3523" s="87" t="e">
        <f>L3512+L3517+L3522</f>
        <v>#REF!</v>
      </c>
    </row>
    <row r="3524" spans="1:12" ht="12" customHeight="1" x14ac:dyDescent="0.35">
      <c r="B3524" s="84" t="s">
        <v>9</v>
      </c>
      <c r="C3524" s="455" t="s">
        <v>427</v>
      </c>
      <c r="D3524" s="455"/>
      <c r="E3524" s="455"/>
      <c r="F3524" s="95">
        <f>0</f>
        <v>0</v>
      </c>
      <c r="G3524" s="85" t="s">
        <v>428</v>
      </c>
      <c r="H3524" s="87">
        <f>H3523*F3524</f>
        <v>0</v>
      </c>
      <c r="I3524" s="85" t="s">
        <v>428</v>
      </c>
      <c r="J3524" s="87" t="e">
        <f>J3523*F3524</f>
        <v>#REF!</v>
      </c>
      <c r="K3524" s="85" t="s">
        <v>428</v>
      </c>
      <c r="L3524" s="87" t="e">
        <f>L3523*F3524</f>
        <v>#REF!</v>
      </c>
    </row>
    <row r="3525" spans="1:12" ht="12" customHeight="1" x14ac:dyDescent="0.35">
      <c r="B3525" s="84" t="s">
        <v>10</v>
      </c>
      <c r="C3525" s="103" t="s">
        <v>429</v>
      </c>
      <c r="D3525" s="104"/>
      <c r="E3525" s="104"/>
      <c r="F3525" s="104"/>
      <c r="G3525" s="105"/>
      <c r="H3525" s="96">
        <f>H3523+H3524</f>
        <v>173402.45</v>
      </c>
      <c r="I3525" s="97"/>
      <c r="J3525" s="96" t="e">
        <f>J3523+J3524</f>
        <v>#REF!</v>
      </c>
      <c r="K3525" s="97"/>
      <c r="L3525" s="96" t="e">
        <f>L3523+L3524</f>
        <v>#REF!</v>
      </c>
    </row>
    <row r="3526" spans="1:12" x14ac:dyDescent="0.35">
      <c r="B3526" s="75" t="s">
        <v>806</v>
      </c>
    </row>
    <row r="3527" spans="1:12" x14ac:dyDescent="0.35">
      <c r="B3527" s="75" t="s">
        <v>858</v>
      </c>
    </row>
    <row r="3528" spans="1:12" ht="14" customHeight="1" x14ac:dyDescent="0.35"/>
    <row r="3529" spans="1:12" ht="37" customHeight="1" x14ac:dyDescent="0.35">
      <c r="B3529" s="76" t="s">
        <v>859</v>
      </c>
      <c r="C3529" s="458" t="s">
        <v>860</v>
      </c>
      <c r="D3529" s="459"/>
      <c r="E3529" s="459"/>
      <c r="F3529" s="459"/>
      <c r="G3529" s="456"/>
      <c r="H3529" s="457"/>
      <c r="I3529" s="455" t="s">
        <v>3</v>
      </c>
      <c r="J3529" s="455"/>
      <c r="K3529" s="455" t="s">
        <v>4</v>
      </c>
      <c r="L3529" s="455"/>
    </row>
    <row r="3530" spans="1:12" ht="12" customHeight="1" x14ac:dyDescent="0.35">
      <c r="B3530" s="451" t="s">
        <v>409</v>
      </c>
      <c r="C3530" s="451" t="s">
        <v>410</v>
      </c>
      <c r="D3530" s="452" t="s">
        <v>411</v>
      </c>
      <c r="E3530" s="451" t="s">
        <v>412</v>
      </c>
      <c r="F3530" s="451" t="s">
        <v>413</v>
      </c>
      <c r="G3530" s="77" t="s">
        <v>414</v>
      </c>
      <c r="H3530" s="77" t="s">
        <v>415</v>
      </c>
      <c r="I3530" s="78" t="s">
        <v>414</v>
      </c>
      <c r="J3530" s="79" t="s">
        <v>415</v>
      </c>
      <c r="K3530" s="79" t="s">
        <v>414</v>
      </c>
      <c r="L3530" s="79" t="s">
        <v>415</v>
      </c>
    </row>
    <row r="3531" spans="1:12" ht="12" customHeight="1" x14ac:dyDescent="0.35">
      <c r="B3531" s="451"/>
      <c r="C3531" s="451"/>
      <c r="D3531" s="453"/>
      <c r="E3531" s="451"/>
      <c r="F3531" s="451"/>
      <c r="G3531" s="77" t="s">
        <v>17</v>
      </c>
      <c r="H3531" s="77" t="s">
        <v>416</v>
      </c>
      <c r="I3531" s="78" t="s">
        <v>17</v>
      </c>
      <c r="J3531" s="79" t="s">
        <v>416</v>
      </c>
      <c r="K3531" s="79" t="s">
        <v>17</v>
      </c>
      <c r="L3531" s="79" t="s">
        <v>416</v>
      </c>
    </row>
    <row r="3532" spans="1:12" ht="12" customHeight="1" x14ac:dyDescent="0.35">
      <c r="B3532" s="451"/>
      <c r="C3532" s="451"/>
      <c r="D3532" s="454"/>
      <c r="E3532" s="451"/>
      <c r="F3532" s="451"/>
      <c r="G3532" s="106"/>
      <c r="H3532" s="77" t="s">
        <v>17</v>
      </c>
      <c r="I3532" s="94"/>
      <c r="J3532" s="79" t="s">
        <v>17</v>
      </c>
      <c r="K3532" s="85"/>
      <c r="L3532" s="79" t="s">
        <v>17</v>
      </c>
    </row>
    <row r="3533" spans="1:12" ht="12" customHeight="1" x14ac:dyDescent="0.35">
      <c r="B3533" s="80" t="s">
        <v>5</v>
      </c>
      <c r="C3533" s="81" t="s">
        <v>417</v>
      </c>
      <c r="D3533" s="82"/>
      <c r="E3533" s="82"/>
      <c r="F3533" s="82"/>
      <c r="G3533" s="82"/>
      <c r="H3533" s="82"/>
      <c r="I3533" s="83"/>
      <c r="J3533" s="83"/>
      <c r="K3533" s="83"/>
      <c r="L3533" s="83"/>
    </row>
    <row r="3534" spans="1:12" ht="12" customHeight="1" x14ac:dyDescent="0.35">
      <c r="A3534" s="134">
        <v>10130000</v>
      </c>
      <c r="B3534" s="84"/>
      <c r="C3534" s="85" t="s">
        <v>28</v>
      </c>
      <c r="D3534" s="84" t="s">
        <v>418</v>
      </c>
      <c r="E3534" s="84" t="str">
        <f>VLOOKUP(C3534,HSD!B:K,2,FALSE)</f>
        <v>OH</v>
      </c>
      <c r="F3534" s="128">
        <v>0.06</v>
      </c>
      <c r="G3534" s="87">
        <f>VLOOKUP(C3534,HSD!B:K,10,FALSE)</f>
        <v>120000</v>
      </c>
      <c r="H3534" s="87">
        <f>F3534*G3534</f>
        <v>7200</v>
      </c>
      <c r="I3534" s="87">
        <v>91500</v>
      </c>
      <c r="J3534" s="87">
        <f>F3534*I3534</f>
        <v>5490</v>
      </c>
      <c r="K3534" s="87">
        <v>91500</v>
      </c>
      <c r="L3534" s="87">
        <f>F3534*K3534</f>
        <v>5490</v>
      </c>
    </row>
    <row r="3535" spans="1:12" ht="12" customHeight="1" x14ac:dyDescent="0.35">
      <c r="A3535" s="134">
        <v>10144000</v>
      </c>
      <c r="B3535" s="84"/>
      <c r="C3535" s="85" t="s">
        <v>436</v>
      </c>
      <c r="D3535" s="84" t="s">
        <v>418</v>
      </c>
      <c r="E3535" s="84" t="str">
        <f>VLOOKUP(C3535,HSD!B:K,2,FALSE)</f>
        <v>OH</v>
      </c>
      <c r="F3535" s="128">
        <v>0.03</v>
      </c>
      <c r="G3535" s="87">
        <f>VLOOKUP(C3535,HSD!B:K,10,FALSE)</f>
        <v>250000</v>
      </c>
      <c r="H3535" s="87">
        <f>F3535*G3535</f>
        <v>7500</v>
      </c>
      <c r="I3535" s="87"/>
      <c r="J3535" s="87"/>
      <c r="K3535" s="87"/>
      <c r="L3535" s="87"/>
    </row>
    <row r="3536" spans="1:12" ht="12" customHeight="1" x14ac:dyDescent="0.35">
      <c r="A3536" s="134">
        <v>10110000</v>
      </c>
      <c r="B3536" s="84"/>
      <c r="C3536" s="85" t="s">
        <v>30</v>
      </c>
      <c r="D3536" s="84" t="s">
        <v>418</v>
      </c>
      <c r="E3536" s="84" t="str">
        <f>VLOOKUP(C3536,HSD!B:K,2,FALSE)</f>
        <v>OH</v>
      </c>
      <c r="F3536" s="128">
        <f>F3534/10</f>
        <v>6.0000000000000001E-3</v>
      </c>
      <c r="G3536" s="87">
        <f>VLOOKUP(C3536,HSD!B:K,10,FALSE)</f>
        <v>150000</v>
      </c>
      <c r="H3536" s="87">
        <f>F3536*G3536</f>
        <v>900</v>
      </c>
      <c r="I3536" s="87">
        <v>92500</v>
      </c>
      <c r="J3536" s="87">
        <f>F3536*I3536</f>
        <v>555</v>
      </c>
      <c r="K3536" s="87">
        <v>92500</v>
      </c>
      <c r="L3536" s="87">
        <f>F3536*K3536</f>
        <v>555</v>
      </c>
    </row>
    <row r="3537" spans="1:12" ht="12" customHeight="1" x14ac:dyDescent="0.35">
      <c r="B3537" s="84"/>
      <c r="C3537" s="85"/>
      <c r="D3537" s="84"/>
      <c r="E3537" s="84"/>
      <c r="F3537" s="86"/>
      <c r="G3537" s="87"/>
      <c r="H3537" s="87"/>
      <c r="I3537" s="87"/>
      <c r="J3537" s="87"/>
      <c r="K3537" s="87"/>
      <c r="L3537" s="87"/>
    </row>
    <row r="3538" spans="1:12" ht="12" customHeight="1" x14ac:dyDescent="0.35">
      <c r="B3538" s="84"/>
      <c r="C3538" s="88"/>
      <c r="D3538" s="79"/>
      <c r="E3538" s="79"/>
      <c r="F3538" s="89" t="s">
        <v>421</v>
      </c>
      <c r="G3538" s="101"/>
      <c r="H3538" s="87">
        <f>SUM(H3534:H3537)</f>
        <v>15600</v>
      </c>
      <c r="I3538" s="101"/>
      <c r="J3538" s="87">
        <f>SUM(J3536:J3537)</f>
        <v>555</v>
      </c>
      <c r="K3538" s="101"/>
      <c r="L3538" s="87">
        <f>SUM(L3536:L3537)</f>
        <v>555</v>
      </c>
    </row>
    <row r="3539" spans="1:12" ht="12" customHeight="1" x14ac:dyDescent="0.35">
      <c r="B3539" s="84" t="s">
        <v>6</v>
      </c>
      <c r="C3539" s="88" t="s">
        <v>422</v>
      </c>
      <c r="D3539" s="79"/>
      <c r="E3539" s="79"/>
      <c r="F3539" s="90"/>
      <c r="G3539" s="84"/>
      <c r="H3539" s="87"/>
      <c r="I3539" s="84"/>
      <c r="J3539" s="87"/>
      <c r="K3539" s="84"/>
      <c r="L3539" s="87"/>
    </row>
    <row r="3540" spans="1:12" x14ac:dyDescent="0.35">
      <c r="A3540" s="134">
        <v>21904003</v>
      </c>
      <c r="B3540" s="84"/>
      <c r="C3540" s="85" t="s">
        <v>1806</v>
      </c>
      <c r="D3540" s="84" t="s">
        <v>418</v>
      </c>
      <c r="E3540" s="84" t="str">
        <f>VLOOKUP(C3540,HSD!B:K,2,FALSE)</f>
        <v>btg</v>
      </c>
      <c r="F3540" s="128">
        <v>15.382999999999999</v>
      </c>
      <c r="G3540" s="87">
        <f>VLOOKUP(C3540,HSD!B:K,10,FALSE)</f>
        <v>15000</v>
      </c>
      <c r="H3540" s="87">
        <f>F3540*G3540</f>
        <v>230745</v>
      </c>
      <c r="I3540" s="87"/>
      <c r="J3540" s="87"/>
      <c r="K3540" s="87"/>
      <c r="L3540" s="87"/>
    </row>
    <row r="3541" spans="1:12" x14ac:dyDescent="0.35">
      <c r="A3541" s="134">
        <v>21912050</v>
      </c>
      <c r="B3541" s="84"/>
      <c r="C3541" s="85" t="s">
        <v>1801</v>
      </c>
      <c r="D3541" s="84" t="s">
        <v>418</v>
      </c>
      <c r="E3541" s="84" t="str">
        <f>VLOOKUP(C3541,HSD!B:K,2,FALSE)</f>
        <v>bh</v>
      </c>
      <c r="F3541" s="128">
        <v>8</v>
      </c>
      <c r="G3541" s="87">
        <f>VLOOKUP(C3541,HSD!B:K,10,FALSE)</f>
        <v>23310</v>
      </c>
      <c r="H3541" s="87">
        <f>F3541*G3541</f>
        <v>186480</v>
      </c>
      <c r="I3541" s="87"/>
      <c r="J3541" s="87"/>
      <c r="K3541" s="87"/>
      <c r="L3541" s="87"/>
    </row>
    <row r="3542" spans="1:12" x14ac:dyDescent="0.35">
      <c r="B3542" s="84"/>
      <c r="C3542" s="85"/>
      <c r="D3542" s="84"/>
      <c r="E3542" s="84"/>
      <c r="F3542" s="128"/>
      <c r="G3542" s="87"/>
      <c r="H3542" s="87">
        <f>F3542*G3542</f>
        <v>0</v>
      </c>
      <c r="I3542" s="87"/>
      <c r="J3542" s="87"/>
      <c r="K3542" s="87"/>
      <c r="L3542" s="87"/>
    </row>
    <row r="3543" spans="1:12" ht="12" customHeight="1" x14ac:dyDescent="0.35">
      <c r="B3543" s="84"/>
      <c r="C3543" s="88"/>
      <c r="D3543" s="79"/>
      <c r="E3543" s="79"/>
      <c r="F3543" s="129" t="s">
        <v>423</v>
      </c>
      <c r="G3543" s="129"/>
      <c r="H3543" s="87">
        <f>SUM(H3540:H3542)</f>
        <v>417225</v>
      </c>
      <c r="I3543" s="101"/>
      <c r="J3543" s="87" t="e">
        <f>SUM(#REF!)</f>
        <v>#REF!</v>
      </c>
      <c r="K3543" s="101"/>
      <c r="L3543" s="87" t="e">
        <f>SUM(#REF!)</f>
        <v>#REF!</v>
      </c>
    </row>
    <row r="3544" spans="1:12" ht="12" customHeight="1" x14ac:dyDescent="0.35">
      <c r="B3544" s="84" t="s">
        <v>7</v>
      </c>
      <c r="C3544" s="88" t="s">
        <v>424</v>
      </c>
      <c r="D3544" s="79"/>
      <c r="E3544" s="79"/>
      <c r="F3544" s="90"/>
      <c r="G3544" s="84"/>
      <c r="H3544" s="87"/>
      <c r="I3544" s="84"/>
      <c r="J3544" s="87"/>
      <c r="K3544" s="84"/>
      <c r="L3544" s="87"/>
    </row>
    <row r="3545" spans="1:12" ht="12" customHeight="1" x14ac:dyDescent="0.35">
      <c r="B3545" s="84"/>
      <c r="C3545" s="85"/>
      <c r="D3545" s="84"/>
      <c r="E3545" s="84"/>
      <c r="F3545" s="128"/>
      <c r="G3545" s="87"/>
      <c r="H3545" s="87">
        <f>F3545*G3545</f>
        <v>0</v>
      </c>
      <c r="I3545" s="87"/>
      <c r="J3545" s="87">
        <f>H3545*I3545</f>
        <v>0</v>
      </c>
      <c r="K3545" s="87"/>
      <c r="L3545" s="87">
        <f>J3545*K3545</f>
        <v>0</v>
      </c>
    </row>
    <row r="3546" spans="1:12" ht="12" customHeight="1" x14ac:dyDescent="0.35">
      <c r="B3546" s="84"/>
      <c r="C3546" s="85"/>
      <c r="D3546" s="84"/>
      <c r="E3546" s="84"/>
      <c r="F3546" s="128"/>
      <c r="G3546" s="87"/>
      <c r="H3546" s="87">
        <f>F3546*G3546</f>
        <v>0</v>
      </c>
      <c r="I3546" s="87"/>
      <c r="J3546" s="87"/>
      <c r="K3546" s="87"/>
      <c r="L3546" s="87"/>
    </row>
    <row r="3547" spans="1:12" ht="12" customHeight="1" x14ac:dyDescent="0.35">
      <c r="B3547" s="84"/>
      <c r="C3547" s="85"/>
      <c r="D3547" s="84"/>
      <c r="E3547" s="84"/>
      <c r="F3547" s="128"/>
      <c r="G3547" s="87"/>
      <c r="H3547" s="87">
        <f>F3547*G3547</f>
        <v>0</v>
      </c>
      <c r="I3547" s="87"/>
      <c r="J3547" s="87"/>
      <c r="K3547" s="87"/>
      <c r="L3547" s="87"/>
    </row>
    <row r="3548" spans="1:12" ht="12" customHeight="1" x14ac:dyDescent="0.35">
      <c r="B3548" s="84"/>
      <c r="C3548" s="88"/>
      <c r="D3548" s="79"/>
      <c r="E3548" s="79"/>
      <c r="F3548" s="89" t="s">
        <v>425</v>
      </c>
      <c r="G3548" s="101"/>
      <c r="H3548" s="87">
        <f>SUM(H3545:H3547)</f>
        <v>0</v>
      </c>
      <c r="I3548" s="101"/>
      <c r="J3548" s="87">
        <f>SUM(J3545)</f>
        <v>0</v>
      </c>
      <c r="K3548" s="101"/>
      <c r="L3548" s="87">
        <f>SUM(L3545)</f>
        <v>0</v>
      </c>
    </row>
    <row r="3549" spans="1:12" ht="12" customHeight="1" x14ac:dyDescent="0.35">
      <c r="B3549" s="84" t="s">
        <v>8</v>
      </c>
      <c r="C3549" s="103" t="s">
        <v>426</v>
      </c>
      <c r="D3549" s="104"/>
      <c r="E3549" s="104"/>
      <c r="F3549" s="104"/>
      <c r="G3549" s="105"/>
      <c r="H3549" s="87">
        <f>H3538+H3543+H3548</f>
        <v>432825</v>
      </c>
      <c r="I3549" s="105"/>
      <c r="J3549" s="87" t="e">
        <f>J3538+J3543+J3548</f>
        <v>#REF!</v>
      </c>
      <c r="K3549" s="105"/>
      <c r="L3549" s="87" t="e">
        <f>L3538+L3543+L3548</f>
        <v>#REF!</v>
      </c>
    </row>
    <row r="3550" spans="1:12" ht="12" customHeight="1" x14ac:dyDescent="0.35">
      <c r="B3550" s="84" t="s">
        <v>9</v>
      </c>
      <c r="C3550" s="455" t="s">
        <v>427</v>
      </c>
      <c r="D3550" s="455"/>
      <c r="E3550" s="455"/>
      <c r="F3550" s="95">
        <f>0</f>
        <v>0</v>
      </c>
      <c r="G3550" s="85" t="s">
        <v>428</v>
      </c>
      <c r="H3550" s="87">
        <f>H3549*F3550</f>
        <v>0</v>
      </c>
      <c r="I3550" s="85" t="s">
        <v>428</v>
      </c>
      <c r="J3550" s="87" t="e">
        <f>J3549*F3550</f>
        <v>#REF!</v>
      </c>
      <c r="K3550" s="85" t="s">
        <v>428</v>
      </c>
      <c r="L3550" s="87" t="e">
        <f>L3549*F3550</f>
        <v>#REF!</v>
      </c>
    </row>
    <row r="3551" spans="1:12" ht="12" customHeight="1" x14ac:dyDescent="0.35">
      <c r="B3551" s="84" t="s">
        <v>10</v>
      </c>
      <c r="C3551" s="103" t="s">
        <v>429</v>
      </c>
      <c r="D3551" s="104"/>
      <c r="E3551" s="104"/>
      <c r="F3551" s="104"/>
      <c r="G3551" s="105"/>
      <c r="H3551" s="96">
        <f>H3549+H3550</f>
        <v>432825</v>
      </c>
      <c r="I3551" s="97"/>
      <c r="J3551" s="96" t="e">
        <f>J3549+J3550</f>
        <v>#REF!</v>
      </c>
      <c r="K3551" s="97"/>
      <c r="L3551" s="96" t="e">
        <f>L3549+L3550</f>
        <v>#REF!</v>
      </c>
    </row>
    <row r="3552" spans="1:12" x14ac:dyDescent="0.35">
      <c r="B3552" s="75" t="s">
        <v>806</v>
      </c>
    </row>
    <row r="3553" spans="1:12" x14ac:dyDescent="0.35">
      <c r="B3553" s="75" t="s">
        <v>858</v>
      </c>
    </row>
    <row r="3554" spans="1:12" ht="14" customHeight="1" x14ac:dyDescent="0.35"/>
    <row r="3555" spans="1:12" ht="37" customHeight="1" x14ac:dyDescent="0.35">
      <c r="B3555" s="76" t="s">
        <v>862</v>
      </c>
      <c r="C3555" s="458" t="s">
        <v>863</v>
      </c>
      <c r="D3555" s="459"/>
      <c r="E3555" s="459"/>
      <c r="F3555" s="459"/>
      <c r="G3555" s="456"/>
      <c r="H3555" s="457"/>
      <c r="I3555" s="455" t="s">
        <v>3</v>
      </c>
      <c r="J3555" s="455"/>
      <c r="K3555" s="455" t="s">
        <v>4</v>
      </c>
      <c r="L3555" s="455"/>
    </row>
    <row r="3556" spans="1:12" ht="12" customHeight="1" x14ac:dyDescent="0.35">
      <c r="B3556" s="451" t="s">
        <v>409</v>
      </c>
      <c r="C3556" s="451" t="s">
        <v>410</v>
      </c>
      <c r="D3556" s="452" t="s">
        <v>411</v>
      </c>
      <c r="E3556" s="451" t="s">
        <v>412</v>
      </c>
      <c r="F3556" s="451" t="s">
        <v>413</v>
      </c>
      <c r="G3556" s="77" t="s">
        <v>414</v>
      </c>
      <c r="H3556" s="77" t="s">
        <v>415</v>
      </c>
      <c r="I3556" s="78" t="s">
        <v>414</v>
      </c>
      <c r="J3556" s="79" t="s">
        <v>415</v>
      </c>
      <c r="K3556" s="79" t="s">
        <v>414</v>
      </c>
      <c r="L3556" s="79" t="s">
        <v>415</v>
      </c>
    </row>
    <row r="3557" spans="1:12" ht="12" customHeight="1" x14ac:dyDescent="0.35">
      <c r="B3557" s="451"/>
      <c r="C3557" s="451"/>
      <c r="D3557" s="453"/>
      <c r="E3557" s="451"/>
      <c r="F3557" s="451"/>
      <c r="G3557" s="77" t="s">
        <v>17</v>
      </c>
      <c r="H3557" s="77" t="s">
        <v>416</v>
      </c>
      <c r="I3557" s="78" t="s">
        <v>17</v>
      </c>
      <c r="J3557" s="79" t="s">
        <v>416</v>
      </c>
      <c r="K3557" s="79" t="s">
        <v>17</v>
      </c>
      <c r="L3557" s="79" t="s">
        <v>416</v>
      </c>
    </row>
    <row r="3558" spans="1:12" ht="12" customHeight="1" x14ac:dyDescent="0.35">
      <c r="B3558" s="451"/>
      <c r="C3558" s="451"/>
      <c r="D3558" s="454"/>
      <c r="E3558" s="451"/>
      <c r="F3558" s="451"/>
      <c r="G3558" s="106"/>
      <c r="H3558" s="77" t="s">
        <v>17</v>
      </c>
      <c r="I3558" s="94"/>
      <c r="J3558" s="79" t="s">
        <v>17</v>
      </c>
      <c r="K3558" s="85"/>
      <c r="L3558" s="79" t="s">
        <v>17</v>
      </c>
    </row>
    <row r="3559" spans="1:12" ht="12" customHeight="1" x14ac:dyDescent="0.35">
      <c r="B3559" s="80" t="s">
        <v>5</v>
      </c>
      <c r="C3559" s="81" t="s">
        <v>417</v>
      </c>
      <c r="D3559" s="82"/>
      <c r="E3559" s="82"/>
      <c r="F3559" s="82"/>
      <c r="G3559" s="82"/>
      <c r="H3559" s="82"/>
      <c r="I3559" s="83"/>
      <c r="J3559" s="83"/>
      <c r="K3559" s="83"/>
      <c r="L3559" s="83"/>
    </row>
    <row r="3560" spans="1:12" ht="12" customHeight="1" x14ac:dyDescent="0.35">
      <c r="A3560" s="134">
        <v>10130000</v>
      </c>
      <c r="B3560" s="84"/>
      <c r="C3560" s="85" t="s">
        <v>28</v>
      </c>
      <c r="D3560" s="84" t="s">
        <v>418</v>
      </c>
      <c r="E3560" s="84" t="str">
        <f>VLOOKUP(C3560,HSD!B:K,2,FALSE)</f>
        <v>OH</v>
      </c>
      <c r="F3560" s="128">
        <v>0.62</v>
      </c>
      <c r="G3560" s="87">
        <f>VLOOKUP(C3560,HSD!B:K,10,FALSE)</f>
        <v>120000</v>
      </c>
      <c r="H3560" s="87">
        <f>F3560*G3560</f>
        <v>74400</v>
      </c>
      <c r="I3560" s="87">
        <v>91500</v>
      </c>
      <c r="J3560" s="87">
        <f>F3560*I3560</f>
        <v>56730</v>
      </c>
      <c r="K3560" s="87">
        <v>91500</v>
      </c>
      <c r="L3560" s="87">
        <f>F3560*K3560</f>
        <v>56730</v>
      </c>
    </row>
    <row r="3561" spans="1:12" ht="12" customHeight="1" x14ac:dyDescent="0.35">
      <c r="A3561" s="134">
        <v>10146000</v>
      </c>
      <c r="B3561" s="84"/>
      <c r="C3561" s="85" t="s">
        <v>438</v>
      </c>
      <c r="D3561" s="84" t="s">
        <v>418</v>
      </c>
      <c r="E3561" s="84" t="str">
        <f>VLOOKUP(C3561,HSD!B:K,2,FALSE)</f>
        <v>OH</v>
      </c>
      <c r="F3561" s="128">
        <v>0.31</v>
      </c>
      <c r="G3561" s="87">
        <f>VLOOKUP(C3561,HSD!B:K,10,FALSE)</f>
        <v>250000</v>
      </c>
      <c r="H3561" s="87">
        <f>F3561*G3561</f>
        <v>77500</v>
      </c>
      <c r="I3561" s="87"/>
      <c r="J3561" s="87"/>
      <c r="K3561" s="87"/>
      <c r="L3561" s="87"/>
    </row>
    <row r="3562" spans="1:12" ht="12" customHeight="1" x14ac:dyDescent="0.35">
      <c r="A3562" s="134">
        <v>10120000</v>
      </c>
      <c r="B3562" s="84"/>
      <c r="C3562" s="85" t="s">
        <v>27</v>
      </c>
      <c r="D3562" s="84" t="s">
        <v>418</v>
      </c>
      <c r="E3562" s="84" t="str">
        <f>VLOOKUP(C3562,HSD!B:K,2,FALSE)</f>
        <v>OH</v>
      </c>
      <c r="F3562" s="128">
        <v>3.1E-2</v>
      </c>
      <c r="G3562" s="87">
        <f>VLOOKUP(C3562,HSD!B:K,10,FALSE)</f>
        <v>150000</v>
      </c>
      <c r="H3562" s="87">
        <f>F3562*G3562</f>
        <v>4650</v>
      </c>
      <c r="I3562" s="87"/>
      <c r="J3562" s="87"/>
      <c r="K3562" s="87"/>
      <c r="L3562" s="87"/>
    </row>
    <row r="3563" spans="1:12" ht="12" customHeight="1" x14ac:dyDescent="0.35">
      <c r="A3563" s="134">
        <v>10110000</v>
      </c>
      <c r="B3563" s="84"/>
      <c r="C3563" s="85" t="s">
        <v>30</v>
      </c>
      <c r="D3563" s="84" t="s">
        <v>418</v>
      </c>
      <c r="E3563" s="84" t="str">
        <f>VLOOKUP(C3563,HSD!B:K,2,FALSE)</f>
        <v>OH</v>
      </c>
      <c r="F3563" s="128">
        <f>F3560/10</f>
        <v>6.2E-2</v>
      </c>
      <c r="G3563" s="87">
        <f>VLOOKUP(C3563,HSD!B:K,10,FALSE)</f>
        <v>150000</v>
      </c>
      <c r="H3563" s="87">
        <f>F3563*G3563</f>
        <v>9300</v>
      </c>
      <c r="I3563" s="87">
        <v>92500</v>
      </c>
      <c r="J3563" s="87">
        <f>F3563*I3563</f>
        <v>5735</v>
      </c>
      <c r="K3563" s="87">
        <v>92500</v>
      </c>
      <c r="L3563" s="87">
        <f>F3563*K3563</f>
        <v>5735</v>
      </c>
    </row>
    <row r="3564" spans="1:12" ht="12" customHeight="1" x14ac:dyDescent="0.35">
      <c r="B3564" s="84"/>
      <c r="C3564" s="85"/>
      <c r="D3564" s="84"/>
      <c r="E3564" s="84"/>
      <c r="F3564" s="86"/>
      <c r="G3564" s="87"/>
      <c r="H3564" s="87"/>
      <c r="I3564" s="87"/>
      <c r="J3564" s="87"/>
      <c r="K3564" s="87"/>
      <c r="L3564" s="87"/>
    </row>
    <row r="3565" spans="1:12" ht="12" customHeight="1" x14ac:dyDescent="0.35">
      <c r="B3565" s="84"/>
      <c r="C3565" s="88"/>
      <c r="D3565" s="79"/>
      <c r="E3565" s="79"/>
      <c r="F3565" s="89" t="s">
        <v>421</v>
      </c>
      <c r="G3565" s="101"/>
      <c r="H3565" s="87">
        <f>SUM(H3560:H3564)</f>
        <v>165850</v>
      </c>
      <c r="I3565" s="101"/>
      <c r="J3565" s="87">
        <f>SUM(J3563:J3564)</f>
        <v>5735</v>
      </c>
      <c r="K3565" s="101"/>
      <c r="L3565" s="87">
        <f>SUM(L3563:L3564)</f>
        <v>5735</v>
      </c>
    </row>
    <row r="3566" spans="1:12" ht="12" customHeight="1" x14ac:dyDescent="0.35">
      <c r="B3566" s="84" t="s">
        <v>6</v>
      </c>
      <c r="C3566" s="88" t="s">
        <v>422</v>
      </c>
      <c r="D3566" s="79"/>
      <c r="E3566" s="79"/>
      <c r="F3566" s="90"/>
      <c r="G3566" s="84"/>
      <c r="H3566" s="87"/>
      <c r="I3566" s="84"/>
      <c r="J3566" s="87"/>
      <c r="K3566" s="84"/>
      <c r="L3566" s="87"/>
    </row>
    <row r="3567" spans="1:12" x14ac:dyDescent="0.35">
      <c r="A3567" s="134">
        <v>21901000</v>
      </c>
      <c r="B3567" s="84"/>
      <c r="C3567" s="85" t="s">
        <v>1802</v>
      </c>
      <c r="D3567" s="84" t="s">
        <v>418</v>
      </c>
      <c r="E3567" s="84" t="str">
        <f>VLOOKUP(C3567,HSD!B:K,2,FALSE)</f>
        <v>kg</v>
      </c>
      <c r="F3567" s="128">
        <v>8.82</v>
      </c>
      <c r="G3567" s="87">
        <f>VLOOKUP(C3567,HSD!B:K,10,FALSE)</f>
        <v>0</v>
      </c>
      <c r="H3567" s="87">
        <f>F3567*G3567</f>
        <v>0</v>
      </c>
      <c r="I3567" s="87"/>
      <c r="J3567" s="87"/>
      <c r="K3567" s="87"/>
      <c r="L3567" s="87"/>
    </row>
    <row r="3568" spans="1:12" x14ac:dyDescent="0.35">
      <c r="A3568" s="134">
        <v>23100103</v>
      </c>
      <c r="B3568" s="84"/>
      <c r="C3568" s="85" t="s">
        <v>1871</v>
      </c>
      <c r="D3568" s="84" t="s">
        <v>418</v>
      </c>
      <c r="E3568" s="84" t="str">
        <f>VLOOKUP(C3568,HSD!B:K,2,FALSE)</f>
        <v>kg</v>
      </c>
      <c r="F3568" s="128">
        <v>1.96</v>
      </c>
      <c r="G3568" s="87">
        <f>VLOOKUP(C3568,HSD!B:K,10,FALSE)</f>
        <v>46620</v>
      </c>
      <c r="H3568" s="87">
        <f>F3568*G3568</f>
        <v>91375.2</v>
      </c>
      <c r="I3568" s="87"/>
      <c r="J3568" s="87"/>
      <c r="K3568" s="87"/>
      <c r="L3568" s="87"/>
    </row>
    <row r="3569" spans="1:13" ht="26" x14ac:dyDescent="0.35">
      <c r="A3569" s="134">
        <v>22101018</v>
      </c>
      <c r="B3569" s="84"/>
      <c r="C3569" s="85" t="s">
        <v>1810</v>
      </c>
      <c r="D3569" s="84" t="s">
        <v>418</v>
      </c>
      <c r="E3569" s="84" t="str">
        <f>VLOOKUP(C3569,HSD!B:K,2,FALSE)</f>
        <v>m3</v>
      </c>
      <c r="F3569" s="128">
        <v>8.7999999999999995E-2</v>
      </c>
      <c r="G3569" s="87">
        <f>VLOOKUP(C3569,HSD!B:K,10,FALSE)</f>
        <v>2251070</v>
      </c>
      <c r="H3569" s="87">
        <f>F3569*G3569</f>
        <v>198094.15999999997</v>
      </c>
      <c r="I3569" s="87"/>
      <c r="J3569" s="87"/>
      <c r="K3569" s="87"/>
      <c r="L3569" s="87"/>
    </row>
    <row r="3570" spans="1:13" ht="39" x14ac:dyDescent="0.35">
      <c r="A3570" s="134">
        <v>91112019</v>
      </c>
      <c r="B3570" s="84"/>
      <c r="C3570" s="85" t="s">
        <v>1911</v>
      </c>
      <c r="D3570" s="84" t="s">
        <v>418</v>
      </c>
      <c r="E3570" s="84" t="str">
        <f>VLOOKUP(C3570,HSD!B:K,2,FALSE)</f>
        <v>m3</v>
      </c>
      <c r="F3570" s="128">
        <v>0.17599999999999999</v>
      </c>
      <c r="G3570" s="87">
        <f>VLOOKUP(C3570,HSD!B:K,10,FALSE)</f>
        <v>1357841.4839999999</v>
      </c>
      <c r="H3570" s="87">
        <f>F3570*G3570</f>
        <v>238980.10118399997</v>
      </c>
      <c r="I3570" s="87"/>
      <c r="J3570" s="87"/>
      <c r="K3570" s="87"/>
      <c r="L3570" s="87"/>
    </row>
    <row r="3571" spans="1:13" x14ac:dyDescent="0.35">
      <c r="B3571" s="84"/>
      <c r="C3571" s="85"/>
      <c r="D3571" s="84"/>
      <c r="E3571" s="84"/>
      <c r="F3571" s="128"/>
      <c r="G3571" s="87"/>
      <c r="H3571" s="87">
        <f>F3571*G3571</f>
        <v>0</v>
      </c>
      <c r="I3571" s="87"/>
      <c r="J3571" s="87"/>
      <c r="K3571" s="87"/>
      <c r="L3571" s="87"/>
    </row>
    <row r="3572" spans="1:13" ht="12" customHeight="1" x14ac:dyDescent="0.35">
      <c r="B3572" s="84"/>
      <c r="C3572" s="88"/>
      <c r="D3572" s="79"/>
      <c r="E3572" s="79"/>
      <c r="F3572" s="129" t="s">
        <v>423</v>
      </c>
      <c r="G3572" s="129"/>
      <c r="H3572" s="87">
        <f>SUM(H3567:H3571)</f>
        <v>528449.4611839999</v>
      </c>
      <c r="I3572" s="101"/>
      <c r="J3572" s="87" t="e">
        <f>SUM(#REF!)</f>
        <v>#REF!</v>
      </c>
      <c r="K3572" s="101"/>
      <c r="L3572" s="87" t="e">
        <f>SUM(#REF!)</f>
        <v>#REF!</v>
      </c>
    </row>
    <row r="3573" spans="1:13" ht="12" customHeight="1" x14ac:dyDescent="0.35">
      <c r="B3573" s="84" t="s">
        <v>7</v>
      </c>
      <c r="C3573" s="88" t="s">
        <v>424</v>
      </c>
      <c r="D3573" s="79"/>
      <c r="E3573" s="79"/>
      <c r="F3573" s="90"/>
      <c r="G3573" s="84"/>
      <c r="H3573" s="87"/>
      <c r="I3573" s="84"/>
      <c r="J3573" s="87"/>
      <c r="K3573" s="84"/>
      <c r="L3573" s="87"/>
    </row>
    <row r="3574" spans="1:13" ht="12" customHeight="1" x14ac:dyDescent="0.35">
      <c r="B3574" s="84"/>
      <c r="C3574" s="130" t="e">
        <v>#N/A</v>
      </c>
      <c r="D3574" s="131" t="s">
        <v>418</v>
      </c>
      <c r="E3574" s="131" t="e">
        <v>#N/A</v>
      </c>
      <c r="F3574" s="132">
        <v>1</v>
      </c>
      <c r="G3574" s="133" t="e">
        <f>VLOOKUP(A3574,'DAFTAR HARGA'!A:D,5,FALSE)</f>
        <v>#N/A</v>
      </c>
      <c r="H3574" s="133"/>
      <c r="I3574" s="87"/>
      <c r="J3574" s="87">
        <f>H3574*I3574</f>
        <v>0</v>
      </c>
      <c r="K3574" s="87"/>
      <c r="L3574" s="87">
        <f>J3574*K3574</f>
        <v>0</v>
      </c>
      <c r="M3574" s="75" t="s">
        <v>872</v>
      </c>
    </row>
    <row r="3575" spans="1:13" ht="12" customHeight="1" x14ac:dyDescent="0.35">
      <c r="A3575" s="134">
        <v>31230001</v>
      </c>
      <c r="B3575" s="84"/>
      <c r="C3575" s="85" t="s">
        <v>865</v>
      </c>
      <c r="D3575" s="84" t="s">
        <v>418</v>
      </c>
      <c r="E3575" s="84" t="str">
        <f>VLOOKUP(C3575,HSD!B:K,2,FALSE)</f>
        <v>Sewa-hari</v>
      </c>
      <c r="F3575" s="128">
        <v>0.441</v>
      </c>
      <c r="G3575" s="87">
        <f>VLOOKUP(C3575,HSD!B:K,10,FALSE)</f>
        <v>144300</v>
      </c>
      <c r="H3575" s="87">
        <f>F3575*G3575</f>
        <v>63636.3</v>
      </c>
      <c r="I3575" s="87"/>
      <c r="J3575" s="87"/>
      <c r="K3575" s="87"/>
      <c r="L3575" s="87"/>
    </row>
    <row r="3576" spans="1:13" ht="12" customHeight="1" x14ac:dyDescent="0.35">
      <c r="A3576" s="134">
        <v>31220101</v>
      </c>
      <c r="B3576" s="84"/>
      <c r="C3576" s="85" t="s">
        <v>728</v>
      </c>
      <c r="D3576" s="84" t="s">
        <v>418</v>
      </c>
      <c r="E3576" s="84" t="str">
        <f>VLOOKUP(C3576,HSD!B:K,2,FALSE)</f>
        <v>jam</v>
      </c>
      <c r="F3576" s="128">
        <v>0.441</v>
      </c>
      <c r="G3576" s="87">
        <f>VLOOKUP(C3576,HSD!B:K,10,FALSE)</f>
        <v>50000</v>
      </c>
      <c r="H3576" s="87">
        <f>F3576*G3576</f>
        <v>22050</v>
      </c>
      <c r="I3576" s="87"/>
      <c r="J3576" s="87"/>
      <c r="K3576" s="87"/>
      <c r="L3576" s="87"/>
    </row>
    <row r="3577" spans="1:13" ht="12" customHeight="1" x14ac:dyDescent="0.35">
      <c r="B3577" s="84"/>
      <c r="C3577" s="88"/>
      <c r="D3577" s="79"/>
      <c r="E3577" s="79"/>
      <c r="F3577" s="89" t="s">
        <v>425</v>
      </c>
      <c r="G3577" s="101"/>
      <c r="H3577" s="87">
        <f>SUM(H3574:H3576)</f>
        <v>85686.3</v>
      </c>
      <c r="I3577" s="101"/>
      <c r="J3577" s="87">
        <f>SUM(J3574)</f>
        <v>0</v>
      </c>
      <c r="K3577" s="101"/>
      <c r="L3577" s="87">
        <f>SUM(L3574)</f>
        <v>0</v>
      </c>
    </row>
    <row r="3578" spans="1:13" ht="12" customHeight="1" x14ac:dyDescent="0.35">
      <c r="B3578" s="84" t="s">
        <v>8</v>
      </c>
      <c r="C3578" s="103" t="s">
        <v>426</v>
      </c>
      <c r="D3578" s="104"/>
      <c r="E3578" s="104"/>
      <c r="F3578" s="104"/>
      <c r="G3578" s="105"/>
      <c r="H3578" s="87">
        <f>H3565+H3572+H3577</f>
        <v>779985.76118399994</v>
      </c>
      <c r="I3578" s="105"/>
      <c r="J3578" s="87" t="e">
        <f>J3565+J3572+J3577</f>
        <v>#REF!</v>
      </c>
      <c r="K3578" s="105"/>
      <c r="L3578" s="87" t="e">
        <f>L3565+L3572+L3577</f>
        <v>#REF!</v>
      </c>
    </row>
    <row r="3579" spans="1:13" ht="12" customHeight="1" x14ac:dyDescent="0.35">
      <c r="B3579" s="84" t="s">
        <v>9</v>
      </c>
      <c r="C3579" s="455" t="s">
        <v>427</v>
      </c>
      <c r="D3579" s="455"/>
      <c r="E3579" s="455"/>
      <c r="F3579" s="95">
        <f>0</f>
        <v>0</v>
      </c>
      <c r="G3579" s="85" t="s">
        <v>428</v>
      </c>
      <c r="H3579" s="87">
        <f>H3578*F3579</f>
        <v>0</v>
      </c>
      <c r="I3579" s="85" t="s">
        <v>428</v>
      </c>
      <c r="J3579" s="87" t="e">
        <f>J3578*F3579</f>
        <v>#REF!</v>
      </c>
      <c r="K3579" s="85" t="s">
        <v>428</v>
      </c>
      <c r="L3579" s="87" t="e">
        <f>L3578*F3579</f>
        <v>#REF!</v>
      </c>
    </row>
    <row r="3580" spans="1:13" ht="12" customHeight="1" x14ac:dyDescent="0.35">
      <c r="B3580" s="84" t="s">
        <v>10</v>
      </c>
      <c r="C3580" s="103" t="s">
        <v>429</v>
      </c>
      <c r="D3580" s="104"/>
      <c r="E3580" s="104"/>
      <c r="F3580" s="104"/>
      <c r="G3580" s="105"/>
      <c r="H3580" s="96">
        <f>H3578+H3579</f>
        <v>779985.76118399994</v>
      </c>
      <c r="I3580" s="97"/>
      <c r="J3580" s="96" t="e">
        <f>J3578+J3579</f>
        <v>#REF!</v>
      </c>
      <c r="K3580" s="97"/>
      <c r="L3580" s="96" t="e">
        <f>L3578+L3579</f>
        <v>#REF!</v>
      </c>
    </row>
    <row r="3581" spans="1:13" ht="14" customHeight="1" x14ac:dyDescent="0.35"/>
    <row r="3582" spans="1:13" ht="37" customHeight="1" x14ac:dyDescent="0.35">
      <c r="B3582" s="76" t="s">
        <v>867</v>
      </c>
      <c r="C3582" s="458" t="s">
        <v>868</v>
      </c>
      <c r="D3582" s="459"/>
      <c r="E3582" s="459"/>
      <c r="F3582" s="459"/>
      <c r="G3582" s="456"/>
      <c r="H3582" s="457"/>
      <c r="I3582" s="455" t="s">
        <v>3</v>
      </c>
      <c r="J3582" s="455"/>
      <c r="K3582" s="455" t="s">
        <v>4</v>
      </c>
      <c r="L3582" s="455"/>
    </row>
    <row r="3583" spans="1:13" ht="12" customHeight="1" x14ac:dyDescent="0.35">
      <c r="B3583" s="451" t="s">
        <v>409</v>
      </c>
      <c r="C3583" s="451" t="s">
        <v>410</v>
      </c>
      <c r="D3583" s="452" t="s">
        <v>411</v>
      </c>
      <c r="E3583" s="451" t="s">
        <v>412</v>
      </c>
      <c r="F3583" s="451" t="s">
        <v>413</v>
      </c>
      <c r="G3583" s="77" t="s">
        <v>414</v>
      </c>
      <c r="H3583" s="77" t="s">
        <v>415</v>
      </c>
      <c r="I3583" s="78" t="s">
        <v>414</v>
      </c>
      <c r="J3583" s="79" t="s">
        <v>415</v>
      </c>
      <c r="K3583" s="79" t="s">
        <v>414</v>
      </c>
      <c r="L3583" s="79" t="s">
        <v>415</v>
      </c>
    </row>
    <row r="3584" spans="1:13" ht="12" customHeight="1" x14ac:dyDescent="0.35">
      <c r="B3584" s="451"/>
      <c r="C3584" s="451"/>
      <c r="D3584" s="453"/>
      <c r="E3584" s="451"/>
      <c r="F3584" s="451"/>
      <c r="G3584" s="77" t="s">
        <v>17</v>
      </c>
      <c r="H3584" s="77" t="s">
        <v>416</v>
      </c>
      <c r="I3584" s="78" t="s">
        <v>17</v>
      </c>
      <c r="J3584" s="79" t="s">
        <v>416</v>
      </c>
      <c r="K3584" s="79" t="s">
        <v>17</v>
      </c>
      <c r="L3584" s="79" t="s">
        <v>416</v>
      </c>
    </row>
    <row r="3585" spans="1:12" ht="12" customHeight="1" x14ac:dyDescent="0.35">
      <c r="B3585" s="451"/>
      <c r="C3585" s="451"/>
      <c r="D3585" s="454"/>
      <c r="E3585" s="451"/>
      <c r="F3585" s="451"/>
      <c r="G3585" s="106"/>
      <c r="H3585" s="77" t="s">
        <v>17</v>
      </c>
      <c r="I3585" s="94"/>
      <c r="J3585" s="79" t="s">
        <v>17</v>
      </c>
      <c r="K3585" s="85"/>
      <c r="L3585" s="79" t="s">
        <v>17</v>
      </c>
    </row>
    <row r="3586" spans="1:12" ht="12" customHeight="1" x14ac:dyDescent="0.35">
      <c r="B3586" s="80" t="s">
        <v>5</v>
      </c>
      <c r="C3586" s="81" t="s">
        <v>417</v>
      </c>
      <c r="D3586" s="82"/>
      <c r="E3586" s="82"/>
      <c r="F3586" s="82"/>
      <c r="G3586" s="82"/>
      <c r="H3586" s="82"/>
      <c r="I3586" s="83"/>
      <c r="J3586" s="83"/>
      <c r="K3586" s="83"/>
      <c r="L3586" s="83"/>
    </row>
    <row r="3587" spans="1:12" ht="12" customHeight="1" x14ac:dyDescent="0.35">
      <c r="A3587" s="134">
        <v>10130000</v>
      </c>
      <c r="B3587" s="84"/>
      <c r="C3587" s="85" t="s">
        <v>28</v>
      </c>
      <c r="D3587" s="84" t="s">
        <v>418</v>
      </c>
      <c r="E3587" s="84" t="str">
        <f>VLOOKUP(C3587,HSD!B:K,2,FALSE)</f>
        <v>OH</v>
      </c>
      <c r="F3587" s="128">
        <v>15.4</v>
      </c>
      <c r="G3587" s="87">
        <f>VLOOKUP(C3587,HSD!B:K,10,FALSE)</f>
        <v>120000</v>
      </c>
      <c r="H3587" s="87">
        <f>F3587*G3587</f>
        <v>1848000</v>
      </c>
      <c r="I3587" s="87">
        <v>91500</v>
      </c>
      <c r="J3587" s="87">
        <f>F3587*I3587</f>
        <v>1409100</v>
      </c>
      <c r="K3587" s="87">
        <v>91500</v>
      </c>
      <c r="L3587" s="87">
        <f>F3587*K3587</f>
        <v>1409100</v>
      </c>
    </row>
    <row r="3588" spans="1:12" ht="12" customHeight="1" x14ac:dyDescent="0.35">
      <c r="A3588" s="134">
        <v>10146000</v>
      </c>
      <c r="B3588" s="84"/>
      <c r="C3588" s="85" t="s">
        <v>438</v>
      </c>
      <c r="D3588" s="84" t="s">
        <v>418</v>
      </c>
      <c r="E3588" s="84" t="str">
        <f>VLOOKUP(C3588,HSD!B:K,2,FALSE)</f>
        <v>OH</v>
      </c>
      <c r="F3588" s="128">
        <v>7.7</v>
      </c>
      <c r="G3588" s="87">
        <f>VLOOKUP(C3588,HSD!B:K,10,FALSE)</f>
        <v>250000</v>
      </c>
      <c r="H3588" s="87">
        <f>F3588*G3588</f>
        <v>1925000</v>
      </c>
      <c r="I3588" s="87"/>
      <c r="J3588" s="87"/>
      <c r="K3588" s="87"/>
      <c r="L3588" s="87"/>
    </row>
    <row r="3589" spans="1:12" ht="12" customHeight="1" x14ac:dyDescent="0.35">
      <c r="A3589" s="134">
        <v>10120000</v>
      </c>
      <c r="B3589" s="84"/>
      <c r="C3589" s="85" t="s">
        <v>27</v>
      </c>
      <c r="D3589" s="84" t="s">
        <v>418</v>
      </c>
      <c r="E3589" s="84" t="str">
        <f>VLOOKUP(C3589,HSD!B:K,2,FALSE)</f>
        <v>OH</v>
      </c>
      <c r="F3589" s="128">
        <v>0.77</v>
      </c>
      <c r="G3589" s="87">
        <f>VLOOKUP(C3589,HSD!B:K,10,FALSE)</f>
        <v>150000</v>
      </c>
      <c r="H3589" s="87">
        <f>F3589*G3589</f>
        <v>115500</v>
      </c>
      <c r="I3589" s="87"/>
      <c r="J3589" s="87"/>
      <c r="K3589" s="87"/>
      <c r="L3589" s="87"/>
    </row>
    <row r="3590" spans="1:12" ht="12" customHeight="1" x14ac:dyDescent="0.35">
      <c r="A3590" s="134">
        <v>10110000</v>
      </c>
      <c r="B3590" s="84"/>
      <c r="C3590" s="85" t="s">
        <v>30</v>
      </c>
      <c r="D3590" s="84" t="s">
        <v>418</v>
      </c>
      <c r="E3590" s="84" t="str">
        <f>VLOOKUP(C3590,HSD!B:K,2,FALSE)</f>
        <v>OH</v>
      </c>
      <c r="F3590" s="128">
        <v>1.54</v>
      </c>
      <c r="G3590" s="87">
        <f>VLOOKUP(C3590,HSD!B:K,10,FALSE)</f>
        <v>150000</v>
      </c>
      <c r="H3590" s="87">
        <f>F3590*G3590</f>
        <v>231000</v>
      </c>
      <c r="I3590" s="87">
        <v>92500</v>
      </c>
      <c r="J3590" s="87">
        <f>F3590*I3590</f>
        <v>142450</v>
      </c>
      <c r="K3590" s="87">
        <v>92500</v>
      </c>
      <c r="L3590" s="87">
        <f>F3590*K3590</f>
        <v>142450</v>
      </c>
    </row>
    <row r="3591" spans="1:12" ht="12" customHeight="1" x14ac:dyDescent="0.35">
      <c r="B3591" s="84"/>
      <c r="C3591" s="85"/>
      <c r="D3591" s="84"/>
      <c r="E3591" s="84"/>
      <c r="F3591" s="86"/>
      <c r="G3591" s="87"/>
      <c r="H3591" s="87"/>
      <c r="I3591" s="87"/>
      <c r="J3591" s="87"/>
      <c r="K3591" s="87"/>
      <c r="L3591" s="87"/>
    </row>
    <row r="3592" spans="1:12" ht="12" customHeight="1" x14ac:dyDescent="0.35">
      <c r="B3592" s="84"/>
      <c r="C3592" s="88"/>
      <c r="D3592" s="79"/>
      <c r="E3592" s="79"/>
      <c r="F3592" s="89" t="s">
        <v>421</v>
      </c>
      <c r="G3592" s="101"/>
      <c r="H3592" s="87">
        <f>SUM(H3587:H3591)</f>
        <v>4119500</v>
      </c>
      <c r="I3592" s="101"/>
      <c r="J3592" s="87">
        <f>SUM(J3590:J3591)</f>
        <v>142450</v>
      </c>
      <c r="K3592" s="101"/>
      <c r="L3592" s="87">
        <f>SUM(L3590:L3591)</f>
        <v>142450</v>
      </c>
    </row>
    <row r="3593" spans="1:12" ht="12" customHeight="1" x14ac:dyDescent="0.35">
      <c r="B3593" s="84" t="s">
        <v>6</v>
      </c>
      <c r="C3593" s="88" t="s">
        <v>422</v>
      </c>
      <c r="D3593" s="79"/>
      <c r="E3593" s="79"/>
      <c r="F3593" s="90"/>
      <c r="G3593" s="84"/>
      <c r="H3593" s="87"/>
      <c r="I3593" s="84"/>
      <c r="J3593" s="87"/>
      <c r="K3593" s="84"/>
      <c r="L3593" s="87"/>
    </row>
    <row r="3594" spans="1:12" x14ac:dyDescent="0.35">
      <c r="A3594" s="134">
        <v>21901000</v>
      </c>
      <c r="B3594" s="84"/>
      <c r="C3594" s="85" t="s">
        <v>1802</v>
      </c>
      <c r="D3594" s="84" t="s">
        <v>418</v>
      </c>
      <c r="E3594" s="84" t="str">
        <f>VLOOKUP(C3594,HSD!B:K,2,FALSE)</f>
        <v>kg</v>
      </c>
      <c r="F3594" s="128">
        <v>1.86</v>
      </c>
      <c r="G3594" s="87">
        <f>VLOOKUP(C3594,HSD!B:K,10,FALSE)</f>
        <v>0</v>
      </c>
      <c r="H3594" s="87">
        <f>F3594*G3594</f>
        <v>0</v>
      </c>
      <c r="I3594" s="87"/>
      <c r="J3594" s="87"/>
      <c r="K3594" s="87"/>
      <c r="L3594" s="87"/>
    </row>
    <row r="3595" spans="1:12" x14ac:dyDescent="0.35">
      <c r="A3595" s="134">
        <v>23100103</v>
      </c>
      <c r="B3595" s="84"/>
      <c r="C3595" s="85" t="s">
        <v>1871</v>
      </c>
      <c r="D3595" s="84" t="s">
        <v>418</v>
      </c>
      <c r="E3595" s="84" t="str">
        <f>VLOOKUP(C3595,HSD!B:K,2,FALSE)</f>
        <v>kg</v>
      </c>
      <c r="F3595" s="128">
        <v>10.266999999999999</v>
      </c>
      <c r="G3595" s="87">
        <f>VLOOKUP(C3595,HSD!B:K,10,FALSE)</f>
        <v>46620</v>
      </c>
      <c r="H3595" s="87">
        <f>F3595*G3595</f>
        <v>478647.54</v>
      </c>
      <c r="I3595" s="87"/>
      <c r="J3595" s="87"/>
      <c r="K3595" s="87"/>
      <c r="L3595" s="87"/>
    </row>
    <row r="3596" spans="1:12" ht="26" x14ac:dyDescent="0.35">
      <c r="A3596" s="134">
        <v>22101018</v>
      </c>
      <c r="B3596" s="84"/>
      <c r="C3596" s="85" t="s">
        <v>1810</v>
      </c>
      <c r="D3596" s="84" t="s">
        <v>418</v>
      </c>
      <c r="E3596" s="84" t="str">
        <f>VLOOKUP(C3596,HSD!B:K,2,FALSE)</f>
        <v>m3</v>
      </c>
      <c r="F3596" s="128">
        <v>0.31</v>
      </c>
      <c r="G3596" s="87">
        <f>VLOOKUP(C3596,HSD!B:K,10,FALSE)</f>
        <v>2251070</v>
      </c>
      <c r="H3596" s="87">
        <f>F3596*G3596</f>
        <v>697831.7</v>
      </c>
      <c r="I3596" s="87"/>
      <c r="J3596" s="87"/>
      <c r="K3596" s="87"/>
      <c r="L3596" s="87"/>
    </row>
    <row r="3597" spans="1:12" ht="39" x14ac:dyDescent="0.35">
      <c r="A3597" s="134">
        <v>91112019</v>
      </c>
      <c r="B3597" s="84"/>
      <c r="C3597" s="85" t="s">
        <v>1911</v>
      </c>
      <c r="D3597" s="84" t="s">
        <v>418</v>
      </c>
      <c r="E3597" s="84" t="str">
        <f>VLOOKUP(C3597,HSD!B:K,2,FALSE)</f>
        <v>m3</v>
      </c>
      <c r="F3597" s="128">
        <v>0.62</v>
      </c>
      <c r="G3597" s="87">
        <f>VLOOKUP(C3597,HSD!B:K,10,FALSE)</f>
        <v>1357841.4839999999</v>
      </c>
      <c r="H3597" s="87">
        <f>F3597*G3597</f>
        <v>841861.72008</v>
      </c>
      <c r="I3597" s="87"/>
      <c r="J3597" s="87"/>
      <c r="K3597" s="87"/>
      <c r="L3597" s="87"/>
    </row>
    <row r="3598" spans="1:12" x14ac:dyDescent="0.35">
      <c r="B3598" s="84"/>
      <c r="C3598" s="85"/>
      <c r="D3598" s="84"/>
      <c r="E3598" s="84"/>
      <c r="F3598" s="128"/>
      <c r="G3598" s="87"/>
      <c r="H3598" s="87">
        <f>F3598*G3598</f>
        <v>0</v>
      </c>
      <c r="I3598" s="87"/>
      <c r="J3598" s="87"/>
      <c r="K3598" s="87"/>
      <c r="L3598" s="87"/>
    </row>
    <row r="3599" spans="1:12" ht="12" customHeight="1" x14ac:dyDescent="0.35">
      <c r="B3599" s="84"/>
      <c r="C3599" s="88"/>
      <c r="D3599" s="79"/>
      <c r="E3599" s="79"/>
      <c r="F3599" s="129" t="s">
        <v>423</v>
      </c>
      <c r="G3599" s="129"/>
      <c r="H3599" s="87">
        <f>SUM(H3594:L3598)</f>
        <v>2018340.9600800001</v>
      </c>
      <c r="I3599" s="101"/>
      <c r="J3599" s="87" t="e">
        <f>SUM(#REF!)</f>
        <v>#REF!</v>
      </c>
      <c r="K3599" s="101"/>
      <c r="L3599" s="87" t="e">
        <f>SUM(#REF!)</f>
        <v>#REF!</v>
      </c>
    </row>
    <row r="3600" spans="1:12" ht="12" customHeight="1" x14ac:dyDescent="0.35">
      <c r="B3600" s="84" t="s">
        <v>7</v>
      </c>
      <c r="C3600" s="88" t="s">
        <v>424</v>
      </c>
      <c r="D3600" s="79"/>
      <c r="E3600" s="79"/>
      <c r="F3600" s="90"/>
      <c r="G3600" s="84"/>
      <c r="H3600" s="87"/>
      <c r="I3600" s="84"/>
      <c r="J3600" s="87"/>
      <c r="K3600" s="84"/>
      <c r="L3600" s="87"/>
    </row>
    <row r="3601" spans="1:13" ht="12" customHeight="1" x14ac:dyDescent="0.35">
      <c r="B3601" s="84"/>
      <c r="C3601" s="130" t="e">
        <v>#N/A</v>
      </c>
      <c r="D3601" s="131" t="s">
        <v>418</v>
      </c>
      <c r="E3601" s="131" t="e">
        <v>#N/A</v>
      </c>
      <c r="F3601" s="132">
        <v>1</v>
      </c>
      <c r="G3601" s="133" t="e">
        <f>VLOOKUP(A3601,'DAFTAR HARGA'!A:D,5,FALSE)</f>
        <v>#N/A</v>
      </c>
      <c r="H3601" s="133"/>
      <c r="I3601" s="87"/>
      <c r="J3601" s="87">
        <f>H3601*I3601</f>
        <v>0</v>
      </c>
      <c r="K3601" s="87"/>
      <c r="L3601" s="87">
        <f>J3601*K3601</f>
        <v>0</v>
      </c>
      <c r="M3601" s="75" t="s">
        <v>872</v>
      </c>
    </row>
    <row r="3602" spans="1:13" ht="12" customHeight="1" x14ac:dyDescent="0.35">
      <c r="A3602" s="134">
        <v>31230001</v>
      </c>
      <c r="B3602" s="84"/>
      <c r="C3602" s="85" t="s">
        <v>865</v>
      </c>
      <c r="D3602" s="84" t="s">
        <v>418</v>
      </c>
      <c r="E3602" s="84" t="str">
        <f>VLOOKUP(C3602,HSD!B:K,2,FALSE)</f>
        <v>Sewa-hari</v>
      </c>
      <c r="F3602" s="128">
        <v>2.2999999999999998</v>
      </c>
      <c r="G3602" s="87">
        <f>VLOOKUP(C3602,HSD!B:K,10,FALSE)</f>
        <v>144300</v>
      </c>
      <c r="H3602" s="87">
        <f>F3602*G3602</f>
        <v>331890</v>
      </c>
      <c r="I3602" s="87"/>
      <c r="J3602" s="87"/>
      <c r="K3602" s="87"/>
      <c r="L3602" s="87"/>
    </row>
    <row r="3603" spans="1:13" ht="12" customHeight="1" x14ac:dyDescent="0.35">
      <c r="A3603" s="134">
        <v>31220101</v>
      </c>
      <c r="B3603" s="84"/>
      <c r="C3603" s="85" t="s">
        <v>728</v>
      </c>
      <c r="D3603" s="84" t="s">
        <v>418</v>
      </c>
      <c r="E3603" s="84" t="str">
        <f>VLOOKUP(C3603,HSD!B:K,2,FALSE)</f>
        <v>jam</v>
      </c>
      <c r="F3603" s="128">
        <v>2.2999999999999998</v>
      </c>
      <c r="G3603" s="87">
        <f>VLOOKUP(C3603,HSD!B:K,10,FALSE)</f>
        <v>50000</v>
      </c>
      <c r="H3603" s="87">
        <f>F3603*G3603</f>
        <v>114999.99999999999</v>
      </c>
      <c r="I3603" s="87"/>
      <c r="J3603" s="87"/>
      <c r="K3603" s="87"/>
      <c r="L3603" s="87"/>
    </row>
    <row r="3604" spans="1:13" ht="12" customHeight="1" x14ac:dyDescent="0.35">
      <c r="B3604" s="84"/>
      <c r="C3604" s="88"/>
      <c r="D3604" s="79"/>
      <c r="E3604" s="79"/>
      <c r="F3604" s="89" t="s">
        <v>425</v>
      </c>
      <c r="G3604" s="101"/>
      <c r="H3604" s="87">
        <f>SUM(H3601:H3603)</f>
        <v>446890</v>
      </c>
      <c r="I3604" s="101"/>
      <c r="J3604" s="87">
        <f>SUM(J3601)</f>
        <v>0</v>
      </c>
      <c r="K3604" s="101"/>
      <c r="L3604" s="87">
        <f>SUM(L3601)</f>
        <v>0</v>
      </c>
    </row>
    <row r="3605" spans="1:13" ht="12" customHeight="1" x14ac:dyDescent="0.35">
      <c r="B3605" s="84" t="s">
        <v>8</v>
      </c>
      <c r="C3605" s="103" t="s">
        <v>426</v>
      </c>
      <c r="D3605" s="104"/>
      <c r="E3605" s="104"/>
      <c r="F3605" s="104"/>
      <c r="G3605" s="105"/>
      <c r="H3605" s="87">
        <f>H3592+H3599+H3604</f>
        <v>6584730.9600799996</v>
      </c>
      <c r="I3605" s="105"/>
      <c r="J3605" s="87" t="e">
        <f>J3592+J3599+J3604</f>
        <v>#REF!</v>
      </c>
      <c r="K3605" s="105"/>
      <c r="L3605" s="87" t="e">
        <f>L3592+L3599+L3604</f>
        <v>#REF!</v>
      </c>
    </row>
    <row r="3606" spans="1:13" ht="12" customHeight="1" x14ac:dyDescent="0.35">
      <c r="B3606" s="84" t="s">
        <v>9</v>
      </c>
      <c r="C3606" s="455" t="s">
        <v>427</v>
      </c>
      <c r="D3606" s="455"/>
      <c r="E3606" s="455"/>
      <c r="F3606" s="95">
        <f>0</f>
        <v>0</v>
      </c>
      <c r="G3606" s="85" t="s">
        <v>428</v>
      </c>
      <c r="H3606" s="87">
        <f>H3605*F3606</f>
        <v>0</v>
      </c>
      <c r="I3606" s="85" t="s">
        <v>428</v>
      </c>
      <c r="J3606" s="87" t="e">
        <f>J3605*F3606</f>
        <v>#REF!</v>
      </c>
      <c r="K3606" s="85" t="s">
        <v>428</v>
      </c>
      <c r="L3606" s="87" t="e">
        <f>L3605*F3606</f>
        <v>#REF!</v>
      </c>
    </row>
    <row r="3607" spans="1:13" ht="12" customHeight="1" x14ac:dyDescent="0.35">
      <c r="B3607" s="84" t="s">
        <v>10</v>
      </c>
      <c r="C3607" s="103" t="s">
        <v>429</v>
      </c>
      <c r="D3607" s="104"/>
      <c r="E3607" s="104"/>
      <c r="F3607" s="104"/>
      <c r="G3607" s="105"/>
      <c r="H3607" s="96">
        <f>H3605+H3606</f>
        <v>6584730.9600799996</v>
      </c>
      <c r="I3607" s="97"/>
      <c r="J3607" s="96" t="e">
        <f>J3605+J3606</f>
        <v>#REF!</v>
      </c>
      <c r="K3607" s="97"/>
      <c r="L3607" s="96" t="e">
        <f>L3605+L3606</f>
        <v>#REF!</v>
      </c>
    </row>
    <row r="3608" spans="1:13" x14ac:dyDescent="0.35">
      <c r="B3608" s="75" t="s">
        <v>869</v>
      </c>
    </row>
    <row r="3609" spans="1:13" ht="14" customHeight="1" x14ac:dyDescent="0.35"/>
    <row r="3610" spans="1:13" ht="37" customHeight="1" x14ac:dyDescent="0.35">
      <c r="B3610" s="76" t="s">
        <v>870</v>
      </c>
      <c r="C3610" s="458" t="s">
        <v>871</v>
      </c>
      <c r="D3610" s="459"/>
      <c r="E3610" s="459"/>
      <c r="F3610" s="459"/>
      <c r="G3610" s="456"/>
      <c r="H3610" s="457"/>
      <c r="I3610" s="455" t="s">
        <v>3</v>
      </c>
      <c r="J3610" s="455"/>
      <c r="K3610" s="455" t="s">
        <v>4</v>
      </c>
      <c r="L3610" s="455"/>
    </row>
    <row r="3611" spans="1:13" ht="12" customHeight="1" x14ac:dyDescent="0.35">
      <c r="B3611" s="451" t="s">
        <v>409</v>
      </c>
      <c r="C3611" s="451" t="s">
        <v>410</v>
      </c>
      <c r="D3611" s="452" t="s">
        <v>411</v>
      </c>
      <c r="E3611" s="451" t="s">
        <v>412</v>
      </c>
      <c r="F3611" s="451" t="s">
        <v>413</v>
      </c>
      <c r="G3611" s="77" t="s">
        <v>414</v>
      </c>
      <c r="H3611" s="77" t="s">
        <v>415</v>
      </c>
      <c r="I3611" s="78" t="s">
        <v>414</v>
      </c>
      <c r="J3611" s="79" t="s">
        <v>415</v>
      </c>
      <c r="K3611" s="79" t="s">
        <v>414</v>
      </c>
      <c r="L3611" s="79" t="s">
        <v>415</v>
      </c>
    </row>
    <row r="3612" spans="1:13" ht="12" customHeight="1" x14ac:dyDescent="0.35">
      <c r="B3612" s="451"/>
      <c r="C3612" s="451"/>
      <c r="D3612" s="453"/>
      <c r="E3612" s="451"/>
      <c r="F3612" s="451"/>
      <c r="G3612" s="77" t="s">
        <v>17</v>
      </c>
      <c r="H3612" s="77" t="s">
        <v>416</v>
      </c>
      <c r="I3612" s="78" t="s">
        <v>17</v>
      </c>
      <c r="J3612" s="79" t="s">
        <v>416</v>
      </c>
      <c r="K3612" s="79" t="s">
        <v>17</v>
      </c>
      <c r="L3612" s="79" t="s">
        <v>416</v>
      </c>
    </row>
    <row r="3613" spans="1:13" ht="12" customHeight="1" x14ac:dyDescent="0.35">
      <c r="B3613" s="451"/>
      <c r="C3613" s="451"/>
      <c r="D3613" s="454"/>
      <c r="E3613" s="451"/>
      <c r="F3613" s="451"/>
      <c r="G3613" s="106"/>
      <c r="H3613" s="77" t="s">
        <v>17</v>
      </c>
      <c r="I3613" s="94"/>
      <c r="J3613" s="79" t="s">
        <v>17</v>
      </c>
      <c r="K3613" s="85"/>
      <c r="L3613" s="79" t="s">
        <v>17</v>
      </c>
    </row>
    <row r="3614" spans="1:13" ht="12" customHeight="1" x14ac:dyDescent="0.35">
      <c r="B3614" s="80" t="s">
        <v>5</v>
      </c>
      <c r="C3614" s="81" t="s">
        <v>417</v>
      </c>
      <c r="D3614" s="82"/>
      <c r="E3614" s="82"/>
      <c r="F3614" s="82"/>
      <c r="G3614" s="82"/>
      <c r="H3614" s="82"/>
      <c r="I3614" s="83"/>
      <c r="J3614" s="83"/>
      <c r="K3614" s="83"/>
      <c r="L3614" s="83"/>
    </row>
    <row r="3615" spans="1:13" ht="12" customHeight="1" x14ac:dyDescent="0.35">
      <c r="A3615" s="134">
        <v>10130000</v>
      </c>
      <c r="B3615" s="84"/>
      <c r="C3615" s="85" t="s">
        <v>28</v>
      </c>
      <c r="D3615" s="84" t="s">
        <v>418</v>
      </c>
      <c r="E3615" s="84" t="str">
        <f>VLOOKUP(C3615,HSD!B:K,2,FALSE)</f>
        <v>OH</v>
      </c>
      <c r="F3615" s="128">
        <v>2.94</v>
      </c>
      <c r="G3615" s="87">
        <f>VLOOKUP(C3615,HSD!B:K,10,FALSE)</f>
        <v>120000</v>
      </c>
      <c r="H3615" s="87">
        <f>F3615*G3615</f>
        <v>352800</v>
      </c>
      <c r="I3615" s="87">
        <v>91500</v>
      </c>
      <c r="J3615" s="87">
        <f>F3615*I3615</f>
        <v>269010</v>
      </c>
      <c r="K3615" s="87">
        <v>91500</v>
      </c>
      <c r="L3615" s="87">
        <f>F3615*K3615</f>
        <v>269010</v>
      </c>
    </row>
    <row r="3616" spans="1:13" ht="12" customHeight="1" x14ac:dyDescent="0.35">
      <c r="A3616" s="134">
        <v>10146000</v>
      </c>
      <c r="B3616" s="84"/>
      <c r="C3616" s="85" t="s">
        <v>438</v>
      </c>
      <c r="D3616" s="84" t="s">
        <v>418</v>
      </c>
      <c r="E3616" s="84" t="str">
        <f>VLOOKUP(C3616,HSD!B:K,2,FALSE)</f>
        <v>OH</v>
      </c>
      <c r="F3616" s="128">
        <v>1.47</v>
      </c>
      <c r="G3616" s="87">
        <f>VLOOKUP(C3616,HSD!B:K,10,FALSE)</f>
        <v>250000</v>
      </c>
      <c r="H3616" s="87">
        <f>F3616*G3616</f>
        <v>367500</v>
      </c>
      <c r="I3616" s="87"/>
      <c r="J3616" s="87"/>
      <c r="K3616" s="87"/>
      <c r="L3616" s="87"/>
    </row>
    <row r="3617" spans="1:13" ht="12" customHeight="1" x14ac:dyDescent="0.35">
      <c r="A3617" s="134">
        <v>10120000</v>
      </c>
      <c r="B3617" s="84"/>
      <c r="C3617" s="85" t="s">
        <v>27</v>
      </c>
      <c r="D3617" s="84" t="s">
        <v>418</v>
      </c>
      <c r="E3617" s="84" t="str">
        <f>VLOOKUP(C3617,HSD!B:K,2,FALSE)</f>
        <v>OH</v>
      </c>
      <c r="F3617" s="128">
        <v>0.14699999999999999</v>
      </c>
      <c r="G3617" s="87">
        <f>VLOOKUP(C3617,HSD!B:K,10,FALSE)</f>
        <v>150000</v>
      </c>
      <c r="H3617" s="87">
        <f>F3617*G3617</f>
        <v>22050</v>
      </c>
      <c r="I3617" s="87"/>
      <c r="J3617" s="87"/>
      <c r="K3617" s="87"/>
      <c r="L3617" s="87"/>
    </row>
    <row r="3618" spans="1:13" ht="12" customHeight="1" x14ac:dyDescent="0.35">
      <c r="A3618" s="134">
        <v>10110000</v>
      </c>
      <c r="B3618" s="84"/>
      <c r="C3618" s="85" t="s">
        <v>30</v>
      </c>
      <c r="D3618" s="84" t="s">
        <v>418</v>
      </c>
      <c r="E3618" s="84" t="str">
        <f>VLOOKUP(C3618,HSD!B:K,2,FALSE)</f>
        <v>OH</v>
      </c>
      <c r="F3618" s="128">
        <v>0.29399999999999998</v>
      </c>
      <c r="G3618" s="87">
        <f>VLOOKUP(C3618,HSD!B:K,10,FALSE)</f>
        <v>150000</v>
      </c>
      <c r="H3618" s="87">
        <f>F3618*G3618</f>
        <v>44100</v>
      </c>
      <c r="I3618" s="87">
        <v>92500</v>
      </c>
      <c r="J3618" s="87">
        <f>F3618*I3618</f>
        <v>27195</v>
      </c>
      <c r="K3618" s="87">
        <v>92500</v>
      </c>
      <c r="L3618" s="87">
        <f>F3618*K3618</f>
        <v>27195</v>
      </c>
    </row>
    <row r="3619" spans="1:13" ht="12" customHeight="1" x14ac:dyDescent="0.35">
      <c r="B3619" s="84"/>
      <c r="C3619" s="85"/>
      <c r="D3619" s="84"/>
      <c r="E3619" s="84"/>
      <c r="F3619" s="86"/>
      <c r="G3619" s="87"/>
      <c r="H3619" s="87"/>
      <c r="I3619" s="87"/>
      <c r="J3619" s="87"/>
      <c r="K3619" s="87"/>
      <c r="L3619" s="87"/>
    </row>
    <row r="3620" spans="1:13" ht="12" customHeight="1" x14ac:dyDescent="0.35">
      <c r="B3620" s="84"/>
      <c r="C3620" s="88"/>
      <c r="D3620" s="79"/>
      <c r="E3620" s="79"/>
      <c r="F3620" s="89" t="s">
        <v>421</v>
      </c>
      <c r="G3620" s="101"/>
      <c r="H3620" s="87">
        <f>SUM(H3615:H3619)</f>
        <v>786450</v>
      </c>
      <c r="I3620" s="101"/>
      <c r="J3620" s="87">
        <f>SUM(J3618:J3619)</f>
        <v>27195</v>
      </c>
      <c r="K3620" s="101"/>
      <c r="L3620" s="87">
        <f>SUM(L3618:L3619)</f>
        <v>27195</v>
      </c>
    </row>
    <row r="3621" spans="1:13" ht="12" customHeight="1" x14ac:dyDescent="0.35">
      <c r="B3621" s="84" t="s">
        <v>6</v>
      </c>
      <c r="C3621" s="88" t="s">
        <v>422</v>
      </c>
      <c r="D3621" s="79"/>
      <c r="E3621" s="79"/>
      <c r="F3621" s="90"/>
      <c r="G3621" s="84"/>
      <c r="H3621" s="87"/>
      <c r="I3621" s="84"/>
      <c r="J3621" s="87"/>
      <c r="K3621" s="84"/>
      <c r="L3621" s="87"/>
    </row>
    <row r="3622" spans="1:13" x14ac:dyDescent="0.35">
      <c r="A3622" s="134">
        <v>21901000</v>
      </c>
      <c r="B3622" s="84"/>
      <c r="C3622" s="85" t="s">
        <v>1802</v>
      </c>
      <c r="D3622" s="84" t="s">
        <v>418</v>
      </c>
      <c r="E3622" s="84" t="str">
        <f>VLOOKUP(C3622,HSD!B:K,2,FALSE)</f>
        <v>kg</v>
      </c>
      <c r="F3622" s="128">
        <v>8.82</v>
      </c>
      <c r="G3622" s="87">
        <f>VLOOKUP(C3622,HSD!B:K,10,FALSE)</f>
        <v>0</v>
      </c>
      <c r="H3622" s="87">
        <f>F3622*G3622</f>
        <v>0</v>
      </c>
      <c r="I3622" s="87"/>
      <c r="J3622" s="87"/>
      <c r="K3622" s="87"/>
      <c r="L3622" s="87"/>
    </row>
    <row r="3623" spans="1:13" x14ac:dyDescent="0.35">
      <c r="A3623" s="134">
        <v>23100103</v>
      </c>
      <c r="B3623" s="84"/>
      <c r="C3623" s="85" t="s">
        <v>1871</v>
      </c>
      <c r="D3623" s="84" t="s">
        <v>418</v>
      </c>
      <c r="E3623" s="84" t="str">
        <f>VLOOKUP(C3623,HSD!B:K,2,FALSE)</f>
        <v>kg</v>
      </c>
      <c r="F3623" s="128">
        <v>1.96</v>
      </c>
      <c r="G3623" s="87">
        <f>VLOOKUP(C3623,HSD!B:K,10,FALSE)</f>
        <v>46620</v>
      </c>
      <c r="H3623" s="87">
        <f>F3623*G3623</f>
        <v>91375.2</v>
      </c>
      <c r="I3623" s="87"/>
      <c r="J3623" s="87"/>
      <c r="K3623" s="87"/>
      <c r="L3623" s="87"/>
    </row>
    <row r="3624" spans="1:13" ht="26" x14ac:dyDescent="0.35">
      <c r="A3624" s="134">
        <v>22101018</v>
      </c>
      <c r="B3624" s="84"/>
      <c r="C3624" s="85" t="s">
        <v>1810</v>
      </c>
      <c r="D3624" s="84" t="s">
        <v>418</v>
      </c>
      <c r="E3624" s="84" t="str">
        <f>VLOOKUP(C3624,HSD!B:K,2,FALSE)</f>
        <v>m3</v>
      </c>
      <c r="F3624" s="128">
        <v>8.7999999999999995E-2</v>
      </c>
      <c r="G3624" s="87">
        <f>VLOOKUP(C3624,HSD!B:K,10,FALSE)</f>
        <v>2251070</v>
      </c>
      <c r="H3624" s="87">
        <f>F3624*G3624</f>
        <v>198094.15999999997</v>
      </c>
      <c r="I3624" s="87"/>
      <c r="J3624" s="87"/>
      <c r="K3624" s="87"/>
      <c r="L3624" s="87"/>
    </row>
    <row r="3625" spans="1:13" ht="39" x14ac:dyDescent="0.35">
      <c r="A3625" s="134">
        <v>91112019</v>
      </c>
      <c r="B3625" s="84"/>
      <c r="C3625" s="85" t="s">
        <v>1911</v>
      </c>
      <c r="D3625" s="84" t="s">
        <v>418</v>
      </c>
      <c r="E3625" s="84" t="str">
        <f>VLOOKUP(C3625,HSD!B:K,2,FALSE)</f>
        <v>m3</v>
      </c>
      <c r="F3625" s="128">
        <v>0.17599999999999999</v>
      </c>
      <c r="G3625" s="87">
        <f>VLOOKUP(C3625,HSD!B:K,10,FALSE)</f>
        <v>1357841.4839999999</v>
      </c>
      <c r="H3625" s="87">
        <f>F3625*G3625</f>
        <v>238980.10118399997</v>
      </c>
      <c r="I3625" s="87"/>
      <c r="J3625" s="87"/>
      <c r="K3625" s="87"/>
      <c r="L3625" s="87"/>
    </row>
    <row r="3626" spans="1:13" x14ac:dyDescent="0.35">
      <c r="B3626" s="84"/>
      <c r="C3626" s="85"/>
      <c r="D3626" s="84"/>
      <c r="E3626" s="84"/>
      <c r="F3626" s="128"/>
      <c r="G3626" s="87"/>
      <c r="H3626" s="87">
        <f>F3626*G3626</f>
        <v>0</v>
      </c>
      <c r="I3626" s="87"/>
      <c r="J3626" s="87"/>
      <c r="K3626" s="87"/>
      <c r="L3626" s="87"/>
    </row>
    <row r="3627" spans="1:13" ht="12" customHeight="1" x14ac:dyDescent="0.35">
      <c r="B3627" s="84"/>
      <c r="C3627" s="88"/>
      <c r="D3627" s="79"/>
      <c r="E3627" s="79"/>
      <c r="F3627" s="129" t="s">
        <v>423</v>
      </c>
      <c r="G3627" s="129"/>
      <c r="H3627" s="87">
        <f>SUM(H3622:H3626)</f>
        <v>528449.4611839999</v>
      </c>
      <c r="I3627" s="101"/>
      <c r="J3627" s="87" t="e">
        <f>SUM(#REF!)</f>
        <v>#REF!</v>
      </c>
      <c r="K3627" s="101"/>
      <c r="L3627" s="87" t="e">
        <f>SUM(#REF!)</f>
        <v>#REF!</v>
      </c>
    </row>
    <row r="3628" spans="1:13" ht="12" customHeight="1" x14ac:dyDescent="0.35">
      <c r="B3628" s="84" t="s">
        <v>7</v>
      </c>
      <c r="C3628" s="88" t="s">
        <v>424</v>
      </c>
      <c r="D3628" s="79"/>
      <c r="E3628" s="79"/>
      <c r="F3628" s="90"/>
      <c r="G3628" s="84"/>
      <c r="H3628" s="87"/>
      <c r="I3628" s="84"/>
      <c r="J3628" s="87"/>
      <c r="K3628" s="84"/>
      <c r="L3628" s="87"/>
    </row>
    <row r="3629" spans="1:13" ht="12" customHeight="1" x14ac:dyDescent="0.35">
      <c r="B3629" s="84"/>
      <c r="C3629" s="130" t="e">
        <v>#N/A</v>
      </c>
      <c r="D3629" s="131" t="s">
        <v>418</v>
      </c>
      <c r="E3629" s="131" t="e">
        <v>#N/A</v>
      </c>
      <c r="F3629" s="132">
        <v>1</v>
      </c>
      <c r="G3629" s="133" t="e">
        <f>VLOOKUP(A3629,'DAFTAR HARGA'!A:D,5,FALSE)</f>
        <v>#N/A</v>
      </c>
      <c r="H3629" s="133"/>
      <c r="I3629" s="87"/>
      <c r="J3629" s="87">
        <f>H3629*I3629</f>
        <v>0</v>
      </c>
      <c r="K3629" s="87"/>
      <c r="L3629" s="87">
        <f>J3629*K3629</f>
        <v>0</v>
      </c>
      <c r="M3629" s="75" t="s">
        <v>872</v>
      </c>
    </row>
    <row r="3630" spans="1:13" ht="12" customHeight="1" x14ac:dyDescent="0.35">
      <c r="A3630" s="134">
        <v>31230001</v>
      </c>
      <c r="B3630" s="84"/>
      <c r="C3630" s="85" t="s">
        <v>865</v>
      </c>
      <c r="D3630" s="84" t="s">
        <v>418</v>
      </c>
      <c r="E3630" s="84" t="str">
        <f>VLOOKUP(C3630,HSD!B:K,2,FALSE)</f>
        <v>Sewa-hari</v>
      </c>
      <c r="F3630" s="128">
        <v>0.441</v>
      </c>
      <c r="G3630" s="87">
        <f>VLOOKUP(C3630,HSD!B:K,10,FALSE)</f>
        <v>144300</v>
      </c>
      <c r="H3630" s="87">
        <f>F3630*G3630</f>
        <v>63636.3</v>
      </c>
      <c r="I3630" s="87"/>
      <c r="J3630" s="87"/>
      <c r="K3630" s="87"/>
      <c r="L3630" s="87"/>
    </row>
    <row r="3631" spans="1:13" ht="12" customHeight="1" x14ac:dyDescent="0.35">
      <c r="A3631" s="134">
        <v>31220101</v>
      </c>
      <c r="B3631" s="84"/>
      <c r="C3631" s="85" t="s">
        <v>728</v>
      </c>
      <c r="D3631" s="84" t="s">
        <v>418</v>
      </c>
      <c r="E3631" s="84" t="str">
        <f>VLOOKUP(C3631,HSD!B:K,2,FALSE)</f>
        <v>jam</v>
      </c>
      <c r="F3631" s="128">
        <v>0.441</v>
      </c>
      <c r="G3631" s="87">
        <f>VLOOKUP(C3631,HSD!B:K,10,FALSE)</f>
        <v>50000</v>
      </c>
      <c r="H3631" s="87">
        <f>F3631*G3631</f>
        <v>22050</v>
      </c>
      <c r="I3631" s="87"/>
      <c r="J3631" s="87"/>
      <c r="K3631" s="87"/>
      <c r="L3631" s="87"/>
    </row>
    <row r="3632" spans="1:13" ht="12" customHeight="1" x14ac:dyDescent="0.35">
      <c r="B3632" s="84"/>
      <c r="C3632" s="88"/>
      <c r="D3632" s="79"/>
      <c r="E3632" s="79"/>
      <c r="F3632" s="89" t="s">
        <v>425</v>
      </c>
      <c r="G3632" s="101"/>
      <c r="H3632" s="87">
        <f>SUM(H3629:H3631)</f>
        <v>85686.3</v>
      </c>
      <c r="I3632" s="101"/>
      <c r="J3632" s="87">
        <f>SUM(J3629)</f>
        <v>0</v>
      </c>
      <c r="K3632" s="101"/>
      <c r="L3632" s="87">
        <f>SUM(L3629)</f>
        <v>0</v>
      </c>
    </row>
    <row r="3633" spans="1:12" ht="12" customHeight="1" x14ac:dyDescent="0.35">
      <c r="B3633" s="84" t="s">
        <v>8</v>
      </c>
      <c r="C3633" s="103" t="s">
        <v>426</v>
      </c>
      <c r="D3633" s="104"/>
      <c r="E3633" s="104"/>
      <c r="F3633" s="104"/>
      <c r="G3633" s="105"/>
      <c r="H3633" s="87">
        <f>H3620+H3627+H3632</f>
        <v>1400585.7611839999</v>
      </c>
      <c r="I3633" s="105"/>
      <c r="J3633" s="87" t="e">
        <f>J3620+J3627+J3632</f>
        <v>#REF!</v>
      </c>
      <c r="K3633" s="105"/>
      <c r="L3633" s="87" t="e">
        <f>L3620+L3627+L3632</f>
        <v>#REF!</v>
      </c>
    </row>
    <row r="3634" spans="1:12" ht="12" customHeight="1" x14ac:dyDescent="0.35">
      <c r="B3634" s="84" t="s">
        <v>9</v>
      </c>
      <c r="C3634" s="455" t="s">
        <v>427</v>
      </c>
      <c r="D3634" s="455"/>
      <c r="E3634" s="455"/>
      <c r="F3634" s="95">
        <f>0</f>
        <v>0</v>
      </c>
      <c r="G3634" s="85" t="s">
        <v>428</v>
      </c>
      <c r="H3634" s="87">
        <f>H3633*F3634</f>
        <v>0</v>
      </c>
      <c r="I3634" s="85" t="s">
        <v>428</v>
      </c>
      <c r="J3634" s="87" t="e">
        <f>J3633*F3634</f>
        <v>#REF!</v>
      </c>
      <c r="K3634" s="85" t="s">
        <v>428</v>
      </c>
      <c r="L3634" s="87" t="e">
        <f>L3633*F3634</f>
        <v>#REF!</v>
      </c>
    </row>
    <row r="3635" spans="1:12" ht="12" customHeight="1" x14ac:dyDescent="0.35">
      <c r="B3635" s="84" t="s">
        <v>10</v>
      </c>
      <c r="C3635" s="103" t="s">
        <v>429</v>
      </c>
      <c r="D3635" s="104"/>
      <c r="E3635" s="104"/>
      <c r="F3635" s="104"/>
      <c r="G3635" s="105"/>
      <c r="H3635" s="96">
        <f>H3633+H3634</f>
        <v>1400585.7611839999</v>
      </c>
      <c r="I3635" s="97"/>
      <c r="J3635" s="96" t="e">
        <f>J3633+J3634</f>
        <v>#REF!</v>
      </c>
      <c r="K3635" s="97"/>
      <c r="L3635" s="96" t="e">
        <f>L3633+L3634</f>
        <v>#REF!</v>
      </c>
    </row>
    <row r="3636" spans="1:12" x14ac:dyDescent="0.35">
      <c r="B3636" s="75" t="s">
        <v>869</v>
      </c>
    </row>
    <row r="3637" spans="1:12" ht="14" customHeight="1" x14ac:dyDescent="0.35"/>
    <row r="3638" spans="1:12" ht="37" customHeight="1" x14ac:dyDescent="0.35">
      <c r="B3638" s="76" t="s">
        <v>873</v>
      </c>
      <c r="C3638" s="458" t="s">
        <v>874</v>
      </c>
      <c r="D3638" s="459"/>
      <c r="E3638" s="459"/>
      <c r="F3638" s="459"/>
      <c r="G3638" s="456"/>
      <c r="H3638" s="457"/>
      <c r="I3638" s="455" t="s">
        <v>3</v>
      </c>
      <c r="J3638" s="455"/>
      <c r="K3638" s="455" t="s">
        <v>4</v>
      </c>
      <c r="L3638" s="455"/>
    </row>
    <row r="3639" spans="1:12" ht="12" customHeight="1" x14ac:dyDescent="0.35">
      <c r="B3639" s="451" t="s">
        <v>409</v>
      </c>
      <c r="C3639" s="451" t="s">
        <v>410</v>
      </c>
      <c r="D3639" s="452" t="s">
        <v>411</v>
      </c>
      <c r="E3639" s="451" t="s">
        <v>412</v>
      </c>
      <c r="F3639" s="451" t="s">
        <v>413</v>
      </c>
      <c r="G3639" s="77" t="s">
        <v>414</v>
      </c>
      <c r="H3639" s="77" t="s">
        <v>415</v>
      </c>
      <c r="I3639" s="78" t="s">
        <v>414</v>
      </c>
      <c r="J3639" s="79" t="s">
        <v>415</v>
      </c>
      <c r="K3639" s="79" t="s">
        <v>414</v>
      </c>
      <c r="L3639" s="79" t="s">
        <v>415</v>
      </c>
    </row>
    <row r="3640" spans="1:12" ht="12" customHeight="1" x14ac:dyDescent="0.35">
      <c r="B3640" s="451"/>
      <c r="C3640" s="451"/>
      <c r="D3640" s="453"/>
      <c r="E3640" s="451"/>
      <c r="F3640" s="451"/>
      <c r="G3640" s="77" t="s">
        <v>17</v>
      </c>
      <c r="H3640" s="77" t="s">
        <v>416</v>
      </c>
      <c r="I3640" s="78" t="s">
        <v>17</v>
      </c>
      <c r="J3640" s="79" t="s">
        <v>416</v>
      </c>
      <c r="K3640" s="79" t="s">
        <v>17</v>
      </c>
      <c r="L3640" s="79" t="s">
        <v>416</v>
      </c>
    </row>
    <row r="3641" spans="1:12" ht="12" customHeight="1" x14ac:dyDescent="0.35">
      <c r="B3641" s="451"/>
      <c r="C3641" s="451"/>
      <c r="D3641" s="454"/>
      <c r="E3641" s="451"/>
      <c r="F3641" s="451"/>
      <c r="G3641" s="106"/>
      <c r="H3641" s="77" t="s">
        <v>17</v>
      </c>
      <c r="I3641" s="94"/>
      <c r="J3641" s="79" t="s">
        <v>17</v>
      </c>
      <c r="K3641" s="85"/>
      <c r="L3641" s="79" t="s">
        <v>17</v>
      </c>
    </row>
    <row r="3642" spans="1:12" ht="12" customHeight="1" x14ac:dyDescent="0.35">
      <c r="B3642" s="80" t="s">
        <v>5</v>
      </c>
      <c r="C3642" s="81" t="s">
        <v>417</v>
      </c>
      <c r="D3642" s="82"/>
      <c r="E3642" s="82"/>
      <c r="F3642" s="82"/>
      <c r="G3642" s="82"/>
      <c r="H3642" s="82"/>
      <c r="I3642" s="83"/>
      <c r="J3642" s="83"/>
      <c r="K3642" s="83"/>
      <c r="L3642" s="83"/>
    </row>
    <row r="3643" spans="1:12" ht="12" customHeight="1" x14ac:dyDescent="0.35">
      <c r="A3643" s="134">
        <v>10130000</v>
      </c>
      <c r="B3643" s="84"/>
      <c r="C3643" s="85" t="s">
        <v>28</v>
      </c>
      <c r="D3643" s="84" t="s">
        <v>418</v>
      </c>
      <c r="E3643" s="84" t="str">
        <f>VLOOKUP(C3643,HSD!B:K,2,FALSE)</f>
        <v>OH</v>
      </c>
      <c r="F3643" s="128">
        <v>1.7999999999999999E-2</v>
      </c>
      <c r="G3643" s="87">
        <f>VLOOKUP(C3643,HSD!B:K,10,FALSE)</f>
        <v>120000</v>
      </c>
      <c r="H3643" s="87">
        <f>F3643*G3643</f>
        <v>2160</v>
      </c>
      <c r="I3643" s="87">
        <v>91500</v>
      </c>
      <c r="J3643" s="87">
        <f>F3643*I3643</f>
        <v>1646.9999999999998</v>
      </c>
      <c r="K3643" s="87">
        <v>91500</v>
      </c>
      <c r="L3643" s="87">
        <f>F3643*K3643</f>
        <v>1646.9999999999998</v>
      </c>
    </row>
    <row r="3644" spans="1:12" ht="12" customHeight="1" x14ac:dyDescent="0.35">
      <c r="A3644" s="134">
        <v>10121100</v>
      </c>
      <c r="B3644" s="84"/>
      <c r="C3644" s="85" t="s">
        <v>515</v>
      </c>
      <c r="D3644" s="84" t="s">
        <v>418</v>
      </c>
      <c r="E3644" s="84" t="str">
        <f>VLOOKUP(C3644,HSD!B:K,2,FALSE)</f>
        <v>OH</v>
      </c>
      <c r="F3644" s="128">
        <v>6.0000000000000001E-3</v>
      </c>
      <c r="G3644" s="87">
        <f>VLOOKUP(C3644,HSD!B:K,10,FALSE)</f>
        <v>130000</v>
      </c>
      <c r="H3644" s="87">
        <f>F3644*G3644</f>
        <v>780</v>
      </c>
      <c r="I3644" s="87"/>
      <c r="J3644" s="87"/>
      <c r="K3644" s="87"/>
      <c r="L3644" s="87"/>
    </row>
    <row r="3645" spans="1:12" ht="12" customHeight="1" x14ac:dyDescent="0.35">
      <c r="A3645" s="134">
        <v>10110000</v>
      </c>
      <c r="B3645" s="84"/>
      <c r="C3645" s="85" t="s">
        <v>30</v>
      </c>
      <c r="D3645" s="84" t="s">
        <v>418</v>
      </c>
      <c r="E3645" s="84" t="str">
        <f>VLOOKUP(C3645,HSD!B:K,2,FALSE)</f>
        <v>OH</v>
      </c>
      <c r="F3645" s="128">
        <v>2E-3</v>
      </c>
      <c r="G3645" s="87">
        <f>VLOOKUP(C3645,HSD!B:K,10,FALSE)</f>
        <v>150000</v>
      </c>
      <c r="H3645" s="87">
        <f>F3645*G3645</f>
        <v>300</v>
      </c>
      <c r="I3645" s="87">
        <v>92500</v>
      </c>
      <c r="J3645" s="87">
        <f>F3645*I3645</f>
        <v>185</v>
      </c>
      <c r="K3645" s="87">
        <v>92500</v>
      </c>
      <c r="L3645" s="87">
        <f>F3645*K3645</f>
        <v>185</v>
      </c>
    </row>
    <row r="3646" spans="1:12" ht="12" customHeight="1" x14ac:dyDescent="0.35">
      <c r="B3646" s="84"/>
      <c r="C3646" s="85"/>
      <c r="D3646" s="84"/>
      <c r="E3646" s="84"/>
      <c r="F3646" s="86"/>
      <c r="G3646" s="87"/>
      <c r="H3646" s="87"/>
      <c r="I3646" s="87"/>
      <c r="J3646" s="87"/>
      <c r="K3646" s="87"/>
      <c r="L3646" s="87"/>
    </row>
    <row r="3647" spans="1:12" ht="12" customHeight="1" x14ac:dyDescent="0.35">
      <c r="B3647" s="84"/>
      <c r="C3647" s="88"/>
      <c r="D3647" s="79"/>
      <c r="E3647" s="79"/>
      <c r="F3647" s="89" t="s">
        <v>421</v>
      </c>
      <c r="G3647" s="101"/>
      <c r="H3647" s="87">
        <f>SUM(H3643:H3646)</f>
        <v>3240</v>
      </c>
      <c r="I3647" s="101"/>
      <c r="J3647" s="87">
        <f>SUM(J3645:J3646)</f>
        <v>185</v>
      </c>
      <c r="K3647" s="101"/>
      <c r="L3647" s="87">
        <f>SUM(L3645:L3646)</f>
        <v>185</v>
      </c>
    </row>
    <row r="3648" spans="1:12" ht="12" customHeight="1" x14ac:dyDescent="0.35">
      <c r="B3648" s="84" t="s">
        <v>6</v>
      </c>
      <c r="C3648" s="88" t="s">
        <v>422</v>
      </c>
      <c r="D3648" s="79"/>
      <c r="E3648" s="79"/>
      <c r="F3648" s="90"/>
      <c r="G3648" s="84"/>
      <c r="H3648" s="87"/>
      <c r="I3648" s="84"/>
      <c r="J3648" s="87"/>
      <c r="K3648" s="84"/>
      <c r="L3648" s="87"/>
    </row>
    <row r="3649" spans="1:12" x14ac:dyDescent="0.35">
      <c r="A3649" s="134">
        <v>21603010</v>
      </c>
      <c r="B3649" s="84"/>
      <c r="C3649" s="85" t="s">
        <v>1844</v>
      </c>
      <c r="D3649" s="84" t="s">
        <v>418</v>
      </c>
      <c r="E3649" s="84" t="str">
        <f>VLOOKUP(C3649,HSD!B:K,2,FALSE)</f>
        <v>m2</v>
      </c>
      <c r="F3649" s="128">
        <v>8.82</v>
      </c>
      <c r="G3649" s="87">
        <f>VLOOKUP(C3649,HSD!B:K,10,FALSE)</f>
        <v>138750</v>
      </c>
      <c r="H3649" s="87">
        <f>F3649*G3649</f>
        <v>1223775</v>
      </c>
      <c r="I3649" s="87"/>
      <c r="J3649" s="87"/>
      <c r="K3649" s="87"/>
      <c r="L3649" s="87"/>
    </row>
    <row r="3650" spans="1:12" x14ac:dyDescent="0.35">
      <c r="B3650" s="84"/>
      <c r="C3650" s="85"/>
      <c r="D3650" s="84"/>
      <c r="E3650" s="84"/>
      <c r="F3650" s="128"/>
      <c r="G3650" s="87"/>
      <c r="H3650" s="87">
        <f>F3650*G3650</f>
        <v>0</v>
      </c>
      <c r="I3650" s="87"/>
      <c r="J3650" s="87"/>
      <c r="K3650" s="87"/>
      <c r="L3650" s="87"/>
    </row>
    <row r="3651" spans="1:12" ht="12" customHeight="1" x14ac:dyDescent="0.35">
      <c r="B3651" s="84"/>
      <c r="C3651" s="88"/>
      <c r="D3651" s="79"/>
      <c r="E3651" s="79"/>
      <c r="F3651" s="129" t="s">
        <v>423</v>
      </c>
      <c r="G3651" s="129"/>
      <c r="H3651" s="87">
        <f>SUM(H3649:H3650)</f>
        <v>1223775</v>
      </c>
      <c r="I3651" s="101"/>
      <c r="J3651" s="87" t="e">
        <f>SUM(#REF!)</f>
        <v>#REF!</v>
      </c>
      <c r="K3651" s="101"/>
      <c r="L3651" s="87" t="e">
        <f>SUM(#REF!)</f>
        <v>#REF!</v>
      </c>
    </row>
    <row r="3652" spans="1:12" ht="12" customHeight="1" x14ac:dyDescent="0.35">
      <c r="B3652" s="84" t="s">
        <v>7</v>
      </c>
      <c r="C3652" s="88" t="s">
        <v>424</v>
      </c>
      <c r="D3652" s="79"/>
      <c r="E3652" s="79"/>
      <c r="F3652" s="90"/>
      <c r="G3652" s="84"/>
      <c r="H3652" s="87"/>
      <c r="I3652" s="84"/>
      <c r="J3652" s="87"/>
      <c r="K3652" s="84"/>
      <c r="L3652" s="87"/>
    </row>
    <row r="3653" spans="1:12" ht="12" customHeight="1" x14ac:dyDescent="0.35">
      <c r="A3653" s="134">
        <v>31100009</v>
      </c>
      <c r="B3653" s="84"/>
      <c r="C3653" s="85" t="s">
        <v>490</v>
      </c>
      <c r="D3653" s="84" t="s">
        <v>418</v>
      </c>
      <c r="E3653" s="84" t="str">
        <f>VLOOKUP(C3653,HSD!B:K,2,FALSE)</f>
        <v>jam</v>
      </c>
      <c r="F3653" s="128">
        <f>0.006*2.2</f>
        <v>1.3200000000000002E-2</v>
      </c>
      <c r="G3653" s="87">
        <f>VLOOKUP(C3653,HSD!B:K,10,FALSE)</f>
        <v>630424.13</v>
      </c>
      <c r="H3653" s="87">
        <f>F3653*G3653</f>
        <v>8321.5985160000018</v>
      </c>
      <c r="I3653" s="87"/>
      <c r="J3653" s="87"/>
      <c r="K3653" s="87"/>
      <c r="L3653" s="87"/>
    </row>
    <row r="3654" spans="1:12" ht="12" customHeight="1" x14ac:dyDescent="0.35">
      <c r="B3654" s="84"/>
      <c r="C3654" s="85"/>
      <c r="D3654" s="84"/>
      <c r="E3654" s="84"/>
      <c r="F3654" s="128"/>
      <c r="G3654" s="87"/>
      <c r="H3654" s="87">
        <f>F3654*G3654</f>
        <v>0</v>
      </c>
      <c r="I3654" s="87"/>
      <c r="J3654" s="87"/>
      <c r="K3654" s="87"/>
      <c r="L3654" s="87"/>
    </row>
    <row r="3655" spans="1:12" ht="12" customHeight="1" x14ac:dyDescent="0.35">
      <c r="B3655" s="84"/>
      <c r="C3655" s="88"/>
      <c r="D3655" s="79"/>
      <c r="E3655" s="79"/>
      <c r="F3655" s="89" t="s">
        <v>425</v>
      </c>
      <c r="G3655" s="101"/>
      <c r="H3655" s="87">
        <f>SUM(H3653:H3654)</f>
        <v>8321.5985160000018</v>
      </c>
      <c r="I3655" s="101"/>
      <c r="J3655" s="87" t="e">
        <f>SUM(#REF!)</f>
        <v>#REF!</v>
      </c>
      <c r="K3655" s="101"/>
      <c r="L3655" s="87" t="e">
        <f>SUM(#REF!)</f>
        <v>#REF!</v>
      </c>
    </row>
    <row r="3656" spans="1:12" ht="12" customHeight="1" x14ac:dyDescent="0.35">
      <c r="B3656" s="84" t="s">
        <v>8</v>
      </c>
      <c r="C3656" s="103" t="s">
        <v>426</v>
      </c>
      <c r="D3656" s="104"/>
      <c r="E3656" s="104"/>
      <c r="F3656" s="104"/>
      <c r="G3656" s="105"/>
      <c r="H3656" s="87">
        <f>H3647+H3651+H3655</f>
        <v>1235336.598516</v>
      </c>
      <c r="I3656" s="105"/>
      <c r="J3656" s="87" t="e">
        <f>J3647+J3651+J3655</f>
        <v>#REF!</v>
      </c>
      <c r="K3656" s="105"/>
      <c r="L3656" s="87" t="e">
        <f>L3647+L3651+L3655</f>
        <v>#REF!</v>
      </c>
    </row>
    <row r="3657" spans="1:12" ht="12" customHeight="1" x14ac:dyDescent="0.35">
      <c r="B3657" s="84" t="s">
        <v>9</v>
      </c>
      <c r="C3657" s="455" t="s">
        <v>427</v>
      </c>
      <c r="D3657" s="455"/>
      <c r="E3657" s="455"/>
      <c r="F3657" s="95">
        <f>0</f>
        <v>0</v>
      </c>
      <c r="G3657" s="85" t="s">
        <v>428</v>
      </c>
      <c r="H3657" s="87">
        <f>H3656*F3657</f>
        <v>0</v>
      </c>
      <c r="I3657" s="85" t="s">
        <v>428</v>
      </c>
      <c r="J3657" s="87" t="e">
        <f>J3656*F3657</f>
        <v>#REF!</v>
      </c>
      <c r="K3657" s="85" t="s">
        <v>428</v>
      </c>
      <c r="L3657" s="87" t="e">
        <f>L3656*F3657</f>
        <v>#REF!</v>
      </c>
    </row>
    <row r="3658" spans="1:12" ht="12" customHeight="1" x14ac:dyDescent="0.35">
      <c r="B3658" s="84" t="s">
        <v>10</v>
      </c>
      <c r="C3658" s="103" t="s">
        <v>429</v>
      </c>
      <c r="D3658" s="104"/>
      <c r="E3658" s="104"/>
      <c r="F3658" s="104"/>
      <c r="G3658" s="105"/>
      <c r="H3658" s="96">
        <f>H3656+H3657</f>
        <v>1235336.598516</v>
      </c>
      <c r="I3658" s="97"/>
      <c r="J3658" s="96" t="e">
        <f>J3656+J3657</f>
        <v>#REF!</v>
      </c>
      <c r="K3658" s="97"/>
      <c r="L3658" s="96" t="e">
        <f>L3656+L3657</f>
        <v>#REF!</v>
      </c>
    </row>
    <row r="3659" spans="1:12" ht="14" customHeight="1" x14ac:dyDescent="0.35"/>
    <row r="3660" spans="1:12" ht="37" customHeight="1" x14ac:dyDescent="0.35">
      <c r="B3660" s="76" t="s">
        <v>877</v>
      </c>
      <c r="C3660" s="458" t="s">
        <v>878</v>
      </c>
      <c r="D3660" s="459"/>
      <c r="E3660" s="459"/>
      <c r="F3660" s="459"/>
      <c r="G3660" s="456"/>
      <c r="H3660" s="457"/>
      <c r="I3660" s="455" t="s">
        <v>3</v>
      </c>
      <c r="J3660" s="455"/>
      <c r="K3660" s="455" t="s">
        <v>4</v>
      </c>
      <c r="L3660" s="455"/>
    </row>
    <row r="3661" spans="1:12" ht="12" customHeight="1" x14ac:dyDescent="0.35">
      <c r="B3661" s="451" t="s">
        <v>409</v>
      </c>
      <c r="C3661" s="451" t="s">
        <v>410</v>
      </c>
      <c r="D3661" s="452" t="s">
        <v>411</v>
      </c>
      <c r="E3661" s="451" t="s">
        <v>412</v>
      </c>
      <c r="F3661" s="451" t="s">
        <v>413</v>
      </c>
      <c r="G3661" s="77" t="s">
        <v>414</v>
      </c>
      <c r="H3661" s="77" t="s">
        <v>415</v>
      </c>
      <c r="I3661" s="78" t="s">
        <v>414</v>
      </c>
      <c r="J3661" s="79" t="s">
        <v>415</v>
      </c>
      <c r="K3661" s="79" t="s">
        <v>414</v>
      </c>
      <c r="L3661" s="79" t="s">
        <v>415</v>
      </c>
    </row>
    <row r="3662" spans="1:12" ht="12" customHeight="1" x14ac:dyDescent="0.35">
      <c r="B3662" s="451"/>
      <c r="C3662" s="451"/>
      <c r="D3662" s="453"/>
      <c r="E3662" s="451"/>
      <c r="F3662" s="451"/>
      <c r="G3662" s="77" t="s">
        <v>17</v>
      </c>
      <c r="H3662" s="77" t="s">
        <v>416</v>
      </c>
      <c r="I3662" s="78" t="s">
        <v>17</v>
      </c>
      <c r="J3662" s="79" t="s">
        <v>416</v>
      </c>
      <c r="K3662" s="79" t="s">
        <v>17</v>
      </c>
      <c r="L3662" s="79" t="s">
        <v>416</v>
      </c>
    </row>
    <row r="3663" spans="1:12" ht="12" customHeight="1" x14ac:dyDescent="0.35">
      <c r="B3663" s="451"/>
      <c r="C3663" s="451"/>
      <c r="D3663" s="454"/>
      <c r="E3663" s="451"/>
      <c r="F3663" s="451"/>
      <c r="G3663" s="106"/>
      <c r="H3663" s="77" t="s">
        <v>17</v>
      </c>
      <c r="I3663" s="94"/>
      <c r="J3663" s="79" t="s">
        <v>17</v>
      </c>
      <c r="K3663" s="85"/>
      <c r="L3663" s="79" t="s">
        <v>17</v>
      </c>
    </row>
    <row r="3664" spans="1:12" ht="12" customHeight="1" x14ac:dyDescent="0.35">
      <c r="B3664" s="80" t="s">
        <v>5</v>
      </c>
      <c r="C3664" s="81" t="s">
        <v>417</v>
      </c>
      <c r="D3664" s="82"/>
      <c r="E3664" s="82"/>
      <c r="F3664" s="82"/>
      <c r="G3664" s="82"/>
      <c r="H3664" s="82"/>
      <c r="I3664" s="83"/>
      <c r="J3664" s="83"/>
      <c r="K3664" s="83"/>
      <c r="L3664" s="83"/>
    </row>
    <row r="3665" spans="1:12" ht="12" customHeight="1" x14ac:dyDescent="0.35">
      <c r="A3665" s="134">
        <v>10130000</v>
      </c>
      <c r="B3665" s="84"/>
      <c r="C3665" s="85" t="s">
        <v>28</v>
      </c>
      <c r="D3665" s="84" t="s">
        <v>418</v>
      </c>
      <c r="E3665" s="84" t="str">
        <f>VLOOKUP(C3665,HSD!B:K,2,FALSE)</f>
        <v>OH</v>
      </c>
      <c r="F3665" s="128">
        <v>0.2</v>
      </c>
      <c r="G3665" s="87">
        <f>VLOOKUP(C3665,HSD!B:K,10,FALSE)</f>
        <v>120000</v>
      </c>
      <c r="H3665" s="87">
        <f>F3665*G3665</f>
        <v>24000</v>
      </c>
      <c r="I3665" s="87">
        <v>91500</v>
      </c>
      <c r="J3665" s="87">
        <f>F3665*I3665</f>
        <v>18300</v>
      </c>
      <c r="K3665" s="87">
        <v>91500</v>
      </c>
      <c r="L3665" s="87">
        <f>F3665*K3665</f>
        <v>18300</v>
      </c>
    </row>
    <row r="3666" spans="1:12" ht="12" customHeight="1" x14ac:dyDescent="0.35">
      <c r="A3666" s="134">
        <v>10144000</v>
      </c>
      <c r="B3666" s="84"/>
      <c r="C3666" s="85" t="s">
        <v>436</v>
      </c>
      <c r="D3666" s="84" t="s">
        <v>418</v>
      </c>
      <c r="E3666" s="84" t="str">
        <f>VLOOKUP(C3666,HSD!B:K,2,FALSE)</f>
        <v>OH</v>
      </c>
      <c r="F3666" s="128">
        <v>0.1</v>
      </c>
      <c r="G3666" s="87">
        <f>VLOOKUP(C3666,HSD!B:K,10,FALSE)</f>
        <v>250000</v>
      </c>
      <c r="H3666" s="87">
        <f>F3666*G3666</f>
        <v>25000</v>
      </c>
      <c r="I3666" s="87"/>
      <c r="J3666" s="87"/>
      <c r="K3666" s="87"/>
      <c r="L3666" s="87"/>
    </row>
    <row r="3667" spans="1:12" ht="12" customHeight="1" x14ac:dyDescent="0.35">
      <c r="A3667" s="134">
        <v>10121100</v>
      </c>
      <c r="B3667" s="84"/>
      <c r="C3667" s="85" t="s">
        <v>515</v>
      </c>
      <c r="D3667" s="84" t="s">
        <v>418</v>
      </c>
      <c r="E3667" s="84" t="str">
        <f>VLOOKUP(C3667,HSD!B:K,2,FALSE)</f>
        <v>OH</v>
      </c>
      <c r="F3667" s="128">
        <v>0.1</v>
      </c>
      <c r="G3667" s="87">
        <f>VLOOKUP(C3667,HSD!B:K,10,FALSE)</f>
        <v>130000</v>
      </c>
      <c r="H3667" s="87">
        <f>F3667*G3667</f>
        <v>13000</v>
      </c>
      <c r="I3667" s="87"/>
      <c r="J3667" s="87"/>
      <c r="K3667" s="87"/>
      <c r="L3667" s="87"/>
    </row>
    <row r="3668" spans="1:12" ht="12" customHeight="1" x14ac:dyDescent="0.35">
      <c r="A3668" s="134">
        <v>10110000</v>
      </c>
      <c r="B3668" s="84"/>
      <c r="C3668" s="85" t="s">
        <v>30</v>
      </c>
      <c r="D3668" s="84" t="s">
        <v>418</v>
      </c>
      <c r="E3668" s="84" t="str">
        <f>VLOOKUP(C3668,HSD!B:K,2,FALSE)</f>
        <v>OH</v>
      </c>
      <c r="F3668" s="128">
        <v>0.02</v>
      </c>
      <c r="G3668" s="87">
        <f>VLOOKUP(C3668,HSD!B:K,10,FALSE)</f>
        <v>150000</v>
      </c>
      <c r="H3668" s="87">
        <f>F3668*G3668</f>
        <v>3000</v>
      </c>
      <c r="I3668" s="87">
        <v>92500</v>
      </c>
      <c r="J3668" s="87">
        <f>F3668*I3668</f>
        <v>1850</v>
      </c>
      <c r="K3668" s="87">
        <v>92500</v>
      </c>
      <c r="L3668" s="87">
        <f>F3668*K3668</f>
        <v>1850</v>
      </c>
    </row>
    <row r="3669" spans="1:12" ht="12" customHeight="1" x14ac:dyDescent="0.35">
      <c r="B3669" s="84"/>
      <c r="C3669" s="85"/>
      <c r="D3669" s="84"/>
      <c r="E3669" s="84"/>
      <c r="F3669" s="86"/>
      <c r="G3669" s="87"/>
      <c r="H3669" s="87"/>
      <c r="I3669" s="87"/>
      <c r="J3669" s="87"/>
      <c r="K3669" s="87"/>
      <c r="L3669" s="87"/>
    </row>
    <row r="3670" spans="1:12" ht="12" customHeight="1" x14ac:dyDescent="0.35">
      <c r="B3670" s="84"/>
      <c r="C3670" s="88"/>
      <c r="D3670" s="79"/>
      <c r="E3670" s="79"/>
      <c r="F3670" s="89" t="s">
        <v>421</v>
      </c>
      <c r="G3670" s="101"/>
      <c r="H3670" s="87">
        <f>SUM(H3665:H3669)</f>
        <v>65000</v>
      </c>
      <c r="I3670" s="101"/>
      <c r="J3670" s="87">
        <f>SUM(J3668:J3669)</f>
        <v>1850</v>
      </c>
      <c r="K3670" s="101"/>
      <c r="L3670" s="87">
        <f>SUM(L3668:L3669)</f>
        <v>1850</v>
      </c>
    </row>
    <row r="3671" spans="1:12" ht="12" customHeight="1" x14ac:dyDescent="0.35">
      <c r="B3671" s="84" t="s">
        <v>6</v>
      </c>
      <c r="C3671" s="88" t="s">
        <v>422</v>
      </c>
      <c r="D3671" s="79"/>
      <c r="E3671" s="79"/>
      <c r="F3671" s="90"/>
      <c r="G3671" s="84"/>
      <c r="H3671" s="87"/>
      <c r="I3671" s="84"/>
      <c r="J3671" s="87"/>
      <c r="K3671" s="84"/>
      <c r="L3671" s="87"/>
    </row>
    <row r="3672" spans="1:12" x14ac:dyDescent="0.35">
      <c r="A3672" s="134">
        <v>21501007</v>
      </c>
      <c r="B3672" s="84"/>
      <c r="C3672" s="85" t="s">
        <v>1881</v>
      </c>
      <c r="D3672" s="84" t="s">
        <v>418</v>
      </c>
      <c r="E3672" s="84" t="str">
        <f>VLOOKUP(C3672,HSD!B:K,2,FALSE)</f>
        <v>m'</v>
      </c>
      <c r="F3672" s="128">
        <v>1.2</v>
      </c>
      <c r="G3672" s="87">
        <f>VLOOKUP(C3672,HSD!B:K,10,FALSE)</f>
        <v>27750</v>
      </c>
      <c r="H3672" s="87">
        <f>F3672*G3672</f>
        <v>33300</v>
      </c>
      <c r="I3672" s="87"/>
      <c r="J3672" s="87"/>
      <c r="K3672" s="87"/>
      <c r="L3672" s="87"/>
    </row>
    <row r="3673" spans="1:12" x14ac:dyDescent="0.35">
      <c r="A3673" s="134">
        <v>21904003</v>
      </c>
      <c r="B3673" s="84"/>
      <c r="C3673" s="85" t="s">
        <v>1806</v>
      </c>
      <c r="D3673" s="84" t="s">
        <v>418</v>
      </c>
      <c r="E3673" s="84" t="str">
        <f>VLOOKUP(C3673,HSD!B:K,2,FALSE)</f>
        <v>btg</v>
      </c>
      <c r="F3673" s="128">
        <v>13.5</v>
      </c>
      <c r="G3673" s="87">
        <f>VLOOKUP(C3673,HSD!B:K,10,FALSE)</f>
        <v>15000</v>
      </c>
      <c r="H3673" s="87">
        <f>F3673*G3673</f>
        <v>202500</v>
      </c>
      <c r="I3673" s="87"/>
      <c r="J3673" s="87"/>
      <c r="K3673" s="87"/>
      <c r="L3673" s="87"/>
    </row>
    <row r="3674" spans="1:12" x14ac:dyDescent="0.35">
      <c r="A3674" s="134" t="s">
        <v>879</v>
      </c>
      <c r="B3674" s="84"/>
      <c r="C3674" s="85" t="s">
        <v>880</v>
      </c>
      <c r="D3674" s="84" t="s">
        <v>418</v>
      </c>
      <c r="E3674" s="84" t="str">
        <f>VLOOKUP(C3674,HSD!B:K,2,FALSE)</f>
        <v>kg</v>
      </c>
      <c r="F3674" s="128">
        <v>0.3</v>
      </c>
      <c r="G3674" s="87">
        <f>VLOOKUP(C3674,HSD!B:K,10,FALSE)</f>
        <v>86580</v>
      </c>
      <c r="H3674" s="87">
        <f>F3674*G3674</f>
        <v>25974</v>
      </c>
      <c r="I3674" s="87"/>
      <c r="J3674" s="87"/>
      <c r="K3674" s="87"/>
      <c r="L3674" s="87"/>
    </row>
    <row r="3675" spans="1:12" ht="39" x14ac:dyDescent="0.35">
      <c r="A3675" s="134">
        <v>91111025</v>
      </c>
      <c r="B3675" s="84"/>
      <c r="C3675" s="85" t="s">
        <v>1904</v>
      </c>
      <c r="D3675" s="84" t="s">
        <v>418</v>
      </c>
      <c r="E3675" s="84" t="str">
        <f>VLOOKUP(C3675,HSD!B:K,2,FALSE)</f>
        <v>m3</v>
      </c>
      <c r="F3675" s="128">
        <v>0.15</v>
      </c>
      <c r="G3675" s="87">
        <f>VLOOKUP(C3675,HSD!B:K,10,FALSE)</f>
        <v>1457546.6</v>
      </c>
      <c r="H3675" s="87">
        <f>F3675*G3675</f>
        <v>218631.99000000002</v>
      </c>
      <c r="I3675" s="87"/>
      <c r="J3675" s="87"/>
      <c r="K3675" s="87"/>
      <c r="L3675" s="87"/>
    </row>
    <row r="3676" spans="1:12" x14ac:dyDescent="0.35">
      <c r="B3676" s="84"/>
      <c r="C3676" s="85"/>
      <c r="D3676" s="84"/>
      <c r="E3676" s="84"/>
      <c r="F3676" s="128"/>
      <c r="G3676" s="87"/>
      <c r="H3676" s="87"/>
      <c r="I3676" s="87"/>
      <c r="J3676" s="87"/>
      <c r="K3676" s="87"/>
      <c r="L3676" s="87"/>
    </row>
    <row r="3677" spans="1:12" x14ac:dyDescent="0.35">
      <c r="B3677" s="84"/>
      <c r="C3677" s="85"/>
      <c r="D3677" s="84"/>
      <c r="E3677" s="84"/>
      <c r="F3677" s="128"/>
      <c r="G3677" s="87"/>
      <c r="H3677" s="87">
        <f>F3677*G3677</f>
        <v>0</v>
      </c>
      <c r="I3677" s="87"/>
      <c r="J3677" s="87"/>
      <c r="K3677" s="87"/>
      <c r="L3677" s="87"/>
    </row>
    <row r="3678" spans="1:12" ht="12" customHeight="1" x14ac:dyDescent="0.35">
      <c r="B3678" s="84"/>
      <c r="C3678" s="88"/>
      <c r="D3678" s="79"/>
      <c r="E3678" s="79"/>
      <c r="F3678" s="129" t="s">
        <v>423</v>
      </c>
      <c r="G3678" s="129"/>
      <c r="H3678" s="87">
        <f>SUM(H3672:H3677)</f>
        <v>480405.99</v>
      </c>
      <c r="I3678" s="101"/>
      <c r="J3678" s="87" t="e">
        <f>SUM(#REF!)</f>
        <v>#REF!</v>
      </c>
      <c r="K3678" s="101"/>
      <c r="L3678" s="87" t="e">
        <f>SUM(#REF!)</f>
        <v>#REF!</v>
      </c>
    </row>
    <row r="3679" spans="1:12" ht="12" customHeight="1" x14ac:dyDescent="0.35">
      <c r="B3679" s="84" t="s">
        <v>7</v>
      </c>
      <c r="C3679" s="88" t="s">
        <v>424</v>
      </c>
      <c r="D3679" s="79"/>
      <c r="E3679" s="79"/>
      <c r="F3679" s="90"/>
      <c r="G3679" s="84"/>
      <c r="H3679" s="87"/>
      <c r="I3679" s="84"/>
      <c r="J3679" s="87"/>
      <c r="K3679" s="84"/>
      <c r="L3679" s="87"/>
    </row>
    <row r="3680" spans="1:12" ht="12" customHeight="1" x14ac:dyDescent="0.35">
      <c r="B3680" s="84"/>
      <c r="C3680" s="85"/>
      <c r="D3680" s="84"/>
      <c r="E3680" s="84"/>
      <c r="F3680" s="128"/>
      <c r="G3680" s="87"/>
      <c r="H3680" s="87">
        <f>F3680*G3680</f>
        <v>0</v>
      </c>
      <c r="I3680" s="87"/>
      <c r="J3680" s="87"/>
      <c r="K3680" s="87"/>
      <c r="L3680" s="87"/>
    </row>
    <row r="3681" spans="1:12" ht="12" customHeight="1" x14ac:dyDescent="0.35">
      <c r="B3681" s="84"/>
      <c r="C3681" s="85"/>
      <c r="D3681" s="84"/>
      <c r="E3681" s="84"/>
      <c r="F3681" s="128"/>
      <c r="G3681" s="87"/>
      <c r="H3681" s="87">
        <f>F3681*G3681</f>
        <v>0</v>
      </c>
      <c r="I3681" s="87"/>
      <c r="J3681" s="87"/>
      <c r="K3681" s="87"/>
      <c r="L3681" s="87"/>
    </row>
    <row r="3682" spans="1:12" ht="12" customHeight="1" x14ac:dyDescent="0.35">
      <c r="B3682" s="84"/>
      <c r="C3682" s="88"/>
      <c r="D3682" s="79"/>
      <c r="E3682" s="79"/>
      <c r="F3682" s="89" t="s">
        <v>425</v>
      </c>
      <c r="G3682" s="101"/>
      <c r="H3682" s="87">
        <f>SUM(H3680:H3681)</f>
        <v>0</v>
      </c>
      <c r="I3682" s="101"/>
      <c r="J3682" s="87" t="e">
        <f>SUM(#REF!)</f>
        <v>#REF!</v>
      </c>
      <c r="K3682" s="101"/>
      <c r="L3682" s="87" t="e">
        <f>SUM(#REF!)</f>
        <v>#REF!</v>
      </c>
    </row>
    <row r="3683" spans="1:12" ht="12" customHeight="1" x14ac:dyDescent="0.35">
      <c r="B3683" s="84" t="s">
        <v>8</v>
      </c>
      <c r="C3683" s="103" t="s">
        <v>426</v>
      </c>
      <c r="D3683" s="104"/>
      <c r="E3683" s="104"/>
      <c r="F3683" s="104"/>
      <c r="G3683" s="105"/>
      <c r="H3683" s="87">
        <f>H3670+H3678+H3682</f>
        <v>545405.99</v>
      </c>
      <c r="I3683" s="105"/>
      <c r="J3683" s="87" t="e">
        <f>J3670+J3678+J3682</f>
        <v>#REF!</v>
      </c>
      <c r="K3683" s="105"/>
      <c r="L3683" s="87" t="e">
        <f>L3670+L3678+L3682</f>
        <v>#REF!</v>
      </c>
    </row>
    <row r="3684" spans="1:12" ht="12" customHeight="1" x14ac:dyDescent="0.35">
      <c r="B3684" s="84" t="s">
        <v>9</v>
      </c>
      <c r="C3684" s="455" t="s">
        <v>427</v>
      </c>
      <c r="D3684" s="455"/>
      <c r="E3684" s="455"/>
      <c r="F3684" s="95">
        <f>0</f>
        <v>0</v>
      </c>
      <c r="G3684" s="85" t="s">
        <v>428</v>
      </c>
      <c r="H3684" s="87">
        <f>H3683*F3684</f>
        <v>0</v>
      </c>
      <c r="I3684" s="85" t="s">
        <v>428</v>
      </c>
      <c r="J3684" s="87" t="e">
        <f>J3683*F3684</f>
        <v>#REF!</v>
      </c>
      <c r="K3684" s="85" t="s">
        <v>428</v>
      </c>
      <c r="L3684" s="87" t="e">
        <f>L3683*F3684</f>
        <v>#REF!</v>
      </c>
    </row>
    <row r="3685" spans="1:12" ht="12" customHeight="1" x14ac:dyDescent="0.35">
      <c r="B3685" s="84" t="s">
        <v>10</v>
      </c>
      <c r="C3685" s="103" t="s">
        <v>429</v>
      </c>
      <c r="D3685" s="104"/>
      <c r="E3685" s="104"/>
      <c r="F3685" s="104"/>
      <c r="G3685" s="105"/>
      <c r="H3685" s="96">
        <f>H3683+H3684</f>
        <v>545405.99</v>
      </c>
      <c r="I3685" s="97"/>
      <c r="J3685" s="96" t="e">
        <f>J3683+J3684</f>
        <v>#REF!</v>
      </c>
      <c r="K3685" s="97"/>
      <c r="L3685" s="96" t="e">
        <f>L3683+L3684</f>
        <v>#REF!</v>
      </c>
    </row>
    <row r="3686" spans="1:12" ht="14" customHeight="1" x14ac:dyDescent="0.35"/>
    <row r="3687" spans="1:12" ht="37" customHeight="1" x14ac:dyDescent="0.35">
      <c r="B3687" s="76" t="s">
        <v>881</v>
      </c>
      <c r="C3687" s="458" t="s">
        <v>882</v>
      </c>
      <c r="D3687" s="459"/>
      <c r="E3687" s="459"/>
      <c r="F3687" s="459"/>
      <c r="G3687" s="456"/>
      <c r="H3687" s="457"/>
      <c r="I3687" s="455" t="s">
        <v>3</v>
      </c>
      <c r="J3687" s="455"/>
      <c r="K3687" s="455" t="s">
        <v>4</v>
      </c>
      <c r="L3687" s="455"/>
    </row>
    <row r="3688" spans="1:12" ht="12" customHeight="1" x14ac:dyDescent="0.35">
      <c r="B3688" s="451" t="s">
        <v>409</v>
      </c>
      <c r="C3688" s="451" t="s">
        <v>410</v>
      </c>
      <c r="D3688" s="452" t="s">
        <v>411</v>
      </c>
      <c r="E3688" s="451" t="s">
        <v>412</v>
      </c>
      <c r="F3688" s="451" t="s">
        <v>413</v>
      </c>
      <c r="G3688" s="77" t="s">
        <v>414</v>
      </c>
      <c r="H3688" s="77" t="s">
        <v>415</v>
      </c>
      <c r="I3688" s="78" t="s">
        <v>414</v>
      </c>
      <c r="J3688" s="79" t="s">
        <v>415</v>
      </c>
      <c r="K3688" s="79" t="s">
        <v>414</v>
      </c>
      <c r="L3688" s="79" t="s">
        <v>415</v>
      </c>
    </row>
    <row r="3689" spans="1:12" ht="12" customHeight="1" x14ac:dyDescent="0.35">
      <c r="B3689" s="451"/>
      <c r="C3689" s="451"/>
      <c r="D3689" s="453"/>
      <c r="E3689" s="451"/>
      <c r="F3689" s="451"/>
      <c r="G3689" s="77" t="s">
        <v>17</v>
      </c>
      <c r="H3689" s="77" t="s">
        <v>416</v>
      </c>
      <c r="I3689" s="78" t="s">
        <v>17</v>
      </c>
      <c r="J3689" s="79" t="s">
        <v>416</v>
      </c>
      <c r="K3689" s="79" t="s">
        <v>17</v>
      </c>
      <c r="L3689" s="79" t="s">
        <v>416</v>
      </c>
    </row>
    <row r="3690" spans="1:12" ht="12" customHeight="1" x14ac:dyDescent="0.35">
      <c r="B3690" s="451"/>
      <c r="C3690" s="451"/>
      <c r="D3690" s="454"/>
      <c r="E3690" s="451"/>
      <c r="F3690" s="451"/>
      <c r="G3690" s="106"/>
      <c r="H3690" s="77" t="s">
        <v>17</v>
      </c>
      <c r="I3690" s="94"/>
      <c r="J3690" s="79" t="s">
        <v>17</v>
      </c>
      <c r="K3690" s="85"/>
      <c r="L3690" s="79" t="s">
        <v>17</v>
      </c>
    </row>
    <row r="3691" spans="1:12" ht="12" customHeight="1" x14ac:dyDescent="0.35">
      <c r="B3691" s="80" t="s">
        <v>5</v>
      </c>
      <c r="C3691" s="81" t="s">
        <v>417</v>
      </c>
      <c r="D3691" s="82"/>
      <c r="E3691" s="82"/>
      <c r="F3691" s="82"/>
      <c r="G3691" s="82"/>
      <c r="H3691" s="82"/>
      <c r="I3691" s="83"/>
      <c r="J3691" s="83"/>
      <c r="K3691" s="83"/>
      <c r="L3691" s="83"/>
    </row>
    <row r="3692" spans="1:12" ht="12" customHeight="1" x14ac:dyDescent="0.35">
      <c r="A3692" s="134">
        <v>10130000</v>
      </c>
      <c r="B3692" s="84"/>
      <c r="C3692" s="85" t="s">
        <v>28</v>
      </c>
      <c r="D3692" s="84" t="s">
        <v>418</v>
      </c>
      <c r="E3692" s="84" t="str">
        <f>VLOOKUP(C3692,HSD!B:K,2,FALSE)</f>
        <v>OH</v>
      </c>
      <c r="F3692" s="128">
        <v>0.18</v>
      </c>
      <c r="G3692" s="87">
        <f>VLOOKUP(C3692,HSD!B:K,10,FALSE)</f>
        <v>120000</v>
      </c>
      <c r="H3692" s="87">
        <f>F3692*G3692</f>
        <v>21600</v>
      </c>
      <c r="I3692" s="87">
        <v>91500</v>
      </c>
      <c r="J3692" s="87">
        <f>F3692*I3692</f>
        <v>16470</v>
      </c>
      <c r="K3692" s="87">
        <v>91500</v>
      </c>
      <c r="L3692" s="87">
        <f>F3692*K3692</f>
        <v>16470</v>
      </c>
    </row>
    <row r="3693" spans="1:12" ht="12" customHeight="1" x14ac:dyDescent="0.35">
      <c r="A3693" s="134">
        <v>10144000</v>
      </c>
      <c r="B3693" s="84"/>
      <c r="C3693" s="85" t="s">
        <v>436</v>
      </c>
      <c r="D3693" s="84" t="s">
        <v>418</v>
      </c>
      <c r="E3693" s="84" t="str">
        <f>VLOOKUP(C3693,HSD!B:K,2,FALSE)</f>
        <v>OH</v>
      </c>
      <c r="F3693" s="128">
        <v>0.1</v>
      </c>
      <c r="G3693" s="87">
        <f>VLOOKUP(C3693,HSD!B:K,10,FALSE)</f>
        <v>250000</v>
      </c>
      <c r="H3693" s="87">
        <f>F3693*G3693</f>
        <v>25000</v>
      </c>
      <c r="I3693" s="87"/>
      <c r="J3693" s="87"/>
      <c r="K3693" s="87"/>
      <c r="L3693" s="87"/>
    </row>
    <row r="3694" spans="1:12" ht="12" customHeight="1" x14ac:dyDescent="0.35">
      <c r="A3694" s="134">
        <v>10121100</v>
      </c>
      <c r="B3694" s="84"/>
      <c r="C3694" s="85" t="s">
        <v>515</v>
      </c>
      <c r="D3694" s="84" t="s">
        <v>418</v>
      </c>
      <c r="E3694" s="84" t="str">
        <f>VLOOKUP(C3694,HSD!B:K,2,FALSE)</f>
        <v>OH</v>
      </c>
      <c r="F3694" s="128">
        <v>0.08</v>
      </c>
      <c r="G3694" s="87">
        <f>VLOOKUP(C3694,HSD!B:K,10,FALSE)</f>
        <v>130000</v>
      </c>
      <c r="H3694" s="87">
        <f>F3694*G3694</f>
        <v>10400</v>
      </c>
      <c r="I3694" s="87"/>
      <c r="J3694" s="87"/>
      <c r="K3694" s="87"/>
      <c r="L3694" s="87"/>
    </row>
    <row r="3695" spans="1:12" ht="12" customHeight="1" x14ac:dyDescent="0.35">
      <c r="A3695" s="134">
        <v>10110000</v>
      </c>
      <c r="B3695" s="84"/>
      <c r="C3695" s="85" t="s">
        <v>30</v>
      </c>
      <c r="D3695" s="84" t="s">
        <v>418</v>
      </c>
      <c r="E3695" s="84" t="str">
        <f>VLOOKUP(C3695,HSD!B:K,2,FALSE)</f>
        <v>OH</v>
      </c>
      <c r="F3695" s="128">
        <v>1.7999999999999999E-2</v>
      </c>
      <c r="G3695" s="87">
        <f>VLOOKUP(C3695,HSD!B:K,10,FALSE)</f>
        <v>150000</v>
      </c>
      <c r="H3695" s="87">
        <f>F3695*G3695</f>
        <v>2700</v>
      </c>
      <c r="I3695" s="87">
        <v>92500</v>
      </c>
      <c r="J3695" s="87">
        <f>F3695*I3695</f>
        <v>1664.9999999999998</v>
      </c>
      <c r="K3695" s="87">
        <v>92500</v>
      </c>
      <c r="L3695" s="87">
        <f>F3695*K3695</f>
        <v>1664.9999999999998</v>
      </c>
    </row>
    <row r="3696" spans="1:12" ht="12" customHeight="1" x14ac:dyDescent="0.35">
      <c r="B3696" s="84"/>
      <c r="C3696" s="85"/>
      <c r="D3696" s="84"/>
      <c r="E3696" s="84"/>
      <c r="F3696" s="86"/>
      <c r="G3696" s="87"/>
      <c r="H3696" s="87"/>
      <c r="I3696" s="87"/>
      <c r="J3696" s="87"/>
      <c r="K3696" s="87"/>
      <c r="L3696" s="87"/>
    </row>
    <row r="3697" spans="1:12" ht="12" customHeight="1" x14ac:dyDescent="0.35">
      <c r="B3697" s="84"/>
      <c r="C3697" s="88"/>
      <c r="D3697" s="79"/>
      <c r="E3697" s="79"/>
      <c r="F3697" s="89" t="s">
        <v>421</v>
      </c>
      <c r="G3697" s="101"/>
      <c r="H3697" s="87">
        <f>SUM(H3692:H3696)</f>
        <v>59700</v>
      </c>
      <c r="I3697" s="101"/>
      <c r="J3697" s="87">
        <f>SUM(J3695:J3696)</f>
        <v>1664.9999999999998</v>
      </c>
      <c r="K3697" s="101"/>
      <c r="L3697" s="87">
        <f>SUM(L3695:L3696)</f>
        <v>1664.9999999999998</v>
      </c>
    </row>
    <row r="3698" spans="1:12" ht="12" customHeight="1" x14ac:dyDescent="0.35">
      <c r="B3698" s="84" t="s">
        <v>6</v>
      </c>
      <c r="C3698" s="88" t="s">
        <v>422</v>
      </c>
      <c r="D3698" s="79"/>
      <c r="E3698" s="79"/>
      <c r="F3698" s="90"/>
      <c r="G3698" s="84"/>
      <c r="H3698" s="87"/>
      <c r="I3698" s="84"/>
      <c r="J3698" s="87"/>
      <c r="K3698" s="84"/>
      <c r="L3698" s="87"/>
    </row>
    <row r="3699" spans="1:12" x14ac:dyDescent="0.35">
      <c r="A3699" s="134">
        <v>21501007</v>
      </c>
      <c r="B3699" s="84"/>
      <c r="C3699" s="85" t="s">
        <v>1881</v>
      </c>
      <c r="D3699" s="84" t="s">
        <v>418</v>
      </c>
      <c r="E3699" s="84" t="str">
        <f>VLOOKUP(C3699,HSD!B:K,2,FALSE)</f>
        <v>m'</v>
      </c>
      <c r="F3699" s="128">
        <v>1.2</v>
      </c>
      <c r="G3699" s="87">
        <f>VLOOKUP(C3699,HSD!B:K,10,FALSE)</f>
        <v>27750</v>
      </c>
      <c r="H3699" s="87">
        <f>F3699*G3699</f>
        <v>33300</v>
      </c>
      <c r="I3699" s="87"/>
      <c r="J3699" s="87"/>
      <c r="K3699" s="87"/>
      <c r="L3699" s="87"/>
    </row>
    <row r="3700" spans="1:12" x14ac:dyDescent="0.35">
      <c r="A3700" s="134">
        <v>21401200</v>
      </c>
      <c r="B3700" s="84"/>
      <c r="C3700" s="85" t="s">
        <v>1873</v>
      </c>
      <c r="D3700" s="84" t="s">
        <v>418</v>
      </c>
      <c r="E3700" s="84" t="str">
        <f>VLOOKUP(C3700,HSD!B:K,2,FALSE)</f>
        <v>m3</v>
      </c>
      <c r="F3700" s="128">
        <v>3.5000000000000003E-2</v>
      </c>
      <c r="G3700" s="87">
        <f>VLOOKUP(C3700,HSD!B:K,10,FALSE)</f>
        <v>3885000</v>
      </c>
      <c r="H3700" s="87">
        <f>F3700*G3700</f>
        <v>135975</v>
      </c>
      <c r="I3700" s="87"/>
      <c r="J3700" s="87"/>
      <c r="K3700" s="87"/>
      <c r="L3700" s="87"/>
    </row>
    <row r="3701" spans="1:12" x14ac:dyDescent="0.35">
      <c r="A3701" s="134">
        <v>21911024</v>
      </c>
      <c r="B3701" s="84"/>
      <c r="C3701" s="85" t="s">
        <v>1875</v>
      </c>
      <c r="D3701" s="84" t="s">
        <v>418</v>
      </c>
      <c r="E3701" s="84" t="str">
        <f>VLOOKUP(C3701,HSD!B:K,2,FALSE)</f>
        <v>buah</v>
      </c>
      <c r="F3701" s="128">
        <v>0.3</v>
      </c>
      <c r="G3701" s="87">
        <f>VLOOKUP(C3701,HSD!B:K,10,FALSE)</f>
        <v>1500000</v>
      </c>
      <c r="H3701" s="87">
        <f>F3701*G3701</f>
        <v>450000</v>
      </c>
      <c r="I3701" s="87"/>
      <c r="J3701" s="87"/>
      <c r="K3701" s="87"/>
      <c r="L3701" s="87"/>
    </row>
    <row r="3702" spans="1:12" x14ac:dyDescent="0.35">
      <c r="A3702" s="134">
        <v>21911033</v>
      </c>
      <c r="B3702" s="84"/>
      <c r="C3702" s="85" t="s">
        <v>1874</v>
      </c>
      <c r="D3702" s="84" t="s">
        <v>418</v>
      </c>
      <c r="E3702" s="84" t="str">
        <f>VLOOKUP(C3702,HSD!B:K,2,FALSE)</f>
        <v>kg</v>
      </c>
      <c r="F3702" s="128">
        <v>0.12</v>
      </c>
      <c r="G3702" s="87">
        <f>VLOOKUP(C3702,HSD!B:K,10,FALSE)</f>
        <v>18426</v>
      </c>
      <c r="H3702" s="87">
        <f>F3702*G3702</f>
        <v>2211.12</v>
      </c>
      <c r="I3702" s="87"/>
      <c r="J3702" s="87"/>
      <c r="K3702" s="87"/>
      <c r="L3702" s="87"/>
    </row>
    <row r="3703" spans="1:12" ht="39" x14ac:dyDescent="0.35">
      <c r="A3703" s="134">
        <v>91111025</v>
      </c>
      <c r="B3703" s="84"/>
      <c r="C3703" s="85" t="s">
        <v>1904</v>
      </c>
      <c r="D3703" s="84" t="s">
        <v>418</v>
      </c>
      <c r="E3703" s="84" t="str">
        <f>VLOOKUP(C3703,HSD!B:K,2,FALSE)</f>
        <v>m3</v>
      </c>
      <c r="F3703" s="128">
        <v>0.15</v>
      </c>
      <c r="G3703" s="87">
        <f>VLOOKUP(C3703,HSD!B:K,10,FALSE)</f>
        <v>1457546.6</v>
      </c>
      <c r="H3703" s="87">
        <f>F3703*G3703</f>
        <v>218631.99000000002</v>
      </c>
      <c r="I3703" s="87"/>
      <c r="J3703" s="87"/>
      <c r="K3703" s="87"/>
      <c r="L3703" s="87"/>
    </row>
    <row r="3704" spans="1:12" x14ac:dyDescent="0.35">
      <c r="B3704" s="84"/>
      <c r="C3704" s="85"/>
      <c r="D3704" s="84"/>
      <c r="E3704" s="84"/>
      <c r="F3704" s="128"/>
      <c r="G3704" s="87"/>
      <c r="H3704" s="87"/>
      <c r="I3704" s="87"/>
      <c r="J3704" s="87"/>
      <c r="K3704" s="87"/>
      <c r="L3704" s="87"/>
    </row>
    <row r="3705" spans="1:12" x14ac:dyDescent="0.35">
      <c r="B3705" s="84"/>
      <c r="C3705" s="85"/>
      <c r="D3705" s="84"/>
      <c r="E3705" s="84"/>
      <c r="F3705" s="128"/>
      <c r="G3705" s="87"/>
      <c r="H3705" s="87">
        <f>F3705*G3705</f>
        <v>0</v>
      </c>
      <c r="I3705" s="87"/>
      <c r="J3705" s="87"/>
      <c r="K3705" s="87"/>
      <c r="L3705" s="87"/>
    </row>
    <row r="3706" spans="1:12" ht="12" customHeight="1" x14ac:dyDescent="0.35">
      <c r="B3706" s="84"/>
      <c r="C3706" s="88"/>
      <c r="D3706" s="79"/>
      <c r="E3706" s="79"/>
      <c r="F3706" s="129" t="s">
        <v>423</v>
      </c>
      <c r="G3706" s="129"/>
      <c r="H3706" s="87">
        <f>SUM(H3699:H3705)</f>
        <v>840118.11</v>
      </c>
      <c r="I3706" s="101"/>
      <c r="J3706" s="87" t="e">
        <f>SUM(#REF!)</f>
        <v>#REF!</v>
      </c>
      <c r="K3706" s="101"/>
      <c r="L3706" s="87" t="e">
        <f>SUM(#REF!)</f>
        <v>#REF!</v>
      </c>
    </row>
    <row r="3707" spans="1:12" ht="12" customHeight="1" x14ac:dyDescent="0.35">
      <c r="B3707" s="84" t="s">
        <v>7</v>
      </c>
      <c r="C3707" s="88" t="s">
        <v>424</v>
      </c>
      <c r="D3707" s="79"/>
      <c r="E3707" s="79"/>
      <c r="F3707" s="90"/>
      <c r="G3707" s="84"/>
      <c r="H3707" s="87"/>
      <c r="I3707" s="84"/>
      <c r="J3707" s="87"/>
      <c r="K3707" s="84"/>
      <c r="L3707" s="87"/>
    </row>
    <row r="3708" spans="1:12" ht="12" customHeight="1" x14ac:dyDescent="0.35">
      <c r="B3708" s="84"/>
      <c r="C3708" s="85"/>
      <c r="D3708" s="84"/>
      <c r="E3708" s="84"/>
      <c r="F3708" s="128"/>
      <c r="G3708" s="87"/>
      <c r="H3708" s="87">
        <f>F3708*G3708</f>
        <v>0</v>
      </c>
      <c r="I3708" s="87"/>
      <c r="J3708" s="87"/>
      <c r="K3708" s="87"/>
      <c r="L3708" s="87"/>
    </row>
    <row r="3709" spans="1:12" ht="12" customHeight="1" x14ac:dyDescent="0.35">
      <c r="B3709" s="84"/>
      <c r="C3709" s="85"/>
      <c r="D3709" s="84"/>
      <c r="E3709" s="84"/>
      <c r="F3709" s="128"/>
      <c r="G3709" s="87"/>
      <c r="H3709" s="87">
        <f>F3709*G3709</f>
        <v>0</v>
      </c>
      <c r="I3709" s="87"/>
      <c r="J3709" s="87"/>
      <c r="K3709" s="87"/>
      <c r="L3709" s="87"/>
    </row>
    <row r="3710" spans="1:12" ht="12" customHeight="1" x14ac:dyDescent="0.35">
      <c r="B3710" s="84"/>
      <c r="C3710" s="88"/>
      <c r="D3710" s="79"/>
      <c r="E3710" s="79"/>
      <c r="F3710" s="89" t="s">
        <v>425</v>
      </c>
      <c r="G3710" s="101"/>
      <c r="H3710" s="87">
        <f>SUM(H3708:H3709)</f>
        <v>0</v>
      </c>
      <c r="I3710" s="101"/>
      <c r="J3710" s="87" t="e">
        <f>SUM(#REF!)</f>
        <v>#REF!</v>
      </c>
      <c r="K3710" s="101"/>
      <c r="L3710" s="87" t="e">
        <f>SUM(#REF!)</f>
        <v>#REF!</v>
      </c>
    </row>
    <row r="3711" spans="1:12" ht="12" customHeight="1" x14ac:dyDescent="0.35">
      <c r="B3711" s="84" t="s">
        <v>8</v>
      </c>
      <c r="C3711" s="103" t="s">
        <v>426</v>
      </c>
      <c r="D3711" s="104"/>
      <c r="E3711" s="104"/>
      <c r="F3711" s="104"/>
      <c r="G3711" s="105"/>
      <c r="H3711" s="87">
        <f>H3697+H3706+H3710</f>
        <v>899818.11</v>
      </c>
      <c r="I3711" s="105"/>
      <c r="J3711" s="87" t="e">
        <f>J3697+J3706+J3710</f>
        <v>#REF!</v>
      </c>
      <c r="K3711" s="105"/>
      <c r="L3711" s="87" t="e">
        <f>L3697+L3706+L3710</f>
        <v>#REF!</v>
      </c>
    </row>
    <row r="3712" spans="1:12" ht="12" customHeight="1" x14ac:dyDescent="0.35">
      <c r="B3712" s="84" t="s">
        <v>9</v>
      </c>
      <c r="C3712" s="455" t="s">
        <v>427</v>
      </c>
      <c r="D3712" s="455"/>
      <c r="E3712" s="455"/>
      <c r="F3712" s="95">
        <f>0</f>
        <v>0</v>
      </c>
      <c r="G3712" s="85" t="s">
        <v>428</v>
      </c>
      <c r="H3712" s="87">
        <f>H3711*F3712</f>
        <v>0</v>
      </c>
      <c r="I3712" s="85" t="s">
        <v>428</v>
      </c>
      <c r="J3712" s="87" t="e">
        <f>J3711*F3712</f>
        <v>#REF!</v>
      </c>
      <c r="K3712" s="85" t="s">
        <v>428</v>
      </c>
      <c r="L3712" s="87" t="e">
        <f>L3711*F3712</f>
        <v>#REF!</v>
      </c>
    </row>
    <row r="3713" spans="2:12" ht="12" customHeight="1" x14ac:dyDescent="0.35">
      <c r="B3713" s="84" t="s">
        <v>10</v>
      </c>
      <c r="C3713" s="103" t="s">
        <v>429</v>
      </c>
      <c r="D3713" s="104"/>
      <c r="E3713" s="104"/>
      <c r="F3713" s="104"/>
      <c r="G3713" s="105"/>
      <c r="H3713" s="96">
        <f>H3711+H3712</f>
        <v>899818.11</v>
      </c>
      <c r="I3713" s="97"/>
      <c r="J3713" s="96" t="e">
        <f>J3711+J3712</f>
        <v>#REF!</v>
      </c>
      <c r="K3713" s="97"/>
      <c r="L3713" s="96" t="e">
        <f>L3711+L3712</f>
        <v>#REF!</v>
      </c>
    </row>
    <row r="3714" spans="2:12" ht="14" customHeight="1" x14ac:dyDescent="0.35"/>
    <row r="3715" spans="2:12" ht="37" customHeight="1" x14ac:dyDescent="0.35">
      <c r="B3715" s="76" t="s">
        <v>884</v>
      </c>
      <c r="C3715" s="458" t="s">
        <v>885</v>
      </c>
      <c r="D3715" s="459"/>
      <c r="E3715" s="459"/>
      <c r="F3715" s="459"/>
      <c r="G3715" s="456"/>
      <c r="H3715" s="457"/>
      <c r="I3715" s="455" t="s">
        <v>3</v>
      </c>
      <c r="J3715" s="455"/>
      <c r="K3715" s="455" t="s">
        <v>4</v>
      </c>
      <c r="L3715" s="455"/>
    </row>
    <row r="3716" spans="2:12" ht="12" customHeight="1" x14ac:dyDescent="0.35">
      <c r="B3716" s="451" t="s">
        <v>409</v>
      </c>
      <c r="C3716" s="451" t="s">
        <v>410</v>
      </c>
      <c r="D3716" s="452" t="s">
        <v>411</v>
      </c>
      <c r="E3716" s="451" t="s">
        <v>412</v>
      </c>
      <c r="F3716" s="451" t="s">
        <v>413</v>
      </c>
      <c r="G3716" s="77" t="s">
        <v>414</v>
      </c>
      <c r="H3716" s="77" t="s">
        <v>415</v>
      </c>
      <c r="I3716" s="78" t="s">
        <v>414</v>
      </c>
      <c r="J3716" s="79" t="s">
        <v>415</v>
      </c>
      <c r="K3716" s="79" t="s">
        <v>414</v>
      </c>
      <c r="L3716" s="79" t="s">
        <v>415</v>
      </c>
    </row>
    <row r="3717" spans="2:12" ht="12" customHeight="1" x14ac:dyDescent="0.35">
      <c r="B3717" s="451"/>
      <c r="C3717" s="451"/>
      <c r="D3717" s="453"/>
      <c r="E3717" s="451"/>
      <c r="F3717" s="451"/>
      <c r="G3717" s="77" t="s">
        <v>17</v>
      </c>
      <c r="H3717" s="77" t="s">
        <v>416</v>
      </c>
      <c r="I3717" s="78" t="s">
        <v>17</v>
      </c>
      <c r="J3717" s="79" t="s">
        <v>416</v>
      </c>
      <c r="K3717" s="79" t="s">
        <v>17</v>
      </c>
      <c r="L3717" s="79" t="s">
        <v>416</v>
      </c>
    </row>
    <row r="3718" spans="2:12" ht="12" customHeight="1" x14ac:dyDescent="0.35">
      <c r="B3718" s="451"/>
      <c r="C3718" s="451"/>
      <c r="D3718" s="454"/>
      <c r="E3718" s="451"/>
      <c r="F3718" s="451"/>
      <c r="G3718" s="106"/>
      <c r="H3718" s="77" t="s">
        <v>17</v>
      </c>
      <c r="I3718" s="94"/>
      <c r="J3718" s="79" t="s">
        <v>17</v>
      </c>
      <c r="K3718" s="85"/>
      <c r="L3718" s="79" t="s">
        <v>17</v>
      </c>
    </row>
    <row r="3719" spans="2:12" ht="12" customHeight="1" x14ac:dyDescent="0.35">
      <c r="B3719" s="80" t="s">
        <v>5</v>
      </c>
      <c r="C3719" s="81" t="s">
        <v>417</v>
      </c>
      <c r="D3719" s="82"/>
      <c r="E3719" s="82"/>
      <c r="F3719" s="82"/>
      <c r="G3719" s="82"/>
      <c r="H3719" s="82"/>
      <c r="I3719" s="83"/>
      <c r="J3719" s="83"/>
      <c r="K3719" s="83"/>
      <c r="L3719" s="83"/>
    </row>
    <row r="3720" spans="2:12" ht="12" customHeight="1" x14ac:dyDescent="0.35">
      <c r="B3720" s="84"/>
      <c r="C3720" s="85" t="s">
        <v>886</v>
      </c>
      <c r="D3720" s="84" t="s">
        <v>418</v>
      </c>
      <c r="E3720" s="84" t="s">
        <v>888</v>
      </c>
      <c r="F3720" s="128"/>
      <c r="G3720" s="87"/>
      <c r="H3720" s="87">
        <f>F3720*G3720</f>
        <v>0</v>
      </c>
      <c r="I3720" s="87">
        <v>91500</v>
      </c>
      <c r="J3720" s="87">
        <f>F3720*I3720</f>
        <v>0</v>
      </c>
      <c r="K3720" s="87">
        <v>91500</v>
      </c>
      <c r="L3720" s="87">
        <f>F3720*K3720</f>
        <v>0</v>
      </c>
    </row>
    <row r="3721" spans="2:12" ht="12" customHeight="1" x14ac:dyDescent="0.35">
      <c r="B3721" s="84"/>
      <c r="C3721" s="85" t="s">
        <v>887</v>
      </c>
      <c r="D3721" s="84" t="s">
        <v>418</v>
      </c>
      <c r="E3721" s="84" t="s">
        <v>888</v>
      </c>
      <c r="F3721" s="128"/>
      <c r="G3721" s="87"/>
      <c r="H3721" s="87">
        <f>F3721*G3721</f>
        <v>0</v>
      </c>
      <c r="I3721" s="87"/>
      <c r="J3721" s="87"/>
      <c r="K3721" s="87"/>
      <c r="L3721" s="87"/>
    </row>
    <row r="3722" spans="2:12" ht="12" customHeight="1" x14ac:dyDescent="0.35">
      <c r="B3722" s="84"/>
      <c r="C3722" s="85"/>
      <c r="D3722" s="84"/>
      <c r="E3722" s="84"/>
      <c r="F3722" s="86"/>
      <c r="G3722" s="87"/>
      <c r="H3722" s="87"/>
      <c r="I3722" s="87"/>
      <c r="J3722" s="87"/>
      <c r="K3722" s="87"/>
      <c r="L3722" s="87"/>
    </row>
    <row r="3723" spans="2:12" ht="12" customHeight="1" x14ac:dyDescent="0.35">
      <c r="B3723" s="84"/>
      <c r="C3723" s="88"/>
      <c r="D3723" s="79"/>
      <c r="E3723" s="79"/>
      <c r="F3723" s="89" t="s">
        <v>421</v>
      </c>
      <c r="G3723" s="101"/>
      <c r="H3723" s="87">
        <f>SUM(H3720:H3722)</f>
        <v>0</v>
      </c>
      <c r="I3723" s="101"/>
      <c r="J3723" s="87">
        <f>SUM(J3722:J3722)</f>
        <v>0</v>
      </c>
      <c r="K3723" s="101"/>
      <c r="L3723" s="87">
        <f>SUM(L3722:L3722)</f>
        <v>0</v>
      </c>
    </row>
    <row r="3724" spans="2:12" ht="12" customHeight="1" x14ac:dyDescent="0.35">
      <c r="B3724" s="84" t="s">
        <v>6</v>
      </c>
      <c r="C3724" s="88" t="s">
        <v>889</v>
      </c>
      <c r="D3724" s="79"/>
      <c r="E3724" s="79"/>
      <c r="F3724" s="90"/>
      <c r="G3724" s="84"/>
      <c r="H3724" s="87"/>
      <c r="I3724" s="84"/>
      <c r="J3724" s="87"/>
      <c r="K3724" s="84"/>
      <c r="L3724" s="87"/>
    </row>
    <row r="3725" spans="2:12" x14ac:dyDescent="0.35">
      <c r="B3725" s="84"/>
      <c r="C3725" s="85" t="s">
        <v>890</v>
      </c>
      <c r="D3725" s="84" t="s">
        <v>418</v>
      </c>
      <c r="E3725" s="84" t="s">
        <v>713</v>
      </c>
      <c r="F3725" s="128">
        <v>12</v>
      </c>
      <c r="G3725" s="87"/>
      <c r="H3725" s="87">
        <f>F3725*G3725</f>
        <v>0</v>
      </c>
      <c r="I3725" s="87"/>
      <c r="J3725" s="87"/>
      <c r="K3725" s="87"/>
      <c r="L3725" s="87"/>
    </row>
    <row r="3726" spans="2:12" x14ac:dyDescent="0.35">
      <c r="B3726" s="84"/>
      <c r="C3726" s="85" t="s">
        <v>891</v>
      </c>
      <c r="D3726" s="84" t="s">
        <v>418</v>
      </c>
      <c r="E3726" s="84" t="s">
        <v>713</v>
      </c>
      <c r="F3726" s="128">
        <v>9</v>
      </c>
      <c r="G3726" s="87"/>
      <c r="H3726" s="87">
        <f>F3726*G3726</f>
        <v>0</v>
      </c>
      <c r="I3726" s="87"/>
      <c r="J3726" s="87"/>
      <c r="K3726" s="87"/>
      <c r="L3726" s="87"/>
    </row>
    <row r="3727" spans="2:12" x14ac:dyDescent="0.35">
      <c r="B3727" s="84"/>
      <c r="C3727" s="85" t="s">
        <v>892</v>
      </c>
      <c r="D3727" s="84" t="s">
        <v>418</v>
      </c>
      <c r="E3727" s="84" t="s">
        <v>713</v>
      </c>
      <c r="F3727" s="128">
        <v>20</v>
      </c>
      <c r="G3727" s="87"/>
      <c r="H3727" s="87">
        <f>F3727*G3727</f>
        <v>0</v>
      </c>
      <c r="I3727" s="87"/>
      <c r="J3727" s="87"/>
      <c r="K3727" s="87"/>
      <c r="L3727" s="87"/>
    </row>
    <row r="3728" spans="2:12" x14ac:dyDescent="0.35">
      <c r="B3728" s="84"/>
      <c r="C3728" s="85" t="s">
        <v>893</v>
      </c>
      <c r="D3728" s="84" t="s">
        <v>418</v>
      </c>
      <c r="E3728" s="84" t="s">
        <v>713</v>
      </c>
      <c r="F3728" s="128">
        <v>12</v>
      </c>
      <c r="G3728" s="87"/>
      <c r="H3728" s="87">
        <f>F3728*G3728</f>
        <v>0</v>
      </c>
      <c r="I3728" s="87"/>
      <c r="J3728" s="87"/>
      <c r="K3728" s="87"/>
      <c r="L3728" s="87"/>
    </row>
    <row r="3729" spans="2:12" x14ac:dyDescent="0.35">
      <c r="B3729" s="84"/>
      <c r="C3729" s="85" t="s">
        <v>894</v>
      </c>
      <c r="D3729" s="84" t="s">
        <v>418</v>
      </c>
      <c r="E3729" s="84" t="s">
        <v>713</v>
      </c>
      <c r="F3729" s="128">
        <v>9</v>
      </c>
      <c r="G3729" s="87"/>
      <c r="H3729" s="87">
        <f>F3729*G3729</f>
        <v>0</v>
      </c>
      <c r="I3729" s="87"/>
      <c r="J3729" s="87"/>
      <c r="K3729" s="87"/>
      <c r="L3729" s="87"/>
    </row>
    <row r="3730" spans="2:12" x14ac:dyDescent="0.35">
      <c r="B3730" s="84"/>
      <c r="C3730" s="85" t="s">
        <v>895</v>
      </c>
      <c r="D3730" s="84"/>
      <c r="E3730" s="84" t="s">
        <v>713</v>
      </c>
      <c r="F3730" s="128">
        <v>12</v>
      </c>
      <c r="G3730" s="87"/>
      <c r="H3730" s="87"/>
      <c r="I3730" s="87"/>
      <c r="J3730" s="87"/>
      <c r="K3730" s="87"/>
      <c r="L3730" s="87"/>
    </row>
    <row r="3731" spans="2:12" x14ac:dyDescent="0.35">
      <c r="B3731" s="84"/>
      <c r="C3731" s="85"/>
      <c r="D3731" s="84"/>
      <c r="E3731" s="84"/>
      <c r="F3731" s="128"/>
      <c r="G3731" s="87"/>
      <c r="H3731" s="87">
        <f>F3731*G3731</f>
        <v>0</v>
      </c>
      <c r="I3731" s="87"/>
      <c r="J3731" s="87"/>
      <c r="K3731" s="87"/>
      <c r="L3731" s="87"/>
    </row>
    <row r="3732" spans="2:12" ht="12" customHeight="1" x14ac:dyDescent="0.35">
      <c r="B3732" s="84"/>
      <c r="C3732" s="88"/>
      <c r="D3732" s="79"/>
      <c r="E3732" s="79"/>
      <c r="F3732" s="129" t="s">
        <v>423</v>
      </c>
      <c r="G3732" s="129"/>
      <c r="H3732" s="87">
        <f>SUM(H3725:H3731)</f>
        <v>0</v>
      </c>
      <c r="I3732" s="101"/>
      <c r="J3732" s="87" t="e">
        <f>SUM(#REF!)</f>
        <v>#REF!</v>
      </c>
      <c r="K3732" s="101"/>
      <c r="L3732" s="87" t="e">
        <f>SUM(#REF!)</f>
        <v>#REF!</v>
      </c>
    </row>
    <row r="3733" spans="2:12" ht="12" customHeight="1" x14ac:dyDescent="0.35">
      <c r="B3733" s="84" t="s">
        <v>7</v>
      </c>
      <c r="C3733" s="88" t="s">
        <v>424</v>
      </c>
      <c r="D3733" s="79"/>
      <c r="E3733" s="79"/>
      <c r="F3733" s="90"/>
      <c r="G3733" s="84"/>
      <c r="H3733" s="87"/>
      <c r="I3733" s="84"/>
      <c r="J3733" s="87"/>
      <c r="K3733" s="84"/>
      <c r="L3733" s="87"/>
    </row>
    <row r="3734" spans="2:12" ht="12" customHeight="1" x14ac:dyDescent="0.35">
      <c r="B3734" s="84"/>
      <c r="C3734" s="85" t="s">
        <v>896</v>
      </c>
      <c r="D3734" s="84"/>
      <c r="E3734" s="84" t="s">
        <v>897</v>
      </c>
      <c r="F3734" s="128">
        <v>1</v>
      </c>
      <c r="G3734" s="87"/>
      <c r="H3734" s="87">
        <f>F3734*G3734</f>
        <v>0</v>
      </c>
      <c r="I3734" s="87"/>
      <c r="J3734" s="87"/>
      <c r="K3734" s="87"/>
      <c r="L3734" s="87"/>
    </row>
    <row r="3735" spans="2:12" ht="12" customHeight="1" x14ac:dyDescent="0.35">
      <c r="B3735" s="84"/>
      <c r="C3735" s="85"/>
      <c r="D3735" s="84"/>
      <c r="E3735" s="84"/>
      <c r="F3735" s="128"/>
      <c r="G3735" s="87"/>
      <c r="H3735" s="87">
        <f>F3735*G3735</f>
        <v>0</v>
      </c>
      <c r="I3735" s="87"/>
      <c r="J3735" s="87"/>
      <c r="K3735" s="87"/>
      <c r="L3735" s="87"/>
    </row>
    <row r="3736" spans="2:12" ht="12" customHeight="1" x14ac:dyDescent="0.35">
      <c r="B3736" s="84"/>
      <c r="C3736" s="88"/>
      <c r="D3736" s="79"/>
      <c r="E3736" s="79"/>
      <c r="F3736" s="89" t="s">
        <v>425</v>
      </c>
      <c r="G3736" s="101"/>
      <c r="H3736" s="87">
        <f>SUM(H3734:H3735)</f>
        <v>0</v>
      </c>
      <c r="I3736" s="101"/>
      <c r="J3736" s="87" t="e">
        <f>SUM(#REF!)</f>
        <v>#REF!</v>
      </c>
      <c r="K3736" s="101"/>
      <c r="L3736" s="87" t="e">
        <f>SUM(#REF!)</f>
        <v>#REF!</v>
      </c>
    </row>
    <row r="3737" spans="2:12" ht="12" customHeight="1" x14ac:dyDescent="0.35">
      <c r="B3737" s="84" t="s">
        <v>8</v>
      </c>
      <c r="C3737" s="103" t="s">
        <v>426</v>
      </c>
      <c r="D3737" s="104"/>
      <c r="E3737" s="104"/>
      <c r="F3737" s="104"/>
      <c r="G3737" s="105"/>
      <c r="H3737" s="87">
        <f>H3723+H3732+H3736</f>
        <v>0</v>
      </c>
      <c r="I3737" s="105"/>
      <c r="J3737" s="87" t="e">
        <f>J3723+J3732+J3736</f>
        <v>#REF!</v>
      </c>
      <c r="K3737" s="105"/>
      <c r="L3737" s="87" t="e">
        <f>L3723+L3732+L3736</f>
        <v>#REF!</v>
      </c>
    </row>
    <row r="3738" spans="2:12" ht="12" customHeight="1" x14ac:dyDescent="0.35">
      <c r="B3738" s="84" t="s">
        <v>9</v>
      </c>
      <c r="C3738" s="455" t="s">
        <v>427</v>
      </c>
      <c r="D3738" s="455"/>
      <c r="E3738" s="455"/>
      <c r="F3738" s="95">
        <v>0</v>
      </c>
      <c r="G3738" s="85" t="s">
        <v>428</v>
      </c>
      <c r="H3738" s="87">
        <f>H3737*F3738</f>
        <v>0</v>
      </c>
      <c r="I3738" s="85" t="s">
        <v>428</v>
      </c>
      <c r="J3738" s="87" t="e">
        <f>J3737*F3738</f>
        <v>#REF!</v>
      </c>
      <c r="K3738" s="85" t="s">
        <v>428</v>
      </c>
      <c r="L3738" s="87" t="e">
        <f>L3737*F3738</f>
        <v>#REF!</v>
      </c>
    </row>
    <row r="3739" spans="2:12" ht="12" customHeight="1" x14ac:dyDescent="0.35">
      <c r="B3739" s="84" t="s">
        <v>10</v>
      </c>
      <c r="C3739" s="103" t="s">
        <v>429</v>
      </c>
      <c r="D3739" s="104"/>
      <c r="E3739" s="104"/>
      <c r="F3739" s="104"/>
      <c r="G3739" s="105"/>
      <c r="H3739" s="96">
        <f>H3737+H3738</f>
        <v>0</v>
      </c>
      <c r="I3739" s="97"/>
      <c r="J3739" s="96" t="e">
        <f>J3737+J3738</f>
        <v>#REF!</v>
      </c>
      <c r="K3739" s="97"/>
      <c r="L3739" s="96" t="e">
        <f>L3737+L3738</f>
        <v>#REF!</v>
      </c>
    </row>
    <row r="3740" spans="2:12" ht="14" customHeight="1" x14ac:dyDescent="0.35"/>
    <row r="3741" spans="2:12" ht="37" customHeight="1" x14ac:dyDescent="0.35">
      <c r="B3741" s="76" t="s">
        <v>898</v>
      </c>
      <c r="C3741" s="458" t="s">
        <v>899</v>
      </c>
      <c r="D3741" s="459"/>
      <c r="E3741" s="459"/>
      <c r="F3741" s="459"/>
      <c r="G3741" s="456"/>
      <c r="H3741" s="457"/>
      <c r="I3741" s="455" t="s">
        <v>3</v>
      </c>
      <c r="J3741" s="455"/>
      <c r="K3741" s="455" t="s">
        <v>4</v>
      </c>
      <c r="L3741" s="455"/>
    </row>
    <row r="3742" spans="2:12" ht="12" customHeight="1" x14ac:dyDescent="0.35">
      <c r="B3742" s="451" t="s">
        <v>409</v>
      </c>
      <c r="C3742" s="451" t="s">
        <v>410</v>
      </c>
      <c r="D3742" s="452" t="s">
        <v>411</v>
      </c>
      <c r="E3742" s="451" t="s">
        <v>412</v>
      </c>
      <c r="F3742" s="451" t="s">
        <v>413</v>
      </c>
      <c r="G3742" s="77" t="s">
        <v>414</v>
      </c>
      <c r="H3742" s="77" t="s">
        <v>415</v>
      </c>
      <c r="I3742" s="78" t="s">
        <v>414</v>
      </c>
      <c r="J3742" s="79" t="s">
        <v>415</v>
      </c>
      <c r="K3742" s="79" t="s">
        <v>414</v>
      </c>
      <c r="L3742" s="79" t="s">
        <v>415</v>
      </c>
    </row>
    <row r="3743" spans="2:12" ht="12" customHeight="1" x14ac:dyDescent="0.35">
      <c r="B3743" s="451"/>
      <c r="C3743" s="451"/>
      <c r="D3743" s="453"/>
      <c r="E3743" s="451"/>
      <c r="F3743" s="451"/>
      <c r="G3743" s="77" t="s">
        <v>17</v>
      </c>
      <c r="H3743" s="77" t="s">
        <v>416</v>
      </c>
      <c r="I3743" s="78" t="s">
        <v>17</v>
      </c>
      <c r="J3743" s="79" t="s">
        <v>416</v>
      </c>
      <c r="K3743" s="79" t="s">
        <v>17</v>
      </c>
      <c r="L3743" s="79" t="s">
        <v>416</v>
      </c>
    </row>
    <row r="3744" spans="2:12" ht="12" customHeight="1" x14ac:dyDescent="0.35">
      <c r="B3744" s="451"/>
      <c r="C3744" s="451"/>
      <c r="D3744" s="454"/>
      <c r="E3744" s="451"/>
      <c r="F3744" s="451"/>
      <c r="G3744" s="106"/>
      <c r="H3744" s="77" t="s">
        <v>17</v>
      </c>
      <c r="I3744" s="94"/>
      <c r="J3744" s="79" t="s">
        <v>17</v>
      </c>
      <c r="K3744" s="85"/>
      <c r="L3744" s="79" t="s">
        <v>17</v>
      </c>
    </row>
    <row r="3745" spans="2:12" ht="12" customHeight="1" x14ac:dyDescent="0.35">
      <c r="B3745" s="80" t="s">
        <v>5</v>
      </c>
      <c r="C3745" s="81" t="s">
        <v>417</v>
      </c>
      <c r="D3745" s="82"/>
      <c r="E3745" s="82"/>
      <c r="F3745" s="82"/>
      <c r="G3745" s="82"/>
      <c r="H3745" s="82"/>
      <c r="I3745" s="83"/>
      <c r="J3745" s="83"/>
      <c r="K3745" s="83"/>
      <c r="L3745" s="83"/>
    </row>
    <row r="3746" spans="2:12" ht="12" customHeight="1" x14ac:dyDescent="0.35">
      <c r="B3746" s="84"/>
      <c r="C3746" s="85"/>
      <c r="D3746" s="84"/>
      <c r="E3746" s="84"/>
      <c r="F3746" s="128"/>
      <c r="G3746" s="87"/>
      <c r="H3746" s="87">
        <f>F3746*G3746</f>
        <v>0</v>
      </c>
      <c r="I3746" s="87">
        <v>91500</v>
      </c>
      <c r="J3746" s="87">
        <f>F3746*I3746</f>
        <v>0</v>
      </c>
      <c r="K3746" s="87">
        <v>91500</v>
      </c>
      <c r="L3746" s="87">
        <f>F3746*K3746</f>
        <v>0</v>
      </c>
    </row>
    <row r="3747" spans="2:12" ht="12" customHeight="1" x14ac:dyDescent="0.35">
      <c r="B3747" s="84"/>
      <c r="C3747" s="85"/>
      <c r="D3747" s="84"/>
      <c r="E3747" s="84"/>
      <c r="F3747" s="128"/>
      <c r="G3747" s="87"/>
      <c r="H3747" s="87">
        <f>F3747*G3747</f>
        <v>0</v>
      </c>
      <c r="I3747" s="87"/>
      <c r="J3747" s="87"/>
      <c r="K3747" s="87"/>
      <c r="L3747" s="87"/>
    </row>
    <row r="3748" spans="2:12" ht="12" customHeight="1" x14ac:dyDescent="0.35">
      <c r="B3748" s="84"/>
      <c r="C3748" s="85"/>
      <c r="D3748" s="84"/>
      <c r="E3748" s="84"/>
      <c r="F3748" s="86"/>
      <c r="G3748" s="87"/>
      <c r="H3748" s="87"/>
      <c r="I3748" s="87"/>
      <c r="J3748" s="87"/>
      <c r="K3748" s="87"/>
      <c r="L3748" s="87"/>
    </row>
    <row r="3749" spans="2:12" ht="12" customHeight="1" x14ac:dyDescent="0.35">
      <c r="B3749" s="84"/>
      <c r="C3749" s="88"/>
      <c r="D3749" s="79"/>
      <c r="E3749" s="79"/>
      <c r="F3749" s="89" t="s">
        <v>421</v>
      </c>
      <c r="G3749" s="101"/>
      <c r="H3749" s="87">
        <f>SUM(H3746:H3748)</f>
        <v>0</v>
      </c>
      <c r="I3749" s="101"/>
      <c r="J3749" s="87">
        <f>SUM(J3748:J3748)</f>
        <v>0</v>
      </c>
      <c r="K3749" s="101"/>
      <c r="L3749" s="87">
        <f>SUM(L3748:L3748)</f>
        <v>0</v>
      </c>
    </row>
    <row r="3750" spans="2:12" ht="12" customHeight="1" x14ac:dyDescent="0.35">
      <c r="B3750" s="84" t="s">
        <v>6</v>
      </c>
      <c r="C3750" s="88" t="s">
        <v>422</v>
      </c>
      <c r="D3750" s="79"/>
      <c r="E3750" s="79"/>
      <c r="F3750" s="90"/>
      <c r="G3750" s="84"/>
      <c r="H3750" s="87"/>
      <c r="I3750" s="84"/>
      <c r="J3750" s="87"/>
      <c r="K3750" s="84"/>
      <c r="L3750" s="87"/>
    </row>
    <row r="3751" spans="2:12" x14ac:dyDescent="0.35">
      <c r="B3751" s="84"/>
      <c r="C3751" s="85" t="s">
        <v>900</v>
      </c>
      <c r="D3751" s="84" t="s">
        <v>418</v>
      </c>
      <c r="E3751" s="84" t="s">
        <v>897</v>
      </c>
      <c r="F3751" s="128"/>
      <c r="G3751" s="87"/>
      <c r="H3751" s="87">
        <f>F3751*G3751</f>
        <v>0</v>
      </c>
      <c r="I3751" s="87"/>
      <c r="J3751" s="87"/>
      <c r="K3751" s="87"/>
      <c r="L3751" s="87"/>
    </row>
    <row r="3752" spans="2:12" x14ac:dyDescent="0.35">
      <c r="B3752" s="84"/>
      <c r="C3752" s="85" t="s">
        <v>901</v>
      </c>
      <c r="D3752" s="84" t="s">
        <v>418</v>
      </c>
      <c r="E3752" s="84" t="s">
        <v>897</v>
      </c>
      <c r="F3752" s="128"/>
      <c r="G3752" s="87"/>
      <c r="H3752" s="87">
        <f>F3752*G3752</f>
        <v>0</v>
      </c>
      <c r="I3752" s="87"/>
      <c r="J3752" s="87"/>
      <c r="K3752" s="87"/>
      <c r="L3752" s="87"/>
    </row>
    <row r="3753" spans="2:12" ht="26" x14ac:dyDescent="0.35">
      <c r="B3753" s="84"/>
      <c r="C3753" s="85" t="s">
        <v>902</v>
      </c>
      <c r="D3753" s="84" t="s">
        <v>418</v>
      </c>
      <c r="E3753" s="84" t="s">
        <v>897</v>
      </c>
      <c r="F3753" s="128"/>
      <c r="G3753" s="87"/>
      <c r="H3753" s="87">
        <f>F3753*G3753</f>
        <v>0</v>
      </c>
      <c r="I3753" s="87"/>
      <c r="J3753" s="87"/>
      <c r="K3753" s="87"/>
      <c r="L3753" s="87"/>
    </row>
    <row r="3754" spans="2:12" x14ac:dyDescent="0.35">
      <c r="B3754" s="84"/>
      <c r="C3754" s="85" t="s">
        <v>903</v>
      </c>
      <c r="D3754" s="84" t="s">
        <v>418</v>
      </c>
      <c r="E3754" s="84" t="s">
        <v>897</v>
      </c>
      <c r="F3754" s="128"/>
      <c r="G3754" s="87"/>
      <c r="H3754" s="87">
        <f>F3754*G3754</f>
        <v>0</v>
      </c>
      <c r="I3754" s="87"/>
      <c r="J3754" s="87"/>
      <c r="K3754" s="87"/>
      <c r="L3754" s="87"/>
    </row>
    <row r="3755" spans="2:12" x14ac:dyDescent="0.35">
      <c r="B3755" s="84"/>
      <c r="C3755" s="85"/>
      <c r="D3755" s="84"/>
      <c r="E3755" s="84"/>
      <c r="F3755" s="128"/>
      <c r="G3755" s="87"/>
      <c r="H3755" s="87">
        <f>F3755*G3755</f>
        <v>0</v>
      </c>
      <c r="I3755" s="87"/>
      <c r="J3755" s="87"/>
      <c r="K3755" s="87"/>
      <c r="L3755" s="87"/>
    </row>
    <row r="3756" spans="2:12" ht="12" customHeight="1" x14ac:dyDescent="0.35">
      <c r="B3756" s="84"/>
      <c r="C3756" s="88"/>
      <c r="D3756" s="79"/>
      <c r="E3756" s="79"/>
      <c r="F3756" s="129" t="s">
        <v>423</v>
      </c>
      <c r="G3756" s="129"/>
      <c r="H3756" s="87">
        <f>SUM(H3751:H3755)</f>
        <v>0</v>
      </c>
      <c r="I3756" s="101"/>
      <c r="J3756" s="87" t="e">
        <f>SUM(#REF!)</f>
        <v>#REF!</v>
      </c>
      <c r="K3756" s="101"/>
      <c r="L3756" s="87" t="e">
        <f>SUM(#REF!)</f>
        <v>#REF!</v>
      </c>
    </row>
    <row r="3757" spans="2:12" ht="12" customHeight="1" x14ac:dyDescent="0.35">
      <c r="B3757" s="84" t="s">
        <v>7</v>
      </c>
      <c r="C3757" s="88" t="s">
        <v>424</v>
      </c>
      <c r="D3757" s="79"/>
      <c r="E3757" s="79"/>
      <c r="F3757" s="90"/>
      <c r="G3757" s="84"/>
      <c r="H3757" s="87"/>
      <c r="I3757" s="84"/>
      <c r="J3757" s="87"/>
      <c r="K3757" s="84"/>
      <c r="L3757" s="87"/>
    </row>
    <row r="3758" spans="2:12" ht="12" customHeight="1" x14ac:dyDescent="0.35">
      <c r="B3758" s="84"/>
      <c r="C3758" s="85" t="s">
        <v>904</v>
      </c>
      <c r="D3758" s="84"/>
      <c r="E3758" s="84" t="s">
        <v>905</v>
      </c>
      <c r="F3758" s="128">
        <v>2</v>
      </c>
      <c r="G3758" s="87"/>
      <c r="H3758" s="87">
        <f>F3758*G3758</f>
        <v>0</v>
      </c>
      <c r="I3758" s="87"/>
      <c r="J3758" s="87"/>
      <c r="K3758" s="87"/>
      <c r="L3758" s="87"/>
    </row>
    <row r="3759" spans="2:12" ht="12" customHeight="1" x14ac:dyDescent="0.35">
      <c r="B3759" s="84"/>
      <c r="C3759" s="85"/>
      <c r="D3759" s="84"/>
      <c r="E3759" s="84"/>
      <c r="F3759" s="128"/>
      <c r="G3759" s="87"/>
      <c r="H3759" s="87">
        <f>F3759*G3759</f>
        <v>0</v>
      </c>
      <c r="I3759" s="87"/>
      <c r="J3759" s="87"/>
      <c r="K3759" s="87"/>
      <c r="L3759" s="87"/>
    </row>
    <row r="3760" spans="2:12" ht="12" customHeight="1" x14ac:dyDescent="0.35">
      <c r="B3760" s="84"/>
      <c r="C3760" s="88"/>
      <c r="D3760" s="79"/>
      <c r="E3760" s="79"/>
      <c r="F3760" s="89" t="s">
        <v>425</v>
      </c>
      <c r="G3760" s="101"/>
      <c r="H3760" s="87">
        <f>SUM(H3758:H3759)</f>
        <v>0</v>
      </c>
      <c r="I3760" s="101"/>
      <c r="J3760" s="87" t="e">
        <f>SUM(#REF!)</f>
        <v>#REF!</v>
      </c>
      <c r="K3760" s="101"/>
      <c r="L3760" s="87" t="e">
        <f>SUM(#REF!)</f>
        <v>#REF!</v>
      </c>
    </row>
    <row r="3761" spans="1:12" ht="12" customHeight="1" x14ac:dyDescent="0.35">
      <c r="B3761" s="84" t="s">
        <v>8</v>
      </c>
      <c r="C3761" s="103" t="s">
        <v>426</v>
      </c>
      <c r="D3761" s="104"/>
      <c r="E3761" s="104"/>
      <c r="F3761" s="104"/>
      <c r="G3761" s="105"/>
      <c r="H3761" s="87">
        <f>H3749+H3756+H3760</f>
        <v>0</v>
      </c>
      <c r="I3761" s="105"/>
      <c r="J3761" s="87" t="e">
        <f>J3749+J3756+J3760</f>
        <v>#REF!</v>
      </c>
      <c r="K3761" s="105"/>
      <c r="L3761" s="87" t="e">
        <f>L3749+L3756+L3760</f>
        <v>#REF!</v>
      </c>
    </row>
    <row r="3762" spans="1:12" ht="12" customHeight="1" x14ac:dyDescent="0.35">
      <c r="B3762" s="84" t="s">
        <v>9</v>
      </c>
      <c r="C3762" s="455" t="s">
        <v>427</v>
      </c>
      <c r="D3762" s="455"/>
      <c r="E3762" s="455"/>
      <c r="F3762" s="95">
        <v>0</v>
      </c>
      <c r="G3762" s="85" t="s">
        <v>428</v>
      </c>
      <c r="H3762" s="87">
        <f>H3761*F3762</f>
        <v>0</v>
      </c>
      <c r="I3762" s="85" t="s">
        <v>428</v>
      </c>
      <c r="J3762" s="87" t="e">
        <f>J3761*F3762</f>
        <v>#REF!</v>
      </c>
      <c r="K3762" s="85" t="s">
        <v>428</v>
      </c>
      <c r="L3762" s="87" t="e">
        <f>L3761*F3762</f>
        <v>#REF!</v>
      </c>
    </row>
    <row r="3763" spans="1:12" ht="12" customHeight="1" x14ac:dyDescent="0.35">
      <c r="B3763" s="84" t="s">
        <v>10</v>
      </c>
      <c r="C3763" s="103" t="s">
        <v>429</v>
      </c>
      <c r="D3763" s="104"/>
      <c r="E3763" s="104"/>
      <c r="F3763" s="104"/>
      <c r="G3763" s="105"/>
      <c r="H3763" s="96">
        <f>H3761+H3762</f>
        <v>0</v>
      </c>
      <c r="I3763" s="97"/>
      <c r="J3763" s="96" t="e">
        <f>J3761+J3762</f>
        <v>#REF!</v>
      </c>
      <c r="K3763" s="97"/>
      <c r="L3763" s="96" t="e">
        <f>L3761+L3762</f>
        <v>#REF!</v>
      </c>
    </row>
    <row r="3764" spans="1:12" ht="14" customHeight="1" x14ac:dyDescent="0.35"/>
    <row r="3765" spans="1:12" ht="37" customHeight="1" x14ac:dyDescent="0.35">
      <c r="B3765" s="76" t="s">
        <v>906</v>
      </c>
      <c r="C3765" s="458" t="s">
        <v>908</v>
      </c>
      <c r="D3765" s="459"/>
      <c r="E3765" s="459"/>
      <c r="F3765" s="459"/>
      <c r="G3765" s="456"/>
      <c r="H3765" s="457"/>
      <c r="I3765" s="455" t="s">
        <v>3</v>
      </c>
      <c r="J3765" s="455"/>
      <c r="K3765" s="455" t="s">
        <v>4</v>
      </c>
      <c r="L3765" s="455"/>
    </row>
    <row r="3766" spans="1:12" ht="12" customHeight="1" x14ac:dyDescent="0.35">
      <c r="B3766" s="451" t="s">
        <v>409</v>
      </c>
      <c r="C3766" s="451" t="s">
        <v>410</v>
      </c>
      <c r="D3766" s="452" t="s">
        <v>411</v>
      </c>
      <c r="E3766" s="451" t="s">
        <v>412</v>
      </c>
      <c r="F3766" s="451" t="s">
        <v>413</v>
      </c>
      <c r="G3766" s="77" t="s">
        <v>414</v>
      </c>
      <c r="H3766" s="77" t="s">
        <v>415</v>
      </c>
      <c r="I3766" s="78" t="s">
        <v>414</v>
      </c>
      <c r="J3766" s="79" t="s">
        <v>415</v>
      </c>
      <c r="K3766" s="79" t="s">
        <v>414</v>
      </c>
      <c r="L3766" s="79" t="s">
        <v>415</v>
      </c>
    </row>
    <row r="3767" spans="1:12" ht="12" customHeight="1" x14ac:dyDescent="0.35">
      <c r="B3767" s="451"/>
      <c r="C3767" s="451"/>
      <c r="D3767" s="453"/>
      <c r="E3767" s="451"/>
      <c r="F3767" s="451"/>
      <c r="G3767" s="77" t="s">
        <v>17</v>
      </c>
      <c r="H3767" s="77" t="s">
        <v>416</v>
      </c>
      <c r="I3767" s="78" t="s">
        <v>17</v>
      </c>
      <c r="J3767" s="79" t="s">
        <v>416</v>
      </c>
      <c r="K3767" s="79" t="s">
        <v>17</v>
      </c>
      <c r="L3767" s="79" t="s">
        <v>416</v>
      </c>
    </row>
    <row r="3768" spans="1:12" ht="12" customHeight="1" x14ac:dyDescent="0.35">
      <c r="B3768" s="451"/>
      <c r="C3768" s="451"/>
      <c r="D3768" s="454"/>
      <c r="E3768" s="451"/>
      <c r="F3768" s="451"/>
      <c r="G3768" s="106"/>
      <c r="H3768" s="77" t="s">
        <v>17</v>
      </c>
      <c r="I3768" s="94"/>
      <c r="J3768" s="79" t="s">
        <v>17</v>
      </c>
      <c r="K3768" s="85"/>
      <c r="L3768" s="79" t="s">
        <v>17</v>
      </c>
    </row>
    <row r="3769" spans="1:12" ht="12" customHeight="1" x14ac:dyDescent="0.35">
      <c r="B3769" s="80" t="s">
        <v>5</v>
      </c>
      <c r="C3769" s="81" t="s">
        <v>417</v>
      </c>
      <c r="D3769" s="82"/>
      <c r="E3769" s="82"/>
      <c r="F3769" s="82"/>
      <c r="G3769" s="82"/>
      <c r="H3769" s="82"/>
      <c r="I3769" s="83"/>
      <c r="J3769" s="83"/>
      <c r="K3769" s="83"/>
      <c r="L3769" s="83"/>
    </row>
    <row r="3770" spans="1:12" ht="12" customHeight="1" x14ac:dyDescent="0.35">
      <c r="A3770" s="134">
        <v>10130000</v>
      </c>
      <c r="B3770" s="84"/>
      <c r="C3770" s="85" t="s">
        <v>28</v>
      </c>
      <c r="D3770" s="84" t="s">
        <v>418</v>
      </c>
      <c r="E3770" s="84" t="str">
        <f>VLOOKUP(C3770,HSD!B:K,2,FALSE)</f>
        <v>OH</v>
      </c>
      <c r="F3770" s="128">
        <v>0.03</v>
      </c>
      <c r="G3770" s="87">
        <f>VLOOKUP(C3770,HSD!B:K,10,FALSE)</f>
        <v>120000</v>
      </c>
      <c r="H3770" s="87">
        <f>F3770*G3770</f>
        <v>3600</v>
      </c>
      <c r="I3770" s="87">
        <v>91500</v>
      </c>
      <c r="J3770" s="87">
        <f>F3770*I3770</f>
        <v>2745</v>
      </c>
      <c r="K3770" s="87">
        <v>91500</v>
      </c>
      <c r="L3770" s="87">
        <f>F3770*K3770</f>
        <v>2745</v>
      </c>
    </row>
    <row r="3771" spans="1:12" ht="12" customHeight="1" x14ac:dyDescent="0.35">
      <c r="A3771" s="134">
        <v>10110000</v>
      </c>
      <c r="B3771" s="84"/>
      <c r="C3771" s="85" t="s">
        <v>30</v>
      </c>
      <c r="D3771" s="84" t="s">
        <v>418</v>
      </c>
      <c r="E3771" s="84" t="str">
        <f>VLOOKUP(C3771,HSD!B:K,2,FALSE)</f>
        <v>OH</v>
      </c>
      <c r="F3771" s="128">
        <v>3.0000000000000001E-3</v>
      </c>
      <c r="G3771" s="87">
        <f>VLOOKUP(C3771,HSD!B:K,10,FALSE)</f>
        <v>150000</v>
      </c>
      <c r="H3771" s="87">
        <f>F3771*G3771</f>
        <v>450</v>
      </c>
      <c r="I3771" s="87"/>
      <c r="J3771" s="87"/>
      <c r="K3771" s="87"/>
      <c r="L3771" s="87"/>
    </row>
    <row r="3772" spans="1:12" ht="12" customHeight="1" x14ac:dyDescent="0.35">
      <c r="B3772" s="84"/>
      <c r="C3772" s="85"/>
      <c r="D3772" s="84"/>
      <c r="E3772" s="84"/>
      <c r="F3772" s="86"/>
      <c r="G3772" s="87"/>
      <c r="H3772" s="87"/>
      <c r="I3772" s="87"/>
      <c r="J3772" s="87"/>
      <c r="K3772" s="87"/>
      <c r="L3772" s="87"/>
    </row>
    <row r="3773" spans="1:12" ht="12" customHeight="1" x14ac:dyDescent="0.35">
      <c r="B3773" s="84"/>
      <c r="C3773" s="88"/>
      <c r="D3773" s="79"/>
      <c r="E3773" s="79"/>
      <c r="F3773" s="89" t="s">
        <v>421</v>
      </c>
      <c r="G3773" s="101"/>
      <c r="H3773" s="87">
        <f>SUM(H3770:H3772)</f>
        <v>4050</v>
      </c>
      <c r="I3773" s="101"/>
      <c r="J3773" s="87">
        <f>SUM(J3772:J3772)</f>
        <v>0</v>
      </c>
      <c r="K3773" s="101"/>
      <c r="L3773" s="87">
        <f>SUM(L3772:L3772)</f>
        <v>0</v>
      </c>
    </row>
    <row r="3774" spans="1:12" ht="12" customHeight="1" x14ac:dyDescent="0.35">
      <c r="B3774" s="84" t="s">
        <v>6</v>
      </c>
      <c r="C3774" s="88" t="s">
        <v>422</v>
      </c>
      <c r="D3774" s="79"/>
      <c r="E3774" s="79"/>
      <c r="F3774" s="90"/>
      <c r="G3774" s="84"/>
      <c r="H3774" s="87"/>
      <c r="I3774" s="84"/>
      <c r="J3774" s="87"/>
      <c r="K3774" s="84"/>
      <c r="L3774" s="87"/>
    </row>
    <row r="3775" spans="1:12" x14ac:dyDescent="0.35">
      <c r="B3775" s="84"/>
      <c r="C3775" s="85"/>
      <c r="D3775" s="84"/>
      <c r="E3775" s="84"/>
      <c r="F3775" s="128"/>
      <c r="G3775" s="87"/>
      <c r="H3775" s="87">
        <f>F3775*G3775</f>
        <v>0</v>
      </c>
      <c r="I3775" s="87"/>
      <c r="J3775" s="87"/>
      <c r="K3775" s="87"/>
      <c r="L3775" s="87"/>
    </row>
    <row r="3776" spans="1:12" ht="12" customHeight="1" x14ac:dyDescent="0.35">
      <c r="B3776" s="84"/>
      <c r="C3776" s="88"/>
      <c r="D3776" s="79"/>
      <c r="E3776" s="79"/>
      <c r="F3776" s="129" t="s">
        <v>423</v>
      </c>
      <c r="G3776" s="129"/>
      <c r="H3776" s="87">
        <f>SUM(H3775:H3775)</f>
        <v>0</v>
      </c>
      <c r="I3776" s="101"/>
      <c r="J3776" s="87" t="e">
        <f>SUM(#REF!)</f>
        <v>#REF!</v>
      </c>
      <c r="K3776" s="101"/>
      <c r="L3776" s="87" t="e">
        <f>SUM(#REF!)</f>
        <v>#REF!</v>
      </c>
    </row>
    <row r="3777" spans="1:12" ht="12" customHeight="1" x14ac:dyDescent="0.35">
      <c r="B3777" s="84" t="s">
        <v>7</v>
      </c>
      <c r="C3777" s="88" t="s">
        <v>424</v>
      </c>
      <c r="D3777" s="79"/>
      <c r="E3777" s="79"/>
      <c r="F3777" s="90"/>
      <c r="G3777" s="84"/>
      <c r="H3777" s="87"/>
      <c r="I3777" s="84"/>
      <c r="J3777" s="87"/>
      <c r="K3777" s="84"/>
      <c r="L3777" s="87"/>
    </row>
    <row r="3778" spans="1:12" ht="12" customHeight="1" x14ac:dyDescent="0.35">
      <c r="B3778" s="84"/>
      <c r="C3778" s="85"/>
      <c r="D3778" s="84"/>
      <c r="E3778" s="84"/>
      <c r="F3778" s="128"/>
      <c r="G3778" s="87"/>
      <c r="H3778" s="87">
        <f>F3778*G3778</f>
        <v>0</v>
      </c>
      <c r="I3778" s="87"/>
      <c r="J3778" s="87"/>
      <c r="K3778" s="87"/>
      <c r="L3778" s="87"/>
    </row>
    <row r="3779" spans="1:12" ht="12" customHeight="1" x14ac:dyDescent="0.35">
      <c r="B3779" s="84"/>
      <c r="C3779" s="85"/>
      <c r="D3779" s="84"/>
      <c r="E3779" s="84"/>
      <c r="F3779" s="128"/>
      <c r="G3779" s="87"/>
      <c r="H3779" s="87">
        <f>F3779*G3779</f>
        <v>0</v>
      </c>
      <c r="I3779" s="87"/>
      <c r="J3779" s="87"/>
      <c r="K3779" s="87"/>
      <c r="L3779" s="87"/>
    </row>
    <row r="3780" spans="1:12" ht="12" customHeight="1" x14ac:dyDescent="0.35">
      <c r="B3780" s="84"/>
      <c r="C3780" s="88"/>
      <c r="D3780" s="79"/>
      <c r="E3780" s="79"/>
      <c r="F3780" s="89" t="s">
        <v>425</v>
      </c>
      <c r="G3780" s="101"/>
      <c r="H3780" s="87">
        <f>SUM(H3778:H3779)</f>
        <v>0</v>
      </c>
      <c r="I3780" s="101"/>
      <c r="J3780" s="87" t="e">
        <f>SUM(#REF!)</f>
        <v>#REF!</v>
      </c>
      <c r="K3780" s="101"/>
      <c r="L3780" s="87" t="e">
        <f>SUM(#REF!)</f>
        <v>#REF!</v>
      </c>
    </row>
    <row r="3781" spans="1:12" ht="12" customHeight="1" x14ac:dyDescent="0.35">
      <c r="B3781" s="84" t="s">
        <v>8</v>
      </c>
      <c r="C3781" s="103" t="s">
        <v>426</v>
      </c>
      <c r="D3781" s="104"/>
      <c r="E3781" s="104"/>
      <c r="F3781" s="104"/>
      <c r="G3781" s="105"/>
      <c r="H3781" s="87">
        <f>H3773+H3776+H3780</f>
        <v>4050</v>
      </c>
      <c r="I3781" s="105"/>
      <c r="J3781" s="87" t="e">
        <f>J3773+J3776+J3780</f>
        <v>#REF!</v>
      </c>
      <c r="K3781" s="105"/>
      <c r="L3781" s="87" t="e">
        <f>L3773+L3776+L3780</f>
        <v>#REF!</v>
      </c>
    </row>
    <row r="3782" spans="1:12" ht="12" customHeight="1" x14ac:dyDescent="0.35">
      <c r="B3782" s="84" t="s">
        <v>9</v>
      </c>
      <c r="C3782" s="455" t="s">
        <v>427</v>
      </c>
      <c r="D3782" s="455"/>
      <c r="E3782" s="455"/>
      <c r="F3782" s="95">
        <v>0</v>
      </c>
      <c r="G3782" s="85" t="s">
        <v>428</v>
      </c>
      <c r="H3782" s="87">
        <f>H3781*F3782</f>
        <v>0</v>
      </c>
      <c r="I3782" s="85" t="s">
        <v>428</v>
      </c>
      <c r="J3782" s="87" t="e">
        <f>J3781*F3782</f>
        <v>#REF!</v>
      </c>
      <c r="K3782" s="85" t="s">
        <v>428</v>
      </c>
      <c r="L3782" s="87" t="e">
        <f>L3781*F3782</f>
        <v>#REF!</v>
      </c>
    </row>
    <row r="3783" spans="1:12" ht="12" customHeight="1" x14ac:dyDescent="0.35">
      <c r="B3783" s="84" t="s">
        <v>10</v>
      </c>
      <c r="C3783" s="103" t="s">
        <v>429</v>
      </c>
      <c r="D3783" s="104"/>
      <c r="E3783" s="104"/>
      <c r="F3783" s="104"/>
      <c r="G3783" s="105"/>
      <c r="H3783" s="96">
        <f>H3781+H3782</f>
        <v>4050</v>
      </c>
      <c r="I3783" s="97"/>
      <c r="J3783" s="96" t="e">
        <f>J3781+J3782</f>
        <v>#REF!</v>
      </c>
      <c r="K3783" s="97"/>
      <c r="L3783" s="96" t="e">
        <f>L3781+L3782</f>
        <v>#REF!</v>
      </c>
    </row>
    <row r="3784" spans="1:12" ht="14" customHeight="1" x14ac:dyDescent="0.35"/>
    <row r="3785" spans="1:12" ht="37" customHeight="1" x14ac:dyDescent="0.35">
      <c r="B3785" s="76" t="s">
        <v>907</v>
      </c>
      <c r="C3785" s="458" t="s">
        <v>910</v>
      </c>
      <c r="D3785" s="459"/>
      <c r="E3785" s="459"/>
      <c r="F3785" s="459"/>
      <c r="G3785" s="456"/>
      <c r="H3785" s="457"/>
      <c r="I3785" s="455" t="s">
        <v>3</v>
      </c>
      <c r="J3785" s="455"/>
      <c r="K3785" s="455" t="s">
        <v>4</v>
      </c>
      <c r="L3785" s="455"/>
    </row>
    <row r="3786" spans="1:12" ht="12" customHeight="1" x14ac:dyDescent="0.35">
      <c r="B3786" s="451" t="s">
        <v>409</v>
      </c>
      <c r="C3786" s="451" t="s">
        <v>410</v>
      </c>
      <c r="D3786" s="452" t="s">
        <v>411</v>
      </c>
      <c r="E3786" s="451" t="s">
        <v>412</v>
      </c>
      <c r="F3786" s="451" t="s">
        <v>413</v>
      </c>
      <c r="G3786" s="77" t="s">
        <v>414</v>
      </c>
      <c r="H3786" s="77" t="s">
        <v>415</v>
      </c>
      <c r="I3786" s="78" t="s">
        <v>414</v>
      </c>
      <c r="J3786" s="79" t="s">
        <v>415</v>
      </c>
      <c r="K3786" s="79" t="s">
        <v>414</v>
      </c>
      <c r="L3786" s="79" t="s">
        <v>415</v>
      </c>
    </row>
    <row r="3787" spans="1:12" ht="12" customHeight="1" x14ac:dyDescent="0.35">
      <c r="B3787" s="451"/>
      <c r="C3787" s="451"/>
      <c r="D3787" s="453"/>
      <c r="E3787" s="451"/>
      <c r="F3787" s="451"/>
      <c r="G3787" s="77" t="s">
        <v>17</v>
      </c>
      <c r="H3787" s="77" t="s">
        <v>416</v>
      </c>
      <c r="I3787" s="78" t="s">
        <v>17</v>
      </c>
      <c r="J3787" s="79" t="s">
        <v>416</v>
      </c>
      <c r="K3787" s="79" t="s">
        <v>17</v>
      </c>
      <c r="L3787" s="79" t="s">
        <v>416</v>
      </c>
    </row>
    <row r="3788" spans="1:12" ht="12" customHeight="1" x14ac:dyDescent="0.35">
      <c r="B3788" s="451"/>
      <c r="C3788" s="451"/>
      <c r="D3788" s="454"/>
      <c r="E3788" s="451"/>
      <c r="F3788" s="451"/>
      <c r="G3788" s="106"/>
      <c r="H3788" s="77" t="s">
        <v>17</v>
      </c>
      <c r="I3788" s="94"/>
      <c r="J3788" s="79" t="s">
        <v>17</v>
      </c>
      <c r="K3788" s="85"/>
      <c r="L3788" s="79" t="s">
        <v>17</v>
      </c>
    </row>
    <row r="3789" spans="1:12" ht="12" customHeight="1" x14ac:dyDescent="0.35">
      <c r="B3789" s="80" t="s">
        <v>5</v>
      </c>
      <c r="C3789" s="81" t="s">
        <v>417</v>
      </c>
      <c r="D3789" s="82"/>
      <c r="E3789" s="82"/>
      <c r="F3789" s="82"/>
      <c r="G3789" s="82"/>
      <c r="H3789" s="82"/>
      <c r="I3789" s="83"/>
      <c r="J3789" s="83"/>
      <c r="K3789" s="83"/>
      <c r="L3789" s="83"/>
    </row>
    <row r="3790" spans="1:12" ht="12" customHeight="1" x14ac:dyDescent="0.35">
      <c r="A3790" s="134">
        <v>10130000</v>
      </c>
      <c r="B3790" s="84"/>
      <c r="C3790" s="85" t="s">
        <v>28</v>
      </c>
      <c r="D3790" s="84" t="s">
        <v>418</v>
      </c>
      <c r="E3790" s="84" t="str">
        <f>VLOOKUP(C3790,HSD!B:K,2,FALSE)</f>
        <v>OH</v>
      </c>
      <c r="F3790" s="128">
        <v>0.5</v>
      </c>
      <c r="G3790" s="87">
        <f>VLOOKUP(C3790,HSD!B:K,10,FALSE)</f>
        <v>120000</v>
      </c>
      <c r="H3790" s="87">
        <f>F3790*G3790</f>
        <v>60000</v>
      </c>
      <c r="I3790" s="87">
        <v>91500</v>
      </c>
      <c r="J3790" s="87">
        <f>F3790*I3790</f>
        <v>45750</v>
      </c>
      <c r="K3790" s="87">
        <v>91500</v>
      </c>
      <c r="L3790" s="87">
        <f>F3790*K3790</f>
        <v>45750</v>
      </c>
    </row>
    <row r="3791" spans="1:12" ht="12" customHeight="1" x14ac:dyDescent="0.35">
      <c r="A3791" s="134">
        <v>10110000</v>
      </c>
      <c r="B3791" s="84"/>
      <c r="C3791" s="85" t="s">
        <v>30</v>
      </c>
      <c r="D3791" s="84" t="s">
        <v>418</v>
      </c>
      <c r="E3791" s="84" t="str">
        <f>VLOOKUP(C3791,HSD!B:K,2,FALSE)</f>
        <v>OH</v>
      </c>
      <c r="F3791" s="128">
        <v>0.05</v>
      </c>
      <c r="G3791" s="87">
        <f>VLOOKUP(C3791,HSD!B:K,10,FALSE)</f>
        <v>150000</v>
      </c>
      <c r="H3791" s="87">
        <f>F3791*G3791</f>
        <v>7500</v>
      </c>
      <c r="I3791" s="87"/>
      <c r="J3791" s="87"/>
      <c r="K3791" s="87"/>
      <c r="L3791" s="87"/>
    </row>
    <row r="3792" spans="1:12" ht="12" customHeight="1" x14ac:dyDescent="0.35">
      <c r="B3792" s="84"/>
      <c r="C3792" s="85"/>
      <c r="D3792" s="84"/>
      <c r="E3792" s="84"/>
      <c r="F3792" s="86"/>
      <c r="G3792" s="87"/>
      <c r="H3792" s="87"/>
      <c r="I3792" s="87"/>
      <c r="J3792" s="87"/>
      <c r="K3792" s="87"/>
      <c r="L3792" s="87"/>
    </row>
    <row r="3793" spans="2:12" ht="12" customHeight="1" x14ac:dyDescent="0.35">
      <c r="B3793" s="84"/>
      <c r="C3793" s="88"/>
      <c r="D3793" s="79"/>
      <c r="E3793" s="79"/>
      <c r="F3793" s="89" t="s">
        <v>421</v>
      </c>
      <c r="G3793" s="101"/>
      <c r="H3793" s="87">
        <f>SUM(H3790:H3792)</f>
        <v>67500</v>
      </c>
      <c r="I3793" s="101"/>
      <c r="J3793" s="87">
        <f>SUM(J3792:J3792)</f>
        <v>0</v>
      </c>
      <c r="K3793" s="101"/>
      <c r="L3793" s="87">
        <f>SUM(L3792:L3792)</f>
        <v>0</v>
      </c>
    </row>
    <row r="3794" spans="2:12" ht="12" customHeight="1" x14ac:dyDescent="0.35">
      <c r="B3794" s="84" t="s">
        <v>6</v>
      </c>
      <c r="C3794" s="88" t="s">
        <v>422</v>
      </c>
      <c r="D3794" s="79"/>
      <c r="E3794" s="79"/>
      <c r="F3794" s="90"/>
      <c r="G3794" s="84"/>
      <c r="H3794" s="87"/>
      <c r="I3794" s="84"/>
      <c r="J3794" s="87"/>
      <c r="K3794" s="84"/>
      <c r="L3794" s="87"/>
    </row>
    <row r="3795" spans="2:12" x14ac:dyDescent="0.35">
      <c r="B3795" s="84"/>
      <c r="C3795" s="85"/>
      <c r="D3795" s="84"/>
      <c r="E3795" s="84"/>
      <c r="F3795" s="128"/>
      <c r="G3795" s="87"/>
      <c r="H3795" s="87">
        <f>F3795*G3795</f>
        <v>0</v>
      </c>
      <c r="I3795" s="87"/>
      <c r="J3795" s="87"/>
      <c r="K3795" s="87"/>
      <c r="L3795" s="87"/>
    </row>
    <row r="3796" spans="2:12" ht="12" customHeight="1" x14ac:dyDescent="0.35">
      <c r="B3796" s="84"/>
      <c r="C3796" s="88"/>
      <c r="D3796" s="79"/>
      <c r="E3796" s="79"/>
      <c r="F3796" s="129" t="s">
        <v>423</v>
      </c>
      <c r="G3796" s="129"/>
      <c r="H3796" s="87">
        <f>SUM(H3795:H3795)</f>
        <v>0</v>
      </c>
      <c r="I3796" s="101"/>
      <c r="J3796" s="87" t="e">
        <f>SUM(#REF!)</f>
        <v>#REF!</v>
      </c>
      <c r="K3796" s="101"/>
      <c r="L3796" s="87" t="e">
        <f>SUM(#REF!)</f>
        <v>#REF!</v>
      </c>
    </row>
    <row r="3797" spans="2:12" ht="12" customHeight="1" x14ac:dyDescent="0.35">
      <c r="B3797" s="84" t="s">
        <v>7</v>
      </c>
      <c r="C3797" s="88" t="s">
        <v>424</v>
      </c>
      <c r="D3797" s="79"/>
      <c r="E3797" s="79"/>
      <c r="F3797" s="90"/>
      <c r="G3797" s="84"/>
      <c r="H3797" s="87"/>
      <c r="I3797" s="84"/>
      <c r="J3797" s="87"/>
      <c r="K3797" s="84"/>
      <c r="L3797" s="87"/>
    </row>
    <row r="3798" spans="2:12" ht="12" customHeight="1" x14ac:dyDescent="0.35">
      <c r="B3798" s="84"/>
      <c r="C3798" s="85"/>
      <c r="D3798" s="84"/>
      <c r="E3798" s="84"/>
      <c r="F3798" s="128"/>
      <c r="G3798" s="87"/>
      <c r="H3798" s="87">
        <f>F3798*G3798</f>
        <v>0</v>
      </c>
      <c r="I3798" s="87"/>
      <c r="J3798" s="87"/>
      <c r="K3798" s="87"/>
      <c r="L3798" s="87"/>
    </row>
    <row r="3799" spans="2:12" ht="12" customHeight="1" x14ac:dyDescent="0.35">
      <c r="B3799" s="84"/>
      <c r="C3799" s="85"/>
      <c r="D3799" s="84"/>
      <c r="E3799" s="84"/>
      <c r="F3799" s="128"/>
      <c r="G3799" s="87"/>
      <c r="H3799" s="87">
        <f>F3799*G3799</f>
        <v>0</v>
      </c>
      <c r="I3799" s="87"/>
      <c r="J3799" s="87"/>
      <c r="K3799" s="87"/>
      <c r="L3799" s="87"/>
    </row>
    <row r="3800" spans="2:12" ht="12" customHeight="1" x14ac:dyDescent="0.35">
      <c r="B3800" s="84"/>
      <c r="C3800" s="88"/>
      <c r="D3800" s="79"/>
      <c r="E3800" s="79"/>
      <c r="F3800" s="89" t="s">
        <v>425</v>
      </c>
      <c r="G3800" s="101"/>
      <c r="H3800" s="87">
        <f>SUM(H3798:H3799)</f>
        <v>0</v>
      </c>
      <c r="I3800" s="101"/>
      <c r="J3800" s="87" t="e">
        <f>SUM(#REF!)</f>
        <v>#REF!</v>
      </c>
      <c r="K3800" s="101"/>
      <c r="L3800" s="87" t="e">
        <f>SUM(#REF!)</f>
        <v>#REF!</v>
      </c>
    </row>
    <row r="3801" spans="2:12" ht="12" customHeight="1" x14ac:dyDescent="0.35">
      <c r="B3801" s="84" t="s">
        <v>8</v>
      </c>
      <c r="C3801" s="103" t="s">
        <v>426</v>
      </c>
      <c r="D3801" s="104"/>
      <c r="E3801" s="104"/>
      <c r="F3801" s="104"/>
      <c r="G3801" s="105"/>
      <c r="H3801" s="87">
        <f>H3793+H3796+H3800</f>
        <v>67500</v>
      </c>
      <c r="I3801" s="105"/>
      <c r="J3801" s="87" t="e">
        <f>J3793+J3796+J3800</f>
        <v>#REF!</v>
      </c>
      <c r="K3801" s="105"/>
      <c r="L3801" s="87" t="e">
        <f>L3793+L3796+L3800</f>
        <v>#REF!</v>
      </c>
    </row>
    <row r="3802" spans="2:12" ht="12" customHeight="1" x14ac:dyDescent="0.35">
      <c r="B3802" s="84" t="s">
        <v>9</v>
      </c>
      <c r="C3802" s="455" t="s">
        <v>427</v>
      </c>
      <c r="D3802" s="455"/>
      <c r="E3802" s="455"/>
      <c r="F3802" s="95">
        <v>0</v>
      </c>
      <c r="G3802" s="85" t="s">
        <v>428</v>
      </c>
      <c r="H3802" s="87">
        <f>H3801*F3802</f>
        <v>0</v>
      </c>
      <c r="I3802" s="85" t="s">
        <v>428</v>
      </c>
      <c r="J3802" s="87" t="e">
        <f>J3801*F3802</f>
        <v>#REF!</v>
      </c>
      <c r="K3802" s="85" t="s">
        <v>428</v>
      </c>
      <c r="L3802" s="87" t="e">
        <f>L3801*F3802</f>
        <v>#REF!</v>
      </c>
    </row>
    <row r="3803" spans="2:12" ht="12" customHeight="1" x14ac:dyDescent="0.35">
      <c r="B3803" s="84" t="s">
        <v>10</v>
      </c>
      <c r="C3803" s="103" t="s">
        <v>429</v>
      </c>
      <c r="D3803" s="104"/>
      <c r="E3803" s="104"/>
      <c r="F3803" s="104"/>
      <c r="G3803" s="105"/>
      <c r="H3803" s="96">
        <f>H3801+H3802</f>
        <v>67500</v>
      </c>
      <c r="I3803" s="97"/>
      <c r="J3803" s="96" t="e">
        <f>J3801+J3802</f>
        <v>#REF!</v>
      </c>
      <c r="K3803" s="97"/>
      <c r="L3803" s="96" t="e">
        <f>L3801+L3802</f>
        <v>#REF!</v>
      </c>
    </row>
    <row r="3804" spans="2:12" ht="14" customHeight="1" x14ac:dyDescent="0.35"/>
    <row r="3805" spans="2:12" ht="37" customHeight="1" x14ac:dyDescent="0.35">
      <c r="B3805" s="76" t="s">
        <v>909</v>
      </c>
      <c r="C3805" s="458" t="s">
        <v>911</v>
      </c>
      <c r="D3805" s="459"/>
      <c r="E3805" s="459"/>
      <c r="F3805" s="459"/>
      <c r="G3805" s="456"/>
      <c r="H3805" s="457"/>
      <c r="I3805" s="455" t="s">
        <v>3</v>
      </c>
      <c r="J3805" s="455"/>
      <c r="K3805" s="455" t="s">
        <v>4</v>
      </c>
      <c r="L3805" s="455"/>
    </row>
    <row r="3806" spans="2:12" ht="12" customHeight="1" x14ac:dyDescent="0.35">
      <c r="B3806" s="451" t="s">
        <v>409</v>
      </c>
      <c r="C3806" s="451" t="s">
        <v>410</v>
      </c>
      <c r="D3806" s="452" t="s">
        <v>411</v>
      </c>
      <c r="E3806" s="451" t="s">
        <v>412</v>
      </c>
      <c r="F3806" s="451" t="s">
        <v>413</v>
      </c>
      <c r="G3806" s="77" t="s">
        <v>414</v>
      </c>
      <c r="H3806" s="77" t="s">
        <v>415</v>
      </c>
      <c r="I3806" s="78" t="s">
        <v>414</v>
      </c>
      <c r="J3806" s="79" t="s">
        <v>415</v>
      </c>
      <c r="K3806" s="79" t="s">
        <v>414</v>
      </c>
      <c r="L3806" s="79" t="s">
        <v>415</v>
      </c>
    </row>
    <row r="3807" spans="2:12" ht="12" customHeight="1" x14ac:dyDescent="0.35">
      <c r="B3807" s="451"/>
      <c r="C3807" s="451"/>
      <c r="D3807" s="453"/>
      <c r="E3807" s="451"/>
      <c r="F3807" s="451"/>
      <c r="G3807" s="77" t="s">
        <v>17</v>
      </c>
      <c r="H3807" s="77" t="s">
        <v>416</v>
      </c>
      <c r="I3807" s="78" t="s">
        <v>17</v>
      </c>
      <c r="J3807" s="79" t="s">
        <v>416</v>
      </c>
      <c r="K3807" s="79" t="s">
        <v>17</v>
      </c>
      <c r="L3807" s="79" t="s">
        <v>416</v>
      </c>
    </row>
    <row r="3808" spans="2:12" ht="12" customHeight="1" x14ac:dyDescent="0.35">
      <c r="B3808" s="451"/>
      <c r="C3808" s="451"/>
      <c r="D3808" s="454"/>
      <c r="E3808" s="451"/>
      <c r="F3808" s="451"/>
      <c r="G3808" s="106"/>
      <c r="H3808" s="77" t="s">
        <v>17</v>
      </c>
      <c r="I3808" s="94"/>
      <c r="J3808" s="79" t="s">
        <v>17</v>
      </c>
      <c r="K3808" s="85"/>
      <c r="L3808" s="79" t="s">
        <v>17</v>
      </c>
    </row>
    <row r="3809" spans="1:12" ht="12" customHeight="1" x14ac:dyDescent="0.35">
      <c r="B3809" s="80" t="s">
        <v>5</v>
      </c>
      <c r="C3809" s="81" t="s">
        <v>417</v>
      </c>
      <c r="D3809" s="82"/>
      <c r="E3809" s="82"/>
      <c r="F3809" s="82"/>
      <c r="G3809" s="82"/>
      <c r="H3809" s="82"/>
      <c r="I3809" s="83"/>
      <c r="J3809" s="83"/>
      <c r="K3809" s="83"/>
      <c r="L3809" s="83"/>
    </row>
    <row r="3810" spans="1:12" ht="12" customHeight="1" x14ac:dyDescent="0.35">
      <c r="A3810" s="134">
        <v>10130000</v>
      </c>
      <c r="B3810" s="84"/>
      <c r="C3810" s="85" t="s">
        <v>28</v>
      </c>
      <c r="D3810" s="84" t="s">
        <v>418</v>
      </c>
      <c r="E3810" s="84" t="str">
        <f>VLOOKUP(C3810,HSD!B:K,2,FALSE)</f>
        <v>OH</v>
      </c>
      <c r="F3810" s="128">
        <v>0.1</v>
      </c>
      <c r="G3810" s="87">
        <f>VLOOKUP(C3810,HSD!B:K,10,FALSE)</f>
        <v>120000</v>
      </c>
      <c r="H3810" s="87">
        <f>F3810*G3810</f>
        <v>12000</v>
      </c>
      <c r="I3810" s="87">
        <v>91500</v>
      </c>
      <c r="J3810" s="87">
        <f>F3810*I3810</f>
        <v>9150</v>
      </c>
      <c r="K3810" s="87">
        <v>91500</v>
      </c>
      <c r="L3810" s="87">
        <f>F3810*K3810</f>
        <v>9150</v>
      </c>
    </row>
    <row r="3811" spans="1:12" ht="12" customHeight="1" x14ac:dyDescent="0.35">
      <c r="A3811" s="134">
        <v>10110000</v>
      </c>
      <c r="B3811" s="84"/>
      <c r="C3811" s="85" t="s">
        <v>30</v>
      </c>
      <c r="D3811" s="84" t="s">
        <v>418</v>
      </c>
      <c r="E3811" s="84" t="str">
        <f>VLOOKUP(C3811,HSD!B:K,2,FALSE)</f>
        <v>OH</v>
      </c>
      <c r="F3811" s="128">
        <v>0.01</v>
      </c>
      <c r="G3811" s="87">
        <f>VLOOKUP(C3811,HSD!B:K,10,FALSE)</f>
        <v>150000</v>
      </c>
      <c r="H3811" s="87">
        <f>F3811*G3811</f>
        <v>1500</v>
      </c>
      <c r="I3811" s="87"/>
      <c r="J3811" s="87"/>
      <c r="K3811" s="87"/>
      <c r="L3811" s="87"/>
    </row>
    <row r="3812" spans="1:12" ht="12" customHeight="1" x14ac:dyDescent="0.35">
      <c r="B3812" s="84"/>
      <c r="C3812" s="85"/>
      <c r="D3812" s="84"/>
      <c r="E3812" s="84"/>
      <c r="F3812" s="86"/>
      <c r="G3812" s="87"/>
      <c r="H3812" s="87"/>
      <c r="I3812" s="87"/>
      <c r="J3812" s="87"/>
      <c r="K3812" s="87"/>
      <c r="L3812" s="87"/>
    </row>
    <row r="3813" spans="1:12" ht="12" customHeight="1" x14ac:dyDescent="0.35">
      <c r="B3813" s="84"/>
      <c r="C3813" s="88"/>
      <c r="D3813" s="79"/>
      <c r="E3813" s="79"/>
      <c r="F3813" s="89" t="s">
        <v>421</v>
      </c>
      <c r="G3813" s="101"/>
      <c r="H3813" s="87">
        <f>SUM(H3810:H3812)</f>
        <v>13500</v>
      </c>
      <c r="I3813" s="101"/>
      <c r="J3813" s="87">
        <f>SUM(J3812:J3812)</f>
        <v>0</v>
      </c>
      <c r="K3813" s="101"/>
      <c r="L3813" s="87">
        <f>SUM(L3812:L3812)</f>
        <v>0</v>
      </c>
    </row>
    <row r="3814" spans="1:12" ht="12" customHeight="1" x14ac:dyDescent="0.35">
      <c r="B3814" s="84" t="s">
        <v>6</v>
      </c>
      <c r="C3814" s="88" t="s">
        <v>422</v>
      </c>
      <c r="D3814" s="79"/>
      <c r="E3814" s="79"/>
      <c r="F3814" s="90"/>
      <c r="G3814" s="84"/>
      <c r="H3814" s="87"/>
      <c r="I3814" s="84"/>
      <c r="J3814" s="87"/>
      <c r="K3814" s="84"/>
      <c r="L3814" s="87"/>
    </row>
    <row r="3815" spans="1:12" x14ac:dyDescent="0.35">
      <c r="B3815" s="84"/>
      <c r="C3815" s="85"/>
      <c r="D3815" s="84"/>
      <c r="E3815" s="84"/>
      <c r="F3815" s="128"/>
      <c r="G3815" s="87"/>
      <c r="H3815" s="87">
        <f>F3815*G3815</f>
        <v>0</v>
      </c>
      <c r="I3815" s="87"/>
      <c r="J3815" s="87"/>
      <c r="K3815" s="87"/>
      <c r="L3815" s="87"/>
    </row>
    <row r="3816" spans="1:12" ht="12" customHeight="1" x14ac:dyDescent="0.35">
      <c r="B3816" s="84"/>
      <c r="C3816" s="88"/>
      <c r="D3816" s="79"/>
      <c r="E3816" s="79"/>
      <c r="F3816" s="129" t="s">
        <v>423</v>
      </c>
      <c r="G3816" s="129"/>
      <c r="H3816" s="87">
        <f>SUM(H3815:H3815)</f>
        <v>0</v>
      </c>
      <c r="I3816" s="101"/>
      <c r="J3816" s="87" t="e">
        <f>SUM(#REF!)</f>
        <v>#REF!</v>
      </c>
      <c r="K3816" s="101"/>
      <c r="L3816" s="87" t="e">
        <f>SUM(#REF!)</f>
        <v>#REF!</v>
      </c>
    </row>
    <row r="3817" spans="1:12" ht="12" customHeight="1" x14ac:dyDescent="0.35">
      <c r="B3817" s="84" t="s">
        <v>7</v>
      </c>
      <c r="C3817" s="88" t="s">
        <v>424</v>
      </c>
      <c r="D3817" s="79"/>
      <c r="E3817" s="79"/>
      <c r="F3817" s="90"/>
      <c r="G3817" s="84"/>
      <c r="H3817" s="87"/>
      <c r="I3817" s="84"/>
      <c r="J3817" s="87"/>
      <c r="K3817" s="84"/>
      <c r="L3817" s="87"/>
    </row>
    <row r="3818" spans="1:12" ht="12" customHeight="1" x14ac:dyDescent="0.35">
      <c r="A3818" s="134">
        <v>31100008</v>
      </c>
      <c r="B3818" s="84"/>
      <c r="C3818" s="85" t="s">
        <v>1836</v>
      </c>
      <c r="D3818" s="84" t="s">
        <v>418</v>
      </c>
      <c r="E3818" s="84" t="str">
        <f>VLOOKUP(C3818,HSD!B:K,2,FALSE)</f>
        <v>jam</v>
      </c>
      <c r="F3818" s="128">
        <v>2.5000000000000001E-2</v>
      </c>
      <c r="G3818" s="87">
        <f>VLOOKUP(C3818,HSD!B:K,10,FALSE)</f>
        <v>1053489.6200000001</v>
      </c>
      <c r="H3818" s="87">
        <f>F3818*G3818</f>
        <v>26337.240500000004</v>
      </c>
      <c r="I3818" s="87"/>
      <c r="J3818" s="87"/>
      <c r="K3818" s="87"/>
      <c r="L3818" s="87"/>
    </row>
    <row r="3819" spans="1:12" ht="12" customHeight="1" x14ac:dyDescent="0.35">
      <c r="A3819" s="134">
        <v>31110029</v>
      </c>
      <c r="B3819" s="84"/>
      <c r="C3819" s="85" t="s">
        <v>625</v>
      </c>
      <c r="D3819" s="84" t="s">
        <v>418</v>
      </c>
      <c r="E3819" s="84" t="str">
        <f>VLOOKUP(C3819,HSD!B:K,2,FALSE)</f>
        <v>jam</v>
      </c>
      <c r="F3819" s="128">
        <v>2.5000000000000001E-2</v>
      </c>
      <c r="G3819" s="87">
        <f>VLOOKUP(C3819,HSD!B:K,10,FALSE)</f>
        <v>692640</v>
      </c>
      <c r="H3819" s="87">
        <f>F3819*G3819</f>
        <v>17316</v>
      </c>
      <c r="I3819" s="87"/>
      <c r="J3819" s="87"/>
      <c r="K3819" s="87"/>
      <c r="L3819" s="87"/>
    </row>
    <row r="3820" spans="1:12" ht="12" customHeight="1" x14ac:dyDescent="0.35">
      <c r="B3820" s="84"/>
      <c r="C3820" s="85"/>
      <c r="D3820" s="84"/>
      <c r="E3820" s="84"/>
      <c r="F3820" s="128"/>
      <c r="G3820" s="87"/>
      <c r="H3820" s="87">
        <f>F3820*G3820</f>
        <v>0</v>
      </c>
      <c r="I3820" s="87"/>
      <c r="J3820" s="87"/>
      <c r="K3820" s="87"/>
      <c r="L3820" s="87"/>
    </row>
    <row r="3821" spans="1:12" ht="12" customHeight="1" x14ac:dyDescent="0.35">
      <c r="B3821" s="84"/>
      <c r="C3821" s="88"/>
      <c r="D3821" s="79"/>
      <c r="E3821" s="79"/>
      <c r="F3821" s="89" t="s">
        <v>425</v>
      </c>
      <c r="G3821" s="101"/>
      <c r="H3821" s="87">
        <f>SUM(H3818:H3820)</f>
        <v>43653.2405</v>
      </c>
      <c r="I3821" s="101"/>
      <c r="J3821" s="87" t="e">
        <f>SUM(#REF!)</f>
        <v>#REF!</v>
      </c>
      <c r="K3821" s="101"/>
      <c r="L3821" s="87" t="e">
        <f>SUM(#REF!)</f>
        <v>#REF!</v>
      </c>
    </row>
    <row r="3822" spans="1:12" ht="12" customHeight="1" x14ac:dyDescent="0.35">
      <c r="B3822" s="84" t="s">
        <v>8</v>
      </c>
      <c r="C3822" s="103" t="s">
        <v>426</v>
      </c>
      <c r="D3822" s="104"/>
      <c r="E3822" s="104"/>
      <c r="F3822" s="104"/>
      <c r="G3822" s="105"/>
      <c r="H3822" s="87">
        <f>H3813+H3816+H3821</f>
        <v>57153.2405</v>
      </c>
      <c r="I3822" s="105"/>
      <c r="J3822" s="87" t="e">
        <f>J3813+J3816+J3821</f>
        <v>#REF!</v>
      </c>
      <c r="K3822" s="105"/>
      <c r="L3822" s="87" t="e">
        <f>L3813+L3816+L3821</f>
        <v>#REF!</v>
      </c>
    </row>
    <row r="3823" spans="1:12" ht="12" customHeight="1" x14ac:dyDescent="0.35">
      <c r="B3823" s="84" t="s">
        <v>9</v>
      </c>
      <c r="C3823" s="455" t="s">
        <v>427</v>
      </c>
      <c r="D3823" s="455"/>
      <c r="E3823" s="455"/>
      <c r="F3823" s="95">
        <v>0</v>
      </c>
      <c r="G3823" s="85" t="s">
        <v>428</v>
      </c>
      <c r="H3823" s="87">
        <f>H3822*F3823</f>
        <v>0</v>
      </c>
      <c r="I3823" s="85" t="s">
        <v>428</v>
      </c>
      <c r="J3823" s="87" t="e">
        <f>J3822*F3823</f>
        <v>#REF!</v>
      </c>
      <c r="K3823" s="85" t="s">
        <v>428</v>
      </c>
      <c r="L3823" s="87" t="e">
        <f>L3822*F3823</f>
        <v>#REF!</v>
      </c>
    </row>
    <row r="3824" spans="1:12" ht="12" customHeight="1" x14ac:dyDescent="0.35">
      <c r="B3824" s="84" t="s">
        <v>10</v>
      </c>
      <c r="C3824" s="103" t="s">
        <v>429</v>
      </c>
      <c r="D3824" s="104"/>
      <c r="E3824" s="104"/>
      <c r="F3824" s="104"/>
      <c r="G3824" s="105"/>
      <c r="H3824" s="96">
        <f>H3822+H3823</f>
        <v>57153.2405</v>
      </c>
      <c r="I3824" s="97"/>
      <c r="J3824" s="96" t="e">
        <f>J3822+J3823</f>
        <v>#REF!</v>
      </c>
      <c r="K3824" s="97"/>
      <c r="L3824" s="96" t="e">
        <f>L3822+L3823</f>
        <v>#REF!</v>
      </c>
    </row>
    <row r="3825" spans="1:12" ht="14" customHeight="1" x14ac:dyDescent="0.35"/>
    <row r="3826" spans="1:12" ht="37" customHeight="1" x14ac:dyDescent="0.35">
      <c r="B3826" s="76" t="s">
        <v>912</v>
      </c>
      <c r="C3826" s="458" t="s">
        <v>913</v>
      </c>
      <c r="D3826" s="459"/>
      <c r="E3826" s="459"/>
      <c r="F3826" s="459"/>
      <c r="G3826" s="456"/>
      <c r="H3826" s="457"/>
      <c r="I3826" s="455" t="s">
        <v>3</v>
      </c>
      <c r="J3826" s="455"/>
      <c r="K3826" s="455" t="s">
        <v>4</v>
      </c>
      <c r="L3826" s="455"/>
    </row>
    <row r="3827" spans="1:12" ht="12" customHeight="1" x14ac:dyDescent="0.35">
      <c r="B3827" s="451" t="s">
        <v>409</v>
      </c>
      <c r="C3827" s="451" t="s">
        <v>410</v>
      </c>
      <c r="D3827" s="452" t="s">
        <v>411</v>
      </c>
      <c r="E3827" s="451" t="s">
        <v>412</v>
      </c>
      <c r="F3827" s="451" t="s">
        <v>413</v>
      </c>
      <c r="G3827" s="77" t="s">
        <v>414</v>
      </c>
      <c r="H3827" s="77" t="s">
        <v>415</v>
      </c>
      <c r="I3827" s="78" t="s">
        <v>414</v>
      </c>
      <c r="J3827" s="79" t="s">
        <v>415</v>
      </c>
      <c r="K3827" s="79" t="s">
        <v>414</v>
      </c>
      <c r="L3827" s="79" t="s">
        <v>415</v>
      </c>
    </row>
    <row r="3828" spans="1:12" ht="12" customHeight="1" x14ac:dyDescent="0.35">
      <c r="B3828" s="451"/>
      <c r="C3828" s="451"/>
      <c r="D3828" s="453"/>
      <c r="E3828" s="451"/>
      <c r="F3828" s="451"/>
      <c r="G3828" s="77" t="s">
        <v>17</v>
      </c>
      <c r="H3828" s="77" t="s">
        <v>416</v>
      </c>
      <c r="I3828" s="78" t="s">
        <v>17</v>
      </c>
      <c r="J3828" s="79" t="s">
        <v>416</v>
      </c>
      <c r="K3828" s="79" t="s">
        <v>17</v>
      </c>
      <c r="L3828" s="79" t="s">
        <v>416</v>
      </c>
    </row>
    <row r="3829" spans="1:12" ht="12" customHeight="1" x14ac:dyDescent="0.35">
      <c r="B3829" s="451"/>
      <c r="C3829" s="451"/>
      <c r="D3829" s="454"/>
      <c r="E3829" s="451"/>
      <c r="F3829" s="451"/>
      <c r="G3829" s="106"/>
      <c r="H3829" s="77" t="s">
        <v>17</v>
      </c>
      <c r="I3829" s="94"/>
      <c r="J3829" s="79" t="s">
        <v>17</v>
      </c>
      <c r="K3829" s="85"/>
      <c r="L3829" s="79" t="s">
        <v>17</v>
      </c>
    </row>
    <row r="3830" spans="1:12" ht="12" customHeight="1" x14ac:dyDescent="0.35">
      <c r="B3830" s="80" t="s">
        <v>5</v>
      </c>
      <c r="C3830" s="81" t="s">
        <v>417</v>
      </c>
      <c r="D3830" s="82"/>
      <c r="E3830" s="82"/>
      <c r="F3830" s="82"/>
      <c r="G3830" s="82"/>
      <c r="H3830" s="82"/>
      <c r="I3830" s="83"/>
      <c r="J3830" s="83"/>
      <c r="K3830" s="83"/>
      <c r="L3830" s="83"/>
    </row>
    <row r="3831" spans="1:12" ht="12" customHeight="1" x14ac:dyDescent="0.35">
      <c r="A3831" s="134">
        <v>10121100</v>
      </c>
      <c r="B3831" s="84"/>
      <c r="C3831" s="85" t="s">
        <v>515</v>
      </c>
      <c r="D3831" s="84" t="s">
        <v>418</v>
      </c>
      <c r="E3831" s="84" t="str">
        <f>VLOOKUP(C3831,HSD!B:K,2,FALSE)</f>
        <v>OH</v>
      </c>
      <c r="F3831" s="128">
        <v>0.02</v>
      </c>
      <c r="G3831" s="87">
        <f>VLOOKUP(C3831,HSD!B:K,10,FALSE)</f>
        <v>130000</v>
      </c>
      <c r="H3831" s="87">
        <f>F3831*G3831</f>
        <v>2600</v>
      </c>
      <c r="I3831" s="87">
        <v>91500</v>
      </c>
      <c r="J3831" s="87">
        <f>F3831*I3831</f>
        <v>1830</v>
      </c>
      <c r="K3831" s="87">
        <v>91500</v>
      </c>
      <c r="L3831" s="87">
        <f>F3831*K3831</f>
        <v>1830</v>
      </c>
    </row>
    <row r="3832" spans="1:12" ht="12" customHeight="1" x14ac:dyDescent="0.35">
      <c r="A3832" s="134">
        <v>10120000</v>
      </c>
      <c r="B3832" s="84"/>
      <c r="C3832" s="85" t="s">
        <v>27</v>
      </c>
      <c r="D3832" s="84" t="s">
        <v>418</v>
      </c>
      <c r="E3832" s="84" t="str">
        <f>VLOOKUP(C3832,HSD!B:K,2,FALSE)</f>
        <v>OH</v>
      </c>
      <c r="F3832" s="128">
        <v>0.01</v>
      </c>
      <c r="G3832" s="87">
        <f>VLOOKUP(C3832,HSD!B:K,10,FALSE)</f>
        <v>150000</v>
      </c>
      <c r="H3832" s="87">
        <f>F3832*G3832</f>
        <v>1500</v>
      </c>
      <c r="I3832" s="87"/>
      <c r="J3832" s="87"/>
      <c r="K3832" s="87"/>
      <c r="L3832" s="87"/>
    </row>
    <row r="3833" spans="1:12" ht="12" customHeight="1" x14ac:dyDescent="0.35">
      <c r="A3833" s="134">
        <v>10110000</v>
      </c>
      <c r="B3833" s="84"/>
      <c r="C3833" s="85" t="s">
        <v>30</v>
      </c>
      <c r="D3833" s="84" t="s">
        <v>418</v>
      </c>
      <c r="E3833" s="84" t="str">
        <f>VLOOKUP(C3833,HSD!B:K,2,FALSE)</f>
        <v>OH</v>
      </c>
      <c r="F3833" s="128">
        <v>1E-3</v>
      </c>
      <c r="G3833" s="87">
        <f>VLOOKUP(C3833,HSD!B:K,10,FALSE)</f>
        <v>150000</v>
      </c>
      <c r="H3833" s="87">
        <f>F3833*G3833</f>
        <v>150</v>
      </c>
      <c r="I3833" s="87"/>
      <c r="J3833" s="87"/>
      <c r="K3833" s="87"/>
      <c r="L3833" s="87"/>
    </row>
    <row r="3834" spans="1:12" ht="12" customHeight="1" x14ac:dyDescent="0.35">
      <c r="B3834" s="84"/>
      <c r="C3834" s="88"/>
      <c r="D3834" s="79"/>
      <c r="E3834" s="79"/>
      <c r="F3834" s="89"/>
      <c r="G3834" s="101"/>
      <c r="H3834" s="87">
        <f>SUM(H3831:H3833)</f>
        <v>4250</v>
      </c>
      <c r="I3834" s="101"/>
      <c r="J3834" s="87">
        <f>SUM(J3833:J3833)</f>
        <v>0</v>
      </c>
      <c r="K3834" s="101"/>
      <c r="L3834" s="87">
        <f>SUM(L3833:L3833)</f>
        <v>0</v>
      </c>
    </row>
    <row r="3835" spans="1:12" ht="12" customHeight="1" x14ac:dyDescent="0.35">
      <c r="B3835" s="84" t="s">
        <v>6</v>
      </c>
      <c r="C3835" s="88" t="s">
        <v>422</v>
      </c>
      <c r="D3835" s="79"/>
      <c r="E3835" s="79"/>
      <c r="F3835" s="90"/>
      <c r="G3835" s="84"/>
      <c r="H3835" s="87"/>
      <c r="I3835" s="84"/>
      <c r="J3835" s="87"/>
      <c r="K3835" s="84"/>
      <c r="L3835" s="87"/>
    </row>
    <row r="3836" spans="1:12" x14ac:dyDescent="0.35">
      <c r="A3836" s="134">
        <v>21902002</v>
      </c>
      <c r="B3836" s="84"/>
      <c r="C3836" s="130" t="s">
        <v>1855</v>
      </c>
      <c r="D3836" s="131" t="s">
        <v>418</v>
      </c>
      <c r="E3836" s="131" t="str">
        <f>VLOOKUP(C3836,HSD!B:K,2,FALSE)</f>
        <v>kg</v>
      </c>
      <c r="F3836" s="132">
        <v>1.1000000000000001</v>
      </c>
      <c r="G3836" s="133">
        <f>VLOOKUP(C3836,HSD!B:K,10,FALSE)</f>
        <v>31080</v>
      </c>
      <c r="H3836" s="133">
        <f>F3836*G3836</f>
        <v>34188</v>
      </c>
      <c r="I3836" s="87"/>
      <c r="J3836" s="87"/>
      <c r="K3836" s="87"/>
      <c r="L3836" s="87"/>
    </row>
    <row r="3837" spans="1:12" x14ac:dyDescent="0.35">
      <c r="B3837" s="84"/>
      <c r="C3837" s="85"/>
      <c r="D3837" s="84"/>
      <c r="E3837" s="84"/>
      <c r="F3837" s="128"/>
      <c r="G3837" s="87"/>
      <c r="H3837" s="87"/>
      <c r="I3837" s="87"/>
      <c r="J3837" s="87"/>
      <c r="K3837" s="87"/>
      <c r="L3837" s="87"/>
    </row>
    <row r="3838" spans="1:12" ht="12" customHeight="1" x14ac:dyDescent="0.35">
      <c r="B3838" s="84"/>
      <c r="C3838" s="88"/>
      <c r="D3838" s="79"/>
      <c r="E3838" s="79"/>
      <c r="F3838" s="129" t="s">
        <v>423</v>
      </c>
      <c r="G3838" s="129"/>
      <c r="H3838" s="87">
        <f>SUM(H3836:H3836)</f>
        <v>34188</v>
      </c>
      <c r="I3838" s="101"/>
      <c r="J3838" s="87" t="e">
        <f>SUM(#REF!)</f>
        <v>#REF!</v>
      </c>
      <c r="K3838" s="101"/>
      <c r="L3838" s="87" t="e">
        <f>SUM(#REF!)</f>
        <v>#REF!</v>
      </c>
    </row>
    <row r="3839" spans="1:12" ht="12" customHeight="1" x14ac:dyDescent="0.35">
      <c r="B3839" s="84" t="s">
        <v>7</v>
      </c>
      <c r="C3839" s="88" t="s">
        <v>424</v>
      </c>
      <c r="D3839" s="79"/>
      <c r="E3839" s="79"/>
      <c r="F3839" s="90"/>
      <c r="G3839" s="84"/>
      <c r="H3839" s="87"/>
      <c r="I3839" s="84"/>
      <c r="J3839" s="87"/>
      <c r="K3839" s="84"/>
      <c r="L3839" s="87"/>
    </row>
    <row r="3840" spans="1:12" ht="12" customHeight="1" x14ac:dyDescent="0.35">
      <c r="A3840" s="134">
        <v>31220101</v>
      </c>
      <c r="B3840" s="84"/>
      <c r="C3840" s="85" t="s">
        <v>728</v>
      </c>
      <c r="D3840" s="84" t="s">
        <v>418</v>
      </c>
      <c r="E3840" s="84" t="str">
        <f>VLOOKUP(C3840,HSD!B:K,2,FALSE)</f>
        <v>jam</v>
      </c>
      <c r="F3840" s="128"/>
      <c r="G3840" s="87">
        <f>VLOOKUP(C3840,HSD!B:K,10,FALSE)</f>
        <v>50000</v>
      </c>
      <c r="H3840" s="87">
        <f>F3840*G3840</f>
        <v>0</v>
      </c>
      <c r="I3840" s="87"/>
      <c r="J3840" s="87"/>
      <c r="K3840" s="87"/>
      <c r="L3840" s="87"/>
    </row>
    <row r="3841" spans="1:12" ht="12" customHeight="1" x14ac:dyDescent="0.35">
      <c r="A3841" s="134">
        <v>31220105</v>
      </c>
      <c r="B3841" s="84"/>
      <c r="C3841" s="85" t="s">
        <v>729</v>
      </c>
      <c r="D3841" s="84" t="s">
        <v>418</v>
      </c>
      <c r="E3841" s="84" t="str">
        <f>VLOOKUP(C3841,HSD!B:K,2,FALSE)</f>
        <v>jam</v>
      </c>
      <c r="F3841" s="128"/>
      <c r="G3841" s="87">
        <f>VLOOKUP(C3841,HSD!B:K,10,FALSE)</f>
        <v>115440</v>
      </c>
      <c r="H3841" s="87">
        <f>F3841*G3841</f>
        <v>0</v>
      </c>
      <c r="I3841" s="87"/>
      <c r="J3841" s="87"/>
      <c r="K3841" s="87"/>
      <c r="L3841" s="87"/>
    </row>
    <row r="3842" spans="1:12" ht="12" customHeight="1" x14ac:dyDescent="0.35">
      <c r="A3842" s="134">
        <v>31220110</v>
      </c>
      <c r="B3842" s="84"/>
      <c r="C3842" s="85" t="s">
        <v>914</v>
      </c>
      <c r="D3842" s="84" t="s">
        <v>418</v>
      </c>
      <c r="E3842" s="84" t="str">
        <f>VLOOKUP(C3842,HSD!B:K,2,FALSE)</f>
        <v>hari</v>
      </c>
      <c r="F3842" s="128"/>
      <c r="G3842" s="87">
        <f>VLOOKUP(C3842,HSD!B:K,10,FALSE)</f>
        <v>50000</v>
      </c>
      <c r="H3842" s="87">
        <f t="shared" ref="H3842:H3843" si="9">F3842*G3842</f>
        <v>0</v>
      </c>
      <c r="I3842" s="87"/>
      <c r="J3842" s="87"/>
      <c r="K3842" s="87"/>
      <c r="L3842" s="87"/>
    </row>
    <row r="3843" spans="1:12" ht="12" customHeight="1" x14ac:dyDescent="0.35">
      <c r="A3843" s="134" t="s">
        <v>916</v>
      </c>
      <c r="B3843" s="84"/>
      <c r="C3843" s="85" t="s">
        <v>915</v>
      </c>
      <c r="D3843" s="84" t="s">
        <v>418</v>
      </c>
      <c r="E3843" s="84" t="str">
        <f>VLOOKUP(C3843,HSD!B:K,2,FALSE)</f>
        <v>jam</v>
      </c>
      <c r="F3843" s="128"/>
      <c r="G3843" s="87">
        <f>VLOOKUP(C3843,HSD!B:K,10,FALSE)</f>
        <v>818191.38</v>
      </c>
      <c r="H3843" s="87">
        <f t="shared" si="9"/>
        <v>0</v>
      </c>
      <c r="I3843" s="87"/>
      <c r="J3843" s="87"/>
      <c r="K3843" s="87"/>
      <c r="L3843" s="87"/>
    </row>
    <row r="3844" spans="1:12" ht="12" customHeight="1" x14ac:dyDescent="0.35">
      <c r="B3844" s="84"/>
      <c r="C3844" s="85"/>
      <c r="D3844" s="84"/>
      <c r="E3844" s="84"/>
      <c r="F3844" s="128"/>
      <c r="G3844" s="87"/>
      <c r="H3844" s="87">
        <f>F3844*G3844</f>
        <v>0</v>
      </c>
      <c r="I3844" s="87"/>
      <c r="J3844" s="87"/>
      <c r="K3844" s="87"/>
      <c r="L3844" s="87"/>
    </row>
    <row r="3845" spans="1:12" ht="12" customHeight="1" x14ac:dyDescent="0.35">
      <c r="B3845" s="84"/>
      <c r="C3845" s="88"/>
      <c r="D3845" s="79"/>
      <c r="E3845" s="79"/>
      <c r="F3845" s="89" t="s">
        <v>425</v>
      </c>
      <c r="G3845" s="101"/>
      <c r="H3845" s="87">
        <f>SUM(H3840:H3844)</f>
        <v>0</v>
      </c>
      <c r="I3845" s="101"/>
      <c r="J3845" s="87" t="e">
        <f>SUM(#REF!)</f>
        <v>#REF!</v>
      </c>
      <c r="K3845" s="101"/>
      <c r="L3845" s="87" t="e">
        <f>SUM(#REF!)</f>
        <v>#REF!</v>
      </c>
    </row>
    <row r="3846" spans="1:12" ht="12" customHeight="1" x14ac:dyDescent="0.35">
      <c r="B3846" s="84" t="s">
        <v>8</v>
      </c>
      <c r="C3846" s="103" t="s">
        <v>426</v>
      </c>
      <c r="D3846" s="104"/>
      <c r="E3846" s="104"/>
      <c r="F3846" s="104"/>
      <c r="G3846" s="105"/>
      <c r="H3846" s="87">
        <f>H3834+H3838+H3845</f>
        <v>38438</v>
      </c>
      <c r="I3846" s="105"/>
      <c r="J3846" s="87" t="e">
        <f>J3834+J3838+J3845</f>
        <v>#REF!</v>
      </c>
      <c r="K3846" s="105"/>
      <c r="L3846" s="87" t="e">
        <f>L3834+L3838+L3845</f>
        <v>#REF!</v>
      </c>
    </row>
    <row r="3847" spans="1:12" ht="12" customHeight="1" x14ac:dyDescent="0.35">
      <c r="B3847" s="84" t="s">
        <v>9</v>
      </c>
      <c r="C3847" s="455" t="s">
        <v>427</v>
      </c>
      <c r="D3847" s="455"/>
      <c r="E3847" s="455"/>
      <c r="F3847" s="95">
        <v>0</v>
      </c>
      <c r="G3847" s="85" t="s">
        <v>428</v>
      </c>
      <c r="H3847" s="87">
        <f>H3846*F3847</f>
        <v>0</v>
      </c>
      <c r="I3847" s="85" t="s">
        <v>428</v>
      </c>
      <c r="J3847" s="87" t="e">
        <f>J3846*F3847</f>
        <v>#REF!</v>
      </c>
      <c r="K3847" s="85" t="s">
        <v>428</v>
      </c>
      <c r="L3847" s="87" t="e">
        <f>L3846*F3847</f>
        <v>#REF!</v>
      </c>
    </row>
    <row r="3848" spans="1:12" ht="12" customHeight="1" x14ac:dyDescent="0.35">
      <c r="B3848" s="84" t="s">
        <v>10</v>
      </c>
      <c r="C3848" s="103" t="s">
        <v>429</v>
      </c>
      <c r="D3848" s="104"/>
      <c r="E3848" s="104"/>
      <c r="F3848" s="104"/>
      <c r="G3848" s="105"/>
      <c r="H3848" s="96">
        <f>H3846+H3847</f>
        <v>38438</v>
      </c>
      <c r="I3848" s="97"/>
      <c r="J3848" s="96" t="e">
        <f>J3846+J3847</f>
        <v>#REF!</v>
      </c>
      <c r="K3848" s="97"/>
      <c r="L3848" s="96" t="e">
        <f>L3846+L3847</f>
        <v>#REF!</v>
      </c>
    </row>
    <row r="3849" spans="1:12" ht="12" customHeight="1" x14ac:dyDescent="0.35">
      <c r="B3849" s="75" t="s">
        <v>919</v>
      </c>
      <c r="H3849" s="125"/>
      <c r="I3849" s="126"/>
      <c r="J3849" s="125"/>
      <c r="K3849" s="126"/>
      <c r="L3849" s="125"/>
    </row>
    <row r="3850" spans="1:12" ht="14" customHeight="1" x14ac:dyDescent="0.35"/>
    <row r="3851" spans="1:12" ht="37" customHeight="1" x14ac:dyDescent="0.35">
      <c r="B3851" s="76" t="s">
        <v>917</v>
      </c>
      <c r="C3851" s="458" t="s">
        <v>918</v>
      </c>
      <c r="D3851" s="459"/>
      <c r="E3851" s="459"/>
      <c r="F3851" s="459"/>
      <c r="G3851" s="456"/>
      <c r="H3851" s="457"/>
      <c r="I3851" s="455" t="s">
        <v>3</v>
      </c>
      <c r="J3851" s="455"/>
      <c r="K3851" s="455" t="s">
        <v>4</v>
      </c>
      <c r="L3851" s="455"/>
    </row>
    <row r="3852" spans="1:12" ht="12" customHeight="1" x14ac:dyDescent="0.35">
      <c r="B3852" s="451" t="s">
        <v>409</v>
      </c>
      <c r="C3852" s="451" t="s">
        <v>410</v>
      </c>
      <c r="D3852" s="452" t="s">
        <v>411</v>
      </c>
      <c r="E3852" s="451" t="s">
        <v>412</v>
      </c>
      <c r="F3852" s="451" t="s">
        <v>413</v>
      </c>
      <c r="G3852" s="77" t="s">
        <v>414</v>
      </c>
      <c r="H3852" s="77" t="s">
        <v>415</v>
      </c>
      <c r="I3852" s="78" t="s">
        <v>414</v>
      </c>
      <c r="J3852" s="79" t="s">
        <v>415</v>
      </c>
      <c r="K3852" s="79" t="s">
        <v>414</v>
      </c>
      <c r="L3852" s="79" t="s">
        <v>415</v>
      </c>
    </row>
    <row r="3853" spans="1:12" ht="12" customHeight="1" x14ac:dyDescent="0.35">
      <c r="B3853" s="451"/>
      <c r="C3853" s="451"/>
      <c r="D3853" s="453"/>
      <c r="E3853" s="451"/>
      <c r="F3853" s="451"/>
      <c r="G3853" s="77" t="s">
        <v>17</v>
      </c>
      <c r="H3853" s="77" t="s">
        <v>416</v>
      </c>
      <c r="I3853" s="78" t="s">
        <v>17</v>
      </c>
      <c r="J3853" s="79" t="s">
        <v>416</v>
      </c>
      <c r="K3853" s="79" t="s">
        <v>17</v>
      </c>
      <c r="L3853" s="79" t="s">
        <v>416</v>
      </c>
    </row>
    <row r="3854" spans="1:12" ht="12" customHeight="1" x14ac:dyDescent="0.35">
      <c r="B3854" s="451"/>
      <c r="C3854" s="451"/>
      <c r="D3854" s="454"/>
      <c r="E3854" s="451"/>
      <c r="F3854" s="451"/>
      <c r="G3854" s="106"/>
      <c r="H3854" s="77" t="s">
        <v>17</v>
      </c>
      <c r="I3854" s="94"/>
      <c r="J3854" s="79" t="s">
        <v>17</v>
      </c>
      <c r="K3854" s="85"/>
      <c r="L3854" s="79" t="s">
        <v>17</v>
      </c>
    </row>
    <row r="3855" spans="1:12" ht="12" customHeight="1" x14ac:dyDescent="0.35">
      <c r="B3855" s="80" t="s">
        <v>5</v>
      </c>
      <c r="C3855" s="81" t="s">
        <v>417</v>
      </c>
      <c r="D3855" s="82"/>
      <c r="E3855" s="82"/>
      <c r="F3855" s="82"/>
      <c r="G3855" s="82"/>
      <c r="H3855" s="82"/>
      <c r="I3855" s="83"/>
      <c r="J3855" s="83"/>
      <c r="K3855" s="83"/>
      <c r="L3855" s="83"/>
    </row>
    <row r="3856" spans="1:12" ht="12" customHeight="1" x14ac:dyDescent="0.35">
      <c r="A3856" s="134">
        <v>10130000</v>
      </c>
      <c r="B3856" s="84"/>
      <c r="C3856" s="85" t="s">
        <v>28</v>
      </c>
      <c r="D3856" s="84" t="s">
        <v>418</v>
      </c>
      <c r="E3856" s="84" t="str">
        <f>VLOOKUP(C3856,HSD!B:K,2,FALSE)</f>
        <v>OH</v>
      </c>
      <c r="F3856" s="128">
        <v>0.15459999999999999</v>
      </c>
      <c r="G3856" s="87">
        <f>VLOOKUP(C3856,HSD!B:K,10,FALSE)</f>
        <v>120000</v>
      </c>
      <c r="H3856" s="87">
        <f>F3856*G3856</f>
        <v>18552</v>
      </c>
      <c r="I3856" s="87">
        <v>91500</v>
      </c>
      <c r="J3856" s="87">
        <f>F3856*I3856</f>
        <v>14145.9</v>
      </c>
      <c r="K3856" s="87">
        <v>91500</v>
      </c>
      <c r="L3856" s="87">
        <f>F3856*K3856</f>
        <v>14145.9</v>
      </c>
    </row>
    <row r="3857" spans="1:12" ht="12" customHeight="1" x14ac:dyDescent="0.35">
      <c r="A3857" s="134">
        <v>10121100</v>
      </c>
      <c r="B3857" s="84"/>
      <c r="C3857" s="85" t="s">
        <v>515</v>
      </c>
      <c r="D3857" s="84" t="s">
        <v>418</v>
      </c>
      <c r="E3857" s="84" t="str">
        <f>VLOOKUP(C3857,HSD!B:K,2,FALSE)</f>
        <v>OH</v>
      </c>
      <c r="F3857" s="128">
        <v>7.7299999999999994E-2</v>
      </c>
      <c r="G3857" s="87">
        <f>VLOOKUP(C3857,HSD!B:K,10,FALSE)</f>
        <v>130000</v>
      </c>
      <c r="H3857" s="87">
        <f>F3857*G3857</f>
        <v>10049</v>
      </c>
      <c r="I3857" s="87"/>
      <c r="J3857" s="87"/>
      <c r="K3857" s="87"/>
      <c r="L3857" s="87"/>
    </row>
    <row r="3858" spans="1:12" ht="12" customHeight="1" x14ac:dyDescent="0.35">
      <c r="A3858" s="134">
        <v>10110000</v>
      </c>
      <c r="B3858" s="84"/>
      <c r="C3858" s="85" t="s">
        <v>30</v>
      </c>
      <c r="D3858" s="84" t="s">
        <v>418</v>
      </c>
      <c r="E3858" s="84" t="str">
        <f>VLOOKUP(C3858,HSD!B:K,2,FALSE)</f>
        <v>OH</v>
      </c>
      <c r="F3858" s="128">
        <v>1.55E-2</v>
      </c>
      <c r="G3858" s="87">
        <f>VLOOKUP(C3858,HSD!B:K,10,FALSE)</f>
        <v>150000</v>
      </c>
      <c r="H3858" s="87">
        <f>F3858*G3858</f>
        <v>2325</v>
      </c>
      <c r="I3858" s="87"/>
      <c r="J3858" s="87"/>
      <c r="K3858" s="87"/>
      <c r="L3858" s="87"/>
    </row>
    <row r="3859" spans="1:12" ht="12" customHeight="1" x14ac:dyDescent="0.35">
      <c r="B3859" s="84"/>
      <c r="C3859" s="88"/>
      <c r="D3859" s="79"/>
      <c r="E3859" s="79"/>
      <c r="F3859" s="89"/>
      <c r="G3859" s="101"/>
      <c r="H3859" s="87">
        <f>SUM(H3856:H3858)</f>
        <v>30926</v>
      </c>
      <c r="I3859" s="101"/>
      <c r="J3859" s="87">
        <f>SUM(J3858:J3858)</f>
        <v>0</v>
      </c>
      <c r="K3859" s="101"/>
      <c r="L3859" s="87">
        <f>SUM(L3858:L3858)</f>
        <v>0</v>
      </c>
    </row>
    <row r="3860" spans="1:12" ht="12" customHeight="1" x14ac:dyDescent="0.35">
      <c r="B3860" s="84" t="s">
        <v>6</v>
      </c>
      <c r="C3860" s="88" t="s">
        <v>422</v>
      </c>
      <c r="D3860" s="79"/>
      <c r="E3860" s="79"/>
      <c r="F3860" s="90"/>
      <c r="G3860" s="84"/>
      <c r="H3860" s="87"/>
      <c r="I3860" s="84"/>
      <c r="J3860" s="87"/>
      <c r="K3860" s="84"/>
      <c r="L3860" s="87"/>
    </row>
    <row r="3861" spans="1:12" ht="26" x14ac:dyDescent="0.35">
      <c r="A3861" s="134">
        <v>22310009</v>
      </c>
      <c r="B3861" s="84"/>
      <c r="C3861" s="85" t="s">
        <v>953</v>
      </c>
      <c r="D3861" s="84" t="s">
        <v>418</v>
      </c>
      <c r="E3861" s="84" t="str">
        <f>VLOOKUP(C3861,HSD!B:K,2,FALSE)</f>
        <v>buah</v>
      </c>
      <c r="F3861" s="128">
        <v>1</v>
      </c>
      <c r="G3861" s="87">
        <f>VLOOKUP(C3861,HSD!B:K,10,FALSE)</f>
        <v>548000</v>
      </c>
      <c r="H3861" s="87">
        <f>F3861*G3861</f>
        <v>548000</v>
      </c>
      <c r="I3861" s="87"/>
      <c r="J3861" s="87"/>
      <c r="K3861" s="87"/>
      <c r="L3861" s="87"/>
    </row>
    <row r="3862" spans="1:12" ht="26" x14ac:dyDescent="0.35">
      <c r="A3862" s="134">
        <v>91114013</v>
      </c>
      <c r="B3862" s="84"/>
      <c r="C3862" s="85" t="s">
        <v>1915</v>
      </c>
      <c r="D3862" s="84" t="s">
        <v>418</v>
      </c>
      <c r="E3862" s="84" t="str">
        <f>VLOOKUP(C3862,HSD!B:K,2,FALSE)</f>
        <v>m2</v>
      </c>
      <c r="F3862" s="128">
        <v>0.24</v>
      </c>
      <c r="G3862" s="87">
        <f>VLOOKUP(C3862,HSD!B:K,10,FALSE)</f>
        <v>117944</v>
      </c>
      <c r="H3862" s="87">
        <f>F3862*G3862</f>
        <v>28306.559999999998</v>
      </c>
      <c r="I3862" s="87"/>
      <c r="J3862" s="87"/>
      <c r="K3862" s="87"/>
      <c r="L3862" s="87"/>
    </row>
    <row r="3863" spans="1:12" ht="36" customHeight="1" x14ac:dyDescent="0.35">
      <c r="A3863" s="134">
        <v>91121040</v>
      </c>
      <c r="B3863" s="84"/>
      <c r="C3863" s="85" t="s">
        <v>1916</v>
      </c>
      <c r="D3863" s="84" t="s">
        <v>418</v>
      </c>
      <c r="E3863" s="84" t="str">
        <f>VLOOKUP(C3863,HSD!B:K,2,FALSE)</f>
        <v>m3</v>
      </c>
      <c r="F3863" s="128">
        <v>4.4999999999999998E-2</v>
      </c>
      <c r="G3863" s="87">
        <f>VLOOKUP(C3863,HSD!B:K,10,FALSE)</f>
        <v>1559293.3169642859</v>
      </c>
      <c r="H3863" s="87">
        <f>F3863*G3863</f>
        <v>70168.19926339286</v>
      </c>
      <c r="I3863" s="87"/>
      <c r="J3863" s="87"/>
      <c r="K3863" s="87"/>
      <c r="L3863" s="87"/>
    </row>
    <row r="3864" spans="1:12" ht="39" x14ac:dyDescent="0.35">
      <c r="A3864" s="134">
        <v>91121010</v>
      </c>
      <c r="B3864" s="84"/>
      <c r="C3864" s="85" t="s">
        <v>1917</v>
      </c>
      <c r="D3864" s="84" t="s">
        <v>418</v>
      </c>
      <c r="E3864" s="84" t="str">
        <f>VLOOKUP(C3864,HSD!B:K,2,FALSE)</f>
        <v>m3</v>
      </c>
      <c r="F3864" s="128">
        <v>0.04</v>
      </c>
      <c r="G3864" s="87">
        <f>VLOOKUP(C3864,HSD!B:K,10,FALSE)</f>
        <v>947792.53258928575</v>
      </c>
      <c r="H3864" s="87">
        <f>F3864*G3864</f>
        <v>37911.701303571434</v>
      </c>
      <c r="I3864" s="87"/>
      <c r="J3864" s="87"/>
      <c r="K3864" s="87"/>
      <c r="L3864" s="87"/>
    </row>
    <row r="3865" spans="1:12" x14ac:dyDescent="0.35">
      <c r="A3865" s="134">
        <v>211100112</v>
      </c>
      <c r="B3865" s="84"/>
      <c r="C3865" s="85" t="s">
        <v>48</v>
      </c>
      <c r="D3865" s="84" t="s">
        <v>418</v>
      </c>
      <c r="E3865" s="84" t="str">
        <f>VLOOKUP(C3865,HSD!B:K,2,FALSE)</f>
        <v>m3</v>
      </c>
      <c r="F3865" s="128">
        <v>0.02</v>
      </c>
      <c r="G3865" s="87">
        <f>VLOOKUP(C3865,HSD!B:K,10,FALSE)</f>
        <v>153026</v>
      </c>
      <c r="H3865" s="87">
        <f>F3865*G3865</f>
        <v>3060.52</v>
      </c>
      <c r="I3865" s="87"/>
      <c r="J3865" s="87"/>
      <c r="K3865" s="87"/>
      <c r="L3865" s="87"/>
    </row>
    <row r="3866" spans="1:12" x14ac:dyDescent="0.35">
      <c r="B3866" s="84"/>
      <c r="C3866" s="85"/>
      <c r="D3866" s="84"/>
      <c r="E3866" s="84"/>
      <c r="F3866" s="128"/>
      <c r="G3866" s="87"/>
      <c r="H3866" s="87"/>
      <c r="I3866" s="87"/>
      <c r="J3866" s="87"/>
      <c r="K3866" s="87"/>
      <c r="L3866" s="87"/>
    </row>
    <row r="3867" spans="1:12" ht="12" customHeight="1" x14ac:dyDescent="0.35">
      <c r="B3867" s="84"/>
      <c r="C3867" s="88"/>
      <c r="D3867" s="79"/>
      <c r="E3867" s="79"/>
      <c r="F3867" s="129" t="s">
        <v>423</v>
      </c>
      <c r="G3867" s="129"/>
      <c r="H3867" s="87">
        <f>SUM(H3861:H3866)</f>
        <v>687446.98056696437</v>
      </c>
      <c r="I3867" s="101"/>
      <c r="J3867" s="87" t="e">
        <f>SUM(#REF!)</f>
        <v>#REF!</v>
      </c>
      <c r="K3867" s="101"/>
      <c r="L3867" s="87" t="e">
        <f>SUM(#REF!)</f>
        <v>#REF!</v>
      </c>
    </row>
    <row r="3868" spans="1:12" ht="12" customHeight="1" x14ac:dyDescent="0.35">
      <c r="B3868" s="84" t="s">
        <v>7</v>
      </c>
      <c r="C3868" s="88" t="s">
        <v>424</v>
      </c>
      <c r="D3868" s="79"/>
      <c r="E3868" s="79"/>
      <c r="F3868" s="90"/>
      <c r="G3868" s="84"/>
      <c r="H3868" s="87"/>
      <c r="I3868" s="84"/>
      <c r="J3868" s="87"/>
      <c r="K3868" s="84"/>
      <c r="L3868" s="87"/>
    </row>
    <row r="3869" spans="1:12" ht="12" customHeight="1" x14ac:dyDescent="0.35">
      <c r="A3869" s="134">
        <v>31100018</v>
      </c>
      <c r="B3869" s="84"/>
      <c r="C3869" s="85" t="s">
        <v>499</v>
      </c>
      <c r="D3869" s="84" t="s">
        <v>418</v>
      </c>
      <c r="E3869" s="84" t="s">
        <v>253</v>
      </c>
      <c r="F3869" s="128">
        <v>2.1700000000000001E-2</v>
      </c>
      <c r="G3869" s="87">
        <f>VLOOKUP(C3869,HSD!B:K,10,FALSE)</f>
        <v>85595.87</v>
      </c>
      <c r="H3869" s="87">
        <f>F3869*G3869</f>
        <v>1857.4303789999999</v>
      </c>
      <c r="I3869" s="87"/>
      <c r="J3869" s="87"/>
      <c r="K3869" s="87"/>
      <c r="L3869" s="87"/>
    </row>
    <row r="3870" spans="1:12" ht="12" customHeight="1" x14ac:dyDescent="0.35">
      <c r="A3870" s="134">
        <v>31100008</v>
      </c>
      <c r="B3870" s="84"/>
      <c r="C3870" s="85" t="s">
        <v>1836</v>
      </c>
      <c r="D3870" s="84" t="s">
        <v>418</v>
      </c>
      <c r="E3870" s="84" t="s">
        <v>253</v>
      </c>
      <c r="F3870" s="128">
        <f>0.0773*2</f>
        <v>0.15459999999999999</v>
      </c>
      <c r="G3870" s="87">
        <f>VLOOKUP(C3870,HSD!B:K,10,FALSE)</f>
        <v>1053489.6200000001</v>
      </c>
      <c r="H3870" s="87">
        <f>F3870*G3870</f>
        <v>162869.49525199999</v>
      </c>
      <c r="I3870" s="87"/>
      <c r="J3870" s="87"/>
      <c r="K3870" s="87"/>
      <c r="L3870" s="87"/>
    </row>
    <row r="3871" spans="1:12" ht="12" customHeight="1" x14ac:dyDescent="0.35">
      <c r="B3871" s="84"/>
      <c r="C3871" s="85"/>
      <c r="D3871" s="84"/>
      <c r="E3871" s="84"/>
      <c r="F3871" s="128"/>
      <c r="G3871" s="87"/>
      <c r="H3871" s="87">
        <f>F3871*G3871</f>
        <v>0</v>
      </c>
      <c r="I3871" s="87"/>
      <c r="J3871" s="87"/>
      <c r="K3871" s="87"/>
      <c r="L3871" s="87"/>
    </row>
    <row r="3872" spans="1:12" ht="12" customHeight="1" x14ac:dyDescent="0.35">
      <c r="B3872" s="84"/>
      <c r="C3872" s="88"/>
      <c r="D3872" s="79"/>
      <c r="E3872" s="79"/>
      <c r="F3872" s="89" t="s">
        <v>425</v>
      </c>
      <c r="G3872" s="101"/>
      <c r="H3872" s="87">
        <f>SUM(H3869:H3871)</f>
        <v>164726.92563099999</v>
      </c>
      <c r="I3872" s="101"/>
      <c r="J3872" s="87" t="e">
        <f>SUM(#REF!)</f>
        <v>#REF!</v>
      </c>
      <c r="K3872" s="101"/>
      <c r="L3872" s="87" t="e">
        <f>SUM(#REF!)</f>
        <v>#REF!</v>
      </c>
    </row>
    <row r="3873" spans="1:12" ht="12" customHeight="1" x14ac:dyDescent="0.35">
      <c r="B3873" s="84" t="s">
        <v>8</v>
      </c>
      <c r="C3873" s="103" t="s">
        <v>426</v>
      </c>
      <c r="D3873" s="104"/>
      <c r="E3873" s="104"/>
      <c r="F3873" s="104"/>
      <c r="G3873" s="105"/>
      <c r="H3873" s="87">
        <f>H3859+H3867+H3872</f>
        <v>883099.90619796433</v>
      </c>
      <c r="I3873" s="105"/>
      <c r="J3873" s="87" t="e">
        <f>J3859+J3867+J3872</f>
        <v>#REF!</v>
      </c>
      <c r="K3873" s="105"/>
      <c r="L3873" s="87" t="e">
        <f>L3859+L3867+L3872</f>
        <v>#REF!</v>
      </c>
    </row>
    <row r="3874" spans="1:12" ht="12" customHeight="1" x14ac:dyDescent="0.35">
      <c r="B3874" s="84" t="s">
        <v>9</v>
      </c>
      <c r="C3874" s="455" t="s">
        <v>427</v>
      </c>
      <c r="D3874" s="455"/>
      <c r="E3874" s="455"/>
      <c r="F3874" s="95">
        <v>0</v>
      </c>
      <c r="G3874" s="85" t="s">
        <v>428</v>
      </c>
      <c r="H3874" s="87">
        <f>H3873*F3874</f>
        <v>0</v>
      </c>
      <c r="I3874" s="85" t="s">
        <v>428</v>
      </c>
      <c r="J3874" s="87" t="e">
        <f>J3873*F3874</f>
        <v>#REF!</v>
      </c>
      <c r="K3874" s="85" t="s">
        <v>428</v>
      </c>
      <c r="L3874" s="87" t="e">
        <f>L3873*F3874</f>
        <v>#REF!</v>
      </c>
    </row>
    <row r="3875" spans="1:12" ht="12" customHeight="1" x14ac:dyDescent="0.35">
      <c r="B3875" s="84" t="s">
        <v>10</v>
      </c>
      <c r="C3875" s="103" t="s">
        <v>429</v>
      </c>
      <c r="D3875" s="104"/>
      <c r="E3875" s="104"/>
      <c r="F3875" s="104"/>
      <c r="G3875" s="105"/>
      <c r="H3875" s="96">
        <f>H3873+H3874</f>
        <v>883099.90619796433</v>
      </c>
      <c r="I3875" s="97"/>
      <c r="J3875" s="96" t="e">
        <f>J3873+J3874</f>
        <v>#REF!</v>
      </c>
      <c r="K3875" s="97"/>
      <c r="L3875" s="96" t="e">
        <f>L3873+L3874</f>
        <v>#REF!</v>
      </c>
    </row>
    <row r="3876" spans="1:12" x14ac:dyDescent="0.35">
      <c r="B3876" s="84" t="s">
        <v>11</v>
      </c>
      <c r="C3876" s="103" t="s">
        <v>959</v>
      </c>
      <c r="D3876" s="104"/>
      <c r="E3876" s="104"/>
      <c r="F3876" s="104"/>
      <c r="G3876" s="105"/>
      <c r="H3876" s="96">
        <f>H3875/1.2</f>
        <v>735916.58849830367</v>
      </c>
    </row>
    <row r="3877" spans="1:12" ht="14" customHeight="1" x14ac:dyDescent="0.35"/>
    <row r="3878" spans="1:12" ht="37" customHeight="1" x14ac:dyDescent="0.35">
      <c r="B3878" s="76" t="s">
        <v>960</v>
      </c>
      <c r="C3878" s="458" t="s">
        <v>969</v>
      </c>
      <c r="D3878" s="459"/>
      <c r="E3878" s="459"/>
      <c r="F3878" s="459"/>
      <c r="G3878" s="456"/>
      <c r="H3878" s="457"/>
      <c r="I3878" s="455" t="s">
        <v>3</v>
      </c>
      <c r="J3878" s="455"/>
      <c r="K3878" s="455" t="s">
        <v>4</v>
      </c>
      <c r="L3878" s="455"/>
    </row>
    <row r="3879" spans="1:12" ht="12" customHeight="1" x14ac:dyDescent="0.35">
      <c r="B3879" s="451" t="s">
        <v>409</v>
      </c>
      <c r="C3879" s="451" t="s">
        <v>410</v>
      </c>
      <c r="D3879" s="452" t="s">
        <v>411</v>
      </c>
      <c r="E3879" s="451" t="s">
        <v>412</v>
      </c>
      <c r="F3879" s="451" t="s">
        <v>413</v>
      </c>
      <c r="G3879" s="77" t="s">
        <v>414</v>
      </c>
      <c r="H3879" s="77" t="s">
        <v>415</v>
      </c>
      <c r="I3879" s="78" t="s">
        <v>414</v>
      </c>
      <c r="J3879" s="79" t="s">
        <v>415</v>
      </c>
      <c r="K3879" s="79" t="s">
        <v>414</v>
      </c>
      <c r="L3879" s="79" t="s">
        <v>415</v>
      </c>
    </row>
    <row r="3880" spans="1:12" ht="12" customHeight="1" x14ac:dyDescent="0.35">
      <c r="B3880" s="451"/>
      <c r="C3880" s="451"/>
      <c r="D3880" s="453"/>
      <c r="E3880" s="451"/>
      <c r="F3880" s="451"/>
      <c r="G3880" s="77" t="s">
        <v>17</v>
      </c>
      <c r="H3880" s="77" t="s">
        <v>416</v>
      </c>
      <c r="I3880" s="78" t="s">
        <v>17</v>
      </c>
      <c r="J3880" s="79" t="s">
        <v>416</v>
      </c>
      <c r="K3880" s="79" t="s">
        <v>17</v>
      </c>
      <c r="L3880" s="79" t="s">
        <v>416</v>
      </c>
    </row>
    <row r="3881" spans="1:12" ht="12" customHeight="1" x14ac:dyDescent="0.35">
      <c r="B3881" s="451"/>
      <c r="C3881" s="451"/>
      <c r="D3881" s="454"/>
      <c r="E3881" s="451"/>
      <c r="F3881" s="451"/>
      <c r="G3881" s="106"/>
      <c r="H3881" s="77" t="s">
        <v>17</v>
      </c>
      <c r="I3881" s="94"/>
      <c r="J3881" s="79" t="s">
        <v>17</v>
      </c>
      <c r="K3881" s="85"/>
      <c r="L3881" s="79" t="s">
        <v>17</v>
      </c>
    </row>
    <row r="3882" spans="1:12" ht="12" customHeight="1" x14ac:dyDescent="0.35">
      <c r="B3882" s="80" t="s">
        <v>5</v>
      </c>
      <c r="C3882" s="81" t="s">
        <v>417</v>
      </c>
      <c r="D3882" s="82"/>
      <c r="E3882" s="82"/>
      <c r="F3882" s="82"/>
      <c r="G3882" s="82"/>
      <c r="H3882" s="82"/>
      <c r="I3882" s="83"/>
      <c r="J3882" s="83"/>
      <c r="K3882" s="83"/>
      <c r="L3882" s="83"/>
    </row>
    <row r="3883" spans="1:12" ht="12" customHeight="1" x14ac:dyDescent="0.35">
      <c r="A3883" s="134">
        <v>10130000</v>
      </c>
      <c r="B3883" s="84"/>
      <c r="C3883" s="85" t="s">
        <v>28</v>
      </c>
      <c r="D3883" s="84" t="s">
        <v>418</v>
      </c>
      <c r="E3883" s="84" t="str">
        <f>VLOOKUP(C3883,HSD!B:K,2,FALSE)</f>
        <v>OH</v>
      </c>
      <c r="F3883" s="128">
        <v>0.5</v>
      </c>
      <c r="G3883" s="87">
        <f>VLOOKUP(C3883,HSD!B:K,10,FALSE)</f>
        <v>120000</v>
      </c>
      <c r="H3883" s="87">
        <f>F3883*G3883</f>
        <v>60000</v>
      </c>
      <c r="I3883" s="87">
        <v>91500</v>
      </c>
      <c r="J3883" s="87">
        <f>F3883*I3883</f>
        <v>45750</v>
      </c>
      <c r="K3883" s="87">
        <v>91500</v>
      </c>
      <c r="L3883" s="87">
        <f>F3883*K3883</f>
        <v>45750</v>
      </c>
    </row>
    <row r="3884" spans="1:12" ht="12" customHeight="1" x14ac:dyDescent="0.35">
      <c r="A3884" s="134">
        <v>10121100</v>
      </c>
      <c r="B3884" s="84"/>
      <c r="C3884" s="85" t="s">
        <v>515</v>
      </c>
      <c r="D3884" s="84" t="s">
        <v>418</v>
      </c>
      <c r="E3884" s="84" t="str">
        <f>VLOOKUP(C3884,HSD!B:K,2,FALSE)</f>
        <v>OH</v>
      </c>
      <c r="F3884" s="128">
        <v>0.16800000000000001</v>
      </c>
      <c r="G3884" s="87">
        <f>VLOOKUP(C3884,HSD!B:K,10,FALSE)</f>
        <v>130000</v>
      </c>
      <c r="H3884" s="87">
        <f>F3884*G3884</f>
        <v>21840</v>
      </c>
      <c r="I3884" s="87"/>
      <c r="J3884" s="87"/>
      <c r="K3884" s="87"/>
      <c r="L3884" s="87"/>
    </row>
    <row r="3885" spans="1:12" ht="12" customHeight="1" x14ac:dyDescent="0.35">
      <c r="A3885" s="134">
        <v>10110000</v>
      </c>
      <c r="B3885" s="84"/>
      <c r="C3885" s="85" t="s">
        <v>30</v>
      </c>
      <c r="D3885" s="84" t="s">
        <v>418</v>
      </c>
      <c r="E3885" s="84" t="str">
        <f>VLOOKUP(C3885,HSD!B:K,2,FALSE)</f>
        <v>OH</v>
      </c>
      <c r="F3885" s="128">
        <v>5.04E-2</v>
      </c>
      <c r="G3885" s="87">
        <f>VLOOKUP(C3885,HSD!B:K,10,FALSE)</f>
        <v>150000</v>
      </c>
      <c r="H3885" s="87">
        <f>F3885*G3885</f>
        <v>7560</v>
      </c>
      <c r="I3885" s="87"/>
      <c r="J3885" s="87"/>
      <c r="K3885" s="87"/>
      <c r="L3885" s="87"/>
    </row>
    <row r="3886" spans="1:12" ht="12" customHeight="1" x14ac:dyDescent="0.35">
      <c r="B3886" s="84"/>
      <c r="C3886" s="88"/>
      <c r="D3886" s="79"/>
      <c r="E3886" s="79"/>
      <c r="F3886" s="89"/>
      <c r="G3886" s="101"/>
      <c r="H3886" s="87">
        <f>SUM(H3883:H3885)</f>
        <v>89400</v>
      </c>
      <c r="I3886" s="101"/>
      <c r="J3886" s="87">
        <f>SUM(J3885:J3885)</f>
        <v>0</v>
      </c>
      <c r="K3886" s="101"/>
      <c r="L3886" s="87">
        <f>SUM(L3885:L3885)</f>
        <v>0</v>
      </c>
    </row>
    <row r="3887" spans="1:12" ht="12" customHeight="1" x14ac:dyDescent="0.35">
      <c r="B3887" s="84" t="s">
        <v>6</v>
      </c>
      <c r="C3887" s="88" t="s">
        <v>422</v>
      </c>
      <c r="D3887" s="79"/>
      <c r="E3887" s="79"/>
      <c r="F3887" s="90"/>
      <c r="G3887" s="84"/>
      <c r="H3887" s="87"/>
      <c r="I3887" s="84"/>
      <c r="J3887" s="87"/>
      <c r="K3887" s="84"/>
      <c r="L3887" s="87"/>
    </row>
    <row r="3888" spans="1:12" ht="26" x14ac:dyDescent="0.35">
      <c r="A3888" s="134">
        <v>22310034</v>
      </c>
      <c r="B3888" s="84"/>
      <c r="C3888" s="85" t="s">
        <v>950</v>
      </c>
      <c r="D3888" s="84" t="s">
        <v>418</v>
      </c>
      <c r="E3888" s="84" t="str">
        <f>VLOOKUP(C3888,HSD!B:K,2,FALSE)</f>
        <v>buah</v>
      </c>
      <c r="F3888" s="128">
        <v>1</v>
      </c>
      <c r="G3888" s="87">
        <f>VLOOKUP(C3888,HSD!B:K,10,FALSE)</f>
        <v>1300000</v>
      </c>
      <c r="H3888" s="87">
        <f>F3888*G3888</f>
        <v>1300000</v>
      </c>
      <c r="I3888" s="87"/>
      <c r="J3888" s="87"/>
      <c r="K3888" s="87"/>
      <c r="L3888" s="87"/>
    </row>
    <row r="3889" spans="1:12" ht="26" x14ac:dyDescent="0.35">
      <c r="A3889" s="134">
        <v>91114013</v>
      </c>
      <c r="B3889" s="84"/>
      <c r="C3889" s="85" t="s">
        <v>1915</v>
      </c>
      <c r="D3889" s="84" t="s">
        <v>418</v>
      </c>
      <c r="E3889" s="84" t="str">
        <f>VLOOKUP(C3889,HSD!B:K,2,FALSE)</f>
        <v>m2</v>
      </c>
      <c r="F3889" s="128">
        <v>0.45</v>
      </c>
      <c r="G3889" s="87">
        <f>VLOOKUP(C3889,HSD!B:K,10,FALSE)</f>
        <v>117944</v>
      </c>
      <c r="H3889" s="87">
        <f>F3889*G3889</f>
        <v>53074.8</v>
      </c>
      <c r="I3889" s="87"/>
      <c r="J3889" s="87"/>
      <c r="K3889" s="87"/>
      <c r="L3889" s="87"/>
    </row>
    <row r="3890" spans="1:12" ht="36" customHeight="1" x14ac:dyDescent="0.35">
      <c r="A3890" s="134">
        <v>91121040</v>
      </c>
      <c r="B3890" s="84"/>
      <c r="C3890" s="85" t="s">
        <v>1916</v>
      </c>
      <c r="D3890" s="84" t="s">
        <v>418</v>
      </c>
      <c r="E3890" s="84" t="str">
        <f>VLOOKUP(C3890,HSD!B:K,2,FALSE)</f>
        <v>m3</v>
      </c>
      <c r="F3890" s="128">
        <v>1.7999999999999999E-2</v>
      </c>
      <c r="G3890" s="87">
        <f>VLOOKUP(C3890,HSD!B:K,10,FALSE)</f>
        <v>1559293.3169642859</v>
      </c>
      <c r="H3890" s="87">
        <f>F3890*G3890</f>
        <v>28067.279705357145</v>
      </c>
      <c r="I3890" s="87"/>
      <c r="J3890" s="87"/>
      <c r="K3890" s="87"/>
      <c r="L3890" s="87"/>
    </row>
    <row r="3891" spans="1:12" ht="39" x14ac:dyDescent="0.35">
      <c r="A3891" s="134">
        <v>91121010</v>
      </c>
      <c r="B3891" s="84"/>
      <c r="C3891" s="85" t="s">
        <v>1917</v>
      </c>
      <c r="D3891" s="84" t="s">
        <v>418</v>
      </c>
      <c r="E3891" s="84" t="str">
        <f>VLOOKUP(C3891,HSD!B:K,2,FALSE)</f>
        <v>m3</v>
      </c>
      <c r="F3891" s="128">
        <v>0.1</v>
      </c>
      <c r="G3891" s="87">
        <f>VLOOKUP(C3891,HSD!B:K,10,FALSE)</f>
        <v>947792.53258928575</v>
      </c>
      <c r="H3891" s="87">
        <f>F3891*G3891</f>
        <v>94779.253258928584</v>
      </c>
      <c r="I3891" s="87"/>
      <c r="J3891" s="87"/>
      <c r="K3891" s="87"/>
      <c r="L3891" s="87"/>
    </row>
    <row r="3892" spans="1:12" x14ac:dyDescent="0.35">
      <c r="A3892" s="134">
        <v>211100112</v>
      </c>
      <c r="B3892" s="84"/>
      <c r="C3892" s="85" t="s">
        <v>48</v>
      </c>
      <c r="D3892" s="84" t="s">
        <v>418</v>
      </c>
      <c r="E3892" s="84" t="str">
        <f>VLOOKUP(C3892,HSD!B:K,2,FALSE)</f>
        <v>m3</v>
      </c>
      <c r="F3892" s="128">
        <v>0.05</v>
      </c>
      <c r="G3892" s="87">
        <f>VLOOKUP(C3892,HSD!B:K,10,FALSE)</f>
        <v>153026</v>
      </c>
      <c r="H3892" s="87">
        <f>F3892*G3892</f>
        <v>7651.3</v>
      </c>
      <c r="I3892" s="87"/>
      <c r="J3892" s="87"/>
      <c r="K3892" s="87"/>
      <c r="L3892" s="87"/>
    </row>
    <row r="3893" spans="1:12" x14ac:dyDescent="0.35">
      <c r="B3893" s="84"/>
      <c r="C3893" s="85"/>
      <c r="D3893" s="84"/>
      <c r="E3893" s="84"/>
      <c r="F3893" s="128"/>
      <c r="G3893" s="87"/>
      <c r="H3893" s="87"/>
      <c r="I3893" s="87"/>
      <c r="J3893" s="87"/>
      <c r="K3893" s="87"/>
      <c r="L3893" s="87"/>
    </row>
    <row r="3894" spans="1:12" ht="12" customHeight="1" x14ac:dyDescent="0.35">
      <c r="B3894" s="84"/>
      <c r="C3894" s="88"/>
      <c r="D3894" s="79"/>
      <c r="E3894" s="79"/>
      <c r="F3894" s="129" t="s">
        <v>423</v>
      </c>
      <c r="G3894" s="129"/>
      <c r="H3894" s="87">
        <f>SUM(H3888:H3893)</f>
        <v>1483572.6329642858</v>
      </c>
      <c r="I3894" s="101"/>
      <c r="J3894" s="87" t="e">
        <f>SUM(#REF!)</f>
        <v>#REF!</v>
      </c>
      <c r="K3894" s="101"/>
      <c r="L3894" s="87" t="e">
        <f>SUM(#REF!)</f>
        <v>#REF!</v>
      </c>
    </row>
    <row r="3895" spans="1:12" ht="12" customHeight="1" x14ac:dyDescent="0.35">
      <c r="B3895" s="84" t="s">
        <v>7</v>
      </c>
      <c r="C3895" s="88" t="s">
        <v>424</v>
      </c>
      <c r="D3895" s="79"/>
      <c r="E3895" s="79"/>
      <c r="F3895" s="90"/>
      <c r="G3895" s="84"/>
      <c r="H3895" s="87"/>
      <c r="I3895" s="84"/>
      <c r="J3895" s="87"/>
      <c r="K3895" s="84"/>
      <c r="L3895" s="87"/>
    </row>
    <row r="3896" spans="1:12" ht="12" customHeight="1" x14ac:dyDescent="0.35">
      <c r="A3896" s="134">
        <v>31100018</v>
      </c>
      <c r="B3896" s="84"/>
      <c r="C3896" s="85" t="s">
        <v>499</v>
      </c>
      <c r="D3896" s="84" t="s">
        <v>418</v>
      </c>
      <c r="E3896" s="84" t="s">
        <v>253</v>
      </c>
      <c r="F3896" s="128">
        <v>8.6999999999999994E-3</v>
      </c>
      <c r="G3896" s="87">
        <f>VLOOKUP(C3896,HSD!B:K,10,FALSE)</f>
        <v>85595.87</v>
      </c>
      <c r="H3896" s="87">
        <f>F3896*G3896</f>
        <v>744.68406899999991</v>
      </c>
      <c r="I3896" s="87"/>
      <c r="J3896" s="87"/>
      <c r="K3896" s="87"/>
      <c r="L3896" s="87"/>
    </row>
    <row r="3897" spans="1:12" ht="12" customHeight="1" x14ac:dyDescent="0.35">
      <c r="A3897" s="134">
        <v>31100008</v>
      </c>
      <c r="B3897" s="84"/>
      <c r="C3897" s="85" t="s">
        <v>1836</v>
      </c>
      <c r="D3897" s="84" t="s">
        <v>418</v>
      </c>
      <c r="E3897" s="84" t="s">
        <v>253</v>
      </c>
      <c r="F3897" s="128">
        <f>0.168*2</f>
        <v>0.33600000000000002</v>
      </c>
      <c r="G3897" s="87">
        <f>VLOOKUP(C3897,HSD!B:K,10,FALSE)</f>
        <v>1053489.6200000001</v>
      </c>
      <c r="H3897" s="87">
        <f>F3897*G3897</f>
        <v>353972.51232000004</v>
      </c>
      <c r="I3897" s="87"/>
      <c r="J3897" s="87"/>
      <c r="K3897" s="87"/>
      <c r="L3897" s="87"/>
    </row>
    <row r="3898" spans="1:12" ht="12" customHeight="1" x14ac:dyDescent="0.35">
      <c r="B3898" s="84"/>
      <c r="C3898" s="85"/>
      <c r="D3898" s="84"/>
      <c r="E3898" s="84"/>
      <c r="F3898" s="128"/>
      <c r="G3898" s="87"/>
      <c r="H3898" s="87">
        <f>F3898*G3898</f>
        <v>0</v>
      </c>
      <c r="I3898" s="87"/>
      <c r="J3898" s="87"/>
      <c r="K3898" s="87"/>
      <c r="L3898" s="87"/>
    </row>
    <row r="3899" spans="1:12" ht="12" customHeight="1" x14ac:dyDescent="0.35">
      <c r="B3899" s="84"/>
      <c r="C3899" s="88"/>
      <c r="D3899" s="79"/>
      <c r="E3899" s="79"/>
      <c r="F3899" s="89" t="s">
        <v>425</v>
      </c>
      <c r="G3899" s="101"/>
      <c r="H3899" s="87">
        <f>SUM(H3896:H3898)</f>
        <v>354717.19638900005</v>
      </c>
      <c r="I3899" s="101"/>
      <c r="J3899" s="87" t="e">
        <f>SUM(#REF!)</f>
        <v>#REF!</v>
      </c>
      <c r="K3899" s="101"/>
      <c r="L3899" s="87" t="e">
        <f>SUM(#REF!)</f>
        <v>#REF!</v>
      </c>
    </row>
    <row r="3900" spans="1:12" ht="12" customHeight="1" x14ac:dyDescent="0.35">
      <c r="B3900" s="84" t="s">
        <v>8</v>
      </c>
      <c r="C3900" s="103" t="s">
        <v>426</v>
      </c>
      <c r="D3900" s="104"/>
      <c r="E3900" s="104"/>
      <c r="F3900" s="104"/>
      <c r="G3900" s="105"/>
      <c r="H3900" s="87">
        <f>H3886+H3894+H3899</f>
        <v>1927689.829353286</v>
      </c>
      <c r="I3900" s="105"/>
      <c r="J3900" s="87" t="e">
        <f>J3886+J3894+J3899</f>
        <v>#REF!</v>
      </c>
      <c r="K3900" s="105"/>
      <c r="L3900" s="87" t="e">
        <f>L3886+L3894+L3899</f>
        <v>#REF!</v>
      </c>
    </row>
    <row r="3901" spans="1:12" ht="12" customHeight="1" x14ac:dyDescent="0.35">
      <c r="B3901" s="84" t="s">
        <v>9</v>
      </c>
      <c r="C3901" s="455" t="s">
        <v>427</v>
      </c>
      <c r="D3901" s="455"/>
      <c r="E3901" s="455"/>
      <c r="F3901" s="95">
        <v>0</v>
      </c>
      <c r="G3901" s="85" t="s">
        <v>428</v>
      </c>
      <c r="H3901" s="87">
        <f>H3900*F3901</f>
        <v>0</v>
      </c>
      <c r="I3901" s="85" t="s">
        <v>428</v>
      </c>
      <c r="J3901" s="87" t="e">
        <f>J3900*F3901</f>
        <v>#REF!</v>
      </c>
      <c r="K3901" s="85" t="s">
        <v>428</v>
      </c>
      <c r="L3901" s="87" t="e">
        <f>L3900*F3901</f>
        <v>#REF!</v>
      </c>
    </row>
    <row r="3902" spans="1:12" ht="12" customHeight="1" x14ac:dyDescent="0.35">
      <c r="B3902" s="84" t="s">
        <v>10</v>
      </c>
      <c r="C3902" s="103" t="s">
        <v>429</v>
      </c>
      <c r="D3902" s="104"/>
      <c r="E3902" s="104"/>
      <c r="F3902" s="104"/>
      <c r="G3902" s="105"/>
      <c r="H3902" s="96">
        <f>H3900+H3901</f>
        <v>1927689.829353286</v>
      </c>
      <c r="I3902" s="97"/>
      <c r="J3902" s="96" t="e">
        <f>J3900+J3901</f>
        <v>#REF!</v>
      </c>
      <c r="K3902" s="97"/>
      <c r="L3902" s="96" t="e">
        <f>L3900+L3901</f>
        <v>#REF!</v>
      </c>
    </row>
    <row r="3903" spans="1:12" x14ac:dyDescent="0.35">
      <c r="B3903" s="84" t="s">
        <v>11</v>
      </c>
      <c r="C3903" s="103" t="s">
        <v>959</v>
      </c>
      <c r="D3903" s="104"/>
      <c r="E3903" s="104"/>
      <c r="F3903" s="104"/>
      <c r="G3903" s="105"/>
      <c r="H3903" s="96">
        <f>H3902/1.2</f>
        <v>1606408.1911277384</v>
      </c>
    </row>
    <row r="3904" spans="1:12" ht="14" customHeight="1" x14ac:dyDescent="0.35"/>
    <row r="3905" spans="1:12" ht="37" customHeight="1" x14ac:dyDescent="0.35">
      <c r="B3905" s="76" t="s">
        <v>968</v>
      </c>
      <c r="C3905" s="458" t="s">
        <v>970</v>
      </c>
      <c r="D3905" s="459"/>
      <c r="E3905" s="459"/>
      <c r="F3905" s="459"/>
      <c r="G3905" s="456"/>
      <c r="H3905" s="457"/>
      <c r="I3905" s="455" t="s">
        <v>3</v>
      </c>
      <c r="J3905" s="455"/>
      <c r="K3905" s="455" t="s">
        <v>4</v>
      </c>
      <c r="L3905" s="455"/>
    </row>
    <row r="3906" spans="1:12" ht="12" customHeight="1" x14ac:dyDescent="0.35">
      <c r="B3906" s="451" t="s">
        <v>409</v>
      </c>
      <c r="C3906" s="451" t="s">
        <v>410</v>
      </c>
      <c r="D3906" s="452" t="s">
        <v>411</v>
      </c>
      <c r="E3906" s="451" t="s">
        <v>412</v>
      </c>
      <c r="F3906" s="451" t="s">
        <v>413</v>
      </c>
      <c r="G3906" s="77" t="s">
        <v>414</v>
      </c>
      <c r="H3906" s="77" t="s">
        <v>415</v>
      </c>
      <c r="I3906" s="78" t="s">
        <v>414</v>
      </c>
      <c r="J3906" s="79" t="s">
        <v>415</v>
      </c>
      <c r="K3906" s="79" t="s">
        <v>414</v>
      </c>
      <c r="L3906" s="79" t="s">
        <v>415</v>
      </c>
    </row>
    <row r="3907" spans="1:12" ht="12" customHeight="1" x14ac:dyDescent="0.35">
      <c r="B3907" s="451"/>
      <c r="C3907" s="451"/>
      <c r="D3907" s="453"/>
      <c r="E3907" s="451"/>
      <c r="F3907" s="451"/>
      <c r="G3907" s="77" t="s">
        <v>17</v>
      </c>
      <c r="H3907" s="77" t="s">
        <v>416</v>
      </c>
      <c r="I3907" s="78" t="s">
        <v>17</v>
      </c>
      <c r="J3907" s="79" t="s">
        <v>416</v>
      </c>
      <c r="K3907" s="79" t="s">
        <v>17</v>
      </c>
      <c r="L3907" s="79" t="s">
        <v>416</v>
      </c>
    </row>
    <row r="3908" spans="1:12" ht="12" customHeight="1" x14ac:dyDescent="0.35">
      <c r="B3908" s="451"/>
      <c r="C3908" s="451"/>
      <c r="D3908" s="454"/>
      <c r="E3908" s="451"/>
      <c r="F3908" s="451"/>
      <c r="G3908" s="106"/>
      <c r="H3908" s="77" t="s">
        <v>17</v>
      </c>
      <c r="I3908" s="94"/>
      <c r="J3908" s="79" t="s">
        <v>17</v>
      </c>
      <c r="K3908" s="85"/>
      <c r="L3908" s="79" t="s">
        <v>17</v>
      </c>
    </row>
    <row r="3909" spans="1:12" ht="12" customHeight="1" x14ac:dyDescent="0.35">
      <c r="B3909" s="80" t="s">
        <v>5</v>
      </c>
      <c r="C3909" s="81" t="s">
        <v>417</v>
      </c>
      <c r="D3909" s="82"/>
      <c r="E3909" s="82"/>
      <c r="F3909" s="82"/>
      <c r="G3909" s="82"/>
      <c r="H3909" s="82"/>
      <c r="I3909" s="83"/>
      <c r="J3909" s="83"/>
      <c r="K3909" s="83"/>
      <c r="L3909" s="83"/>
    </row>
    <row r="3910" spans="1:12" ht="12" customHeight="1" x14ac:dyDescent="0.35">
      <c r="A3910" s="134">
        <v>10130000</v>
      </c>
      <c r="B3910" s="84"/>
      <c r="C3910" s="85" t="s">
        <v>28</v>
      </c>
      <c r="D3910" s="84" t="s">
        <v>418</v>
      </c>
      <c r="E3910" s="84" t="str">
        <f>VLOOKUP(C3910,HSD!B:K,2,FALSE)</f>
        <v>OH</v>
      </c>
      <c r="F3910" s="128">
        <v>0.20080000000000001</v>
      </c>
      <c r="G3910" s="87">
        <f>VLOOKUP(C3910,HSD!B:K,10,FALSE)</f>
        <v>120000</v>
      </c>
      <c r="H3910" s="87">
        <f>F3910*G3910</f>
        <v>24096</v>
      </c>
      <c r="I3910" s="87">
        <v>91500</v>
      </c>
      <c r="J3910" s="87">
        <f>F3910*I3910</f>
        <v>18373.2</v>
      </c>
      <c r="K3910" s="87">
        <v>91500</v>
      </c>
      <c r="L3910" s="87">
        <f>F3910*K3910</f>
        <v>18373.2</v>
      </c>
    </row>
    <row r="3911" spans="1:12" ht="12" customHeight="1" x14ac:dyDescent="0.35">
      <c r="A3911" s="134">
        <v>10121100</v>
      </c>
      <c r="B3911" s="84"/>
      <c r="C3911" s="85" t="s">
        <v>515</v>
      </c>
      <c r="D3911" s="84" t="s">
        <v>418</v>
      </c>
      <c r="E3911" s="84" t="str">
        <f>VLOOKUP(C3911,HSD!B:K,2,FALSE)</f>
        <v>OH</v>
      </c>
      <c r="F3911" s="128">
        <v>0.1004</v>
      </c>
      <c r="G3911" s="87">
        <f>VLOOKUP(C3911,HSD!B:K,10,FALSE)</f>
        <v>130000</v>
      </c>
      <c r="H3911" s="87">
        <f>F3911*G3911</f>
        <v>13052</v>
      </c>
      <c r="I3911" s="87"/>
      <c r="J3911" s="87"/>
      <c r="K3911" s="87"/>
      <c r="L3911" s="87"/>
    </row>
    <row r="3912" spans="1:12" ht="12" customHeight="1" x14ac:dyDescent="0.35">
      <c r="A3912" s="134">
        <v>10110000</v>
      </c>
      <c r="B3912" s="84"/>
      <c r="C3912" s="85" t="s">
        <v>30</v>
      </c>
      <c r="D3912" s="84" t="s">
        <v>418</v>
      </c>
      <c r="E3912" s="84" t="str">
        <f>VLOOKUP(C3912,HSD!B:K,2,FALSE)</f>
        <v>OH</v>
      </c>
      <c r="F3912" s="128">
        <v>2.01E-2</v>
      </c>
      <c r="G3912" s="87">
        <f>VLOOKUP(C3912,HSD!B:K,10,FALSE)</f>
        <v>150000</v>
      </c>
      <c r="H3912" s="87">
        <f>F3912*G3912</f>
        <v>3015</v>
      </c>
      <c r="I3912" s="87"/>
      <c r="J3912" s="87"/>
      <c r="K3912" s="87"/>
      <c r="L3912" s="87"/>
    </row>
    <row r="3913" spans="1:12" ht="12" customHeight="1" x14ac:dyDescent="0.35">
      <c r="B3913" s="84"/>
      <c r="C3913" s="88"/>
      <c r="D3913" s="79"/>
      <c r="E3913" s="79"/>
      <c r="F3913" s="89"/>
      <c r="G3913" s="101"/>
      <c r="H3913" s="87">
        <f>SUM(H3910:H3912)</f>
        <v>40163</v>
      </c>
      <c r="I3913" s="101"/>
      <c r="J3913" s="87">
        <f>SUM(J3912:J3912)</f>
        <v>0</v>
      </c>
      <c r="K3913" s="101"/>
      <c r="L3913" s="87">
        <f>SUM(L3912:L3912)</f>
        <v>0</v>
      </c>
    </row>
    <row r="3914" spans="1:12" ht="12" customHeight="1" x14ac:dyDescent="0.35">
      <c r="B3914" s="84" t="s">
        <v>6</v>
      </c>
      <c r="C3914" s="88" t="s">
        <v>422</v>
      </c>
      <c r="D3914" s="79"/>
      <c r="E3914" s="79"/>
      <c r="F3914" s="90"/>
      <c r="G3914" s="84"/>
      <c r="H3914" s="87"/>
      <c r="I3914" s="84"/>
      <c r="J3914" s="87"/>
      <c r="K3914" s="84"/>
      <c r="L3914" s="87"/>
    </row>
    <row r="3915" spans="1:12" ht="26" x14ac:dyDescent="0.35">
      <c r="A3915" s="134">
        <v>22320040</v>
      </c>
      <c r="B3915" s="84"/>
      <c r="C3915" s="85" t="s">
        <v>1823</v>
      </c>
      <c r="D3915" s="84" t="s">
        <v>418</v>
      </c>
      <c r="E3915" s="84" t="str">
        <f>VLOOKUP(C3915,HSD!B:K,2,FALSE)</f>
        <v>m</v>
      </c>
      <c r="F3915" s="128">
        <v>1</v>
      </c>
      <c r="G3915" s="87">
        <f>VLOOKUP(C3915,HSD!B:K,10,FALSE)</f>
        <v>805000</v>
      </c>
      <c r="H3915" s="87">
        <f>F3915*G3915</f>
        <v>805000</v>
      </c>
      <c r="I3915" s="87"/>
      <c r="J3915" s="87"/>
      <c r="K3915" s="87"/>
      <c r="L3915" s="87"/>
    </row>
    <row r="3916" spans="1:12" ht="26" x14ac:dyDescent="0.35">
      <c r="A3916" s="134">
        <v>91114013</v>
      </c>
      <c r="B3916" s="84"/>
      <c r="C3916" s="85" t="s">
        <v>1915</v>
      </c>
      <c r="D3916" s="84" t="s">
        <v>418</v>
      </c>
      <c r="E3916" s="84" t="str">
        <f>VLOOKUP(C3916,HSD!B:K,2,FALSE)</f>
        <v>m2</v>
      </c>
      <c r="F3916" s="128">
        <v>0.18</v>
      </c>
      <c r="G3916" s="87">
        <f>VLOOKUP(C3916,HSD!B:K,10,FALSE)</f>
        <v>117944</v>
      </c>
      <c r="H3916" s="87">
        <f>F3916*G3916</f>
        <v>21229.919999999998</v>
      </c>
      <c r="I3916" s="87"/>
      <c r="J3916" s="87"/>
      <c r="K3916" s="87"/>
      <c r="L3916" s="87"/>
    </row>
    <row r="3917" spans="1:12" ht="36" customHeight="1" x14ac:dyDescent="0.35">
      <c r="A3917" s="134">
        <v>91121040</v>
      </c>
      <c r="B3917" s="84"/>
      <c r="C3917" s="85" t="s">
        <v>1916</v>
      </c>
      <c r="D3917" s="84" t="s">
        <v>418</v>
      </c>
      <c r="E3917" s="84" t="str">
        <f>VLOOKUP(C3917,HSD!B:K,2,FALSE)</f>
        <v>m3</v>
      </c>
      <c r="F3917" s="128">
        <v>0.1</v>
      </c>
      <c r="G3917" s="87">
        <f>VLOOKUP(C3917,HSD!B:K,10,FALSE)</f>
        <v>1559293.3169642859</v>
      </c>
      <c r="H3917" s="87">
        <f>F3917*G3917</f>
        <v>155929.33169642859</v>
      </c>
      <c r="I3917" s="87"/>
      <c r="J3917" s="87"/>
      <c r="K3917" s="87"/>
      <c r="L3917" s="87"/>
    </row>
    <row r="3918" spans="1:12" ht="39" x14ac:dyDescent="0.35">
      <c r="A3918" s="134">
        <v>91121010</v>
      </c>
      <c r="B3918" s="84"/>
      <c r="C3918" s="85" t="s">
        <v>1917</v>
      </c>
      <c r="D3918" s="84" t="s">
        <v>418</v>
      </c>
      <c r="E3918" s="84" t="str">
        <f>VLOOKUP(C3918,HSD!B:K,2,FALSE)</f>
        <v>m3</v>
      </c>
      <c r="F3918" s="128">
        <v>0.1</v>
      </c>
      <c r="G3918" s="87">
        <f>VLOOKUP(C3918,HSD!B:K,10,FALSE)</f>
        <v>947792.53258928575</v>
      </c>
      <c r="H3918" s="87">
        <f>F3918*G3918</f>
        <v>94779.253258928584</v>
      </c>
      <c r="I3918" s="87"/>
      <c r="J3918" s="87"/>
      <c r="K3918" s="87"/>
      <c r="L3918" s="87"/>
    </row>
    <row r="3919" spans="1:12" x14ac:dyDescent="0.35">
      <c r="A3919" s="134">
        <v>211100112</v>
      </c>
      <c r="B3919" s="84"/>
      <c r="C3919" s="85" t="s">
        <v>48</v>
      </c>
      <c r="D3919" s="84" t="s">
        <v>418</v>
      </c>
      <c r="E3919" s="84" t="str">
        <f>VLOOKUP(C3919,HSD!B:K,2,FALSE)</f>
        <v>m3</v>
      </c>
      <c r="F3919" s="128">
        <v>2.5000000000000001E-2</v>
      </c>
      <c r="G3919" s="87">
        <f>VLOOKUP(C3919,HSD!B:K,10,FALSE)</f>
        <v>153026</v>
      </c>
      <c r="H3919" s="87">
        <f>F3919*G3919</f>
        <v>3825.65</v>
      </c>
      <c r="I3919" s="87"/>
      <c r="J3919" s="87"/>
      <c r="K3919" s="87"/>
      <c r="L3919" s="87"/>
    </row>
    <row r="3920" spans="1:12" x14ac:dyDescent="0.35">
      <c r="B3920" s="84"/>
      <c r="C3920" s="85"/>
      <c r="D3920" s="84"/>
      <c r="E3920" s="84"/>
      <c r="F3920" s="128"/>
      <c r="G3920" s="87"/>
      <c r="H3920" s="87"/>
      <c r="I3920" s="87"/>
      <c r="J3920" s="87"/>
      <c r="K3920" s="87"/>
      <c r="L3920" s="87"/>
    </row>
    <row r="3921" spans="1:12" ht="12" customHeight="1" x14ac:dyDescent="0.35">
      <c r="B3921" s="84"/>
      <c r="C3921" s="88"/>
      <c r="D3921" s="79"/>
      <c r="E3921" s="79"/>
      <c r="F3921" s="129" t="s">
        <v>423</v>
      </c>
      <c r="G3921" s="129"/>
      <c r="H3921" s="87">
        <f>SUM(H3915:H3920)</f>
        <v>1080764.1549553571</v>
      </c>
      <c r="I3921" s="101"/>
      <c r="J3921" s="87" t="e">
        <f>SUM(#REF!)</f>
        <v>#REF!</v>
      </c>
      <c r="K3921" s="101"/>
      <c r="L3921" s="87" t="e">
        <f>SUM(#REF!)</f>
        <v>#REF!</v>
      </c>
    </row>
    <row r="3922" spans="1:12" ht="12" customHeight="1" x14ac:dyDescent="0.35">
      <c r="B3922" s="84" t="s">
        <v>7</v>
      </c>
      <c r="C3922" s="88" t="s">
        <v>424</v>
      </c>
      <c r="D3922" s="79"/>
      <c r="E3922" s="79"/>
      <c r="F3922" s="90"/>
      <c r="G3922" s="84"/>
      <c r="H3922" s="87"/>
      <c r="I3922" s="84"/>
      <c r="J3922" s="87"/>
      <c r="K3922" s="84"/>
      <c r="L3922" s="87"/>
    </row>
    <row r="3923" spans="1:12" ht="12" customHeight="1" x14ac:dyDescent="0.35">
      <c r="A3923" s="134">
        <v>31100018</v>
      </c>
      <c r="B3923" s="84"/>
      <c r="C3923" s="85" t="s">
        <v>499</v>
      </c>
      <c r="D3923" s="84" t="s">
        <v>418</v>
      </c>
      <c r="E3923" s="84" t="s">
        <v>253</v>
      </c>
      <c r="F3923" s="128">
        <v>4.82E-2</v>
      </c>
      <c r="G3923" s="87">
        <f>VLOOKUP(C3923,HSD!B:K,10,FALSE)</f>
        <v>85595.87</v>
      </c>
      <c r="H3923" s="87">
        <f>F3923*G3923</f>
        <v>4125.7209339999999</v>
      </c>
      <c r="I3923" s="87"/>
      <c r="J3923" s="87"/>
      <c r="K3923" s="87"/>
      <c r="L3923" s="87"/>
    </row>
    <row r="3924" spans="1:12" ht="12" customHeight="1" x14ac:dyDescent="0.35">
      <c r="A3924" s="134">
        <v>31100008</v>
      </c>
      <c r="B3924" s="84"/>
      <c r="C3924" s="85" t="s">
        <v>1836</v>
      </c>
      <c r="D3924" s="84" t="s">
        <v>418</v>
      </c>
      <c r="E3924" s="84" t="s">
        <v>253</v>
      </c>
      <c r="F3924" s="128">
        <f>0.1004*2</f>
        <v>0.20080000000000001</v>
      </c>
      <c r="G3924" s="87">
        <f>VLOOKUP(C3924,HSD!B:K,10,FALSE)</f>
        <v>1053489.6200000001</v>
      </c>
      <c r="H3924" s="87">
        <f>F3924*G3924</f>
        <v>211540.71569600003</v>
      </c>
      <c r="I3924" s="87"/>
      <c r="J3924" s="87"/>
      <c r="K3924" s="87"/>
      <c r="L3924" s="87"/>
    </row>
    <row r="3925" spans="1:12" ht="12" customHeight="1" x14ac:dyDescent="0.35">
      <c r="B3925" s="84"/>
      <c r="C3925" s="85"/>
      <c r="D3925" s="84"/>
      <c r="E3925" s="84"/>
      <c r="F3925" s="128"/>
      <c r="G3925" s="87"/>
      <c r="H3925" s="87">
        <f>F3925*G3925</f>
        <v>0</v>
      </c>
      <c r="I3925" s="87"/>
      <c r="J3925" s="87"/>
      <c r="K3925" s="87"/>
      <c r="L3925" s="87"/>
    </row>
    <row r="3926" spans="1:12" ht="12" customHeight="1" x14ac:dyDescent="0.35">
      <c r="B3926" s="84"/>
      <c r="C3926" s="88"/>
      <c r="D3926" s="79"/>
      <c r="E3926" s="79"/>
      <c r="F3926" s="89" t="s">
        <v>425</v>
      </c>
      <c r="G3926" s="101"/>
      <c r="H3926" s="87">
        <f>SUM(H3923:H3925)</f>
        <v>215666.43663000004</v>
      </c>
      <c r="I3926" s="101"/>
      <c r="J3926" s="87" t="e">
        <f>SUM(#REF!)</f>
        <v>#REF!</v>
      </c>
      <c r="K3926" s="101"/>
      <c r="L3926" s="87" t="e">
        <f>SUM(#REF!)</f>
        <v>#REF!</v>
      </c>
    </row>
    <row r="3927" spans="1:12" ht="12" customHeight="1" x14ac:dyDescent="0.35">
      <c r="B3927" s="84" t="s">
        <v>8</v>
      </c>
      <c r="C3927" s="103" t="s">
        <v>426</v>
      </c>
      <c r="D3927" s="104"/>
      <c r="E3927" s="104"/>
      <c r="F3927" s="104"/>
      <c r="G3927" s="105"/>
      <c r="H3927" s="87">
        <f>H3913+H3921+H3926</f>
        <v>1336593.5915853572</v>
      </c>
      <c r="I3927" s="105"/>
      <c r="J3927" s="87" t="e">
        <f>J3913+J3921+J3926</f>
        <v>#REF!</v>
      </c>
      <c r="K3927" s="105"/>
      <c r="L3927" s="87" t="e">
        <f>L3913+L3921+L3926</f>
        <v>#REF!</v>
      </c>
    </row>
    <row r="3928" spans="1:12" ht="12" customHeight="1" x14ac:dyDescent="0.35">
      <c r="B3928" s="84" t="s">
        <v>9</v>
      </c>
      <c r="C3928" s="455" t="s">
        <v>427</v>
      </c>
      <c r="D3928" s="455"/>
      <c r="E3928" s="455"/>
      <c r="F3928" s="95">
        <v>0</v>
      </c>
      <c r="G3928" s="85" t="s">
        <v>428</v>
      </c>
      <c r="H3928" s="87">
        <f>H3927*F3928</f>
        <v>0</v>
      </c>
      <c r="I3928" s="85" t="s">
        <v>428</v>
      </c>
      <c r="J3928" s="87" t="e">
        <f>J3927*F3928</f>
        <v>#REF!</v>
      </c>
      <c r="K3928" s="85" t="s">
        <v>428</v>
      </c>
      <c r="L3928" s="87" t="e">
        <f>L3927*F3928</f>
        <v>#REF!</v>
      </c>
    </row>
    <row r="3929" spans="1:12" ht="12" customHeight="1" x14ac:dyDescent="0.35">
      <c r="B3929" s="84" t="s">
        <v>10</v>
      </c>
      <c r="C3929" s="103" t="s">
        <v>429</v>
      </c>
      <c r="D3929" s="104"/>
      <c r="E3929" s="104"/>
      <c r="F3929" s="104"/>
      <c r="G3929" s="105"/>
      <c r="H3929" s="96">
        <f>H3927+H3928</f>
        <v>1336593.5915853572</v>
      </c>
      <c r="I3929" s="97"/>
      <c r="J3929" s="96" t="e">
        <f>J3927+J3928</f>
        <v>#REF!</v>
      </c>
      <c r="K3929" s="97"/>
      <c r="L3929" s="96" t="e">
        <f>L3927+L3928</f>
        <v>#REF!</v>
      </c>
    </row>
    <row r="3930" spans="1:12" ht="14" customHeight="1" x14ac:dyDescent="0.35"/>
    <row r="3931" spans="1:12" ht="37" customHeight="1" x14ac:dyDescent="0.35">
      <c r="B3931" s="76" t="s">
        <v>971</v>
      </c>
      <c r="C3931" s="458" t="s">
        <v>972</v>
      </c>
      <c r="D3931" s="459"/>
      <c r="E3931" s="459"/>
      <c r="F3931" s="459"/>
      <c r="G3931" s="456"/>
      <c r="H3931" s="457"/>
      <c r="I3931" s="455" t="s">
        <v>3</v>
      </c>
      <c r="J3931" s="455"/>
      <c r="K3931" s="455" t="s">
        <v>4</v>
      </c>
      <c r="L3931" s="455"/>
    </row>
    <row r="3932" spans="1:12" ht="12" customHeight="1" x14ac:dyDescent="0.35">
      <c r="B3932" s="451" t="s">
        <v>409</v>
      </c>
      <c r="C3932" s="451" t="s">
        <v>410</v>
      </c>
      <c r="D3932" s="452" t="s">
        <v>411</v>
      </c>
      <c r="E3932" s="451" t="s">
        <v>412</v>
      </c>
      <c r="F3932" s="451" t="s">
        <v>413</v>
      </c>
      <c r="G3932" s="77" t="s">
        <v>414</v>
      </c>
      <c r="H3932" s="77" t="s">
        <v>415</v>
      </c>
      <c r="I3932" s="78" t="s">
        <v>414</v>
      </c>
      <c r="J3932" s="79" t="s">
        <v>415</v>
      </c>
      <c r="K3932" s="79" t="s">
        <v>414</v>
      </c>
      <c r="L3932" s="79" t="s">
        <v>415</v>
      </c>
    </row>
    <row r="3933" spans="1:12" ht="12" customHeight="1" x14ac:dyDescent="0.35">
      <c r="B3933" s="451"/>
      <c r="C3933" s="451"/>
      <c r="D3933" s="453"/>
      <c r="E3933" s="451"/>
      <c r="F3933" s="451"/>
      <c r="G3933" s="77" t="s">
        <v>17</v>
      </c>
      <c r="H3933" s="77" t="s">
        <v>416</v>
      </c>
      <c r="I3933" s="78" t="s">
        <v>17</v>
      </c>
      <c r="J3933" s="79" t="s">
        <v>416</v>
      </c>
      <c r="K3933" s="79" t="s">
        <v>17</v>
      </c>
      <c r="L3933" s="79" t="s">
        <v>416</v>
      </c>
    </row>
    <row r="3934" spans="1:12" ht="12" customHeight="1" x14ac:dyDescent="0.35">
      <c r="B3934" s="451"/>
      <c r="C3934" s="451"/>
      <c r="D3934" s="454"/>
      <c r="E3934" s="451"/>
      <c r="F3934" s="451"/>
      <c r="G3934" s="106"/>
      <c r="H3934" s="77" t="s">
        <v>17</v>
      </c>
      <c r="I3934" s="94"/>
      <c r="J3934" s="79" t="s">
        <v>17</v>
      </c>
      <c r="K3934" s="85"/>
      <c r="L3934" s="79" t="s">
        <v>17</v>
      </c>
    </row>
    <row r="3935" spans="1:12" ht="12" customHeight="1" x14ac:dyDescent="0.35">
      <c r="B3935" s="80" t="s">
        <v>5</v>
      </c>
      <c r="C3935" s="81" t="s">
        <v>417</v>
      </c>
      <c r="D3935" s="82"/>
      <c r="E3935" s="82"/>
      <c r="F3935" s="82"/>
      <c r="G3935" s="82"/>
      <c r="H3935" s="82"/>
      <c r="I3935" s="83"/>
      <c r="J3935" s="83"/>
      <c r="K3935" s="83"/>
      <c r="L3935" s="83"/>
    </row>
    <row r="3936" spans="1:12" ht="12" customHeight="1" x14ac:dyDescent="0.35">
      <c r="A3936" s="134">
        <v>10130000</v>
      </c>
      <c r="B3936" s="84"/>
      <c r="C3936" s="85" t="s">
        <v>28</v>
      </c>
      <c r="D3936" s="84" t="s">
        <v>418</v>
      </c>
      <c r="E3936" s="84" t="str">
        <f>VLOOKUP(C3936,HSD!B:K,2,FALSE)</f>
        <v>OH</v>
      </c>
      <c r="F3936" s="128">
        <v>0.33119999999999999</v>
      </c>
      <c r="G3936" s="87">
        <f>VLOOKUP(C3936,HSD!B:K,10,FALSE)</f>
        <v>120000</v>
      </c>
      <c r="H3936" s="87">
        <f>F3936*G3936</f>
        <v>39744</v>
      </c>
      <c r="I3936" s="87">
        <v>91500</v>
      </c>
      <c r="J3936" s="87">
        <f>F3936*I3936</f>
        <v>30304.799999999999</v>
      </c>
      <c r="K3936" s="87">
        <v>91500</v>
      </c>
      <c r="L3936" s="87">
        <f>F3936*K3936</f>
        <v>30304.799999999999</v>
      </c>
    </row>
    <row r="3937" spans="1:12" ht="12" customHeight="1" x14ac:dyDescent="0.35">
      <c r="A3937" s="134">
        <v>10121100</v>
      </c>
      <c r="B3937" s="84"/>
      <c r="C3937" s="85" t="s">
        <v>515</v>
      </c>
      <c r="D3937" s="84" t="s">
        <v>418</v>
      </c>
      <c r="E3937" s="84" t="str">
        <f>VLOOKUP(C3937,HSD!B:K,2,FALSE)</f>
        <v>OH</v>
      </c>
      <c r="F3937" s="128">
        <v>0.1656</v>
      </c>
      <c r="G3937" s="87">
        <f>VLOOKUP(C3937,HSD!B:K,10,FALSE)</f>
        <v>130000</v>
      </c>
      <c r="H3937" s="87">
        <f>F3937*G3937</f>
        <v>21528</v>
      </c>
      <c r="I3937" s="87"/>
      <c r="J3937" s="87"/>
      <c r="K3937" s="87"/>
      <c r="L3937" s="87"/>
    </row>
    <row r="3938" spans="1:12" ht="12" customHeight="1" x14ac:dyDescent="0.35">
      <c r="A3938" s="134">
        <v>10110000</v>
      </c>
      <c r="B3938" s="84"/>
      <c r="C3938" s="85" t="s">
        <v>30</v>
      </c>
      <c r="D3938" s="84" t="s">
        <v>418</v>
      </c>
      <c r="E3938" s="84" t="str">
        <f>VLOOKUP(C3938,HSD!B:K,2,FALSE)</f>
        <v>OH</v>
      </c>
      <c r="F3938" s="128">
        <f>F3936/10</f>
        <v>3.3119999999999997E-2</v>
      </c>
      <c r="G3938" s="87">
        <f>VLOOKUP(C3938,HSD!B:K,10,FALSE)</f>
        <v>150000</v>
      </c>
      <c r="H3938" s="87">
        <f>F3938*G3938</f>
        <v>4967.9999999999991</v>
      </c>
      <c r="I3938" s="87"/>
      <c r="J3938" s="87"/>
      <c r="K3938" s="87"/>
      <c r="L3938" s="87"/>
    </row>
    <row r="3939" spans="1:12" ht="12" customHeight="1" x14ac:dyDescent="0.35">
      <c r="B3939" s="84"/>
      <c r="C3939" s="88"/>
      <c r="D3939" s="79"/>
      <c r="E3939" s="79"/>
      <c r="F3939" s="89"/>
      <c r="G3939" s="101"/>
      <c r="H3939" s="87">
        <f>SUM(H3936:H3938)</f>
        <v>66240</v>
      </c>
      <c r="I3939" s="101"/>
      <c r="J3939" s="87">
        <f>SUM(J3938:J3938)</f>
        <v>0</v>
      </c>
      <c r="K3939" s="101"/>
      <c r="L3939" s="87">
        <f>SUM(L3938:L3938)</f>
        <v>0</v>
      </c>
    </row>
    <row r="3940" spans="1:12" ht="12" customHeight="1" x14ac:dyDescent="0.35">
      <c r="B3940" s="84" t="s">
        <v>6</v>
      </c>
      <c r="C3940" s="88" t="s">
        <v>422</v>
      </c>
      <c r="D3940" s="79"/>
      <c r="E3940" s="79"/>
      <c r="F3940" s="90"/>
      <c r="G3940" s="84"/>
      <c r="H3940" s="87"/>
      <c r="I3940" s="84"/>
      <c r="J3940" s="87"/>
      <c r="K3940" s="84"/>
      <c r="L3940" s="87"/>
    </row>
    <row r="3941" spans="1:12" ht="26" x14ac:dyDescent="0.35">
      <c r="A3941" s="134">
        <v>22320060</v>
      </c>
      <c r="B3941" s="84"/>
      <c r="C3941" s="85" t="s">
        <v>1814</v>
      </c>
      <c r="D3941" s="84" t="s">
        <v>418</v>
      </c>
      <c r="E3941" s="84" t="str">
        <f>VLOOKUP(C3941,HSD!B:K,2,FALSE)</f>
        <v>m</v>
      </c>
      <c r="F3941" s="128">
        <v>1</v>
      </c>
      <c r="G3941" s="87">
        <f>VLOOKUP(C3941,HSD!B:K,10,FALSE)</f>
        <v>1300000</v>
      </c>
      <c r="H3941" s="87">
        <f>F3941*G3941</f>
        <v>1300000</v>
      </c>
      <c r="I3941" s="87"/>
      <c r="J3941" s="87"/>
      <c r="K3941" s="87"/>
      <c r="L3941" s="87"/>
    </row>
    <row r="3942" spans="1:12" ht="26" x14ac:dyDescent="0.35">
      <c r="A3942" s="134">
        <v>91114013</v>
      </c>
      <c r="B3942" s="84"/>
      <c r="C3942" s="85" t="s">
        <v>1915</v>
      </c>
      <c r="D3942" s="84" t="s">
        <v>418</v>
      </c>
      <c r="E3942" s="84" t="str">
        <f>VLOOKUP(C3942,HSD!B:K,2,FALSE)</f>
        <v>m2</v>
      </c>
      <c r="F3942" s="128">
        <v>0.27</v>
      </c>
      <c r="G3942" s="87">
        <f>VLOOKUP(C3942,HSD!B:K,10,FALSE)</f>
        <v>117944</v>
      </c>
      <c r="H3942" s="87">
        <f>F3942*G3942</f>
        <v>31844.880000000001</v>
      </c>
      <c r="I3942" s="87"/>
      <c r="J3942" s="87"/>
      <c r="K3942" s="87"/>
      <c r="L3942" s="87"/>
    </row>
    <row r="3943" spans="1:12" ht="36" customHeight="1" x14ac:dyDescent="0.35">
      <c r="A3943" s="134">
        <v>91121040</v>
      </c>
      <c r="B3943" s="84"/>
      <c r="C3943" s="85" t="s">
        <v>1916</v>
      </c>
      <c r="D3943" s="84" t="s">
        <v>418</v>
      </c>
      <c r="E3943" s="84" t="str">
        <f>VLOOKUP(C3943,HSD!B:K,2,FALSE)</f>
        <v>m3</v>
      </c>
      <c r="F3943" s="128">
        <v>0.14399999999999999</v>
      </c>
      <c r="G3943" s="87">
        <f>VLOOKUP(C3943,HSD!B:K,10,FALSE)</f>
        <v>1559293.3169642859</v>
      </c>
      <c r="H3943" s="87">
        <f>F3943*G3943</f>
        <v>224538.23764285716</v>
      </c>
      <c r="I3943" s="87"/>
      <c r="J3943" s="87"/>
      <c r="K3943" s="87"/>
      <c r="L3943" s="87"/>
    </row>
    <row r="3944" spans="1:12" ht="39" x14ac:dyDescent="0.35">
      <c r="A3944" s="134">
        <v>91121010</v>
      </c>
      <c r="B3944" s="84"/>
      <c r="C3944" s="85" t="s">
        <v>1917</v>
      </c>
      <c r="D3944" s="84" t="s">
        <v>418</v>
      </c>
      <c r="E3944" s="84" t="str">
        <f>VLOOKUP(C3944,HSD!B:K,2,FALSE)</f>
        <v>m3</v>
      </c>
      <c r="F3944" s="128">
        <v>0.158</v>
      </c>
      <c r="G3944" s="87">
        <f>VLOOKUP(C3944,HSD!B:K,10,FALSE)</f>
        <v>947792.53258928575</v>
      </c>
      <c r="H3944" s="87">
        <f>F3944*G3944</f>
        <v>149751.22014910716</v>
      </c>
      <c r="I3944" s="87"/>
      <c r="J3944" s="87"/>
      <c r="K3944" s="87"/>
      <c r="L3944" s="87"/>
    </row>
    <row r="3945" spans="1:12" x14ac:dyDescent="0.35">
      <c r="A3945" s="134">
        <v>211100112</v>
      </c>
      <c r="B3945" s="84"/>
      <c r="C3945" s="85" t="s">
        <v>48</v>
      </c>
      <c r="D3945" s="84" t="s">
        <v>418</v>
      </c>
      <c r="E3945" s="84" t="str">
        <f>VLOOKUP(C3945,HSD!B:K,2,FALSE)</f>
        <v>m3</v>
      </c>
      <c r="F3945" s="128">
        <v>5.8000000000000003E-2</v>
      </c>
      <c r="G3945" s="87">
        <f>VLOOKUP(C3945,HSD!B:K,10,FALSE)</f>
        <v>153026</v>
      </c>
      <c r="H3945" s="87">
        <f>F3945*G3945</f>
        <v>8875.5079999999998</v>
      </c>
      <c r="I3945" s="87"/>
      <c r="J3945" s="87"/>
      <c r="K3945" s="87"/>
      <c r="L3945" s="87"/>
    </row>
    <row r="3946" spans="1:12" x14ac:dyDescent="0.35">
      <c r="B3946" s="84"/>
      <c r="C3946" s="85"/>
      <c r="D3946" s="84"/>
      <c r="E3946" s="84"/>
      <c r="F3946" s="128"/>
      <c r="G3946" s="87"/>
      <c r="H3946" s="87"/>
      <c r="I3946" s="87"/>
      <c r="J3946" s="87"/>
      <c r="K3946" s="87"/>
      <c r="L3946" s="87"/>
    </row>
    <row r="3947" spans="1:12" ht="12" customHeight="1" x14ac:dyDescent="0.35">
      <c r="B3947" s="84"/>
      <c r="C3947" s="88"/>
      <c r="D3947" s="79"/>
      <c r="E3947" s="79"/>
      <c r="F3947" s="129" t="s">
        <v>423</v>
      </c>
      <c r="G3947" s="129"/>
      <c r="H3947" s="87">
        <f>SUM(H3941:H3946)</f>
        <v>1715009.8457919643</v>
      </c>
      <c r="I3947" s="101"/>
      <c r="J3947" s="87" t="e">
        <f>SUM(#REF!)</f>
        <v>#REF!</v>
      </c>
      <c r="K3947" s="101"/>
      <c r="L3947" s="87" t="e">
        <f>SUM(#REF!)</f>
        <v>#REF!</v>
      </c>
    </row>
    <row r="3948" spans="1:12" ht="12" customHeight="1" x14ac:dyDescent="0.35">
      <c r="B3948" s="84" t="s">
        <v>7</v>
      </c>
      <c r="C3948" s="88" t="s">
        <v>424</v>
      </c>
      <c r="D3948" s="79"/>
      <c r="E3948" s="79"/>
      <c r="F3948" s="90"/>
      <c r="G3948" s="84"/>
      <c r="H3948" s="87"/>
      <c r="I3948" s="84"/>
      <c r="J3948" s="87"/>
      <c r="K3948" s="84"/>
      <c r="L3948" s="87"/>
    </row>
    <row r="3949" spans="1:12" ht="12" customHeight="1" x14ac:dyDescent="0.35">
      <c r="A3949" s="134">
        <v>31100018</v>
      </c>
      <c r="B3949" s="84"/>
      <c r="C3949" s="85" t="s">
        <v>499</v>
      </c>
      <c r="D3949" s="84" t="s">
        <v>418</v>
      </c>
      <c r="E3949" s="84" t="s">
        <v>253</v>
      </c>
      <c r="F3949" s="128">
        <v>6.9400000000000003E-2</v>
      </c>
      <c r="G3949" s="87">
        <f>VLOOKUP(C3949,HSD!B:K,10,FALSE)</f>
        <v>85595.87</v>
      </c>
      <c r="H3949" s="87">
        <f>F3949*G3949</f>
        <v>5940.3533779999998</v>
      </c>
      <c r="I3949" s="87"/>
      <c r="J3949" s="87"/>
      <c r="K3949" s="87"/>
      <c r="L3949" s="87"/>
    </row>
    <row r="3950" spans="1:12" ht="12" customHeight="1" x14ac:dyDescent="0.35">
      <c r="A3950" s="134">
        <v>31100008</v>
      </c>
      <c r="B3950" s="84"/>
      <c r="C3950" s="85" t="s">
        <v>1836</v>
      </c>
      <c r="D3950" s="84" t="s">
        <v>418</v>
      </c>
      <c r="E3950" s="84" t="s">
        <v>253</v>
      </c>
      <c r="F3950" s="128">
        <f>0.1656*2</f>
        <v>0.33119999999999999</v>
      </c>
      <c r="G3950" s="87">
        <f>VLOOKUP(C3950,HSD!B:K,10,FALSE)</f>
        <v>1053489.6200000001</v>
      </c>
      <c r="H3950" s="87">
        <f>F3950*G3950</f>
        <v>348915.76214400004</v>
      </c>
      <c r="I3950" s="87"/>
      <c r="J3950" s="87"/>
      <c r="K3950" s="87"/>
      <c r="L3950" s="87"/>
    </row>
    <row r="3951" spans="1:12" ht="12" customHeight="1" x14ac:dyDescent="0.35">
      <c r="B3951" s="84"/>
      <c r="C3951" s="85"/>
      <c r="D3951" s="84"/>
      <c r="E3951" s="84"/>
      <c r="F3951" s="128"/>
      <c r="G3951" s="87"/>
      <c r="H3951" s="87">
        <f>F3951*G3951</f>
        <v>0</v>
      </c>
      <c r="I3951" s="87"/>
      <c r="J3951" s="87"/>
      <c r="K3951" s="87"/>
      <c r="L3951" s="87"/>
    </row>
    <row r="3952" spans="1:12" ht="12" customHeight="1" x14ac:dyDescent="0.35">
      <c r="B3952" s="84"/>
      <c r="C3952" s="88"/>
      <c r="D3952" s="79"/>
      <c r="E3952" s="79"/>
      <c r="F3952" s="89" t="s">
        <v>425</v>
      </c>
      <c r="G3952" s="101"/>
      <c r="H3952" s="87">
        <f>SUM(H3949:H3951)</f>
        <v>354856.11552200001</v>
      </c>
      <c r="I3952" s="101"/>
      <c r="J3952" s="87" t="e">
        <f>SUM(#REF!)</f>
        <v>#REF!</v>
      </c>
      <c r="K3952" s="101"/>
      <c r="L3952" s="87" t="e">
        <f>SUM(#REF!)</f>
        <v>#REF!</v>
      </c>
    </row>
    <row r="3953" spans="1:12" ht="12" customHeight="1" x14ac:dyDescent="0.35">
      <c r="B3953" s="84" t="s">
        <v>8</v>
      </c>
      <c r="C3953" s="103" t="s">
        <v>426</v>
      </c>
      <c r="D3953" s="104"/>
      <c r="E3953" s="104"/>
      <c r="F3953" s="104"/>
      <c r="G3953" s="105"/>
      <c r="H3953" s="87">
        <f>H3939+H3947+H3952</f>
        <v>2136105.9613139643</v>
      </c>
      <c r="I3953" s="105"/>
      <c r="J3953" s="87" t="e">
        <f>J3939+J3947+J3952</f>
        <v>#REF!</v>
      </c>
      <c r="K3953" s="105"/>
      <c r="L3953" s="87" t="e">
        <f>L3939+L3947+L3952</f>
        <v>#REF!</v>
      </c>
    </row>
    <row r="3954" spans="1:12" ht="12" customHeight="1" x14ac:dyDescent="0.35">
      <c r="B3954" s="84" t="s">
        <v>9</v>
      </c>
      <c r="C3954" s="455" t="s">
        <v>427</v>
      </c>
      <c r="D3954" s="455"/>
      <c r="E3954" s="455"/>
      <c r="F3954" s="95">
        <v>0</v>
      </c>
      <c r="G3954" s="85" t="s">
        <v>428</v>
      </c>
      <c r="H3954" s="87">
        <f>H3953*F3954</f>
        <v>0</v>
      </c>
      <c r="I3954" s="85" t="s">
        <v>428</v>
      </c>
      <c r="J3954" s="87" t="e">
        <f>J3953*F3954</f>
        <v>#REF!</v>
      </c>
      <c r="K3954" s="85" t="s">
        <v>428</v>
      </c>
      <c r="L3954" s="87" t="e">
        <f>L3953*F3954</f>
        <v>#REF!</v>
      </c>
    </row>
    <row r="3955" spans="1:12" ht="12" customHeight="1" x14ac:dyDescent="0.35">
      <c r="B3955" s="84" t="s">
        <v>10</v>
      </c>
      <c r="C3955" s="103" t="s">
        <v>429</v>
      </c>
      <c r="D3955" s="104"/>
      <c r="E3955" s="104"/>
      <c r="F3955" s="104"/>
      <c r="G3955" s="105"/>
      <c r="H3955" s="96">
        <f>H3953+H3954</f>
        <v>2136105.9613139643</v>
      </c>
      <c r="I3955" s="97"/>
      <c r="J3955" s="96" t="e">
        <f>J3953+J3954</f>
        <v>#REF!</v>
      </c>
      <c r="K3955" s="97"/>
      <c r="L3955" s="96" t="e">
        <f>L3953+L3954</f>
        <v>#REF!</v>
      </c>
    </row>
    <row r="3956" spans="1:12" ht="14" customHeight="1" x14ac:dyDescent="0.35"/>
    <row r="3957" spans="1:12" ht="37" customHeight="1" x14ac:dyDescent="0.35">
      <c r="B3957" s="76" t="s">
        <v>973</v>
      </c>
      <c r="C3957" s="458" t="s">
        <v>974</v>
      </c>
      <c r="D3957" s="459"/>
      <c r="E3957" s="459"/>
      <c r="F3957" s="459"/>
      <c r="G3957" s="456"/>
      <c r="H3957" s="457"/>
      <c r="I3957" s="455" t="s">
        <v>3</v>
      </c>
      <c r="J3957" s="455"/>
      <c r="K3957" s="455" t="s">
        <v>4</v>
      </c>
      <c r="L3957" s="455"/>
    </row>
    <row r="3958" spans="1:12" ht="12" customHeight="1" x14ac:dyDescent="0.35">
      <c r="B3958" s="451" t="s">
        <v>409</v>
      </c>
      <c r="C3958" s="451" t="s">
        <v>410</v>
      </c>
      <c r="D3958" s="452" t="s">
        <v>411</v>
      </c>
      <c r="E3958" s="451" t="s">
        <v>412</v>
      </c>
      <c r="F3958" s="451" t="s">
        <v>413</v>
      </c>
      <c r="G3958" s="77" t="s">
        <v>414</v>
      </c>
      <c r="H3958" s="77" t="s">
        <v>415</v>
      </c>
      <c r="I3958" s="78" t="s">
        <v>414</v>
      </c>
      <c r="J3958" s="79" t="s">
        <v>415</v>
      </c>
      <c r="K3958" s="79" t="s">
        <v>414</v>
      </c>
      <c r="L3958" s="79" t="s">
        <v>415</v>
      </c>
    </row>
    <row r="3959" spans="1:12" ht="12" customHeight="1" x14ac:dyDescent="0.35">
      <c r="B3959" s="451"/>
      <c r="C3959" s="451"/>
      <c r="D3959" s="453"/>
      <c r="E3959" s="451"/>
      <c r="F3959" s="451"/>
      <c r="G3959" s="77" t="s">
        <v>17</v>
      </c>
      <c r="H3959" s="77" t="s">
        <v>416</v>
      </c>
      <c r="I3959" s="78" t="s">
        <v>17</v>
      </c>
      <c r="J3959" s="79" t="s">
        <v>416</v>
      </c>
      <c r="K3959" s="79" t="s">
        <v>17</v>
      </c>
      <c r="L3959" s="79" t="s">
        <v>416</v>
      </c>
    </row>
    <row r="3960" spans="1:12" ht="12" customHeight="1" x14ac:dyDescent="0.35">
      <c r="B3960" s="451"/>
      <c r="C3960" s="451"/>
      <c r="D3960" s="454"/>
      <c r="E3960" s="451"/>
      <c r="F3960" s="451"/>
      <c r="G3960" s="106"/>
      <c r="H3960" s="77" t="s">
        <v>17</v>
      </c>
      <c r="I3960" s="94"/>
      <c r="J3960" s="79" t="s">
        <v>17</v>
      </c>
      <c r="K3960" s="85"/>
      <c r="L3960" s="79" t="s">
        <v>17</v>
      </c>
    </row>
    <row r="3961" spans="1:12" ht="12" customHeight="1" x14ac:dyDescent="0.35">
      <c r="B3961" s="80" t="s">
        <v>5</v>
      </c>
      <c r="C3961" s="81" t="s">
        <v>417</v>
      </c>
      <c r="D3961" s="82"/>
      <c r="E3961" s="82"/>
      <c r="F3961" s="82"/>
      <c r="G3961" s="82"/>
      <c r="H3961" s="82"/>
      <c r="I3961" s="83"/>
      <c r="J3961" s="83"/>
      <c r="K3961" s="83"/>
      <c r="L3961" s="83"/>
    </row>
    <row r="3962" spans="1:12" ht="12" customHeight="1" x14ac:dyDescent="0.35">
      <c r="A3962" s="134">
        <v>10130000</v>
      </c>
      <c r="B3962" s="84"/>
      <c r="C3962" s="85" t="s">
        <v>28</v>
      </c>
      <c r="D3962" s="84" t="s">
        <v>418</v>
      </c>
      <c r="E3962" s="84" t="str">
        <f>VLOOKUP(C3962,HSD!B:K,2,FALSE)</f>
        <v>OH</v>
      </c>
      <c r="F3962" s="128">
        <v>0.63239999999999996</v>
      </c>
      <c r="G3962" s="87">
        <f>VLOOKUP(C3962,HSD!B:K,10,FALSE)</f>
        <v>120000</v>
      </c>
      <c r="H3962" s="87">
        <f>F3962*G3962</f>
        <v>75888</v>
      </c>
      <c r="I3962" s="87">
        <v>91500</v>
      </c>
      <c r="J3962" s="87">
        <f>F3962*I3962</f>
        <v>57864.6</v>
      </c>
      <c r="K3962" s="87">
        <v>91500</v>
      </c>
      <c r="L3962" s="87">
        <f>F3962*K3962</f>
        <v>57864.6</v>
      </c>
    </row>
    <row r="3963" spans="1:12" ht="12" customHeight="1" x14ac:dyDescent="0.35">
      <c r="A3963" s="134">
        <v>10121100</v>
      </c>
      <c r="B3963" s="84"/>
      <c r="C3963" s="85" t="s">
        <v>515</v>
      </c>
      <c r="D3963" s="84" t="s">
        <v>418</v>
      </c>
      <c r="E3963" s="84" t="str">
        <f>VLOOKUP(C3963,HSD!B:K,2,FALSE)</f>
        <v>OH</v>
      </c>
      <c r="F3963" s="128">
        <v>0.21079999999999999</v>
      </c>
      <c r="G3963" s="87">
        <f>VLOOKUP(C3963,HSD!B:K,10,FALSE)</f>
        <v>130000</v>
      </c>
      <c r="H3963" s="87">
        <f>F3963*G3963</f>
        <v>27404</v>
      </c>
      <c r="I3963" s="87"/>
      <c r="J3963" s="87"/>
      <c r="K3963" s="87"/>
      <c r="L3963" s="87"/>
    </row>
    <row r="3964" spans="1:12" ht="12" customHeight="1" x14ac:dyDescent="0.35">
      <c r="A3964" s="134">
        <v>10110000</v>
      </c>
      <c r="B3964" s="84"/>
      <c r="C3964" s="85" t="s">
        <v>30</v>
      </c>
      <c r="D3964" s="84" t="s">
        <v>418</v>
      </c>
      <c r="E3964" s="84" t="str">
        <f>VLOOKUP(C3964,HSD!B:K,2,FALSE)</f>
        <v>OH</v>
      </c>
      <c r="F3964" s="128">
        <f>F3962/10</f>
        <v>6.3239999999999991E-2</v>
      </c>
      <c r="G3964" s="87">
        <f>VLOOKUP(C3964,HSD!B:K,10,FALSE)</f>
        <v>150000</v>
      </c>
      <c r="H3964" s="87">
        <f>F3964*G3964</f>
        <v>9485.9999999999982</v>
      </c>
      <c r="I3964" s="87"/>
      <c r="J3964" s="87"/>
      <c r="K3964" s="87"/>
      <c r="L3964" s="87"/>
    </row>
    <row r="3965" spans="1:12" ht="12" customHeight="1" x14ac:dyDescent="0.35">
      <c r="B3965" s="84"/>
      <c r="C3965" s="88"/>
      <c r="D3965" s="79"/>
      <c r="E3965" s="79"/>
      <c r="F3965" s="89"/>
      <c r="G3965" s="101"/>
      <c r="H3965" s="87">
        <f>SUM(H3962:H3964)</f>
        <v>112778</v>
      </c>
      <c r="I3965" s="101"/>
      <c r="J3965" s="87">
        <f>SUM(J3964:J3964)</f>
        <v>0</v>
      </c>
      <c r="K3965" s="101"/>
      <c r="L3965" s="87">
        <f>SUM(L3964:L3964)</f>
        <v>0</v>
      </c>
    </row>
    <row r="3966" spans="1:12" ht="12" customHeight="1" x14ac:dyDescent="0.35">
      <c r="B3966" s="84" t="s">
        <v>6</v>
      </c>
      <c r="C3966" s="88" t="s">
        <v>422</v>
      </c>
      <c r="D3966" s="79"/>
      <c r="E3966" s="79"/>
      <c r="F3966" s="90"/>
      <c r="G3966" s="84"/>
      <c r="H3966" s="87"/>
      <c r="I3966" s="84"/>
      <c r="J3966" s="87"/>
      <c r="K3966" s="84"/>
      <c r="L3966" s="87"/>
    </row>
    <row r="3967" spans="1:12" ht="26" x14ac:dyDescent="0.35">
      <c r="A3967" s="134">
        <v>22320100</v>
      </c>
      <c r="B3967" s="84"/>
      <c r="C3967" s="85" t="s">
        <v>1824</v>
      </c>
      <c r="D3967" s="84" t="s">
        <v>418</v>
      </c>
      <c r="E3967" s="84" t="str">
        <f>VLOOKUP(C3967,HSD!B:K,2,FALSE)</f>
        <v>m</v>
      </c>
      <c r="F3967" s="128">
        <v>1</v>
      </c>
      <c r="G3967" s="87">
        <f>VLOOKUP(C3967,HSD!B:K,10,FALSE)</f>
        <v>2815000</v>
      </c>
      <c r="H3967" s="87">
        <f>F3967*G3967</f>
        <v>2815000</v>
      </c>
      <c r="I3967" s="87"/>
      <c r="J3967" s="87"/>
      <c r="K3967" s="87"/>
      <c r="L3967" s="87"/>
    </row>
    <row r="3968" spans="1:12" ht="26" x14ac:dyDescent="0.35">
      <c r="A3968" s="134">
        <v>91114013</v>
      </c>
      <c r="B3968" s="84"/>
      <c r="C3968" s="85" t="s">
        <v>1915</v>
      </c>
      <c r="D3968" s="84" t="s">
        <v>418</v>
      </c>
      <c r="E3968" s="84" t="str">
        <f>VLOOKUP(C3968,HSD!B:K,2,FALSE)</f>
        <v>m2</v>
      </c>
      <c r="F3968" s="128">
        <v>0.45</v>
      </c>
      <c r="G3968" s="87">
        <f>VLOOKUP(C3968,HSD!B:K,10,FALSE)</f>
        <v>117944</v>
      </c>
      <c r="H3968" s="87">
        <f>F3968*G3968</f>
        <v>53074.8</v>
      </c>
      <c r="I3968" s="87"/>
      <c r="J3968" s="87"/>
      <c r="K3968" s="87"/>
      <c r="L3968" s="87"/>
    </row>
    <row r="3969" spans="1:12" ht="36" customHeight="1" x14ac:dyDescent="0.35">
      <c r="A3969" s="134">
        <v>91121040</v>
      </c>
      <c r="B3969" s="84"/>
      <c r="C3969" s="85" t="s">
        <v>1916</v>
      </c>
      <c r="D3969" s="84" t="s">
        <v>418</v>
      </c>
      <c r="E3969" s="84" t="str">
        <f>VLOOKUP(C3969,HSD!B:K,2,FALSE)</f>
        <v>m3</v>
      </c>
      <c r="F3969" s="128">
        <v>0.23</v>
      </c>
      <c r="G3969" s="87">
        <f>VLOOKUP(C3969,HSD!B:K,10,FALSE)</f>
        <v>1559293.3169642859</v>
      </c>
      <c r="H3969" s="87">
        <f>F3969*G3969</f>
        <v>358637.4629017858</v>
      </c>
      <c r="I3969" s="87"/>
      <c r="J3969" s="87"/>
      <c r="K3969" s="87"/>
      <c r="L3969" s="87"/>
    </row>
    <row r="3970" spans="1:12" ht="39" x14ac:dyDescent="0.35">
      <c r="A3970" s="134">
        <v>91121010</v>
      </c>
      <c r="B3970" s="84"/>
      <c r="C3970" s="85" t="s">
        <v>1917</v>
      </c>
      <c r="D3970" s="84" t="s">
        <v>418</v>
      </c>
      <c r="E3970" s="84" t="str">
        <f>VLOOKUP(C3970,HSD!B:K,2,FALSE)</f>
        <v>m3</v>
      </c>
      <c r="F3970" s="128">
        <v>0.26500000000000001</v>
      </c>
      <c r="G3970" s="87">
        <f>VLOOKUP(C3970,HSD!B:K,10,FALSE)</f>
        <v>947792.53258928575</v>
      </c>
      <c r="H3970" s="87">
        <f>F3970*G3970</f>
        <v>251165.02113616074</v>
      </c>
      <c r="I3970" s="87"/>
      <c r="J3970" s="87"/>
      <c r="K3970" s="87"/>
      <c r="L3970" s="87"/>
    </row>
    <row r="3971" spans="1:12" x14ac:dyDescent="0.35">
      <c r="A3971" s="134">
        <v>211100112</v>
      </c>
      <c r="B3971" s="84"/>
      <c r="C3971" s="85" t="s">
        <v>48</v>
      </c>
      <c r="D3971" s="84" t="s">
        <v>418</v>
      </c>
      <c r="E3971" s="84" t="str">
        <f>VLOOKUP(C3971,HSD!B:K,2,FALSE)</f>
        <v>m3</v>
      </c>
      <c r="F3971" s="128">
        <v>9.1999999999999998E-2</v>
      </c>
      <c r="G3971" s="87">
        <f>VLOOKUP(C3971,HSD!B:K,10,FALSE)</f>
        <v>153026</v>
      </c>
      <c r="H3971" s="87">
        <f>F3971*G3971</f>
        <v>14078.392</v>
      </c>
      <c r="I3971" s="87"/>
      <c r="J3971" s="87"/>
      <c r="K3971" s="87"/>
      <c r="L3971" s="87"/>
    </row>
    <row r="3972" spans="1:12" x14ac:dyDescent="0.35">
      <c r="B3972" s="84"/>
      <c r="C3972" s="85"/>
      <c r="D3972" s="84"/>
      <c r="E3972" s="84"/>
      <c r="F3972" s="128"/>
      <c r="G3972" s="87"/>
      <c r="H3972" s="87"/>
      <c r="I3972" s="87"/>
      <c r="J3972" s="87"/>
      <c r="K3972" s="87"/>
      <c r="L3972" s="87"/>
    </row>
    <row r="3973" spans="1:12" ht="12" customHeight="1" x14ac:dyDescent="0.35">
      <c r="B3973" s="84"/>
      <c r="C3973" s="88"/>
      <c r="D3973" s="79"/>
      <c r="E3973" s="79"/>
      <c r="F3973" s="129" t="s">
        <v>423</v>
      </c>
      <c r="G3973" s="129"/>
      <c r="H3973" s="87">
        <f>SUM(H3967:H3972)</f>
        <v>3491955.6760379467</v>
      </c>
      <c r="I3973" s="101"/>
      <c r="J3973" s="87" t="e">
        <f>SUM(#REF!)</f>
        <v>#REF!</v>
      </c>
      <c r="K3973" s="101"/>
      <c r="L3973" s="87" t="e">
        <f>SUM(#REF!)</f>
        <v>#REF!</v>
      </c>
    </row>
    <row r="3974" spans="1:12" ht="12" customHeight="1" x14ac:dyDescent="0.35">
      <c r="B3974" s="84" t="s">
        <v>7</v>
      </c>
      <c r="C3974" s="88" t="s">
        <v>424</v>
      </c>
      <c r="D3974" s="79"/>
      <c r="E3974" s="79"/>
      <c r="F3974" s="90"/>
      <c r="G3974" s="84"/>
      <c r="H3974" s="87"/>
      <c r="I3974" s="84"/>
      <c r="J3974" s="87"/>
      <c r="K3974" s="84"/>
      <c r="L3974" s="87"/>
    </row>
    <row r="3975" spans="1:12" ht="12" customHeight="1" x14ac:dyDescent="0.35">
      <c r="A3975" s="134">
        <v>31100018</v>
      </c>
      <c r="B3975" s="84"/>
      <c r="C3975" s="85" t="s">
        <v>499</v>
      </c>
      <c r="D3975" s="84" t="s">
        <v>418</v>
      </c>
      <c r="E3975" s="84" t="s">
        <v>253</v>
      </c>
      <c r="F3975" s="128">
        <v>6.9400000000000003E-2</v>
      </c>
      <c r="G3975" s="87">
        <f>VLOOKUP(C3975,HSD!B:K,10,FALSE)</f>
        <v>85595.87</v>
      </c>
      <c r="H3975" s="87">
        <f>F3975*G3975</f>
        <v>5940.3533779999998</v>
      </c>
      <c r="I3975" s="87"/>
      <c r="J3975" s="87"/>
      <c r="K3975" s="87"/>
      <c r="L3975" s="87"/>
    </row>
    <row r="3976" spans="1:12" ht="12" customHeight="1" x14ac:dyDescent="0.35">
      <c r="A3976" s="134">
        <v>31100008</v>
      </c>
      <c r="B3976" s="84"/>
      <c r="C3976" s="85" t="s">
        <v>1836</v>
      </c>
      <c r="D3976" s="84" t="s">
        <v>418</v>
      </c>
      <c r="E3976" s="84" t="s">
        <v>253</v>
      </c>
      <c r="F3976" s="128">
        <f>0.1656*2</f>
        <v>0.33119999999999999</v>
      </c>
      <c r="G3976" s="87">
        <f>VLOOKUP(C3976,HSD!B:K,10,FALSE)</f>
        <v>1053489.6200000001</v>
      </c>
      <c r="H3976" s="87">
        <f>F3976*G3976</f>
        <v>348915.76214400004</v>
      </c>
      <c r="I3976" s="87"/>
      <c r="J3976" s="87"/>
      <c r="K3976" s="87"/>
      <c r="L3976" s="87"/>
    </row>
    <row r="3977" spans="1:12" ht="12" customHeight="1" x14ac:dyDescent="0.35">
      <c r="B3977" s="84"/>
      <c r="C3977" s="85"/>
      <c r="D3977" s="84"/>
      <c r="E3977" s="84"/>
      <c r="F3977" s="128"/>
      <c r="G3977" s="87"/>
      <c r="H3977" s="87">
        <f>F3977*G3977</f>
        <v>0</v>
      </c>
      <c r="I3977" s="87"/>
      <c r="J3977" s="87"/>
      <c r="K3977" s="87"/>
      <c r="L3977" s="87"/>
    </row>
    <row r="3978" spans="1:12" ht="12" customHeight="1" x14ac:dyDescent="0.35">
      <c r="B3978" s="84"/>
      <c r="C3978" s="88"/>
      <c r="D3978" s="79"/>
      <c r="E3978" s="79"/>
      <c r="F3978" s="89" t="s">
        <v>425</v>
      </c>
      <c r="G3978" s="101"/>
      <c r="H3978" s="87">
        <f>SUM(H3975:H3977)</f>
        <v>354856.11552200001</v>
      </c>
      <c r="I3978" s="101"/>
      <c r="J3978" s="87" t="e">
        <f>SUM(#REF!)</f>
        <v>#REF!</v>
      </c>
      <c r="K3978" s="101"/>
      <c r="L3978" s="87" t="e">
        <f>SUM(#REF!)</f>
        <v>#REF!</v>
      </c>
    </row>
    <row r="3979" spans="1:12" ht="12" customHeight="1" x14ac:dyDescent="0.35">
      <c r="B3979" s="84" t="s">
        <v>8</v>
      </c>
      <c r="C3979" s="103" t="s">
        <v>426</v>
      </c>
      <c r="D3979" s="104"/>
      <c r="E3979" s="104"/>
      <c r="F3979" s="104"/>
      <c r="G3979" s="105"/>
      <c r="H3979" s="87">
        <f>H3965+H3973+H3978</f>
        <v>3959589.7915599467</v>
      </c>
      <c r="I3979" s="105"/>
      <c r="J3979" s="87" t="e">
        <f>J3965+J3973+J3978</f>
        <v>#REF!</v>
      </c>
      <c r="K3979" s="105"/>
      <c r="L3979" s="87" t="e">
        <f>L3965+L3973+L3978</f>
        <v>#REF!</v>
      </c>
    </row>
    <row r="3980" spans="1:12" ht="12" customHeight="1" x14ac:dyDescent="0.35">
      <c r="B3980" s="84" t="s">
        <v>9</v>
      </c>
      <c r="C3980" s="455" t="s">
        <v>427</v>
      </c>
      <c r="D3980" s="455"/>
      <c r="E3980" s="455"/>
      <c r="F3980" s="95">
        <v>0</v>
      </c>
      <c r="G3980" s="85" t="s">
        <v>428</v>
      </c>
      <c r="H3980" s="87">
        <f>H3979*F3980</f>
        <v>0</v>
      </c>
      <c r="I3980" s="85" t="s">
        <v>428</v>
      </c>
      <c r="J3980" s="87" t="e">
        <f>J3979*F3980</f>
        <v>#REF!</v>
      </c>
      <c r="K3980" s="85" t="s">
        <v>428</v>
      </c>
      <c r="L3980" s="87" t="e">
        <f>L3979*F3980</f>
        <v>#REF!</v>
      </c>
    </row>
    <row r="3981" spans="1:12" ht="12" customHeight="1" x14ac:dyDescent="0.35">
      <c r="B3981" s="84" t="s">
        <v>10</v>
      </c>
      <c r="C3981" s="103" t="s">
        <v>429</v>
      </c>
      <c r="D3981" s="104"/>
      <c r="E3981" s="104"/>
      <c r="F3981" s="104"/>
      <c r="G3981" s="105"/>
      <c r="H3981" s="96">
        <f>H3979+H3980</f>
        <v>3959589.7915599467</v>
      </c>
      <c r="I3981" s="97"/>
      <c r="J3981" s="96" t="e">
        <f>J3979+J3980</f>
        <v>#REF!</v>
      </c>
      <c r="K3981" s="97"/>
      <c r="L3981" s="96" t="e">
        <f>L3979+L3980</f>
        <v>#REF!</v>
      </c>
    </row>
    <row r="3982" spans="1:12" ht="14" customHeight="1" x14ac:dyDescent="0.35"/>
    <row r="3983" spans="1:12" ht="37" customHeight="1" x14ac:dyDescent="0.35">
      <c r="B3983" s="76" t="s">
        <v>1960</v>
      </c>
      <c r="C3983" s="458" t="s">
        <v>1963</v>
      </c>
      <c r="D3983" s="459"/>
      <c r="E3983" s="459"/>
      <c r="F3983" s="459"/>
      <c r="G3983" s="456"/>
      <c r="H3983" s="457"/>
      <c r="I3983" s="455" t="s">
        <v>3</v>
      </c>
      <c r="J3983" s="455"/>
      <c r="K3983" s="455" t="s">
        <v>4</v>
      </c>
      <c r="L3983" s="455"/>
    </row>
    <row r="3984" spans="1:12" ht="12" customHeight="1" x14ac:dyDescent="0.35">
      <c r="B3984" s="451" t="s">
        <v>409</v>
      </c>
      <c r="C3984" s="451" t="s">
        <v>410</v>
      </c>
      <c r="D3984" s="452" t="s">
        <v>411</v>
      </c>
      <c r="E3984" s="451" t="s">
        <v>412</v>
      </c>
      <c r="F3984" s="451" t="s">
        <v>413</v>
      </c>
      <c r="G3984" s="77" t="s">
        <v>414</v>
      </c>
      <c r="H3984" s="77" t="s">
        <v>415</v>
      </c>
      <c r="I3984" s="78" t="s">
        <v>414</v>
      </c>
      <c r="J3984" s="79" t="s">
        <v>415</v>
      </c>
      <c r="K3984" s="79" t="s">
        <v>414</v>
      </c>
      <c r="L3984" s="79" t="s">
        <v>415</v>
      </c>
    </row>
    <row r="3985" spans="1:12" ht="12" customHeight="1" x14ac:dyDescent="0.35">
      <c r="B3985" s="451"/>
      <c r="C3985" s="451"/>
      <c r="D3985" s="453"/>
      <c r="E3985" s="451"/>
      <c r="F3985" s="451"/>
      <c r="G3985" s="77" t="s">
        <v>17</v>
      </c>
      <c r="H3985" s="77" t="s">
        <v>416</v>
      </c>
      <c r="I3985" s="78" t="s">
        <v>17</v>
      </c>
      <c r="J3985" s="79" t="s">
        <v>416</v>
      </c>
      <c r="K3985" s="79" t="s">
        <v>17</v>
      </c>
      <c r="L3985" s="79" t="s">
        <v>416</v>
      </c>
    </row>
    <row r="3986" spans="1:12" ht="12" customHeight="1" x14ac:dyDescent="0.35">
      <c r="B3986" s="451"/>
      <c r="C3986" s="451"/>
      <c r="D3986" s="454"/>
      <c r="E3986" s="451"/>
      <c r="F3986" s="451"/>
      <c r="G3986" s="106"/>
      <c r="H3986" s="77" t="s">
        <v>17</v>
      </c>
      <c r="I3986" s="94"/>
      <c r="J3986" s="79" t="s">
        <v>17</v>
      </c>
      <c r="K3986" s="85"/>
      <c r="L3986" s="79" t="s">
        <v>17</v>
      </c>
    </row>
    <row r="3987" spans="1:12" ht="12" customHeight="1" x14ac:dyDescent="0.35">
      <c r="B3987" s="80" t="s">
        <v>5</v>
      </c>
      <c r="C3987" s="81" t="s">
        <v>417</v>
      </c>
      <c r="D3987" s="82"/>
      <c r="E3987" s="82"/>
      <c r="F3987" s="82"/>
      <c r="G3987" s="82"/>
      <c r="H3987" s="82"/>
      <c r="I3987" s="83"/>
      <c r="J3987" s="83"/>
      <c r="K3987" s="83"/>
      <c r="L3987" s="83"/>
    </row>
    <row r="3988" spans="1:12" ht="12" customHeight="1" x14ac:dyDescent="0.35">
      <c r="A3988" s="134">
        <v>10130000</v>
      </c>
      <c r="B3988" s="84"/>
      <c r="C3988" s="85" t="s">
        <v>1888</v>
      </c>
      <c r="D3988" s="84" t="s">
        <v>418</v>
      </c>
      <c r="E3988" s="84" t="str">
        <f>VLOOKUP(C3988,HSD!B:K,2,FALSE)</f>
        <v>OJ</v>
      </c>
      <c r="F3988" s="128">
        <v>7.9899999999999999E-2</v>
      </c>
      <c r="G3988" s="87">
        <f>VLOOKUP(C3988,HSD!B:K,10,FALSE)</f>
        <v>15000</v>
      </c>
      <c r="H3988" s="87">
        <f>F3988*G3988</f>
        <v>1198.5</v>
      </c>
      <c r="I3988" s="87">
        <v>91500</v>
      </c>
      <c r="J3988" s="87">
        <f>F3988*I3988</f>
        <v>7310.8499999999995</v>
      </c>
      <c r="K3988" s="87">
        <v>91500</v>
      </c>
      <c r="L3988" s="87">
        <f>F3988*K3988</f>
        <v>7310.8499999999995</v>
      </c>
    </row>
    <row r="3989" spans="1:12" ht="12" customHeight="1" x14ac:dyDescent="0.35">
      <c r="A3989" s="134">
        <v>10121100</v>
      </c>
      <c r="B3989" s="84"/>
      <c r="C3989" s="85" t="s">
        <v>1887</v>
      </c>
      <c r="D3989" s="84" t="s">
        <v>418</v>
      </c>
      <c r="E3989" s="84" t="str">
        <f>VLOOKUP(C3989,HSD!B:K,2,FALSE)</f>
        <v>OJ</v>
      </c>
      <c r="F3989" s="128">
        <v>7.9899999999999999E-2</v>
      </c>
      <c r="G3989" s="87">
        <f>VLOOKUP(C3989,HSD!B:K,10,FALSE)</f>
        <v>16250</v>
      </c>
      <c r="H3989" s="87">
        <f>F3989*G3989</f>
        <v>1298.375</v>
      </c>
      <c r="I3989" s="87"/>
      <c r="J3989" s="87"/>
      <c r="K3989" s="87"/>
      <c r="L3989" s="87"/>
    </row>
    <row r="3990" spans="1:12" ht="12" customHeight="1" x14ac:dyDescent="0.35">
      <c r="A3990" s="134">
        <v>10110000</v>
      </c>
      <c r="B3990" s="84"/>
      <c r="C3990" s="85" t="s">
        <v>1885</v>
      </c>
      <c r="D3990" s="84" t="s">
        <v>418</v>
      </c>
      <c r="E3990" s="84" t="str">
        <f>VLOOKUP(C3990,HSD!B:K,2,FALSE)</f>
        <v>OJ</v>
      </c>
      <c r="F3990" s="128">
        <f>F3988/10</f>
        <v>7.9900000000000006E-3</v>
      </c>
      <c r="G3990" s="87">
        <f>VLOOKUP(C3990,HSD!B:K,10,FALSE)</f>
        <v>18750</v>
      </c>
      <c r="H3990" s="87">
        <f>F3990*G3990</f>
        <v>149.8125</v>
      </c>
      <c r="I3990" s="87"/>
      <c r="J3990" s="87"/>
      <c r="K3990" s="87"/>
      <c r="L3990" s="87"/>
    </row>
    <row r="3991" spans="1:12" ht="12" customHeight="1" x14ac:dyDescent="0.35">
      <c r="B3991" s="84"/>
      <c r="C3991" s="88"/>
      <c r="D3991" s="79"/>
      <c r="E3991" s="79"/>
      <c r="F3991" s="89"/>
      <c r="G3991" s="101"/>
      <c r="H3991" s="87">
        <f>SUM(H3988:H3990)</f>
        <v>2646.6875</v>
      </c>
      <c r="I3991" s="101"/>
      <c r="J3991" s="87">
        <f>SUM(J3990:J3990)</f>
        <v>0</v>
      </c>
      <c r="K3991" s="101"/>
      <c r="L3991" s="87">
        <f>SUM(L3990:L3990)</f>
        <v>0</v>
      </c>
    </row>
    <row r="3992" spans="1:12" ht="12" customHeight="1" x14ac:dyDescent="0.35">
      <c r="B3992" s="84" t="s">
        <v>6</v>
      </c>
      <c r="C3992" s="88" t="s">
        <v>422</v>
      </c>
      <c r="D3992" s="79"/>
      <c r="E3992" s="79"/>
      <c r="F3992" s="90"/>
      <c r="G3992" s="84"/>
      <c r="H3992" s="87"/>
      <c r="I3992" s="84"/>
      <c r="J3992" s="87"/>
      <c r="K3992" s="84"/>
      <c r="L3992" s="87"/>
    </row>
    <row r="3993" spans="1:12" x14ac:dyDescent="0.35">
      <c r="A3993" s="134">
        <v>22320100</v>
      </c>
      <c r="B3993" s="84"/>
      <c r="C3993" s="85" t="s">
        <v>1834</v>
      </c>
      <c r="D3993" s="84" t="s">
        <v>418</v>
      </c>
      <c r="E3993" s="84" t="s">
        <v>162</v>
      </c>
      <c r="F3993" s="128">
        <f>1/4</f>
        <v>0.25</v>
      </c>
      <c r="G3993" s="87">
        <f>VLOOKUP(C3993,HSD!B:K,10,FALSE)</f>
        <v>39960</v>
      </c>
      <c r="H3993" s="87">
        <f>F3993*G3993</f>
        <v>9990</v>
      </c>
      <c r="I3993" s="87"/>
      <c r="J3993" s="87"/>
      <c r="K3993" s="87"/>
      <c r="L3993" s="87"/>
    </row>
    <row r="3994" spans="1:12" x14ac:dyDescent="0.35">
      <c r="B3994" s="84"/>
      <c r="C3994" s="85"/>
      <c r="D3994" s="84"/>
      <c r="E3994" s="84"/>
      <c r="F3994" s="128"/>
      <c r="G3994" s="87"/>
      <c r="H3994" s="87"/>
      <c r="I3994" s="87"/>
      <c r="J3994" s="87"/>
      <c r="K3994" s="87"/>
      <c r="L3994" s="87"/>
    </row>
    <row r="3995" spans="1:12" ht="12" customHeight="1" x14ac:dyDescent="0.35">
      <c r="B3995" s="84"/>
      <c r="C3995" s="88"/>
      <c r="D3995" s="79"/>
      <c r="E3995" s="79"/>
      <c r="F3995" s="129" t="s">
        <v>423</v>
      </c>
      <c r="G3995" s="129"/>
      <c r="H3995" s="87">
        <f>SUM(H3993:H3994)</f>
        <v>9990</v>
      </c>
      <c r="I3995" s="101"/>
      <c r="J3995" s="87" t="e">
        <f>SUM(#REF!)</f>
        <v>#REF!</v>
      </c>
      <c r="K3995" s="101"/>
      <c r="L3995" s="87" t="e">
        <f>SUM(#REF!)</f>
        <v>#REF!</v>
      </c>
    </row>
    <row r="3996" spans="1:12" ht="12" customHeight="1" x14ac:dyDescent="0.35">
      <c r="B3996" s="84" t="s">
        <v>7</v>
      </c>
      <c r="C3996" s="88" t="s">
        <v>424</v>
      </c>
      <c r="D3996" s="79"/>
      <c r="E3996" s="79"/>
      <c r="F3996" s="90"/>
      <c r="G3996" s="84"/>
      <c r="H3996" s="87"/>
      <c r="I3996" s="84"/>
      <c r="J3996" s="87"/>
      <c r="K3996" s="84"/>
      <c r="L3996" s="87"/>
    </row>
    <row r="3997" spans="1:12" ht="12" customHeight="1" x14ac:dyDescent="0.35">
      <c r="A3997" s="134">
        <v>31100008</v>
      </c>
      <c r="B3997" s="84"/>
      <c r="C3997" s="85" t="s">
        <v>1836</v>
      </c>
      <c r="D3997" s="84" t="s">
        <v>418</v>
      </c>
      <c r="E3997" s="84" t="s">
        <v>253</v>
      </c>
      <c r="F3997" s="128">
        <v>8.1799999999999998E-2</v>
      </c>
      <c r="G3997" s="87">
        <f>VLOOKUP(C3997,HSD!B:K,10,FALSE)</f>
        <v>1053489.6200000001</v>
      </c>
      <c r="H3997" s="87">
        <f>F3997*G3997</f>
        <v>86175.450916000002</v>
      </c>
      <c r="I3997" s="87"/>
      <c r="J3997" s="87"/>
      <c r="K3997" s="87"/>
      <c r="L3997" s="87"/>
    </row>
    <row r="3998" spans="1:12" ht="12" customHeight="1" x14ac:dyDescent="0.35">
      <c r="B3998" s="84"/>
      <c r="C3998" s="85"/>
      <c r="D3998" s="84"/>
      <c r="E3998" s="84"/>
      <c r="F3998" s="128"/>
      <c r="G3998" s="87"/>
      <c r="H3998" s="87">
        <f>F3998*G3998</f>
        <v>0</v>
      </c>
      <c r="I3998" s="87"/>
      <c r="J3998" s="87"/>
      <c r="K3998" s="87"/>
      <c r="L3998" s="87"/>
    </row>
    <row r="3999" spans="1:12" ht="12" customHeight="1" x14ac:dyDescent="0.35">
      <c r="B3999" s="84"/>
      <c r="C3999" s="88"/>
      <c r="D3999" s="79"/>
      <c r="E3999" s="79"/>
      <c r="F3999" s="89" t="s">
        <v>425</v>
      </c>
      <c r="G3999" s="101"/>
      <c r="H3999" s="87">
        <f>SUM(H3997:H3998)</f>
        <v>86175.450916000002</v>
      </c>
      <c r="I3999" s="101"/>
      <c r="J3999" s="87" t="e">
        <f>SUM(#REF!)</f>
        <v>#REF!</v>
      </c>
      <c r="K3999" s="101"/>
      <c r="L3999" s="87" t="e">
        <f>SUM(#REF!)</f>
        <v>#REF!</v>
      </c>
    </row>
    <row r="4000" spans="1:12" ht="12" customHeight="1" x14ac:dyDescent="0.35">
      <c r="B4000" s="84" t="s">
        <v>8</v>
      </c>
      <c r="C4000" s="103" t="s">
        <v>426</v>
      </c>
      <c r="D4000" s="104"/>
      <c r="E4000" s="104"/>
      <c r="F4000" s="104"/>
      <c r="G4000" s="105"/>
      <c r="H4000" s="87">
        <f>H3991+H3995+H3999</f>
        <v>98812.138416000002</v>
      </c>
      <c r="I4000" s="105"/>
      <c r="J4000" s="87" t="e">
        <f>J3991+J3995+J3999</f>
        <v>#REF!</v>
      </c>
      <c r="K4000" s="105"/>
      <c r="L4000" s="87" t="e">
        <f>L3991+L3995+L3999</f>
        <v>#REF!</v>
      </c>
    </row>
    <row r="4001" spans="1:12" ht="12" customHeight="1" x14ac:dyDescent="0.35">
      <c r="B4001" s="84" t="s">
        <v>9</v>
      </c>
      <c r="C4001" s="455" t="s">
        <v>427</v>
      </c>
      <c r="D4001" s="455"/>
      <c r="E4001" s="455"/>
      <c r="F4001" s="95">
        <v>0</v>
      </c>
      <c r="G4001" s="85" t="s">
        <v>428</v>
      </c>
      <c r="H4001" s="87">
        <f>H4000*F4001</f>
        <v>0</v>
      </c>
      <c r="I4001" s="85" t="s">
        <v>428</v>
      </c>
      <c r="J4001" s="87" t="e">
        <f>J4000*F4001</f>
        <v>#REF!</v>
      </c>
      <c r="K4001" s="85" t="s">
        <v>428</v>
      </c>
      <c r="L4001" s="87" t="e">
        <f>L4000*F4001</f>
        <v>#REF!</v>
      </c>
    </row>
    <row r="4002" spans="1:12" ht="12" customHeight="1" x14ac:dyDescent="0.35">
      <c r="B4002" s="84" t="s">
        <v>10</v>
      </c>
      <c r="C4002" s="103" t="s">
        <v>429</v>
      </c>
      <c r="D4002" s="104"/>
      <c r="E4002" s="104"/>
      <c r="F4002" s="104"/>
      <c r="G4002" s="105"/>
      <c r="H4002" s="96">
        <f>H4000+H4001</f>
        <v>98812.138416000002</v>
      </c>
      <c r="I4002" s="97"/>
      <c r="J4002" s="96" t="e">
        <f>J4000+J4001</f>
        <v>#REF!</v>
      </c>
      <c r="K4002" s="97"/>
      <c r="L4002" s="96" t="e">
        <f>L4000+L4001</f>
        <v>#REF!</v>
      </c>
    </row>
    <row r="4003" spans="1:12" ht="14" customHeight="1" x14ac:dyDescent="0.35"/>
    <row r="4004" spans="1:12" ht="37" customHeight="1" x14ac:dyDescent="0.35">
      <c r="B4004" s="76" t="s">
        <v>1961</v>
      </c>
      <c r="C4004" s="458" t="s">
        <v>1962</v>
      </c>
      <c r="D4004" s="459"/>
      <c r="E4004" s="459"/>
      <c r="F4004" s="459"/>
      <c r="G4004" s="456"/>
      <c r="H4004" s="457"/>
      <c r="I4004" s="455" t="s">
        <v>3</v>
      </c>
      <c r="J4004" s="455"/>
      <c r="K4004" s="455" t="s">
        <v>4</v>
      </c>
      <c r="L4004" s="455"/>
    </row>
    <row r="4005" spans="1:12" ht="12" customHeight="1" x14ac:dyDescent="0.35">
      <c r="B4005" s="451" t="s">
        <v>409</v>
      </c>
      <c r="C4005" s="451" t="s">
        <v>410</v>
      </c>
      <c r="D4005" s="452" t="s">
        <v>411</v>
      </c>
      <c r="E4005" s="451" t="s">
        <v>412</v>
      </c>
      <c r="F4005" s="451" t="s">
        <v>413</v>
      </c>
      <c r="G4005" s="77" t="s">
        <v>414</v>
      </c>
      <c r="H4005" s="77" t="s">
        <v>415</v>
      </c>
      <c r="I4005" s="78" t="s">
        <v>414</v>
      </c>
      <c r="J4005" s="79" t="s">
        <v>415</v>
      </c>
      <c r="K4005" s="79" t="s">
        <v>414</v>
      </c>
      <c r="L4005" s="79" t="s">
        <v>415</v>
      </c>
    </row>
    <row r="4006" spans="1:12" ht="12" customHeight="1" x14ac:dyDescent="0.35">
      <c r="B4006" s="451"/>
      <c r="C4006" s="451"/>
      <c r="D4006" s="453"/>
      <c r="E4006" s="451"/>
      <c r="F4006" s="451"/>
      <c r="G4006" s="77" t="s">
        <v>17</v>
      </c>
      <c r="H4006" s="77" t="s">
        <v>416</v>
      </c>
      <c r="I4006" s="78" t="s">
        <v>17</v>
      </c>
      <c r="J4006" s="79" t="s">
        <v>416</v>
      </c>
      <c r="K4006" s="79" t="s">
        <v>17</v>
      </c>
      <c r="L4006" s="79" t="s">
        <v>416</v>
      </c>
    </row>
    <row r="4007" spans="1:12" ht="12" customHeight="1" x14ac:dyDescent="0.35">
      <c r="B4007" s="451"/>
      <c r="C4007" s="451"/>
      <c r="D4007" s="454"/>
      <c r="E4007" s="451"/>
      <c r="F4007" s="451"/>
      <c r="G4007" s="106"/>
      <c r="H4007" s="77" t="s">
        <v>17</v>
      </c>
      <c r="I4007" s="94"/>
      <c r="J4007" s="79" t="s">
        <v>17</v>
      </c>
      <c r="K4007" s="85"/>
      <c r="L4007" s="79" t="s">
        <v>17</v>
      </c>
    </row>
    <row r="4008" spans="1:12" ht="12" customHeight="1" x14ac:dyDescent="0.35">
      <c r="B4008" s="80" t="s">
        <v>5</v>
      </c>
      <c r="C4008" s="81" t="s">
        <v>417</v>
      </c>
      <c r="D4008" s="82"/>
      <c r="E4008" s="82"/>
      <c r="F4008" s="82"/>
      <c r="G4008" s="82"/>
      <c r="H4008" s="82"/>
      <c r="I4008" s="83"/>
      <c r="J4008" s="83"/>
      <c r="K4008" s="83"/>
      <c r="L4008" s="83"/>
    </row>
    <row r="4009" spans="1:12" ht="12" customHeight="1" x14ac:dyDescent="0.35">
      <c r="A4009" s="134">
        <v>10130000</v>
      </c>
      <c r="B4009" s="84"/>
      <c r="C4009" s="85" t="s">
        <v>1888</v>
      </c>
      <c r="D4009" s="84" t="s">
        <v>418</v>
      </c>
      <c r="E4009" s="84" t="str">
        <f>VLOOKUP(C4009,HSD!B:K,2,FALSE)</f>
        <v>OJ</v>
      </c>
      <c r="F4009" s="128">
        <v>8.5300000000000001E-2</v>
      </c>
      <c r="G4009" s="87">
        <f>VLOOKUP(C4009,HSD!B:K,10,FALSE)</f>
        <v>15000</v>
      </c>
      <c r="H4009" s="87">
        <f>F4009*G4009</f>
        <v>1279.5</v>
      </c>
      <c r="I4009" s="87">
        <v>91500</v>
      </c>
      <c r="J4009" s="87">
        <f>F4009*I4009</f>
        <v>7804.95</v>
      </c>
      <c r="K4009" s="87">
        <v>91500</v>
      </c>
      <c r="L4009" s="87">
        <f>F4009*K4009</f>
        <v>7804.95</v>
      </c>
    </row>
    <row r="4010" spans="1:12" ht="12" customHeight="1" x14ac:dyDescent="0.35">
      <c r="A4010" s="134">
        <v>10121100</v>
      </c>
      <c r="B4010" s="84"/>
      <c r="C4010" s="85" t="s">
        <v>1887</v>
      </c>
      <c r="D4010" s="84" t="s">
        <v>418</v>
      </c>
      <c r="E4010" s="84" t="str">
        <f>VLOOKUP(C4010,HSD!B:K,2,FALSE)</f>
        <v>OJ</v>
      </c>
      <c r="F4010" s="128">
        <f>F4009</f>
        <v>8.5300000000000001E-2</v>
      </c>
      <c r="G4010" s="87">
        <f>VLOOKUP(C4010,HSD!B:K,10,FALSE)</f>
        <v>16250</v>
      </c>
      <c r="H4010" s="87">
        <f>F4010*G4010</f>
        <v>1386.125</v>
      </c>
      <c r="I4010" s="87"/>
      <c r="J4010" s="87"/>
      <c r="K4010" s="87"/>
      <c r="L4010" s="87"/>
    </row>
    <row r="4011" spans="1:12" ht="12" customHeight="1" x14ac:dyDescent="0.35">
      <c r="A4011" s="134">
        <v>10110000</v>
      </c>
      <c r="B4011" s="84"/>
      <c r="C4011" s="85" t="s">
        <v>1885</v>
      </c>
      <c r="D4011" s="84" t="s">
        <v>418</v>
      </c>
      <c r="E4011" s="84" t="str">
        <f>VLOOKUP(C4011,HSD!B:K,2,FALSE)</f>
        <v>OJ</v>
      </c>
      <c r="F4011" s="128">
        <f>F4009/10</f>
        <v>8.5299999999999994E-3</v>
      </c>
      <c r="G4011" s="87">
        <f>VLOOKUP(C4011,HSD!B:K,10,FALSE)</f>
        <v>18750</v>
      </c>
      <c r="H4011" s="87">
        <f>F4011*G4011</f>
        <v>159.9375</v>
      </c>
      <c r="I4011" s="87"/>
      <c r="J4011" s="87"/>
      <c r="K4011" s="87"/>
      <c r="L4011" s="87"/>
    </row>
    <row r="4012" spans="1:12" ht="12" customHeight="1" x14ac:dyDescent="0.35">
      <c r="B4012" s="84"/>
      <c r="C4012" s="88"/>
      <c r="D4012" s="79"/>
      <c r="E4012" s="79"/>
      <c r="F4012" s="89"/>
      <c r="G4012" s="101"/>
      <c r="H4012" s="87">
        <f>SUM(H4009:H4011)</f>
        <v>2825.5625</v>
      </c>
      <c r="I4012" s="101"/>
      <c r="J4012" s="87">
        <f>SUM(J4011:J4011)</f>
        <v>0</v>
      </c>
      <c r="K4012" s="101"/>
      <c r="L4012" s="87">
        <f>SUM(L4011:L4011)</f>
        <v>0</v>
      </c>
    </row>
    <row r="4013" spans="1:12" ht="12" customHeight="1" x14ac:dyDescent="0.35">
      <c r="B4013" s="84" t="s">
        <v>6</v>
      </c>
      <c r="C4013" s="88" t="s">
        <v>422</v>
      </c>
      <c r="D4013" s="79"/>
      <c r="E4013" s="79"/>
      <c r="F4013" s="90"/>
      <c r="G4013" s="84"/>
      <c r="H4013" s="87"/>
      <c r="I4013" s="84"/>
      <c r="J4013" s="87"/>
      <c r="K4013" s="84"/>
      <c r="L4013" s="87"/>
    </row>
    <row r="4014" spans="1:12" x14ac:dyDescent="0.35">
      <c r="A4014" s="134">
        <v>22320100</v>
      </c>
      <c r="B4014" s="84"/>
      <c r="C4014" s="85" t="s">
        <v>1790</v>
      </c>
      <c r="D4014" s="84" t="s">
        <v>418</v>
      </c>
      <c r="E4014" s="84" t="s">
        <v>162</v>
      </c>
      <c r="F4014" s="128">
        <f>1/4</f>
        <v>0.25</v>
      </c>
      <c r="G4014" s="87">
        <f>VLOOKUP(C4014,HSD!B:K,10,FALSE)</f>
        <v>28860</v>
      </c>
      <c r="H4014" s="87">
        <f>F4014*G4014</f>
        <v>7215</v>
      </c>
      <c r="I4014" s="87"/>
      <c r="J4014" s="87"/>
      <c r="K4014" s="87"/>
      <c r="L4014" s="87"/>
    </row>
    <row r="4015" spans="1:12" x14ac:dyDescent="0.35">
      <c r="B4015" s="84"/>
      <c r="C4015" s="85"/>
      <c r="D4015" s="84"/>
      <c r="E4015" s="84"/>
      <c r="F4015" s="128"/>
      <c r="G4015" s="87"/>
      <c r="H4015" s="87"/>
      <c r="I4015" s="87"/>
      <c r="J4015" s="87"/>
      <c r="K4015" s="87"/>
      <c r="L4015" s="87"/>
    </row>
    <row r="4016" spans="1:12" ht="12" customHeight="1" x14ac:dyDescent="0.35">
      <c r="B4016" s="84"/>
      <c r="C4016" s="88"/>
      <c r="D4016" s="79"/>
      <c r="E4016" s="79"/>
      <c r="F4016" s="129" t="s">
        <v>423</v>
      </c>
      <c r="G4016" s="129"/>
      <c r="H4016" s="87">
        <f>SUM(H4014:H4015)</f>
        <v>7215</v>
      </c>
      <c r="I4016" s="101"/>
      <c r="J4016" s="87" t="e">
        <f>SUM(#REF!)</f>
        <v>#REF!</v>
      </c>
      <c r="K4016" s="101"/>
      <c r="L4016" s="87" t="e">
        <f>SUM(#REF!)</f>
        <v>#REF!</v>
      </c>
    </row>
    <row r="4017" spans="1:12" ht="12" customHeight="1" x14ac:dyDescent="0.35">
      <c r="B4017" s="84" t="s">
        <v>7</v>
      </c>
      <c r="C4017" s="88" t="s">
        <v>424</v>
      </c>
      <c r="D4017" s="79"/>
      <c r="E4017" s="79"/>
      <c r="F4017" s="90"/>
      <c r="G4017" s="84"/>
      <c r="H4017" s="87"/>
      <c r="I4017" s="84"/>
      <c r="J4017" s="87"/>
      <c r="K4017" s="84"/>
      <c r="L4017" s="87"/>
    </row>
    <row r="4018" spans="1:12" ht="12" customHeight="1" x14ac:dyDescent="0.35">
      <c r="A4018" s="134">
        <v>31100008</v>
      </c>
      <c r="B4018" s="84"/>
      <c r="C4018" s="85" t="s">
        <v>1836</v>
      </c>
      <c r="D4018" s="84" t="s">
        <v>418</v>
      </c>
      <c r="E4018" s="84" t="s">
        <v>253</v>
      </c>
      <c r="F4018" s="128">
        <v>9.0399999999999994E-2</v>
      </c>
      <c r="G4018" s="87">
        <f>VLOOKUP(C4018,HSD!B:K,10,FALSE)</f>
        <v>1053489.6200000001</v>
      </c>
      <c r="H4018" s="87">
        <f>F4018*G4018</f>
        <v>95235.461647999997</v>
      </c>
      <c r="I4018" s="87"/>
      <c r="J4018" s="87"/>
      <c r="K4018" s="87"/>
      <c r="L4018" s="87"/>
    </row>
    <row r="4019" spans="1:12" ht="12" customHeight="1" x14ac:dyDescent="0.35">
      <c r="B4019" s="84"/>
      <c r="C4019" s="85"/>
      <c r="D4019" s="84"/>
      <c r="E4019" s="84"/>
      <c r="F4019" s="128"/>
      <c r="G4019" s="87"/>
      <c r="H4019" s="87">
        <f>F4019*G4019</f>
        <v>0</v>
      </c>
      <c r="I4019" s="87"/>
      <c r="J4019" s="87"/>
      <c r="K4019" s="87"/>
      <c r="L4019" s="87"/>
    </row>
    <row r="4020" spans="1:12" ht="12" customHeight="1" x14ac:dyDescent="0.35">
      <c r="B4020" s="84"/>
      <c r="C4020" s="88"/>
      <c r="D4020" s="79"/>
      <c r="E4020" s="79"/>
      <c r="F4020" s="89" t="s">
        <v>425</v>
      </c>
      <c r="G4020" s="101"/>
      <c r="H4020" s="87">
        <f>SUM(H4018:H4019)</f>
        <v>95235.461647999997</v>
      </c>
      <c r="I4020" s="101"/>
      <c r="J4020" s="87" t="e">
        <f>SUM(#REF!)</f>
        <v>#REF!</v>
      </c>
      <c r="K4020" s="101"/>
      <c r="L4020" s="87" t="e">
        <f>SUM(#REF!)</f>
        <v>#REF!</v>
      </c>
    </row>
    <row r="4021" spans="1:12" ht="12" customHeight="1" x14ac:dyDescent="0.35">
      <c r="B4021" s="84" t="s">
        <v>8</v>
      </c>
      <c r="C4021" s="103" t="s">
        <v>426</v>
      </c>
      <c r="D4021" s="104"/>
      <c r="E4021" s="104"/>
      <c r="F4021" s="104"/>
      <c r="G4021" s="105"/>
      <c r="H4021" s="87">
        <f>H4012+H4016+H4020</f>
        <v>105276.024148</v>
      </c>
      <c r="I4021" s="105"/>
      <c r="J4021" s="87" t="e">
        <f>J4012+J4016+J4020</f>
        <v>#REF!</v>
      </c>
      <c r="K4021" s="105"/>
      <c r="L4021" s="87" t="e">
        <f>L4012+L4016+L4020</f>
        <v>#REF!</v>
      </c>
    </row>
    <row r="4022" spans="1:12" ht="12" customHeight="1" x14ac:dyDescent="0.35">
      <c r="B4022" s="84" t="s">
        <v>9</v>
      </c>
      <c r="C4022" s="455" t="s">
        <v>427</v>
      </c>
      <c r="D4022" s="455"/>
      <c r="E4022" s="455"/>
      <c r="F4022" s="95">
        <v>0</v>
      </c>
      <c r="G4022" s="85" t="s">
        <v>428</v>
      </c>
      <c r="H4022" s="87">
        <f>H4021*F4022</f>
        <v>0</v>
      </c>
      <c r="I4022" s="85" t="s">
        <v>428</v>
      </c>
      <c r="J4022" s="87" t="e">
        <f>J4021*F4022</f>
        <v>#REF!</v>
      </c>
      <c r="K4022" s="85" t="s">
        <v>428</v>
      </c>
      <c r="L4022" s="87" t="e">
        <f>L4021*F4022</f>
        <v>#REF!</v>
      </c>
    </row>
    <row r="4023" spans="1:12" ht="12" customHeight="1" x14ac:dyDescent="0.35">
      <c r="B4023" s="84" t="s">
        <v>10</v>
      </c>
      <c r="C4023" s="103" t="s">
        <v>429</v>
      </c>
      <c r="D4023" s="104"/>
      <c r="E4023" s="104"/>
      <c r="F4023" s="104"/>
      <c r="G4023" s="105"/>
      <c r="H4023" s="96">
        <f>H4021+H4022</f>
        <v>105276.024148</v>
      </c>
      <c r="I4023" s="97"/>
      <c r="J4023" s="96" t="e">
        <f>J4021+J4022</f>
        <v>#REF!</v>
      </c>
      <c r="K4023" s="97"/>
      <c r="L4023" s="96" t="e">
        <f>L4021+L4022</f>
        <v>#REF!</v>
      </c>
    </row>
    <row r="4024" spans="1:12" ht="14" customHeight="1" x14ac:dyDescent="0.35"/>
    <row r="4025" spans="1:12" ht="37" customHeight="1" x14ac:dyDescent="0.35">
      <c r="B4025" s="76"/>
      <c r="C4025" s="458" t="s">
        <v>1967</v>
      </c>
      <c r="D4025" s="459"/>
      <c r="E4025" s="459"/>
      <c r="F4025" s="459"/>
      <c r="G4025" s="456"/>
      <c r="H4025" s="457"/>
      <c r="I4025" s="455" t="s">
        <v>3</v>
      </c>
      <c r="J4025" s="455"/>
      <c r="K4025" s="455" t="s">
        <v>4</v>
      </c>
      <c r="L4025" s="455"/>
    </row>
    <row r="4026" spans="1:12" ht="12" customHeight="1" x14ac:dyDescent="0.35">
      <c r="B4026" s="451" t="s">
        <v>409</v>
      </c>
      <c r="C4026" s="451" t="s">
        <v>410</v>
      </c>
      <c r="D4026" s="452" t="s">
        <v>411</v>
      </c>
      <c r="E4026" s="451" t="s">
        <v>412</v>
      </c>
      <c r="F4026" s="451" t="s">
        <v>413</v>
      </c>
      <c r="G4026" s="77" t="s">
        <v>414</v>
      </c>
      <c r="H4026" s="77" t="s">
        <v>415</v>
      </c>
      <c r="I4026" s="78" t="s">
        <v>414</v>
      </c>
      <c r="J4026" s="79" t="s">
        <v>415</v>
      </c>
      <c r="K4026" s="79" t="s">
        <v>414</v>
      </c>
      <c r="L4026" s="79" t="s">
        <v>415</v>
      </c>
    </row>
    <row r="4027" spans="1:12" ht="12" customHeight="1" x14ac:dyDescent="0.35">
      <c r="B4027" s="451"/>
      <c r="C4027" s="451"/>
      <c r="D4027" s="453"/>
      <c r="E4027" s="451"/>
      <c r="F4027" s="451"/>
      <c r="G4027" s="77" t="s">
        <v>17</v>
      </c>
      <c r="H4027" s="77" t="s">
        <v>416</v>
      </c>
      <c r="I4027" s="78" t="s">
        <v>17</v>
      </c>
      <c r="J4027" s="79" t="s">
        <v>416</v>
      </c>
      <c r="K4027" s="79" t="s">
        <v>17</v>
      </c>
      <c r="L4027" s="79" t="s">
        <v>416</v>
      </c>
    </row>
    <row r="4028" spans="1:12" ht="12" customHeight="1" x14ac:dyDescent="0.35">
      <c r="B4028" s="451"/>
      <c r="C4028" s="451"/>
      <c r="D4028" s="454"/>
      <c r="E4028" s="451"/>
      <c r="F4028" s="451"/>
      <c r="G4028" s="106"/>
      <c r="H4028" s="77" t="s">
        <v>17</v>
      </c>
      <c r="I4028" s="94"/>
      <c r="J4028" s="79" t="s">
        <v>17</v>
      </c>
      <c r="K4028" s="85"/>
      <c r="L4028" s="79" t="s">
        <v>17</v>
      </c>
    </row>
    <row r="4029" spans="1:12" ht="12" customHeight="1" x14ac:dyDescent="0.35">
      <c r="B4029" s="80" t="s">
        <v>5</v>
      </c>
      <c r="C4029" s="81" t="s">
        <v>417</v>
      </c>
      <c r="D4029" s="82"/>
      <c r="E4029" s="82"/>
      <c r="F4029" s="82"/>
      <c r="G4029" s="82"/>
      <c r="H4029" s="82"/>
      <c r="I4029" s="83"/>
      <c r="J4029" s="83"/>
      <c r="K4029" s="83"/>
      <c r="L4029" s="83"/>
    </row>
    <row r="4030" spans="1:12" ht="12" customHeight="1" x14ac:dyDescent="0.35">
      <c r="A4030" s="134">
        <v>10130000</v>
      </c>
      <c r="B4030" s="84"/>
      <c r="C4030" s="85" t="s">
        <v>28</v>
      </c>
      <c r="D4030" s="84" t="s">
        <v>418</v>
      </c>
      <c r="E4030" s="84" t="str">
        <f>VLOOKUP(C4030,HSD!B:K,2,FALSE)</f>
        <v>OH</v>
      </c>
      <c r="F4030" s="128">
        <v>1</v>
      </c>
      <c r="G4030" s="87">
        <f>VLOOKUP(C4030,HSD!B:K,10,FALSE)</f>
        <v>120000</v>
      </c>
      <c r="H4030" s="87">
        <f>F4030*G4030</f>
        <v>120000</v>
      </c>
      <c r="I4030" s="87">
        <v>91500</v>
      </c>
      <c r="J4030" s="87">
        <f>F4030*I4030</f>
        <v>91500</v>
      </c>
      <c r="K4030" s="87">
        <v>91500</v>
      </c>
      <c r="L4030" s="87">
        <f>F4030*K4030</f>
        <v>91500</v>
      </c>
    </row>
    <row r="4031" spans="1:12" ht="12" customHeight="1" x14ac:dyDescent="0.35">
      <c r="A4031" s="134">
        <v>10121100</v>
      </c>
      <c r="B4031" s="84"/>
      <c r="C4031" s="85" t="s">
        <v>434</v>
      </c>
      <c r="D4031" s="84" t="s">
        <v>418</v>
      </c>
      <c r="E4031" s="84" t="str">
        <f>VLOOKUP(C4031,HSD!B:K,2,FALSE)</f>
        <v>OH</v>
      </c>
      <c r="F4031" s="128">
        <v>0.5</v>
      </c>
      <c r="G4031" s="87">
        <f>VLOOKUP(C4031,HSD!B:K,10,FALSE)</f>
        <v>250000</v>
      </c>
      <c r="H4031" s="87">
        <f>F4031*G4031</f>
        <v>125000</v>
      </c>
      <c r="I4031" s="87"/>
      <c r="J4031" s="87"/>
      <c r="K4031" s="87"/>
      <c r="L4031" s="87"/>
    </row>
    <row r="4032" spans="1:12" ht="12" customHeight="1" x14ac:dyDescent="0.35">
      <c r="A4032" s="134">
        <v>10110000</v>
      </c>
      <c r="B4032" s="84"/>
      <c r="C4032" s="85" t="s">
        <v>27</v>
      </c>
      <c r="D4032" s="84" t="s">
        <v>418</v>
      </c>
      <c r="E4032" s="84" t="str">
        <f>VLOOKUP(C4032,HSD!B:K,2,FALSE)</f>
        <v>OH</v>
      </c>
      <c r="F4032" s="128">
        <v>0.1</v>
      </c>
      <c r="G4032" s="87">
        <f>VLOOKUP(C4032,HSD!B:K,10,FALSE)</f>
        <v>150000</v>
      </c>
      <c r="H4032" s="87">
        <f>F4032*G4032</f>
        <v>15000</v>
      </c>
      <c r="I4032" s="87"/>
      <c r="J4032" s="87"/>
      <c r="K4032" s="87"/>
      <c r="L4032" s="87"/>
    </row>
    <row r="4033" spans="1:12" ht="12" customHeight="1" x14ac:dyDescent="0.35">
      <c r="B4033" s="84"/>
      <c r="C4033" s="85" t="s">
        <v>437</v>
      </c>
      <c r="D4033" s="84"/>
      <c r="E4033" s="84" t="str">
        <f>VLOOKUP(C4033,HSD!B:K,2,FALSE)</f>
        <v>OH</v>
      </c>
      <c r="F4033" s="128">
        <v>1</v>
      </c>
      <c r="G4033" s="87">
        <f>VLOOKUP(C4033,HSD!B:K,10,FALSE)</f>
        <v>250000</v>
      </c>
      <c r="H4033" s="87">
        <f t="shared" ref="H4033:H4034" si="10">F4033*G4033</f>
        <v>250000</v>
      </c>
      <c r="I4033" s="87"/>
      <c r="J4033" s="87"/>
      <c r="K4033" s="87"/>
      <c r="L4033" s="87"/>
    </row>
    <row r="4034" spans="1:12" ht="12" customHeight="1" x14ac:dyDescent="0.35">
      <c r="B4034" s="84"/>
      <c r="C4034" s="85" t="s">
        <v>30</v>
      </c>
      <c r="D4034" s="84"/>
      <c r="E4034" s="84" t="str">
        <f>VLOOKUP(C4034,HSD!B:K,2,FALSE)</f>
        <v>OH</v>
      </c>
      <c r="F4034" s="128">
        <v>0.1</v>
      </c>
      <c r="G4034" s="87">
        <f>VLOOKUP(C4034,HSD!B:K,10,FALSE)</f>
        <v>150000</v>
      </c>
      <c r="H4034" s="87">
        <f t="shared" si="10"/>
        <v>15000</v>
      </c>
      <c r="I4034" s="87"/>
      <c r="J4034" s="87"/>
      <c r="K4034" s="87"/>
      <c r="L4034" s="87"/>
    </row>
    <row r="4035" spans="1:12" ht="12" customHeight="1" x14ac:dyDescent="0.35">
      <c r="B4035" s="84"/>
      <c r="C4035" s="88"/>
      <c r="D4035" s="79"/>
      <c r="E4035" s="79"/>
      <c r="F4035" s="89"/>
      <c r="G4035" s="101"/>
      <c r="H4035" s="87">
        <f>SUM(H4030:L4034)</f>
        <v>891000</v>
      </c>
      <c r="I4035" s="101"/>
      <c r="J4035" s="87">
        <f>SUM(J4032:J4032)</f>
        <v>0</v>
      </c>
      <c r="K4035" s="101"/>
      <c r="L4035" s="87">
        <f>SUM(L4032:L4032)</f>
        <v>0</v>
      </c>
    </row>
    <row r="4036" spans="1:12" ht="12" customHeight="1" x14ac:dyDescent="0.35">
      <c r="B4036" s="84" t="s">
        <v>6</v>
      </c>
      <c r="C4036" s="88" t="s">
        <v>422</v>
      </c>
      <c r="D4036" s="79"/>
      <c r="E4036" s="79"/>
      <c r="F4036" s="90"/>
      <c r="G4036" s="84"/>
      <c r="H4036" s="87"/>
      <c r="I4036" s="84"/>
      <c r="J4036" s="87"/>
      <c r="K4036" s="84"/>
      <c r="L4036" s="87"/>
    </row>
    <row r="4037" spans="1:12" x14ac:dyDescent="0.35">
      <c r="A4037" s="134">
        <v>22320100</v>
      </c>
      <c r="B4037" s="84"/>
      <c r="C4037" s="85" t="s">
        <v>457</v>
      </c>
      <c r="D4037" s="84" t="s">
        <v>418</v>
      </c>
      <c r="E4037" s="84" t="str">
        <f>VLOOKUP(C4037,HSD!B:K,2,FALSE)</f>
        <v>m2</v>
      </c>
      <c r="F4037" s="128">
        <v>1</v>
      </c>
      <c r="G4037" s="87">
        <f>VLOOKUP(C4037,HSD!B:K,10,FALSE)</f>
        <v>404040</v>
      </c>
      <c r="H4037" s="87">
        <f>F4037*G4037</f>
        <v>404040</v>
      </c>
      <c r="I4037" s="87"/>
      <c r="J4037" s="87"/>
      <c r="K4037" s="87"/>
      <c r="L4037" s="87"/>
    </row>
    <row r="4038" spans="1:12" x14ac:dyDescent="0.35">
      <c r="B4038" s="84"/>
      <c r="C4038" s="85" t="s">
        <v>1873</v>
      </c>
      <c r="D4038" s="84"/>
      <c r="E4038" s="84" t="str">
        <f>VLOOKUP(C4038,HSD!B:K,2,FALSE)</f>
        <v>m3</v>
      </c>
      <c r="F4038" s="128">
        <v>7.6999999999999999E-2</v>
      </c>
      <c r="G4038" s="87">
        <f>VLOOKUP(C4038,HSD!B:K,10,FALSE)</f>
        <v>3885000</v>
      </c>
      <c r="H4038" s="87">
        <f t="shared" ref="H4038:H4040" si="11">F4038*G4038</f>
        <v>299145</v>
      </c>
      <c r="I4038" s="87"/>
      <c r="J4038" s="87"/>
      <c r="K4038" s="87"/>
      <c r="L4038" s="87"/>
    </row>
    <row r="4039" spans="1:12" x14ac:dyDescent="0.35">
      <c r="B4039" s="84"/>
      <c r="C4039" s="85" t="s">
        <v>1874</v>
      </c>
      <c r="D4039" s="84"/>
      <c r="E4039" s="84" t="str">
        <f>VLOOKUP(C4039,HSD!B:K,2,FALSE)</f>
        <v>kg</v>
      </c>
      <c r="F4039" s="128">
        <v>1.25</v>
      </c>
      <c r="G4039" s="87">
        <f>VLOOKUP(C4039,HSD!B:K,10,FALSE)</f>
        <v>18426</v>
      </c>
      <c r="H4039" s="87">
        <f t="shared" si="11"/>
        <v>23032.5</v>
      </c>
      <c r="I4039" s="87"/>
      <c r="J4039" s="87"/>
      <c r="K4039" s="87"/>
      <c r="L4039" s="87"/>
    </row>
    <row r="4040" spans="1:12" x14ac:dyDescent="0.35">
      <c r="B4040" s="84"/>
      <c r="C4040" s="85" t="s">
        <v>1968</v>
      </c>
      <c r="D4040" s="84"/>
      <c r="E4040" s="84" t="str">
        <f>VLOOKUP(C4040,HSD!B:K,2,FALSE)</f>
        <v>kg</v>
      </c>
      <c r="F4040" s="128">
        <v>2.5</v>
      </c>
      <c r="G4040" s="87">
        <f>VLOOKUP(C4040,HSD!B:K,10,FALSE)</f>
        <v>59940</v>
      </c>
      <c r="H4040" s="87">
        <f t="shared" si="11"/>
        <v>149850</v>
      </c>
      <c r="I4040" s="87"/>
      <c r="J4040" s="87"/>
      <c r="K4040" s="87"/>
      <c r="L4040" s="87"/>
    </row>
    <row r="4041" spans="1:12" x14ac:dyDescent="0.35">
      <c r="B4041" s="84"/>
      <c r="C4041" s="85"/>
      <c r="D4041" s="84"/>
      <c r="E4041" s="84"/>
      <c r="F4041" s="128"/>
      <c r="G4041" s="87"/>
      <c r="H4041" s="87"/>
      <c r="I4041" s="87"/>
      <c r="J4041" s="87"/>
      <c r="K4041" s="87"/>
      <c r="L4041" s="87"/>
    </row>
    <row r="4042" spans="1:12" ht="12" customHeight="1" x14ac:dyDescent="0.35">
      <c r="B4042" s="84"/>
      <c r="C4042" s="88"/>
      <c r="D4042" s="79"/>
      <c r="E4042" s="79"/>
      <c r="F4042" s="129" t="s">
        <v>423</v>
      </c>
      <c r="G4042" s="129"/>
      <c r="H4042" s="87">
        <f>SUM(H4037:H4041)</f>
        <v>876067.5</v>
      </c>
      <c r="I4042" s="101"/>
      <c r="J4042" s="87" t="e">
        <f>SUM(#REF!)</f>
        <v>#REF!</v>
      </c>
      <c r="K4042" s="101"/>
      <c r="L4042" s="87" t="e">
        <f>SUM(#REF!)</f>
        <v>#REF!</v>
      </c>
    </row>
    <row r="4043" spans="1:12" ht="12" customHeight="1" x14ac:dyDescent="0.35">
      <c r="B4043" s="84" t="s">
        <v>7</v>
      </c>
      <c r="C4043" s="88" t="s">
        <v>424</v>
      </c>
      <c r="D4043" s="79"/>
      <c r="E4043" s="79"/>
      <c r="F4043" s="90"/>
      <c r="G4043" s="84"/>
      <c r="H4043" s="87"/>
      <c r="I4043" s="84"/>
      <c r="J4043" s="87"/>
      <c r="K4043" s="84"/>
      <c r="L4043" s="87"/>
    </row>
    <row r="4044" spans="1:12" ht="12" customHeight="1" x14ac:dyDescent="0.35">
      <c r="A4044" s="134">
        <v>31100008</v>
      </c>
      <c r="B4044" s="84"/>
      <c r="C4044" s="85" t="s">
        <v>1836</v>
      </c>
      <c r="D4044" s="84" t="s">
        <v>418</v>
      </c>
      <c r="E4044" s="84" t="s">
        <v>253</v>
      </c>
      <c r="F4044" s="128">
        <v>9.0399999999999994E-2</v>
      </c>
      <c r="G4044" s="87">
        <f>VLOOKUP(C4044,HSD!B:K,10,FALSE)</f>
        <v>1053489.6200000001</v>
      </c>
      <c r="H4044" s="87">
        <f>F4044*G4044</f>
        <v>95235.461647999997</v>
      </c>
      <c r="I4044" s="87"/>
      <c r="J4044" s="87"/>
      <c r="K4044" s="87"/>
      <c r="L4044" s="87"/>
    </row>
    <row r="4045" spans="1:12" ht="12" customHeight="1" x14ac:dyDescent="0.35">
      <c r="B4045" s="84"/>
      <c r="C4045" s="85"/>
      <c r="D4045" s="84"/>
      <c r="E4045" s="84"/>
      <c r="F4045" s="128"/>
      <c r="G4045" s="87"/>
      <c r="H4045" s="87">
        <f>F4045*G4045</f>
        <v>0</v>
      </c>
      <c r="I4045" s="87"/>
      <c r="J4045" s="87"/>
      <c r="K4045" s="87"/>
      <c r="L4045" s="87"/>
    </row>
    <row r="4046" spans="1:12" ht="12" customHeight="1" x14ac:dyDescent="0.35">
      <c r="B4046" s="84"/>
      <c r="C4046" s="88"/>
      <c r="D4046" s="79"/>
      <c r="E4046" s="79"/>
      <c r="F4046" s="89" t="s">
        <v>425</v>
      </c>
      <c r="G4046" s="101"/>
      <c r="H4046" s="87">
        <f>SUM(H4044:H4045)</f>
        <v>95235.461647999997</v>
      </c>
      <c r="I4046" s="101"/>
      <c r="J4046" s="87" t="e">
        <f>SUM(#REF!)</f>
        <v>#REF!</v>
      </c>
      <c r="K4046" s="101"/>
      <c r="L4046" s="87" t="e">
        <f>SUM(#REF!)</f>
        <v>#REF!</v>
      </c>
    </row>
    <row r="4047" spans="1:12" ht="12" customHeight="1" x14ac:dyDescent="0.35">
      <c r="B4047" s="84" t="s">
        <v>8</v>
      </c>
      <c r="C4047" s="103" t="s">
        <v>426</v>
      </c>
      <c r="D4047" s="104"/>
      <c r="E4047" s="104"/>
      <c r="F4047" s="104"/>
      <c r="G4047" s="105"/>
      <c r="H4047" s="87">
        <f>H4035+H4042+H4046</f>
        <v>1862302.9616479999</v>
      </c>
      <c r="I4047" s="105"/>
      <c r="J4047" s="87" t="e">
        <f>J4035+J4042+J4046</f>
        <v>#REF!</v>
      </c>
      <c r="K4047" s="105"/>
      <c r="L4047" s="87" t="e">
        <f>L4035+L4042+L4046</f>
        <v>#REF!</v>
      </c>
    </row>
    <row r="4048" spans="1:12" ht="12" customHeight="1" x14ac:dyDescent="0.35">
      <c r="B4048" s="84" t="s">
        <v>9</v>
      </c>
      <c r="C4048" s="455" t="s">
        <v>427</v>
      </c>
      <c r="D4048" s="455"/>
      <c r="E4048" s="455"/>
      <c r="F4048" s="95">
        <v>0.15</v>
      </c>
      <c r="G4048" s="85" t="s">
        <v>428</v>
      </c>
      <c r="H4048" s="87">
        <f>H4047*F4048</f>
        <v>279345.44424719998</v>
      </c>
      <c r="I4048" s="85" t="s">
        <v>428</v>
      </c>
      <c r="J4048" s="87" t="e">
        <f>J4047*F4048</f>
        <v>#REF!</v>
      </c>
      <c r="K4048" s="85" t="s">
        <v>428</v>
      </c>
      <c r="L4048" s="87" t="e">
        <f>L4047*F4048</f>
        <v>#REF!</v>
      </c>
    </row>
    <row r="4049" spans="2:12" ht="12" customHeight="1" x14ac:dyDescent="0.35">
      <c r="B4049" s="84" t="s">
        <v>10</v>
      </c>
      <c r="C4049" s="103" t="s">
        <v>429</v>
      </c>
      <c r="D4049" s="104"/>
      <c r="E4049" s="104"/>
      <c r="F4049" s="104"/>
      <c r="G4049" s="105"/>
      <c r="H4049" s="96">
        <f>H4047+H4048</f>
        <v>2141648.4058952001</v>
      </c>
      <c r="I4049" s="97"/>
      <c r="J4049" s="96" t="e">
        <f>J4047+J4048</f>
        <v>#REF!</v>
      </c>
      <c r="K4049" s="97"/>
      <c r="L4049" s="96" t="e">
        <f>L4047+L4048</f>
        <v>#REF!</v>
      </c>
    </row>
    <row r="4050" spans="2:12" ht="14" customHeight="1" x14ac:dyDescent="0.35"/>
    <row r="4051" spans="2:12" x14ac:dyDescent="0.35">
      <c r="C4051" s="458" t="s">
        <v>2085</v>
      </c>
      <c r="D4051" s="459"/>
      <c r="E4051" s="459"/>
      <c r="F4051" s="459"/>
      <c r="G4051" s="456"/>
      <c r="H4051" s="457"/>
    </row>
    <row r="4052" spans="2:12" x14ac:dyDescent="0.35">
      <c r="B4052" s="451" t="s">
        <v>409</v>
      </c>
      <c r="C4052" s="451" t="s">
        <v>410</v>
      </c>
      <c r="D4052" s="452" t="s">
        <v>411</v>
      </c>
      <c r="E4052" s="451" t="s">
        <v>412</v>
      </c>
      <c r="F4052" s="451" t="s">
        <v>413</v>
      </c>
      <c r="G4052" s="77" t="s">
        <v>414</v>
      </c>
      <c r="H4052" s="77" t="s">
        <v>415</v>
      </c>
    </row>
    <row r="4053" spans="2:12" x14ac:dyDescent="0.35">
      <c r="B4053" s="451"/>
      <c r="C4053" s="451"/>
      <c r="D4053" s="453"/>
      <c r="E4053" s="451"/>
      <c r="F4053" s="451"/>
      <c r="G4053" s="77" t="s">
        <v>17</v>
      </c>
      <c r="H4053" s="77" t="s">
        <v>416</v>
      </c>
    </row>
    <row r="4054" spans="2:12" x14ac:dyDescent="0.35">
      <c r="B4054" s="451"/>
      <c r="C4054" s="451"/>
      <c r="D4054" s="454"/>
      <c r="E4054" s="451"/>
      <c r="F4054" s="451"/>
      <c r="G4054" s="106"/>
      <c r="H4054" s="77" t="s">
        <v>17</v>
      </c>
    </row>
    <row r="4055" spans="2:12" x14ac:dyDescent="0.35">
      <c r="B4055" s="80" t="s">
        <v>5</v>
      </c>
      <c r="C4055" s="81" t="s">
        <v>417</v>
      </c>
      <c r="D4055" s="82"/>
      <c r="E4055" s="82"/>
      <c r="F4055" s="82"/>
      <c r="G4055" s="82"/>
      <c r="H4055" s="82"/>
    </row>
    <row r="4056" spans="2:12" x14ac:dyDescent="0.35">
      <c r="B4056" s="84"/>
      <c r="C4056" s="85" t="s">
        <v>28</v>
      </c>
      <c r="D4056" s="84" t="s">
        <v>418</v>
      </c>
      <c r="E4056" s="84" t="str">
        <f>VLOOKUP(C4056,HSD!B:K,2,FALSE)</f>
        <v>OH</v>
      </c>
      <c r="F4056" s="128">
        <v>0.1</v>
      </c>
      <c r="G4056" s="87">
        <f>VLOOKUP(C4056,HSD!B:K,10,FALSE)</f>
        <v>120000</v>
      </c>
      <c r="H4056" s="87">
        <f>F4056*G4056</f>
        <v>12000</v>
      </c>
    </row>
    <row r="4057" spans="2:12" x14ac:dyDescent="0.35">
      <c r="B4057" s="84"/>
      <c r="C4057" s="85" t="s">
        <v>28</v>
      </c>
      <c r="D4057" s="84" t="s">
        <v>418</v>
      </c>
      <c r="E4057" s="84" t="str">
        <f>VLOOKUP(C4057,HSD!B:K,2,FALSE)</f>
        <v>OH</v>
      </c>
      <c r="F4057" s="128">
        <v>0.01</v>
      </c>
      <c r="G4057" s="87">
        <f>VLOOKUP(C4057,HSD!B:K,10,FALSE)</f>
        <v>120000</v>
      </c>
      <c r="H4057" s="87">
        <f>F4057*G4057</f>
        <v>1200</v>
      </c>
    </row>
    <row r="4058" spans="2:12" x14ac:dyDescent="0.35">
      <c r="B4058" s="84"/>
      <c r="C4058" s="85" t="s">
        <v>30</v>
      </c>
      <c r="D4058" s="84" t="s">
        <v>418</v>
      </c>
      <c r="E4058" s="84" t="str">
        <f>VLOOKUP(C4058,HSD!B:K,2,FALSE)</f>
        <v>OH</v>
      </c>
      <c r="F4058" s="128">
        <v>1E-3</v>
      </c>
      <c r="G4058" s="87">
        <f>VLOOKUP(C4058,HSD!B:K,10,FALSE)</f>
        <v>150000</v>
      </c>
      <c r="H4058" s="87">
        <f>F4058*G4058</f>
        <v>150</v>
      </c>
    </row>
    <row r="4059" spans="2:12" x14ac:dyDescent="0.35">
      <c r="B4059" s="84"/>
      <c r="C4059" s="85"/>
      <c r="D4059" s="84"/>
      <c r="E4059" s="84"/>
      <c r="F4059" s="86"/>
      <c r="G4059" s="87"/>
      <c r="H4059" s="87">
        <f>F4059*G4059</f>
        <v>0</v>
      </c>
    </row>
    <row r="4060" spans="2:12" x14ac:dyDescent="0.35">
      <c r="B4060" s="84"/>
      <c r="C4060" s="85"/>
      <c r="D4060" s="84"/>
      <c r="E4060" s="84"/>
      <c r="F4060" s="86"/>
      <c r="G4060" s="87"/>
      <c r="H4060" s="87"/>
    </row>
    <row r="4061" spans="2:12" x14ac:dyDescent="0.35">
      <c r="B4061" s="84"/>
      <c r="C4061" s="88"/>
      <c r="D4061" s="79"/>
      <c r="E4061" s="79"/>
      <c r="F4061" s="89" t="s">
        <v>421</v>
      </c>
      <c r="G4061" s="101"/>
      <c r="H4061" s="87">
        <f>SUM(H4056:H4060)</f>
        <v>13350</v>
      </c>
    </row>
    <row r="4062" spans="2:12" x14ac:dyDescent="0.35">
      <c r="B4062" s="84" t="s">
        <v>6</v>
      </c>
      <c r="C4062" s="88" t="s">
        <v>422</v>
      </c>
      <c r="D4062" s="79"/>
      <c r="E4062" s="79"/>
      <c r="F4062" s="90"/>
      <c r="G4062" s="84"/>
      <c r="H4062" s="87"/>
    </row>
    <row r="4063" spans="2:12" x14ac:dyDescent="0.35">
      <c r="B4063" s="84"/>
      <c r="C4063" s="85" t="s">
        <v>2084</v>
      </c>
      <c r="D4063" s="84" t="s">
        <v>418</v>
      </c>
      <c r="E4063" s="84" t="str">
        <f>VLOOKUP(C4063,HSD!B:K,2,FALSE)</f>
        <v>m'</v>
      </c>
      <c r="F4063" s="128">
        <v>1.05</v>
      </c>
      <c r="G4063" s="87">
        <f>VLOOKUP(C4063,HSD!B:K,10,FALSE)</f>
        <v>69375</v>
      </c>
      <c r="H4063" s="87">
        <f>F4063*G4063</f>
        <v>72843.75</v>
      </c>
    </row>
    <row r="4064" spans="2:12" x14ac:dyDescent="0.35">
      <c r="B4064" s="84"/>
      <c r="C4064" s="85" t="s">
        <v>1856</v>
      </c>
      <c r="D4064" s="84" t="s">
        <v>418</v>
      </c>
      <c r="E4064" s="84" t="str">
        <f>VLOOKUP(C4064,HSD!B:K,2,FALSE)</f>
        <v>kg</v>
      </c>
      <c r="F4064" s="128">
        <v>0.6774</v>
      </c>
      <c r="G4064" s="87">
        <f>VLOOKUP(C4064,HSD!B:K,10,FALSE)</f>
        <v>46176</v>
      </c>
      <c r="H4064" s="87">
        <f>F4064*G4064</f>
        <v>31279.6224</v>
      </c>
    </row>
    <row r="4065" spans="2:8" x14ac:dyDescent="0.35">
      <c r="B4065" s="84"/>
      <c r="C4065" s="85" t="s">
        <v>1800</v>
      </c>
      <c r="D4065" s="84" t="s">
        <v>418</v>
      </c>
      <c r="E4065" s="84" t="str">
        <f>VLOOKUP(C4065,HSD!B:K,2,FALSE)</f>
        <v>kg</v>
      </c>
      <c r="F4065" s="128">
        <v>2.3599999999999999E-2</v>
      </c>
      <c r="G4065" s="87">
        <f>VLOOKUP(C4065,HSD!B:K,10,FALSE)</f>
        <v>242.61</v>
      </c>
      <c r="H4065" s="87">
        <f>F4065*G4065</f>
        <v>5.7255960000000004</v>
      </c>
    </row>
    <row r="4066" spans="2:8" x14ac:dyDescent="0.35">
      <c r="B4066" s="84"/>
      <c r="C4066" s="85"/>
      <c r="D4066" s="84"/>
      <c r="E4066" s="84"/>
      <c r="F4066" s="128"/>
      <c r="G4066" s="87"/>
      <c r="H4066" s="87"/>
    </row>
    <row r="4067" spans="2:8" x14ac:dyDescent="0.35">
      <c r="B4067" s="84"/>
      <c r="C4067" s="88"/>
      <c r="D4067" s="79"/>
      <c r="E4067" s="79"/>
      <c r="F4067" s="129" t="s">
        <v>423</v>
      </c>
      <c r="G4067" s="129"/>
      <c r="H4067" s="87">
        <f>SUM(H4063:H4066)</f>
        <v>104129.097996</v>
      </c>
    </row>
    <row r="4068" spans="2:8" x14ac:dyDescent="0.35">
      <c r="B4068" s="84" t="s">
        <v>7</v>
      </c>
      <c r="C4068" s="88" t="s">
        <v>424</v>
      </c>
      <c r="D4068" s="79"/>
      <c r="E4068" s="79"/>
      <c r="F4068" s="90"/>
      <c r="G4068" s="84"/>
      <c r="H4068" s="87"/>
    </row>
    <row r="4069" spans="2:8" x14ac:dyDescent="0.35">
      <c r="B4069" s="84"/>
      <c r="C4069" s="85"/>
      <c r="D4069" s="84"/>
      <c r="E4069" s="84"/>
      <c r="F4069" s="128"/>
      <c r="G4069" s="87"/>
      <c r="H4069" s="87">
        <f>F4069*G4069</f>
        <v>0</v>
      </c>
    </row>
    <row r="4070" spans="2:8" x14ac:dyDescent="0.35">
      <c r="B4070" s="84"/>
      <c r="C4070" s="85"/>
      <c r="D4070" s="84"/>
      <c r="E4070" s="84"/>
      <c r="F4070" s="128"/>
      <c r="G4070" s="87"/>
      <c r="H4070" s="87">
        <f>F4070*G4070</f>
        <v>0</v>
      </c>
    </row>
    <row r="4071" spans="2:8" x14ac:dyDescent="0.35">
      <c r="B4071" s="84"/>
      <c r="C4071" s="85"/>
      <c r="D4071" s="84"/>
      <c r="E4071" s="84"/>
      <c r="F4071" s="128"/>
      <c r="G4071" s="87"/>
      <c r="H4071" s="87">
        <f>F4071*G4071</f>
        <v>0</v>
      </c>
    </row>
    <row r="4072" spans="2:8" x14ac:dyDescent="0.35">
      <c r="B4072" s="84"/>
      <c r="C4072" s="88"/>
      <c r="D4072" s="79"/>
      <c r="E4072" s="79"/>
      <c r="F4072" s="89" t="s">
        <v>425</v>
      </c>
      <c r="G4072" s="101"/>
      <c r="H4072" s="87">
        <f>SUM(H4069:H4071)</f>
        <v>0</v>
      </c>
    </row>
    <row r="4073" spans="2:8" x14ac:dyDescent="0.35">
      <c r="B4073" s="84" t="s">
        <v>8</v>
      </c>
      <c r="C4073" s="103" t="s">
        <v>426</v>
      </c>
      <c r="D4073" s="104"/>
      <c r="E4073" s="104"/>
      <c r="F4073" s="104"/>
      <c r="G4073" s="105"/>
      <c r="H4073" s="87">
        <f>H4061+H4067+H4072</f>
        <v>117479.097996</v>
      </c>
    </row>
    <row r="4074" spans="2:8" x14ac:dyDescent="0.35">
      <c r="B4074" s="84" t="s">
        <v>9</v>
      </c>
      <c r="C4074" s="455" t="s">
        <v>427</v>
      </c>
      <c r="D4074" s="455"/>
      <c r="E4074" s="455"/>
      <c r="F4074" s="95">
        <f>0</f>
        <v>0</v>
      </c>
      <c r="G4074" s="85" t="s">
        <v>428</v>
      </c>
      <c r="H4074" s="87">
        <f>H4073*F4074</f>
        <v>0</v>
      </c>
    </row>
    <row r="4075" spans="2:8" x14ac:dyDescent="0.35">
      <c r="B4075" s="84" t="s">
        <v>10</v>
      </c>
      <c r="C4075" s="103" t="s">
        <v>429</v>
      </c>
      <c r="D4075" s="104"/>
      <c r="E4075" s="104"/>
      <c r="F4075" s="104"/>
      <c r="G4075" s="105"/>
      <c r="H4075" s="96">
        <f>H4073+H4074</f>
        <v>117479.097996</v>
      </c>
    </row>
  </sheetData>
  <mergeCells count="1628">
    <mergeCell ref="C24:E24"/>
    <mergeCell ref="C27:F27"/>
    <mergeCell ref="G27:H27"/>
    <mergeCell ref="I27:J27"/>
    <mergeCell ref="K27:L27"/>
    <mergeCell ref="B28:B30"/>
    <mergeCell ref="C28:C30"/>
    <mergeCell ref="D28:D30"/>
    <mergeCell ref="E28:E30"/>
    <mergeCell ref="F28:F30"/>
    <mergeCell ref="C4:F4"/>
    <mergeCell ref="G4:H4"/>
    <mergeCell ref="I4:J4"/>
    <mergeCell ref="K4:L4"/>
    <mergeCell ref="B5:B7"/>
    <mergeCell ref="C5:C7"/>
    <mergeCell ref="D5:D7"/>
    <mergeCell ref="E5:E7"/>
    <mergeCell ref="F5:F7"/>
    <mergeCell ref="C68:E68"/>
    <mergeCell ref="C71:F71"/>
    <mergeCell ref="G71:H71"/>
    <mergeCell ref="I71:J71"/>
    <mergeCell ref="K71:L71"/>
    <mergeCell ref="B72:B74"/>
    <mergeCell ref="C72:C74"/>
    <mergeCell ref="D72:D74"/>
    <mergeCell ref="E72:E74"/>
    <mergeCell ref="F72:F74"/>
    <mergeCell ref="C46:E46"/>
    <mergeCell ref="C49:F49"/>
    <mergeCell ref="G49:H49"/>
    <mergeCell ref="I49:J49"/>
    <mergeCell ref="K49:L49"/>
    <mergeCell ref="B50:B52"/>
    <mergeCell ref="C50:C52"/>
    <mergeCell ref="D50:D52"/>
    <mergeCell ref="E50:E52"/>
    <mergeCell ref="F50:F52"/>
    <mergeCell ref="C112:E112"/>
    <mergeCell ref="C115:F115"/>
    <mergeCell ref="G115:H115"/>
    <mergeCell ref="I115:J115"/>
    <mergeCell ref="K115:L115"/>
    <mergeCell ref="B116:B118"/>
    <mergeCell ref="C116:C118"/>
    <mergeCell ref="D116:D118"/>
    <mergeCell ref="E116:E118"/>
    <mergeCell ref="F116:F118"/>
    <mergeCell ref="C90:E90"/>
    <mergeCell ref="C93:F93"/>
    <mergeCell ref="G93:H93"/>
    <mergeCell ref="I93:J93"/>
    <mergeCell ref="K93:L93"/>
    <mergeCell ref="B94:B96"/>
    <mergeCell ref="C94:C96"/>
    <mergeCell ref="D94:D96"/>
    <mergeCell ref="E94:E96"/>
    <mergeCell ref="F94:F96"/>
    <mergeCell ref="C160:E160"/>
    <mergeCell ref="C163:F163"/>
    <mergeCell ref="G163:H163"/>
    <mergeCell ref="I163:J163"/>
    <mergeCell ref="K163:L163"/>
    <mergeCell ref="B164:B166"/>
    <mergeCell ref="C164:C166"/>
    <mergeCell ref="D164:D166"/>
    <mergeCell ref="E164:E166"/>
    <mergeCell ref="F164:F166"/>
    <mergeCell ref="C136:E136"/>
    <mergeCell ref="C139:F139"/>
    <mergeCell ref="G139:H139"/>
    <mergeCell ref="I139:J139"/>
    <mergeCell ref="K139:L139"/>
    <mergeCell ref="B140:B142"/>
    <mergeCell ref="C140:C142"/>
    <mergeCell ref="D140:D142"/>
    <mergeCell ref="E140:E142"/>
    <mergeCell ref="F140:F142"/>
    <mergeCell ref="C208:E208"/>
    <mergeCell ref="C211:F211"/>
    <mergeCell ref="G211:H211"/>
    <mergeCell ref="I211:J211"/>
    <mergeCell ref="K211:L211"/>
    <mergeCell ref="B212:B214"/>
    <mergeCell ref="C212:C214"/>
    <mergeCell ref="D212:D214"/>
    <mergeCell ref="E212:E214"/>
    <mergeCell ref="F212:F214"/>
    <mergeCell ref="C184:E184"/>
    <mergeCell ref="C187:F187"/>
    <mergeCell ref="G187:H187"/>
    <mergeCell ref="I187:J187"/>
    <mergeCell ref="K187:L187"/>
    <mergeCell ref="B188:B190"/>
    <mergeCell ref="C188:C190"/>
    <mergeCell ref="D188:D190"/>
    <mergeCell ref="E188:E190"/>
    <mergeCell ref="F188:F190"/>
    <mergeCell ref="C256:E256"/>
    <mergeCell ref="C283:F283"/>
    <mergeCell ref="G283:H283"/>
    <mergeCell ref="I283:J283"/>
    <mergeCell ref="K283:L283"/>
    <mergeCell ref="B284:B286"/>
    <mergeCell ref="C284:C286"/>
    <mergeCell ref="D284:D286"/>
    <mergeCell ref="E284:E286"/>
    <mergeCell ref="F284:F286"/>
    <mergeCell ref="C232:E232"/>
    <mergeCell ref="C235:F235"/>
    <mergeCell ref="G235:H235"/>
    <mergeCell ref="I235:J235"/>
    <mergeCell ref="K235:L235"/>
    <mergeCell ref="B236:B238"/>
    <mergeCell ref="C236:C238"/>
    <mergeCell ref="D236:D238"/>
    <mergeCell ref="E236:E238"/>
    <mergeCell ref="F236:F238"/>
    <mergeCell ref="C259:F259"/>
    <mergeCell ref="G259:H259"/>
    <mergeCell ref="I259:J259"/>
    <mergeCell ref="K259:L259"/>
    <mergeCell ref="B260:B262"/>
    <mergeCell ref="C260:C262"/>
    <mergeCell ref="D260:D262"/>
    <mergeCell ref="E260:E262"/>
    <mergeCell ref="F260:F262"/>
    <mergeCell ref="C280:E280"/>
    <mergeCell ref="C328:E328"/>
    <mergeCell ref="C331:F331"/>
    <mergeCell ref="G331:H331"/>
    <mergeCell ref="I331:J331"/>
    <mergeCell ref="K331:L331"/>
    <mergeCell ref="B332:B334"/>
    <mergeCell ref="C332:C334"/>
    <mergeCell ref="D332:D334"/>
    <mergeCell ref="E332:E334"/>
    <mergeCell ref="F332:F334"/>
    <mergeCell ref="C304:E304"/>
    <mergeCell ref="C307:F307"/>
    <mergeCell ref="G307:H307"/>
    <mergeCell ref="I307:J307"/>
    <mergeCell ref="K307:L307"/>
    <mergeCell ref="B308:B310"/>
    <mergeCell ref="C308:C310"/>
    <mergeCell ref="D308:D310"/>
    <mergeCell ref="E308:E310"/>
    <mergeCell ref="F308:F310"/>
    <mergeCell ref="C376:E376"/>
    <mergeCell ref="C379:F379"/>
    <mergeCell ref="G379:H379"/>
    <mergeCell ref="I379:J379"/>
    <mergeCell ref="K379:L379"/>
    <mergeCell ref="B380:B382"/>
    <mergeCell ref="C380:C382"/>
    <mergeCell ref="D380:D382"/>
    <mergeCell ref="E380:E382"/>
    <mergeCell ref="F380:F382"/>
    <mergeCell ref="C352:E352"/>
    <mergeCell ref="C355:F355"/>
    <mergeCell ref="G355:H355"/>
    <mergeCell ref="I355:J355"/>
    <mergeCell ref="K355:L355"/>
    <mergeCell ref="B356:B358"/>
    <mergeCell ref="C356:C358"/>
    <mergeCell ref="D356:D358"/>
    <mergeCell ref="E356:E358"/>
    <mergeCell ref="F356:F358"/>
    <mergeCell ref="C424:E424"/>
    <mergeCell ref="C427:F427"/>
    <mergeCell ref="G427:H427"/>
    <mergeCell ref="I427:J427"/>
    <mergeCell ref="K427:L427"/>
    <mergeCell ref="B428:B430"/>
    <mergeCell ref="C428:C430"/>
    <mergeCell ref="D428:D430"/>
    <mergeCell ref="E428:E430"/>
    <mergeCell ref="F428:F430"/>
    <mergeCell ref="C400:E400"/>
    <mergeCell ref="C403:F403"/>
    <mergeCell ref="G403:H403"/>
    <mergeCell ref="I403:J403"/>
    <mergeCell ref="K403:L403"/>
    <mergeCell ref="B404:B406"/>
    <mergeCell ref="C404:C406"/>
    <mergeCell ref="D404:D406"/>
    <mergeCell ref="E404:E406"/>
    <mergeCell ref="F404:F406"/>
    <mergeCell ref="C472:E472"/>
    <mergeCell ref="C475:F475"/>
    <mergeCell ref="G475:H475"/>
    <mergeCell ref="I475:J475"/>
    <mergeCell ref="K475:L475"/>
    <mergeCell ref="B476:B478"/>
    <mergeCell ref="C476:C478"/>
    <mergeCell ref="D476:D478"/>
    <mergeCell ref="E476:E478"/>
    <mergeCell ref="F476:F478"/>
    <mergeCell ref="C448:E448"/>
    <mergeCell ref="C451:F451"/>
    <mergeCell ref="G451:H451"/>
    <mergeCell ref="I451:J451"/>
    <mergeCell ref="K451:L451"/>
    <mergeCell ref="B452:B454"/>
    <mergeCell ref="C452:C454"/>
    <mergeCell ref="D452:D454"/>
    <mergeCell ref="E452:E454"/>
    <mergeCell ref="F452:F454"/>
    <mergeCell ref="C520:E520"/>
    <mergeCell ref="C523:F523"/>
    <mergeCell ref="G523:H523"/>
    <mergeCell ref="I523:J523"/>
    <mergeCell ref="K523:L523"/>
    <mergeCell ref="B524:B526"/>
    <mergeCell ref="C524:C526"/>
    <mergeCell ref="D524:D526"/>
    <mergeCell ref="E524:E526"/>
    <mergeCell ref="F524:F526"/>
    <mergeCell ref="C496:E496"/>
    <mergeCell ref="C499:F499"/>
    <mergeCell ref="G499:H499"/>
    <mergeCell ref="I499:J499"/>
    <mergeCell ref="K499:L499"/>
    <mergeCell ref="B500:B502"/>
    <mergeCell ref="C500:C502"/>
    <mergeCell ref="D500:D502"/>
    <mergeCell ref="E500:E502"/>
    <mergeCell ref="F500:F502"/>
    <mergeCell ref="C568:E568"/>
    <mergeCell ref="C571:F571"/>
    <mergeCell ref="G571:H571"/>
    <mergeCell ref="I571:J571"/>
    <mergeCell ref="K571:L571"/>
    <mergeCell ref="B572:B574"/>
    <mergeCell ref="C572:C574"/>
    <mergeCell ref="D572:D574"/>
    <mergeCell ref="E572:E574"/>
    <mergeCell ref="F572:F574"/>
    <mergeCell ref="C544:E544"/>
    <mergeCell ref="C547:F547"/>
    <mergeCell ref="G547:H547"/>
    <mergeCell ref="I547:J547"/>
    <mergeCell ref="K547:L547"/>
    <mergeCell ref="B548:B550"/>
    <mergeCell ref="C548:C550"/>
    <mergeCell ref="D548:D550"/>
    <mergeCell ref="E548:E550"/>
    <mergeCell ref="F548:F550"/>
    <mergeCell ref="C616:E616"/>
    <mergeCell ref="C619:F619"/>
    <mergeCell ref="G619:H619"/>
    <mergeCell ref="I619:J619"/>
    <mergeCell ref="K619:L619"/>
    <mergeCell ref="B620:B622"/>
    <mergeCell ref="C620:C622"/>
    <mergeCell ref="D620:D622"/>
    <mergeCell ref="E620:E622"/>
    <mergeCell ref="F620:F622"/>
    <mergeCell ref="C592:E592"/>
    <mergeCell ref="C595:F595"/>
    <mergeCell ref="G595:H595"/>
    <mergeCell ref="I595:J595"/>
    <mergeCell ref="K595:L595"/>
    <mergeCell ref="B596:B598"/>
    <mergeCell ref="C596:C598"/>
    <mergeCell ref="D596:D598"/>
    <mergeCell ref="E596:E598"/>
    <mergeCell ref="F596:F598"/>
    <mergeCell ref="C664:E664"/>
    <mergeCell ref="C667:F667"/>
    <mergeCell ref="G667:H667"/>
    <mergeCell ref="I667:J667"/>
    <mergeCell ref="K667:L667"/>
    <mergeCell ref="B668:B670"/>
    <mergeCell ref="C668:C670"/>
    <mergeCell ref="D668:D670"/>
    <mergeCell ref="E668:E670"/>
    <mergeCell ref="F668:F670"/>
    <mergeCell ref="C640:E640"/>
    <mergeCell ref="C643:F643"/>
    <mergeCell ref="G643:H643"/>
    <mergeCell ref="I643:J643"/>
    <mergeCell ref="K643:L643"/>
    <mergeCell ref="B644:B646"/>
    <mergeCell ref="C644:C646"/>
    <mergeCell ref="D644:D646"/>
    <mergeCell ref="E644:E646"/>
    <mergeCell ref="F644:F646"/>
    <mergeCell ref="C712:E712"/>
    <mergeCell ref="C715:F715"/>
    <mergeCell ref="G715:H715"/>
    <mergeCell ref="I715:J715"/>
    <mergeCell ref="K715:L715"/>
    <mergeCell ref="B716:B718"/>
    <mergeCell ref="C716:C718"/>
    <mergeCell ref="D716:D718"/>
    <mergeCell ref="E716:E718"/>
    <mergeCell ref="F716:F718"/>
    <mergeCell ref="C688:E688"/>
    <mergeCell ref="C691:F691"/>
    <mergeCell ref="G691:H691"/>
    <mergeCell ref="I691:J691"/>
    <mergeCell ref="K691:L691"/>
    <mergeCell ref="B692:B694"/>
    <mergeCell ref="C692:C694"/>
    <mergeCell ref="D692:D694"/>
    <mergeCell ref="E692:E694"/>
    <mergeCell ref="F692:F694"/>
    <mergeCell ref="C760:E760"/>
    <mergeCell ref="C763:F763"/>
    <mergeCell ref="G763:H763"/>
    <mergeCell ref="I763:J763"/>
    <mergeCell ref="K763:L763"/>
    <mergeCell ref="B764:B766"/>
    <mergeCell ref="C764:C766"/>
    <mergeCell ref="D764:D766"/>
    <mergeCell ref="E764:E766"/>
    <mergeCell ref="F764:F766"/>
    <mergeCell ref="C736:E736"/>
    <mergeCell ref="C739:F739"/>
    <mergeCell ref="G739:H739"/>
    <mergeCell ref="I739:J739"/>
    <mergeCell ref="K739:L739"/>
    <mergeCell ref="B740:B742"/>
    <mergeCell ref="C740:C742"/>
    <mergeCell ref="D740:D742"/>
    <mergeCell ref="E740:E742"/>
    <mergeCell ref="F740:F742"/>
    <mergeCell ref="C808:E808"/>
    <mergeCell ref="C811:F811"/>
    <mergeCell ref="G811:H811"/>
    <mergeCell ref="I811:J811"/>
    <mergeCell ref="K811:L811"/>
    <mergeCell ref="B812:B814"/>
    <mergeCell ref="C812:C814"/>
    <mergeCell ref="D812:D814"/>
    <mergeCell ref="E812:E814"/>
    <mergeCell ref="F812:F814"/>
    <mergeCell ref="C784:E784"/>
    <mergeCell ref="C787:F787"/>
    <mergeCell ref="G787:H787"/>
    <mergeCell ref="I787:J787"/>
    <mergeCell ref="K787:L787"/>
    <mergeCell ref="B788:B790"/>
    <mergeCell ref="C788:C790"/>
    <mergeCell ref="D788:D790"/>
    <mergeCell ref="E788:E790"/>
    <mergeCell ref="F788:F790"/>
    <mergeCell ref="C856:E856"/>
    <mergeCell ref="C859:F859"/>
    <mergeCell ref="G859:H859"/>
    <mergeCell ref="I859:J859"/>
    <mergeCell ref="K859:L859"/>
    <mergeCell ref="B860:B862"/>
    <mergeCell ref="C860:C862"/>
    <mergeCell ref="D860:D862"/>
    <mergeCell ref="E860:E862"/>
    <mergeCell ref="F860:F862"/>
    <mergeCell ref="C832:E832"/>
    <mergeCell ref="C835:F835"/>
    <mergeCell ref="G835:H835"/>
    <mergeCell ref="I835:J835"/>
    <mergeCell ref="K835:L835"/>
    <mergeCell ref="B836:B838"/>
    <mergeCell ref="C836:C838"/>
    <mergeCell ref="D836:D838"/>
    <mergeCell ref="E836:E838"/>
    <mergeCell ref="F836:F838"/>
    <mergeCell ref="C904:E904"/>
    <mergeCell ref="C907:F907"/>
    <mergeCell ref="G907:H907"/>
    <mergeCell ref="I907:J907"/>
    <mergeCell ref="K907:L907"/>
    <mergeCell ref="B908:B910"/>
    <mergeCell ref="C908:C910"/>
    <mergeCell ref="D908:D910"/>
    <mergeCell ref="E908:E910"/>
    <mergeCell ref="F908:F910"/>
    <mergeCell ref="C880:E880"/>
    <mergeCell ref="C883:F883"/>
    <mergeCell ref="G883:H883"/>
    <mergeCell ref="I883:J883"/>
    <mergeCell ref="K883:L883"/>
    <mergeCell ref="B884:B886"/>
    <mergeCell ref="C884:C886"/>
    <mergeCell ref="D884:D886"/>
    <mergeCell ref="E884:E886"/>
    <mergeCell ref="F884:F886"/>
    <mergeCell ref="C952:E952"/>
    <mergeCell ref="C955:F955"/>
    <mergeCell ref="G955:H955"/>
    <mergeCell ref="I955:J955"/>
    <mergeCell ref="K955:L955"/>
    <mergeCell ref="B956:B958"/>
    <mergeCell ref="C956:C958"/>
    <mergeCell ref="D956:D958"/>
    <mergeCell ref="E956:E958"/>
    <mergeCell ref="F956:F958"/>
    <mergeCell ref="C928:E928"/>
    <mergeCell ref="C931:F931"/>
    <mergeCell ref="G931:H931"/>
    <mergeCell ref="I931:J931"/>
    <mergeCell ref="K931:L931"/>
    <mergeCell ref="B932:B934"/>
    <mergeCell ref="C932:C934"/>
    <mergeCell ref="D932:D934"/>
    <mergeCell ref="E932:E934"/>
    <mergeCell ref="F932:F934"/>
    <mergeCell ref="C1000:E1000"/>
    <mergeCell ref="C1003:F1003"/>
    <mergeCell ref="G1003:H1003"/>
    <mergeCell ref="I1003:J1003"/>
    <mergeCell ref="K1003:L1003"/>
    <mergeCell ref="B1004:B1006"/>
    <mergeCell ref="C1004:C1006"/>
    <mergeCell ref="D1004:D1006"/>
    <mergeCell ref="E1004:E1006"/>
    <mergeCell ref="F1004:F1006"/>
    <mergeCell ref="C976:E976"/>
    <mergeCell ref="C979:F979"/>
    <mergeCell ref="G979:H979"/>
    <mergeCell ref="I979:J979"/>
    <mergeCell ref="K979:L979"/>
    <mergeCell ref="B980:B982"/>
    <mergeCell ref="C980:C982"/>
    <mergeCell ref="D980:D982"/>
    <mergeCell ref="E980:E982"/>
    <mergeCell ref="F980:F982"/>
    <mergeCell ref="C1048:E1048"/>
    <mergeCell ref="C1051:F1051"/>
    <mergeCell ref="G1051:H1051"/>
    <mergeCell ref="I1051:J1051"/>
    <mergeCell ref="K1051:L1051"/>
    <mergeCell ref="B1052:B1054"/>
    <mergeCell ref="C1052:C1054"/>
    <mergeCell ref="D1052:D1054"/>
    <mergeCell ref="E1052:E1054"/>
    <mergeCell ref="F1052:F1054"/>
    <mergeCell ref="C1024:E1024"/>
    <mergeCell ref="C1027:F1027"/>
    <mergeCell ref="G1027:H1027"/>
    <mergeCell ref="I1027:J1027"/>
    <mergeCell ref="K1027:L1027"/>
    <mergeCell ref="B1028:B1030"/>
    <mergeCell ref="C1028:C1030"/>
    <mergeCell ref="D1028:D1030"/>
    <mergeCell ref="E1028:E1030"/>
    <mergeCell ref="F1028:F1030"/>
    <mergeCell ref="C1096:E1096"/>
    <mergeCell ref="C1099:F1099"/>
    <mergeCell ref="G1099:H1099"/>
    <mergeCell ref="I1099:J1099"/>
    <mergeCell ref="K1099:L1099"/>
    <mergeCell ref="B1100:B1102"/>
    <mergeCell ref="C1100:C1102"/>
    <mergeCell ref="D1100:D1102"/>
    <mergeCell ref="E1100:E1102"/>
    <mergeCell ref="F1100:F1102"/>
    <mergeCell ref="C1072:E1072"/>
    <mergeCell ref="C1075:F1075"/>
    <mergeCell ref="G1075:H1075"/>
    <mergeCell ref="I1075:J1075"/>
    <mergeCell ref="K1075:L1075"/>
    <mergeCell ref="B1076:B1078"/>
    <mergeCell ref="C1076:C1078"/>
    <mergeCell ref="D1076:D1078"/>
    <mergeCell ref="E1076:E1078"/>
    <mergeCell ref="F1076:F1078"/>
    <mergeCell ref="C1144:E1144"/>
    <mergeCell ref="C1147:F1147"/>
    <mergeCell ref="G1147:H1147"/>
    <mergeCell ref="I1147:J1147"/>
    <mergeCell ref="K1147:L1147"/>
    <mergeCell ref="B1148:B1150"/>
    <mergeCell ref="C1148:C1150"/>
    <mergeCell ref="D1148:D1150"/>
    <mergeCell ref="E1148:E1150"/>
    <mergeCell ref="F1148:F1150"/>
    <mergeCell ref="C1120:E1120"/>
    <mergeCell ref="C1123:F1123"/>
    <mergeCell ref="G1123:H1123"/>
    <mergeCell ref="I1123:J1123"/>
    <mergeCell ref="K1123:L1123"/>
    <mergeCell ref="B1124:B1126"/>
    <mergeCell ref="C1124:C1126"/>
    <mergeCell ref="D1124:D1126"/>
    <mergeCell ref="E1124:E1126"/>
    <mergeCell ref="F1124:F1126"/>
    <mergeCell ref="C1194:E1194"/>
    <mergeCell ref="C1197:F1197"/>
    <mergeCell ref="G1197:H1197"/>
    <mergeCell ref="I1197:J1197"/>
    <mergeCell ref="K1197:L1197"/>
    <mergeCell ref="B1198:B1200"/>
    <mergeCell ref="C1198:C1200"/>
    <mergeCell ref="D1198:D1200"/>
    <mergeCell ref="E1198:E1200"/>
    <mergeCell ref="F1198:F1200"/>
    <mergeCell ref="C1169:E1169"/>
    <mergeCell ref="C1172:F1172"/>
    <mergeCell ref="G1172:H1172"/>
    <mergeCell ref="I1172:J1172"/>
    <mergeCell ref="K1172:L1172"/>
    <mergeCell ref="B1173:B1175"/>
    <mergeCell ref="C1173:C1175"/>
    <mergeCell ref="D1173:D1175"/>
    <mergeCell ref="E1173:E1175"/>
    <mergeCell ref="F1173:F1175"/>
    <mergeCell ref="C1244:E1244"/>
    <mergeCell ref="C1247:F1247"/>
    <mergeCell ref="G1247:H1247"/>
    <mergeCell ref="I1247:J1247"/>
    <mergeCell ref="K1247:L1247"/>
    <mergeCell ref="B1248:B1250"/>
    <mergeCell ref="C1248:C1250"/>
    <mergeCell ref="D1248:D1250"/>
    <mergeCell ref="E1248:E1250"/>
    <mergeCell ref="F1248:F1250"/>
    <mergeCell ref="C1219:E1219"/>
    <mergeCell ref="C1222:F1222"/>
    <mergeCell ref="G1222:H1222"/>
    <mergeCell ref="I1222:J1222"/>
    <mergeCell ref="K1222:L1222"/>
    <mergeCell ref="B1223:B1225"/>
    <mergeCell ref="C1223:C1225"/>
    <mergeCell ref="D1223:D1225"/>
    <mergeCell ref="E1223:E1225"/>
    <mergeCell ref="F1223:F1225"/>
    <mergeCell ref="C1296:E1296"/>
    <mergeCell ref="C1299:F1299"/>
    <mergeCell ref="G1299:H1299"/>
    <mergeCell ref="I1299:J1299"/>
    <mergeCell ref="K1299:L1299"/>
    <mergeCell ref="B1300:B1302"/>
    <mergeCell ref="C1300:C1302"/>
    <mergeCell ref="D1300:D1302"/>
    <mergeCell ref="E1300:E1302"/>
    <mergeCell ref="F1300:F1302"/>
    <mergeCell ref="C1269:E1269"/>
    <mergeCell ref="C1272:F1272"/>
    <mergeCell ref="G1272:H1272"/>
    <mergeCell ref="I1272:J1272"/>
    <mergeCell ref="K1272:L1272"/>
    <mergeCell ref="B1273:B1275"/>
    <mergeCell ref="C1273:C1275"/>
    <mergeCell ref="D1273:D1275"/>
    <mergeCell ref="E1273:E1275"/>
    <mergeCell ref="F1273:F1275"/>
    <mergeCell ref="C1346:E1346"/>
    <mergeCell ref="C1349:F1349"/>
    <mergeCell ref="G1349:H1349"/>
    <mergeCell ref="I1349:J1349"/>
    <mergeCell ref="K1349:L1349"/>
    <mergeCell ref="B1350:B1352"/>
    <mergeCell ref="C1350:C1352"/>
    <mergeCell ref="D1350:D1352"/>
    <mergeCell ref="E1350:E1352"/>
    <mergeCell ref="F1350:F1352"/>
    <mergeCell ref="C1321:E1321"/>
    <mergeCell ref="C1324:F1324"/>
    <mergeCell ref="G1324:H1324"/>
    <mergeCell ref="I1324:J1324"/>
    <mergeCell ref="K1324:L1324"/>
    <mergeCell ref="B1325:B1327"/>
    <mergeCell ref="C1325:C1327"/>
    <mergeCell ref="D1325:D1327"/>
    <mergeCell ref="E1325:E1327"/>
    <mergeCell ref="F1325:F1327"/>
    <mergeCell ref="C1396:E1396"/>
    <mergeCell ref="C1399:F1399"/>
    <mergeCell ref="G1399:H1399"/>
    <mergeCell ref="I1399:J1399"/>
    <mergeCell ref="K1399:L1399"/>
    <mergeCell ref="B1400:B1402"/>
    <mergeCell ref="C1400:C1402"/>
    <mergeCell ref="D1400:D1402"/>
    <mergeCell ref="E1400:E1402"/>
    <mergeCell ref="F1400:F1402"/>
    <mergeCell ref="C1371:E1371"/>
    <mergeCell ref="C1374:F1374"/>
    <mergeCell ref="G1374:H1374"/>
    <mergeCell ref="I1374:J1374"/>
    <mergeCell ref="K1374:L1374"/>
    <mergeCell ref="B1375:B1377"/>
    <mergeCell ref="C1375:C1377"/>
    <mergeCell ref="D1375:D1377"/>
    <mergeCell ref="E1375:E1377"/>
    <mergeCell ref="F1375:F1377"/>
    <mergeCell ref="C1446:E1446"/>
    <mergeCell ref="C1449:F1449"/>
    <mergeCell ref="G1449:H1449"/>
    <mergeCell ref="I1449:J1449"/>
    <mergeCell ref="K1449:L1449"/>
    <mergeCell ref="B1450:B1452"/>
    <mergeCell ref="C1450:C1452"/>
    <mergeCell ref="D1450:D1452"/>
    <mergeCell ref="E1450:E1452"/>
    <mergeCell ref="F1450:F1452"/>
    <mergeCell ref="C1421:E1421"/>
    <mergeCell ref="C1424:F1424"/>
    <mergeCell ref="G1424:H1424"/>
    <mergeCell ref="I1424:J1424"/>
    <mergeCell ref="K1424:L1424"/>
    <mergeCell ref="B1425:B1427"/>
    <mergeCell ref="C1425:C1427"/>
    <mergeCell ref="D1425:D1427"/>
    <mergeCell ref="E1425:E1427"/>
    <mergeCell ref="F1425:F1427"/>
    <mergeCell ref="C1500:E1500"/>
    <mergeCell ref="C1503:F1503"/>
    <mergeCell ref="G1503:H1503"/>
    <mergeCell ref="I1503:J1503"/>
    <mergeCell ref="K1503:L1503"/>
    <mergeCell ref="B1504:B1506"/>
    <mergeCell ref="C1504:C1506"/>
    <mergeCell ref="D1504:D1506"/>
    <mergeCell ref="E1504:E1506"/>
    <mergeCell ref="F1504:F1506"/>
    <mergeCell ref="C1471:E1471"/>
    <mergeCell ref="C1474:F1474"/>
    <mergeCell ref="G1474:H1474"/>
    <mergeCell ref="I1474:J1474"/>
    <mergeCell ref="K1474:L1474"/>
    <mergeCell ref="B1475:B1477"/>
    <mergeCell ref="C1475:C1477"/>
    <mergeCell ref="D1475:D1477"/>
    <mergeCell ref="E1475:E1477"/>
    <mergeCell ref="F1475:F1477"/>
    <mergeCell ref="C1551:E1551"/>
    <mergeCell ref="C1554:F1554"/>
    <mergeCell ref="G1554:H1554"/>
    <mergeCell ref="I1554:J1554"/>
    <mergeCell ref="K1554:L1554"/>
    <mergeCell ref="B1555:B1557"/>
    <mergeCell ref="C1555:C1557"/>
    <mergeCell ref="D1555:D1557"/>
    <mergeCell ref="E1555:E1557"/>
    <mergeCell ref="F1555:F1557"/>
    <mergeCell ref="C1526:E1526"/>
    <mergeCell ref="C1529:F1529"/>
    <mergeCell ref="G1529:H1529"/>
    <mergeCell ref="I1529:J1529"/>
    <mergeCell ref="K1529:L1529"/>
    <mergeCell ref="B1530:B1532"/>
    <mergeCell ref="C1530:C1532"/>
    <mergeCell ref="D1530:D1532"/>
    <mergeCell ref="E1530:E1532"/>
    <mergeCell ref="F1530:F1532"/>
    <mergeCell ref="C1601:E1601"/>
    <mergeCell ref="C1604:F1604"/>
    <mergeCell ref="G1604:H1604"/>
    <mergeCell ref="I1604:J1604"/>
    <mergeCell ref="K1604:L1604"/>
    <mergeCell ref="B1605:B1607"/>
    <mergeCell ref="C1605:C1607"/>
    <mergeCell ref="D1605:D1607"/>
    <mergeCell ref="E1605:E1607"/>
    <mergeCell ref="F1605:F1607"/>
    <mergeCell ref="C1576:E1576"/>
    <mergeCell ref="C1579:F1579"/>
    <mergeCell ref="G1579:H1579"/>
    <mergeCell ref="I1579:J1579"/>
    <mergeCell ref="K1579:L1579"/>
    <mergeCell ref="B1580:B1582"/>
    <mergeCell ref="C1580:C1582"/>
    <mergeCell ref="D1580:D1582"/>
    <mergeCell ref="E1580:E1582"/>
    <mergeCell ref="F1580:F1582"/>
    <mergeCell ref="C1651:E1651"/>
    <mergeCell ref="C1654:F1654"/>
    <mergeCell ref="G1654:H1654"/>
    <mergeCell ref="I1654:J1654"/>
    <mergeCell ref="K1654:L1654"/>
    <mergeCell ref="B1655:B1657"/>
    <mergeCell ref="C1655:C1657"/>
    <mergeCell ref="D1655:D1657"/>
    <mergeCell ref="E1655:E1657"/>
    <mergeCell ref="F1655:F1657"/>
    <mergeCell ref="C1626:E1626"/>
    <mergeCell ref="C1629:F1629"/>
    <mergeCell ref="G1629:H1629"/>
    <mergeCell ref="I1629:J1629"/>
    <mergeCell ref="K1629:L1629"/>
    <mergeCell ref="B1630:B1632"/>
    <mergeCell ref="C1630:C1632"/>
    <mergeCell ref="D1630:D1632"/>
    <mergeCell ref="E1630:E1632"/>
    <mergeCell ref="F1630:F1632"/>
    <mergeCell ref="C1701:E1701"/>
    <mergeCell ref="C1704:F1704"/>
    <mergeCell ref="G1704:H1704"/>
    <mergeCell ref="I1704:J1704"/>
    <mergeCell ref="K1704:L1704"/>
    <mergeCell ref="B1705:B1707"/>
    <mergeCell ref="C1705:C1707"/>
    <mergeCell ref="D1705:D1707"/>
    <mergeCell ref="E1705:E1707"/>
    <mergeCell ref="F1705:F1707"/>
    <mergeCell ref="C1676:E1676"/>
    <mergeCell ref="C1679:F1679"/>
    <mergeCell ref="G1679:H1679"/>
    <mergeCell ref="I1679:J1679"/>
    <mergeCell ref="K1679:L1679"/>
    <mergeCell ref="B1680:B1682"/>
    <mergeCell ref="C1680:C1682"/>
    <mergeCell ref="D1680:D1682"/>
    <mergeCell ref="E1680:E1682"/>
    <mergeCell ref="F1680:F1682"/>
    <mergeCell ref="C1751:E1751"/>
    <mergeCell ref="C1754:F1754"/>
    <mergeCell ref="G1754:H1754"/>
    <mergeCell ref="I1754:J1754"/>
    <mergeCell ref="K1754:L1754"/>
    <mergeCell ref="B1755:B1757"/>
    <mergeCell ref="C1755:C1757"/>
    <mergeCell ref="D1755:D1757"/>
    <mergeCell ref="E1755:E1757"/>
    <mergeCell ref="F1755:F1757"/>
    <mergeCell ref="C1726:E1726"/>
    <mergeCell ref="C1729:F1729"/>
    <mergeCell ref="G1729:H1729"/>
    <mergeCell ref="I1729:J1729"/>
    <mergeCell ref="K1729:L1729"/>
    <mergeCell ref="B1730:B1732"/>
    <mergeCell ref="C1730:C1732"/>
    <mergeCell ref="D1730:D1732"/>
    <mergeCell ref="E1730:E1732"/>
    <mergeCell ref="F1730:F1732"/>
    <mergeCell ref="C1802:E1802"/>
    <mergeCell ref="C1805:F1805"/>
    <mergeCell ref="G1805:H1805"/>
    <mergeCell ref="I1805:J1805"/>
    <mergeCell ref="K1805:L1805"/>
    <mergeCell ref="B1806:B1808"/>
    <mergeCell ref="C1806:C1808"/>
    <mergeCell ref="D1806:D1808"/>
    <mergeCell ref="E1806:E1808"/>
    <mergeCell ref="F1806:F1808"/>
    <mergeCell ref="C1776:E1776"/>
    <mergeCell ref="C1779:F1779"/>
    <mergeCell ref="G1779:H1779"/>
    <mergeCell ref="I1779:J1779"/>
    <mergeCell ref="K1779:L1779"/>
    <mergeCell ref="B1780:B1782"/>
    <mergeCell ref="C1780:C1782"/>
    <mergeCell ref="D1780:D1782"/>
    <mergeCell ref="E1780:E1782"/>
    <mergeCell ref="F1780:F1782"/>
    <mergeCell ref="C1852:E1852"/>
    <mergeCell ref="C1855:F1855"/>
    <mergeCell ref="G1855:H1855"/>
    <mergeCell ref="I1855:J1855"/>
    <mergeCell ref="K1855:L1855"/>
    <mergeCell ref="B1856:B1858"/>
    <mergeCell ref="C1856:C1858"/>
    <mergeCell ref="D1856:D1858"/>
    <mergeCell ref="E1856:E1858"/>
    <mergeCell ref="F1856:F1858"/>
    <mergeCell ref="C1827:E1827"/>
    <mergeCell ref="C1830:F1830"/>
    <mergeCell ref="G1830:H1830"/>
    <mergeCell ref="I1830:J1830"/>
    <mergeCell ref="K1830:L1830"/>
    <mergeCell ref="B1831:B1833"/>
    <mergeCell ref="C1831:C1833"/>
    <mergeCell ref="D1831:D1833"/>
    <mergeCell ref="E1831:E1833"/>
    <mergeCell ref="F1831:F1833"/>
    <mergeCell ref="C1902:E1902"/>
    <mergeCell ref="C1905:F1905"/>
    <mergeCell ref="G1905:H1905"/>
    <mergeCell ref="I1905:J1905"/>
    <mergeCell ref="K1905:L1905"/>
    <mergeCell ref="B1906:B1908"/>
    <mergeCell ref="C1906:C1908"/>
    <mergeCell ref="D1906:D1908"/>
    <mergeCell ref="E1906:E1908"/>
    <mergeCell ref="F1906:F1908"/>
    <mergeCell ref="C1877:E1877"/>
    <mergeCell ref="C1880:F1880"/>
    <mergeCell ref="G1880:H1880"/>
    <mergeCell ref="I1880:J1880"/>
    <mergeCell ref="K1880:L1880"/>
    <mergeCell ref="B1881:B1883"/>
    <mergeCell ref="C1881:C1883"/>
    <mergeCell ref="D1881:D1883"/>
    <mergeCell ref="E1881:E1883"/>
    <mergeCell ref="F1881:F1883"/>
    <mergeCell ref="C1952:E1952"/>
    <mergeCell ref="C1955:F1955"/>
    <mergeCell ref="G1955:H1955"/>
    <mergeCell ref="I1955:J1955"/>
    <mergeCell ref="K1955:L1955"/>
    <mergeCell ref="B1956:B1958"/>
    <mergeCell ref="C1956:C1958"/>
    <mergeCell ref="D1956:D1958"/>
    <mergeCell ref="E1956:E1958"/>
    <mergeCell ref="F1956:F1958"/>
    <mergeCell ref="C1927:E1927"/>
    <mergeCell ref="C1930:F1930"/>
    <mergeCell ref="G1930:H1930"/>
    <mergeCell ref="I1930:J1930"/>
    <mergeCell ref="K1930:L1930"/>
    <mergeCell ref="B1931:B1933"/>
    <mergeCell ref="C1931:C1933"/>
    <mergeCell ref="D1931:D1933"/>
    <mergeCell ref="E1931:E1933"/>
    <mergeCell ref="F1931:F1933"/>
    <mergeCell ref="C2002:E2002"/>
    <mergeCell ref="C2005:F2005"/>
    <mergeCell ref="G2005:H2005"/>
    <mergeCell ref="I2005:J2005"/>
    <mergeCell ref="K2005:L2005"/>
    <mergeCell ref="B2006:B2008"/>
    <mergeCell ref="C2006:C2008"/>
    <mergeCell ref="D2006:D2008"/>
    <mergeCell ref="E2006:E2008"/>
    <mergeCell ref="F2006:F2008"/>
    <mergeCell ref="C1977:E1977"/>
    <mergeCell ref="C1980:F1980"/>
    <mergeCell ref="G1980:H1980"/>
    <mergeCell ref="I1980:J1980"/>
    <mergeCell ref="K1980:L1980"/>
    <mergeCell ref="B1981:B1983"/>
    <mergeCell ref="C1981:C1983"/>
    <mergeCell ref="D1981:D1983"/>
    <mergeCell ref="E1981:E1983"/>
    <mergeCell ref="F1981:F1983"/>
    <mergeCell ref="C2052:E2052"/>
    <mergeCell ref="C2055:F2055"/>
    <mergeCell ref="G2055:H2055"/>
    <mergeCell ref="I2055:J2055"/>
    <mergeCell ref="K2055:L2055"/>
    <mergeCell ref="B2056:B2058"/>
    <mergeCell ref="C2056:C2058"/>
    <mergeCell ref="D2056:D2058"/>
    <mergeCell ref="E2056:E2058"/>
    <mergeCell ref="F2056:F2058"/>
    <mergeCell ref="C2027:E2027"/>
    <mergeCell ref="C2030:F2030"/>
    <mergeCell ref="G2030:H2030"/>
    <mergeCell ref="I2030:J2030"/>
    <mergeCell ref="K2030:L2030"/>
    <mergeCell ref="B2031:B2033"/>
    <mergeCell ref="C2031:C2033"/>
    <mergeCell ref="D2031:D2033"/>
    <mergeCell ref="E2031:E2033"/>
    <mergeCell ref="F2031:F2033"/>
    <mergeCell ref="C2102:E2102"/>
    <mergeCell ref="C2105:F2105"/>
    <mergeCell ref="G2105:H2105"/>
    <mergeCell ref="I2105:J2105"/>
    <mergeCell ref="K2105:L2105"/>
    <mergeCell ref="B2106:B2108"/>
    <mergeCell ref="C2106:C2108"/>
    <mergeCell ref="D2106:D2108"/>
    <mergeCell ref="E2106:E2108"/>
    <mergeCell ref="F2106:F2108"/>
    <mergeCell ref="C2077:E2077"/>
    <mergeCell ref="C2080:F2080"/>
    <mergeCell ref="G2080:H2080"/>
    <mergeCell ref="I2080:J2080"/>
    <mergeCell ref="K2080:L2080"/>
    <mergeCell ref="B2081:B2083"/>
    <mergeCell ref="C2081:C2083"/>
    <mergeCell ref="D2081:D2083"/>
    <mergeCell ref="E2081:E2083"/>
    <mergeCell ref="F2081:F2083"/>
    <mergeCell ref="C2152:E2152"/>
    <mergeCell ref="C2155:F2155"/>
    <mergeCell ref="G2155:H2155"/>
    <mergeCell ref="I2155:J2155"/>
    <mergeCell ref="K2155:L2155"/>
    <mergeCell ref="B2156:B2158"/>
    <mergeCell ref="C2156:C2158"/>
    <mergeCell ref="D2156:D2158"/>
    <mergeCell ref="E2156:E2158"/>
    <mergeCell ref="F2156:F2158"/>
    <mergeCell ref="C2127:E2127"/>
    <mergeCell ref="C2130:F2130"/>
    <mergeCell ref="G2130:H2130"/>
    <mergeCell ref="I2130:J2130"/>
    <mergeCell ref="K2130:L2130"/>
    <mergeCell ref="B2131:B2133"/>
    <mergeCell ref="C2131:C2133"/>
    <mergeCell ref="D2131:D2133"/>
    <mergeCell ref="E2131:E2133"/>
    <mergeCell ref="F2131:F2133"/>
    <mergeCell ref="C2202:E2202"/>
    <mergeCell ref="C2205:F2205"/>
    <mergeCell ref="G2205:H2205"/>
    <mergeCell ref="I2205:J2205"/>
    <mergeCell ref="K2205:L2205"/>
    <mergeCell ref="B2206:B2208"/>
    <mergeCell ref="C2206:C2208"/>
    <mergeCell ref="D2206:D2208"/>
    <mergeCell ref="E2206:E2208"/>
    <mergeCell ref="F2206:F2208"/>
    <mergeCell ref="C2177:E2177"/>
    <mergeCell ref="C2180:F2180"/>
    <mergeCell ref="G2180:H2180"/>
    <mergeCell ref="I2180:J2180"/>
    <mergeCell ref="K2180:L2180"/>
    <mergeCell ref="B2181:B2183"/>
    <mergeCell ref="C2181:C2183"/>
    <mergeCell ref="D2181:D2183"/>
    <mergeCell ref="E2181:E2183"/>
    <mergeCell ref="F2181:F2183"/>
    <mergeCell ref="C2251:E2251"/>
    <mergeCell ref="C2254:F2254"/>
    <mergeCell ref="G2254:H2254"/>
    <mergeCell ref="I2254:J2254"/>
    <mergeCell ref="K2254:L2254"/>
    <mergeCell ref="B2255:B2257"/>
    <mergeCell ref="C2255:C2257"/>
    <mergeCell ref="D2255:D2257"/>
    <mergeCell ref="E2255:E2257"/>
    <mergeCell ref="F2255:F2257"/>
    <mergeCell ref="C2227:E2227"/>
    <mergeCell ref="C2230:F2230"/>
    <mergeCell ref="G2230:H2230"/>
    <mergeCell ref="I2230:J2230"/>
    <mergeCell ref="K2230:L2230"/>
    <mergeCell ref="B2231:B2233"/>
    <mergeCell ref="C2231:C2233"/>
    <mergeCell ref="D2231:D2233"/>
    <mergeCell ref="E2231:E2233"/>
    <mergeCell ref="F2231:F2233"/>
    <mergeCell ref="C2301:E2301"/>
    <mergeCell ref="C2304:F2304"/>
    <mergeCell ref="G2304:H2304"/>
    <mergeCell ref="I2304:J2304"/>
    <mergeCell ref="K2304:L2304"/>
    <mergeCell ref="B2305:B2307"/>
    <mergeCell ref="C2305:C2307"/>
    <mergeCell ref="D2305:D2307"/>
    <mergeCell ref="E2305:E2307"/>
    <mergeCell ref="F2305:F2307"/>
    <mergeCell ref="C2276:E2276"/>
    <mergeCell ref="C2279:F2279"/>
    <mergeCell ref="G2279:H2279"/>
    <mergeCell ref="I2279:J2279"/>
    <mergeCell ref="K2279:L2279"/>
    <mergeCell ref="B2280:B2282"/>
    <mergeCell ref="C2280:C2282"/>
    <mergeCell ref="D2280:D2282"/>
    <mergeCell ref="E2280:E2282"/>
    <mergeCell ref="F2280:F2282"/>
    <mergeCell ref="C2351:E2351"/>
    <mergeCell ref="C2354:F2354"/>
    <mergeCell ref="G2354:H2354"/>
    <mergeCell ref="I2354:J2354"/>
    <mergeCell ref="K2354:L2354"/>
    <mergeCell ref="B2355:B2357"/>
    <mergeCell ref="C2355:C2357"/>
    <mergeCell ref="D2355:D2357"/>
    <mergeCell ref="E2355:E2357"/>
    <mergeCell ref="F2355:F2357"/>
    <mergeCell ref="C2326:E2326"/>
    <mergeCell ref="C2329:F2329"/>
    <mergeCell ref="G2329:H2329"/>
    <mergeCell ref="I2329:J2329"/>
    <mergeCell ref="K2329:L2329"/>
    <mergeCell ref="B2330:B2332"/>
    <mergeCell ref="C2330:C2332"/>
    <mergeCell ref="D2330:D2332"/>
    <mergeCell ref="E2330:E2332"/>
    <mergeCell ref="F2330:F2332"/>
    <mergeCell ref="C2403:E2403"/>
    <mergeCell ref="C2408:F2408"/>
    <mergeCell ref="G2408:H2408"/>
    <mergeCell ref="I2408:J2408"/>
    <mergeCell ref="K2408:L2408"/>
    <mergeCell ref="B2409:B2411"/>
    <mergeCell ref="C2409:C2411"/>
    <mergeCell ref="D2409:D2411"/>
    <mergeCell ref="E2409:E2411"/>
    <mergeCell ref="F2409:F2411"/>
    <mergeCell ref="C2376:E2376"/>
    <mergeCell ref="C2381:F2381"/>
    <mergeCell ref="G2381:H2381"/>
    <mergeCell ref="I2381:J2381"/>
    <mergeCell ref="K2381:L2381"/>
    <mergeCell ref="B2382:B2384"/>
    <mergeCell ref="C2382:C2384"/>
    <mergeCell ref="D2382:D2384"/>
    <mergeCell ref="E2382:E2384"/>
    <mergeCell ref="F2382:F2384"/>
    <mergeCell ref="C2457:E2457"/>
    <mergeCell ref="C2460:F2460"/>
    <mergeCell ref="G2460:H2460"/>
    <mergeCell ref="I2460:J2460"/>
    <mergeCell ref="K2460:L2460"/>
    <mergeCell ref="B2461:B2463"/>
    <mergeCell ref="C2461:C2463"/>
    <mergeCell ref="D2461:D2463"/>
    <mergeCell ref="E2461:E2463"/>
    <mergeCell ref="F2461:F2463"/>
    <mergeCell ref="C2431:E2431"/>
    <mergeCell ref="C2434:F2434"/>
    <mergeCell ref="G2434:H2434"/>
    <mergeCell ref="I2434:J2434"/>
    <mergeCell ref="K2434:L2434"/>
    <mergeCell ref="B2435:B2437"/>
    <mergeCell ref="C2435:C2437"/>
    <mergeCell ref="D2435:D2437"/>
    <mergeCell ref="E2435:E2437"/>
    <mergeCell ref="F2435:F2437"/>
    <mergeCell ref="C2507:E2507"/>
    <mergeCell ref="C2510:F2510"/>
    <mergeCell ref="G2510:H2510"/>
    <mergeCell ref="I2510:J2510"/>
    <mergeCell ref="K2510:L2510"/>
    <mergeCell ref="B2511:B2513"/>
    <mergeCell ref="C2511:C2513"/>
    <mergeCell ref="D2511:D2513"/>
    <mergeCell ref="E2511:E2513"/>
    <mergeCell ref="F2511:F2513"/>
    <mergeCell ref="C2482:E2482"/>
    <mergeCell ref="C2485:F2485"/>
    <mergeCell ref="G2485:H2485"/>
    <mergeCell ref="I2485:J2485"/>
    <mergeCell ref="K2485:L2485"/>
    <mergeCell ref="B2486:B2488"/>
    <mergeCell ref="C2486:C2488"/>
    <mergeCell ref="D2486:D2488"/>
    <mergeCell ref="E2486:E2488"/>
    <mergeCell ref="F2486:F2488"/>
    <mergeCell ref="C2557:E2557"/>
    <mergeCell ref="C2560:F2560"/>
    <mergeCell ref="G2560:H2560"/>
    <mergeCell ref="I2560:J2560"/>
    <mergeCell ref="K2560:L2560"/>
    <mergeCell ref="B2561:B2563"/>
    <mergeCell ref="C2561:C2563"/>
    <mergeCell ref="D2561:D2563"/>
    <mergeCell ref="E2561:E2563"/>
    <mergeCell ref="F2561:F2563"/>
    <mergeCell ref="C2532:E2532"/>
    <mergeCell ref="C2535:F2535"/>
    <mergeCell ref="G2535:H2535"/>
    <mergeCell ref="I2535:J2535"/>
    <mergeCell ref="K2535:L2535"/>
    <mergeCell ref="B2536:B2538"/>
    <mergeCell ref="C2536:C2538"/>
    <mergeCell ref="D2536:D2538"/>
    <mergeCell ref="E2536:E2538"/>
    <mergeCell ref="F2536:F2538"/>
    <mergeCell ref="C2613:E2613"/>
    <mergeCell ref="C2616:F2616"/>
    <mergeCell ref="G2616:H2616"/>
    <mergeCell ref="I2616:J2616"/>
    <mergeCell ref="K2616:L2616"/>
    <mergeCell ref="B2617:B2619"/>
    <mergeCell ref="C2617:C2619"/>
    <mergeCell ref="D2617:D2619"/>
    <mergeCell ref="E2617:E2619"/>
    <mergeCell ref="F2617:F2619"/>
    <mergeCell ref="C2585:E2585"/>
    <mergeCell ref="C2588:F2588"/>
    <mergeCell ref="G2588:H2588"/>
    <mergeCell ref="I2588:J2588"/>
    <mergeCell ref="K2588:L2588"/>
    <mergeCell ref="B2589:B2591"/>
    <mergeCell ref="C2589:C2591"/>
    <mergeCell ref="D2589:D2591"/>
    <mergeCell ref="E2589:E2591"/>
    <mergeCell ref="F2589:F2591"/>
    <mergeCell ref="C2667:E2667"/>
    <mergeCell ref="C2670:F2670"/>
    <mergeCell ref="G2670:H2670"/>
    <mergeCell ref="I2670:J2670"/>
    <mergeCell ref="K2670:L2670"/>
    <mergeCell ref="B2671:B2673"/>
    <mergeCell ref="C2671:C2673"/>
    <mergeCell ref="D2671:D2673"/>
    <mergeCell ref="E2671:E2673"/>
    <mergeCell ref="F2671:F2673"/>
    <mergeCell ref="C2641:E2641"/>
    <mergeCell ref="C2644:F2644"/>
    <mergeCell ref="G2644:H2644"/>
    <mergeCell ref="I2644:J2644"/>
    <mergeCell ref="K2644:L2644"/>
    <mergeCell ref="B2645:B2647"/>
    <mergeCell ref="C2645:C2647"/>
    <mergeCell ref="D2645:D2647"/>
    <mergeCell ref="E2645:E2647"/>
    <mergeCell ref="F2645:F2647"/>
    <mergeCell ref="C2719:E2719"/>
    <mergeCell ref="C2722:F2722"/>
    <mergeCell ref="G2722:H2722"/>
    <mergeCell ref="I2722:J2722"/>
    <mergeCell ref="K2722:L2722"/>
    <mergeCell ref="B2723:B2725"/>
    <mergeCell ref="C2723:C2725"/>
    <mergeCell ref="D2723:D2725"/>
    <mergeCell ref="E2723:E2725"/>
    <mergeCell ref="F2723:F2725"/>
    <mergeCell ref="C2693:E2693"/>
    <mergeCell ref="C2696:F2696"/>
    <mergeCell ref="G2696:H2696"/>
    <mergeCell ref="I2696:J2696"/>
    <mergeCell ref="K2696:L2696"/>
    <mergeCell ref="B2697:B2699"/>
    <mergeCell ref="C2697:C2699"/>
    <mergeCell ref="D2697:D2699"/>
    <mergeCell ref="E2697:E2699"/>
    <mergeCell ref="F2697:F2699"/>
    <mergeCell ref="C2771:E2771"/>
    <mergeCell ref="C2774:F2774"/>
    <mergeCell ref="G2774:H2774"/>
    <mergeCell ref="I2774:J2774"/>
    <mergeCell ref="K2774:L2774"/>
    <mergeCell ref="B2775:B2777"/>
    <mergeCell ref="C2775:C2777"/>
    <mergeCell ref="D2775:D2777"/>
    <mergeCell ref="E2775:E2777"/>
    <mergeCell ref="F2775:F2777"/>
    <mergeCell ref="C2745:E2745"/>
    <mergeCell ref="C2748:F2748"/>
    <mergeCell ref="G2748:H2748"/>
    <mergeCell ref="I2748:J2748"/>
    <mergeCell ref="K2748:L2748"/>
    <mergeCell ref="B2749:B2751"/>
    <mergeCell ref="C2749:C2751"/>
    <mergeCell ref="D2749:D2751"/>
    <mergeCell ref="E2749:E2751"/>
    <mergeCell ref="F2749:F2751"/>
    <mergeCell ref="C2824:E2824"/>
    <mergeCell ref="C2828:F2828"/>
    <mergeCell ref="G2828:H2828"/>
    <mergeCell ref="I2828:J2828"/>
    <mergeCell ref="K2828:L2828"/>
    <mergeCell ref="B2829:B2831"/>
    <mergeCell ref="C2829:C2831"/>
    <mergeCell ref="D2829:D2831"/>
    <mergeCell ref="E2829:E2831"/>
    <mergeCell ref="F2829:F2831"/>
    <mergeCell ref="C2799:E2799"/>
    <mergeCell ref="C2802:F2802"/>
    <mergeCell ref="G2802:H2802"/>
    <mergeCell ref="I2802:J2802"/>
    <mergeCell ref="K2802:L2802"/>
    <mergeCell ref="B2803:B2805"/>
    <mergeCell ref="C2803:C2805"/>
    <mergeCell ref="D2803:D2805"/>
    <mergeCell ref="E2803:E2805"/>
    <mergeCell ref="F2803:F2805"/>
    <mergeCell ref="C2877:E2877"/>
    <mergeCell ref="C2881:F2881"/>
    <mergeCell ref="G2881:H2881"/>
    <mergeCell ref="I2881:J2881"/>
    <mergeCell ref="K2881:L2881"/>
    <mergeCell ref="B2882:B2884"/>
    <mergeCell ref="C2882:C2884"/>
    <mergeCell ref="D2882:D2884"/>
    <mergeCell ref="E2882:E2884"/>
    <mergeCell ref="F2882:F2884"/>
    <mergeCell ref="C2850:E2850"/>
    <mergeCell ref="C2854:F2854"/>
    <mergeCell ref="G2854:H2854"/>
    <mergeCell ref="I2854:J2854"/>
    <mergeCell ref="K2854:L2854"/>
    <mergeCell ref="B2855:B2857"/>
    <mergeCell ref="C2855:C2857"/>
    <mergeCell ref="D2855:D2857"/>
    <mergeCell ref="E2855:E2857"/>
    <mergeCell ref="F2855:F2857"/>
    <mergeCell ref="C2931:E2931"/>
    <mergeCell ref="C2935:F2935"/>
    <mergeCell ref="G2935:H2935"/>
    <mergeCell ref="I2935:J2935"/>
    <mergeCell ref="K2935:L2935"/>
    <mergeCell ref="B2936:B2938"/>
    <mergeCell ref="C2936:C2938"/>
    <mergeCell ref="D2936:D2938"/>
    <mergeCell ref="E2936:E2938"/>
    <mergeCell ref="F2936:F2938"/>
    <mergeCell ref="C2904:E2904"/>
    <mergeCell ref="C2908:F2908"/>
    <mergeCell ref="G2908:H2908"/>
    <mergeCell ref="I2908:J2908"/>
    <mergeCell ref="K2908:L2908"/>
    <mergeCell ref="B2909:B2911"/>
    <mergeCell ref="C2909:C2911"/>
    <mergeCell ref="D2909:D2911"/>
    <mergeCell ref="E2909:E2911"/>
    <mergeCell ref="F2909:F2911"/>
    <mergeCell ref="C2983:E2983"/>
    <mergeCell ref="C2987:F2987"/>
    <mergeCell ref="G2987:H2987"/>
    <mergeCell ref="I2987:J2987"/>
    <mergeCell ref="K2987:L2987"/>
    <mergeCell ref="B2988:B2990"/>
    <mergeCell ref="C2988:C2990"/>
    <mergeCell ref="D2988:D2990"/>
    <mergeCell ref="E2988:E2990"/>
    <mergeCell ref="F2988:F2990"/>
    <mergeCell ref="C2957:E2957"/>
    <mergeCell ref="C2961:F2961"/>
    <mergeCell ref="G2961:H2961"/>
    <mergeCell ref="I2961:J2961"/>
    <mergeCell ref="K2961:L2961"/>
    <mergeCell ref="B2962:B2964"/>
    <mergeCell ref="C2962:C2964"/>
    <mergeCell ref="D2962:D2964"/>
    <mergeCell ref="E2962:E2964"/>
    <mergeCell ref="F2962:F2964"/>
    <mergeCell ref="C3037:E3037"/>
    <mergeCell ref="C3041:F3041"/>
    <mergeCell ref="G3041:H3041"/>
    <mergeCell ref="I3041:J3041"/>
    <mergeCell ref="K3041:L3041"/>
    <mergeCell ref="B3042:B3044"/>
    <mergeCell ref="C3042:C3044"/>
    <mergeCell ref="D3042:D3044"/>
    <mergeCell ref="E3042:E3044"/>
    <mergeCell ref="F3042:F3044"/>
    <mergeCell ref="C3010:E3010"/>
    <mergeCell ref="C3014:F3014"/>
    <mergeCell ref="G3014:H3014"/>
    <mergeCell ref="I3014:J3014"/>
    <mergeCell ref="K3014:L3014"/>
    <mergeCell ref="B3015:B3017"/>
    <mergeCell ref="C3015:C3017"/>
    <mergeCell ref="D3015:D3017"/>
    <mergeCell ref="E3015:E3017"/>
    <mergeCell ref="F3015:F3017"/>
    <mergeCell ref="C3089:E3089"/>
    <mergeCell ref="C3093:F3093"/>
    <mergeCell ref="G3093:H3093"/>
    <mergeCell ref="I3093:J3093"/>
    <mergeCell ref="K3093:L3093"/>
    <mergeCell ref="B3094:B3096"/>
    <mergeCell ref="C3094:C3096"/>
    <mergeCell ref="D3094:D3096"/>
    <mergeCell ref="E3094:E3096"/>
    <mergeCell ref="F3094:F3096"/>
    <mergeCell ref="C3063:E3063"/>
    <mergeCell ref="C3067:F3067"/>
    <mergeCell ref="G3067:H3067"/>
    <mergeCell ref="I3067:J3067"/>
    <mergeCell ref="K3067:L3067"/>
    <mergeCell ref="B3068:B3070"/>
    <mergeCell ref="C3068:C3070"/>
    <mergeCell ref="D3068:D3070"/>
    <mergeCell ref="E3068:E3070"/>
    <mergeCell ref="F3068:F3070"/>
    <mergeCell ref="C3142:E3142"/>
    <mergeCell ref="C3146:F3146"/>
    <mergeCell ref="G3146:H3146"/>
    <mergeCell ref="I3146:J3146"/>
    <mergeCell ref="K3146:L3146"/>
    <mergeCell ref="B3147:B3149"/>
    <mergeCell ref="C3147:C3149"/>
    <mergeCell ref="D3147:D3149"/>
    <mergeCell ref="E3147:E3149"/>
    <mergeCell ref="F3147:F3149"/>
    <mergeCell ref="C3115:E3115"/>
    <mergeCell ref="C3119:F3119"/>
    <mergeCell ref="G3119:H3119"/>
    <mergeCell ref="I3119:J3119"/>
    <mergeCell ref="K3119:L3119"/>
    <mergeCell ref="B3120:B3122"/>
    <mergeCell ref="C3120:C3122"/>
    <mergeCell ref="D3120:D3122"/>
    <mergeCell ref="E3120:E3122"/>
    <mergeCell ref="F3120:F3122"/>
    <mergeCell ref="C3195:E3195"/>
    <mergeCell ref="C3199:F3199"/>
    <mergeCell ref="G3199:H3199"/>
    <mergeCell ref="I3199:J3199"/>
    <mergeCell ref="K3199:L3199"/>
    <mergeCell ref="B3200:B3202"/>
    <mergeCell ref="C3200:C3202"/>
    <mergeCell ref="D3200:D3202"/>
    <mergeCell ref="E3200:E3202"/>
    <mergeCell ref="F3200:F3202"/>
    <mergeCell ref="C3169:E3169"/>
    <mergeCell ref="C3173:F3173"/>
    <mergeCell ref="G3173:H3173"/>
    <mergeCell ref="I3173:J3173"/>
    <mergeCell ref="K3173:L3173"/>
    <mergeCell ref="B3174:B3176"/>
    <mergeCell ref="C3174:C3176"/>
    <mergeCell ref="D3174:D3176"/>
    <mergeCell ref="E3174:E3176"/>
    <mergeCell ref="F3174:F3176"/>
    <mergeCell ref="C3247:E3247"/>
    <mergeCell ref="C3251:F3251"/>
    <mergeCell ref="G3251:H3251"/>
    <mergeCell ref="I3251:J3251"/>
    <mergeCell ref="K3251:L3251"/>
    <mergeCell ref="B3252:B3254"/>
    <mergeCell ref="C3252:C3254"/>
    <mergeCell ref="D3252:D3254"/>
    <mergeCell ref="E3252:E3254"/>
    <mergeCell ref="F3252:F3254"/>
    <mergeCell ref="C3221:E3221"/>
    <mergeCell ref="C3225:F3225"/>
    <mergeCell ref="G3225:H3225"/>
    <mergeCell ref="I3225:J3225"/>
    <mergeCell ref="K3225:L3225"/>
    <mergeCell ref="B3226:B3228"/>
    <mergeCell ref="C3226:C3228"/>
    <mergeCell ref="D3226:D3228"/>
    <mergeCell ref="E3226:E3228"/>
    <mergeCell ref="F3226:F3228"/>
    <mergeCell ref="C3301:E3301"/>
    <mergeCell ref="C3305:F3305"/>
    <mergeCell ref="G3305:H3305"/>
    <mergeCell ref="I3305:J3305"/>
    <mergeCell ref="K3305:L3305"/>
    <mergeCell ref="B3306:B3308"/>
    <mergeCell ref="C3306:C3308"/>
    <mergeCell ref="D3306:D3308"/>
    <mergeCell ref="E3306:E3308"/>
    <mergeCell ref="F3306:F3308"/>
    <mergeCell ref="C3274:E3274"/>
    <mergeCell ref="C3278:F3278"/>
    <mergeCell ref="G3278:H3278"/>
    <mergeCell ref="I3278:J3278"/>
    <mergeCell ref="K3278:L3278"/>
    <mergeCell ref="B3279:B3281"/>
    <mergeCell ref="C3279:C3281"/>
    <mergeCell ref="D3279:D3281"/>
    <mergeCell ref="E3279:E3281"/>
    <mergeCell ref="F3279:F3281"/>
    <mergeCell ref="C3353:E3353"/>
    <mergeCell ref="C3357:F3357"/>
    <mergeCell ref="G3357:H3357"/>
    <mergeCell ref="I3357:J3357"/>
    <mergeCell ref="K3357:L3357"/>
    <mergeCell ref="B3358:B3360"/>
    <mergeCell ref="C3358:C3360"/>
    <mergeCell ref="D3358:D3360"/>
    <mergeCell ref="E3358:E3360"/>
    <mergeCell ref="F3358:F3360"/>
    <mergeCell ref="C3327:E3327"/>
    <mergeCell ref="C3331:F3331"/>
    <mergeCell ref="G3331:H3331"/>
    <mergeCell ref="I3331:J3331"/>
    <mergeCell ref="K3331:L3331"/>
    <mergeCell ref="B3332:B3334"/>
    <mergeCell ref="C3332:C3334"/>
    <mergeCell ref="D3332:D3334"/>
    <mergeCell ref="E3332:E3334"/>
    <mergeCell ref="F3332:F3334"/>
    <mergeCell ref="C3406:E3406"/>
    <mergeCell ref="C3410:F3410"/>
    <mergeCell ref="G3410:H3410"/>
    <mergeCell ref="I3410:J3410"/>
    <mergeCell ref="K3410:L3410"/>
    <mergeCell ref="B3411:B3413"/>
    <mergeCell ref="C3411:C3413"/>
    <mergeCell ref="D3411:D3413"/>
    <mergeCell ref="E3411:E3413"/>
    <mergeCell ref="F3411:F3413"/>
    <mergeCell ref="C3380:E3380"/>
    <mergeCell ref="C3384:F3384"/>
    <mergeCell ref="G3384:H3384"/>
    <mergeCell ref="I3384:J3384"/>
    <mergeCell ref="K3384:L3384"/>
    <mergeCell ref="B3385:B3387"/>
    <mergeCell ref="C3385:C3387"/>
    <mergeCell ref="D3385:D3387"/>
    <mergeCell ref="E3385:E3387"/>
    <mergeCell ref="F3385:F3387"/>
    <mergeCell ref="C3453:E3453"/>
    <mergeCell ref="C3456:F3456"/>
    <mergeCell ref="G3456:H3456"/>
    <mergeCell ref="I3456:J3456"/>
    <mergeCell ref="K3456:L3456"/>
    <mergeCell ref="B3457:B3459"/>
    <mergeCell ref="C3457:C3459"/>
    <mergeCell ref="D3457:D3459"/>
    <mergeCell ref="E3457:E3459"/>
    <mergeCell ref="F3457:F3459"/>
    <mergeCell ref="C3430:E3430"/>
    <mergeCell ref="C3433:F3433"/>
    <mergeCell ref="G3433:H3433"/>
    <mergeCell ref="I3433:J3433"/>
    <mergeCell ref="K3433:L3433"/>
    <mergeCell ref="B3434:B3436"/>
    <mergeCell ref="C3434:C3436"/>
    <mergeCell ref="D3434:D3436"/>
    <mergeCell ref="E3434:E3436"/>
    <mergeCell ref="F3434:F3436"/>
    <mergeCell ref="C3499:E3499"/>
    <mergeCell ref="C3502:F3502"/>
    <mergeCell ref="G3502:H3502"/>
    <mergeCell ref="I3502:J3502"/>
    <mergeCell ref="K3502:L3502"/>
    <mergeCell ref="B3503:B3505"/>
    <mergeCell ref="C3503:C3505"/>
    <mergeCell ref="D3503:D3505"/>
    <mergeCell ref="E3503:E3505"/>
    <mergeCell ref="F3503:F3505"/>
    <mergeCell ref="C3476:E3476"/>
    <mergeCell ref="C3479:F3479"/>
    <mergeCell ref="G3479:H3479"/>
    <mergeCell ref="I3479:J3479"/>
    <mergeCell ref="K3479:L3479"/>
    <mergeCell ref="B3480:B3482"/>
    <mergeCell ref="C3480:C3482"/>
    <mergeCell ref="D3480:D3482"/>
    <mergeCell ref="E3480:E3482"/>
    <mergeCell ref="F3480:F3482"/>
    <mergeCell ref="C3550:E3550"/>
    <mergeCell ref="C3555:F3555"/>
    <mergeCell ref="G3555:H3555"/>
    <mergeCell ref="I3555:J3555"/>
    <mergeCell ref="K3555:L3555"/>
    <mergeCell ref="B3556:B3558"/>
    <mergeCell ref="C3556:C3558"/>
    <mergeCell ref="D3556:D3558"/>
    <mergeCell ref="E3556:E3558"/>
    <mergeCell ref="F3556:F3558"/>
    <mergeCell ref="C3524:E3524"/>
    <mergeCell ref="C3529:F3529"/>
    <mergeCell ref="G3529:H3529"/>
    <mergeCell ref="I3529:J3529"/>
    <mergeCell ref="K3529:L3529"/>
    <mergeCell ref="B3530:B3532"/>
    <mergeCell ref="C3530:C3532"/>
    <mergeCell ref="D3530:D3532"/>
    <mergeCell ref="E3530:E3532"/>
    <mergeCell ref="F3530:F3532"/>
    <mergeCell ref="C3606:E3606"/>
    <mergeCell ref="C3610:F3610"/>
    <mergeCell ref="G3610:H3610"/>
    <mergeCell ref="I3610:J3610"/>
    <mergeCell ref="K3610:L3610"/>
    <mergeCell ref="B3611:B3613"/>
    <mergeCell ref="C3611:C3613"/>
    <mergeCell ref="D3611:D3613"/>
    <mergeCell ref="E3611:E3613"/>
    <mergeCell ref="F3611:F3613"/>
    <mergeCell ref="C3579:E3579"/>
    <mergeCell ref="C3582:F3582"/>
    <mergeCell ref="G3582:H3582"/>
    <mergeCell ref="I3582:J3582"/>
    <mergeCell ref="K3582:L3582"/>
    <mergeCell ref="B3583:B3585"/>
    <mergeCell ref="C3583:C3585"/>
    <mergeCell ref="D3583:D3585"/>
    <mergeCell ref="E3583:E3585"/>
    <mergeCell ref="F3583:F3585"/>
    <mergeCell ref="C3657:E3657"/>
    <mergeCell ref="C3660:F3660"/>
    <mergeCell ref="G3660:H3660"/>
    <mergeCell ref="I3660:J3660"/>
    <mergeCell ref="K3660:L3660"/>
    <mergeCell ref="B3661:B3663"/>
    <mergeCell ref="C3661:C3663"/>
    <mergeCell ref="D3661:D3663"/>
    <mergeCell ref="E3661:E3663"/>
    <mergeCell ref="F3661:F3663"/>
    <mergeCell ref="C3634:E3634"/>
    <mergeCell ref="C3638:F3638"/>
    <mergeCell ref="G3638:H3638"/>
    <mergeCell ref="I3638:J3638"/>
    <mergeCell ref="K3638:L3638"/>
    <mergeCell ref="B3639:B3641"/>
    <mergeCell ref="C3639:C3641"/>
    <mergeCell ref="D3639:D3641"/>
    <mergeCell ref="E3639:E3641"/>
    <mergeCell ref="F3639:F3641"/>
    <mergeCell ref="C3712:E3712"/>
    <mergeCell ref="C3715:F3715"/>
    <mergeCell ref="G3715:H3715"/>
    <mergeCell ref="I3715:J3715"/>
    <mergeCell ref="K3715:L3715"/>
    <mergeCell ref="B3716:B3718"/>
    <mergeCell ref="C3716:C3718"/>
    <mergeCell ref="D3716:D3718"/>
    <mergeCell ref="E3716:E3718"/>
    <mergeCell ref="F3716:F3718"/>
    <mergeCell ref="C3684:E3684"/>
    <mergeCell ref="C3687:F3687"/>
    <mergeCell ref="G3687:H3687"/>
    <mergeCell ref="I3687:J3687"/>
    <mergeCell ref="K3687:L3687"/>
    <mergeCell ref="B3688:B3690"/>
    <mergeCell ref="C3688:C3690"/>
    <mergeCell ref="D3688:D3690"/>
    <mergeCell ref="E3688:E3690"/>
    <mergeCell ref="F3688:F3690"/>
    <mergeCell ref="C3762:E3762"/>
    <mergeCell ref="C3765:F3765"/>
    <mergeCell ref="G3765:H3765"/>
    <mergeCell ref="I3765:J3765"/>
    <mergeCell ref="K3765:L3765"/>
    <mergeCell ref="B3766:B3768"/>
    <mergeCell ref="C3766:C3768"/>
    <mergeCell ref="D3766:D3768"/>
    <mergeCell ref="E3766:E3768"/>
    <mergeCell ref="F3766:F3768"/>
    <mergeCell ref="C3738:E3738"/>
    <mergeCell ref="C3741:F3741"/>
    <mergeCell ref="G3741:H3741"/>
    <mergeCell ref="I3741:J3741"/>
    <mergeCell ref="K3741:L3741"/>
    <mergeCell ref="B3742:B3744"/>
    <mergeCell ref="C3742:C3744"/>
    <mergeCell ref="D3742:D3744"/>
    <mergeCell ref="E3742:E3744"/>
    <mergeCell ref="F3742:F3744"/>
    <mergeCell ref="C3802:E3802"/>
    <mergeCell ref="C3805:F3805"/>
    <mergeCell ref="G3805:H3805"/>
    <mergeCell ref="I3805:J3805"/>
    <mergeCell ref="K3805:L3805"/>
    <mergeCell ref="B3806:B3808"/>
    <mergeCell ref="C3806:C3808"/>
    <mergeCell ref="D3806:D3808"/>
    <mergeCell ref="E3806:E3808"/>
    <mergeCell ref="F3806:F3808"/>
    <mergeCell ref="C3782:E3782"/>
    <mergeCell ref="C3785:F3785"/>
    <mergeCell ref="G3785:H3785"/>
    <mergeCell ref="I3785:J3785"/>
    <mergeCell ref="K3785:L3785"/>
    <mergeCell ref="B3786:B3788"/>
    <mergeCell ref="C3786:C3788"/>
    <mergeCell ref="D3786:D3788"/>
    <mergeCell ref="E3786:E3788"/>
    <mergeCell ref="F3786:F3788"/>
    <mergeCell ref="C3847:E3847"/>
    <mergeCell ref="C3851:F3851"/>
    <mergeCell ref="G3851:H3851"/>
    <mergeCell ref="I3851:J3851"/>
    <mergeCell ref="K3851:L3851"/>
    <mergeCell ref="B3852:B3854"/>
    <mergeCell ref="C3852:C3854"/>
    <mergeCell ref="D3852:D3854"/>
    <mergeCell ref="E3852:E3854"/>
    <mergeCell ref="F3852:F3854"/>
    <mergeCell ref="C3823:E3823"/>
    <mergeCell ref="C3826:F3826"/>
    <mergeCell ref="G3826:H3826"/>
    <mergeCell ref="I3826:J3826"/>
    <mergeCell ref="K3826:L3826"/>
    <mergeCell ref="B3827:B3829"/>
    <mergeCell ref="C3827:C3829"/>
    <mergeCell ref="D3827:D3829"/>
    <mergeCell ref="E3827:E3829"/>
    <mergeCell ref="F3827:F3829"/>
    <mergeCell ref="C3901:E3901"/>
    <mergeCell ref="C3905:F3905"/>
    <mergeCell ref="G3905:H3905"/>
    <mergeCell ref="I3905:J3905"/>
    <mergeCell ref="K3905:L3905"/>
    <mergeCell ref="B3906:B3908"/>
    <mergeCell ref="C3906:C3908"/>
    <mergeCell ref="D3906:D3908"/>
    <mergeCell ref="E3906:E3908"/>
    <mergeCell ref="F3906:F3908"/>
    <mergeCell ref="C3874:E3874"/>
    <mergeCell ref="C3878:F3878"/>
    <mergeCell ref="G3878:H3878"/>
    <mergeCell ref="I3878:J3878"/>
    <mergeCell ref="K3878:L3878"/>
    <mergeCell ref="B3879:B3881"/>
    <mergeCell ref="C3879:C3881"/>
    <mergeCell ref="D3879:D3881"/>
    <mergeCell ref="E3879:E3881"/>
    <mergeCell ref="F3879:F3881"/>
    <mergeCell ref="B3958:B3960"/>
    <mergeCell ref="C3958:C3960"/>
    <mergeCell ref="D3958:D3960"/>
    <mergeCell ref="E3958:E3960"/>
    <mergeCell ref="F3958:F3960"/>
    <mergeCell ref="C3928:E3928"/>
    <mergeCell ref="C3931:F3931"/>
    <mergeCell ref="G3931:H3931"/>
    <mergeCell ref="I3931:J3931"/>
    <mergeCell ref="K3931:L3931"/>
    <mergeCell ref="B3932:B3934"/>
    <mergeCell ref="C3932:C3934"/>
    <mergeCell ref="D3932:D3934"/>
    <mergeCell ref="E3932:E3934"/>
    <mergeCell ref="F3932:F3934"/>
    <mergeCell ref="C4051:F4051"/>
    <mergeCell ref="G4051:H4051"/>
    <mergeCell ref="B4026:B4028"/>
    <mergeCell ref="C4026:C4028"/>
    <mergeCell ref="D4026:D4028"/>
    <mergeCell ref="E4026:E4028"/>
    <mergeCell ref="F4026:F4028"/>
    <mergeCell ref="C3983:F3983"/>
    <mergeCell ref="C3980:E3980"/>
    <mergeCell ref="C3954:E3954"/>
    <mergeCell ref="C3957:F3957"/>
    <mergeCell ref="G3957:H3957"/>
    <mergeCell ref="I3957:J3957"/>
    <mergeCell ref="K3957:L3957"/>
    <mergeCell ref="B4052:B4054"/>
    <mergeCell ref="C4052:C4054"/>
    <mergeCell ref="D4052:D4054"/>
    <mergeCell ref="E4052:E4054"/>
    <mergeCell ref="F4052:F4054"/>
    <mergeCell ref="C4074:E4074"/>
    <mergeCell ref="C4022:E4022"/>
    <mergeCell ref="G3983:H3983"/>
    <mergeCell ref="I3983:J3983"/>
    <mergeCell ref="K3983:L3983"/>
    <mergeCell ref="B3984:B3986"/>
    <mergeCell ref="C3984:C3986"/>
    <mergeCell ref="D3984:D3986"/>
    <mergeCell ref="E3984:E3986"/>
    <mergeCell ref="F3984:F3986"/>
    <mergeCell ref="C4001:E4001"/>
    <mergeCell ref="C4004:F4004"/>
    <mergeCell ref="G4004:H4004"/>
    <mergeCell ref="I4004:J4004"/>
    <mergeCell ref="K4004:L4004"/>
    <mergeCell ref="B4005:B4007"/>
    <mergeCell ref="C4005:C4007"/>
    <mergeCell ref="D4005:D4007"/>
    <mergeCell ref="E4005:E4007"/>
    <mergeCell ref="F4005:F4007"/>
    <mergeCell ref="C4048:E4048"/>
    <mergeCell ref="C4025:F4025"/>
    <mergeCell ref="G4025:H4025"/>
    <mergeCell ref="I4025:J4025"/>
    <mergeCell ref="K4025:L402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68572-2079-471E-8278-72E1EC84F729}">
  <dimension ref="A1:N553"/>
  <sheetViews>
    <sheetView tabSelected="1" workbookViewId="0">
      <selection activeCell="A26" sqref="A26:D445"/>
    </sheetView>
  </sheetViews>
  <sheetFormatPr defaultColWidth="9.1796875" defaultRowHeight="14" x14ac:dyDescent="0.3"/>
  <cols>
    <col min="1" max="1" width="8.54296875" style="72" customWidth="1"/>
    <col min="2" max="2" width="50.1796875" style="12" customWidth="1"/>
    <col min="3" max="3" width="8.6328125" style="11" customWidth="1"/>
    <col min="4" max="4" width="20.1796875" style="1" customWidth="1"/>
    <col min="5" max="224" width="9.1796875" style="1"/>
    <col min="225" max="225" width="4.81640625" style="1" customWidth="1"/>
    <col min="226" max="226" width="8.81640625" style="1" customWidth="1"/>
    <col min="227" max="227" width="0" style="1" hidden="1" customWidth="1"/>
    <col min="228" max="228" width="55.1796875" style="1" customWidth="1"/>
    <col min="229" max="245" width="0" style="1" hidden="1" customWidth="1"/>
    <col min="246" max="246" width="20.1796875" style="1" customWidth="1"/>
    <col min="247" max="248" width="0" style="1" hidden="1" customWidth="1"/>
    <col min="249" max="249" width="17.81640625" style="1" customWidth="1"/>
    <col min="250" max="250" width="14.453125" style="1" customWidth="1"/>
    <col min="251" max="251" width="9.1796875" style="1"/>
    <col min="252" max="252" width="15.1796875" style="1" bestFit="1" customWidth="1"/>
    <col min="253" max="480" width="9.1796875" style="1"/>
    <col min="481" max="481" width="4.81640625" style="1" customWidth="1"/>
    <col min="482" max="482" width="8.81640625" style="1" customWidth="1"/>
    <col min="483" max="483" width="0" style="1" hidden="1" customWidth="1"/>
    <col min="484" max="484" width="55.1796875" style="1" customWidth="1"/>
    <col min="485" max="501" width="0" style="1" hidden="1" customWidth="1"/>
    <col min="502" max="502" width="20.1796875" style="1" customWidth="1"/>
    <col min="503" max="504" width="0" style="1" hidden="1" customWidth="1"/>
    <col min="505" max="505" width="17.81640625" style="1" customWidth="1"/>
    <col min="506" max="506" width="14.453125" style="1" customWidth="1"/>
    <col min="507" max="507" width="9.1796875" style="1"/>
    <col min="508" max="508" width="15.1796875" style="1" bestFit="1" customWidth="1"/>
    <col min="509" max="736" width="9.1796875" style="1"/>
    <col min="737" max="737" width="4.81640625" style="1" customWidth="1"/>
    <col min="738" max="738" width="8.81640625" style="1" customWidth="1"/>
    <col min="739" max="739" width="0" style="1" hidden="1" customWidth="1"/>
    <col min="740" max="740" width="55.1796875" style="1" customWidth="1"/>
    <col min="741" max="757" width="0" style="1" hidden="1" customWidth="1"/>
    <col min="758" max="758" width="20.1796875" style="1" customWidth="1"/>
    <col min="759" max="760" width="0" style="1" hidden="1" customWidth="1"/>
    <col min="761" max="761" width="17.81640625" style="1" customWidth="1"/>
    <col min="762" max="762" width="14.453125" style="1" customWidth="1"/>
    <col min="763" max="763" width="9.1796875" style="1"/>
    <col min="764" max="764" width="15.1796875" style="1" bestFit="1" customWidth="1"/>
    <col min="765" max="992" width="9.1796875" style="1"/>
    <col min="993" max="993" width="4.81640625" style="1" customWidth="1"/>
    <col min="994" max="994" width="8.81640625" style="1" customWidth="1"/>
    <col min="995" max="995" width="0" style="1" hidden="1" customWidth="1"/>
    <col min="996" max="996" width="55.1796875" style="1" customWidth="1"/>
    <col min="997" max="1013" width="0" style="1" hidden="1" customWidth="1"/>
    <col min="1014" max="1014" width="20.1796875" style="1" customWidth="1"/>
    <col min="1015" max="1016" width="0" style="1" hidden="1" customWidth="1"/>
    <col min="1017" max="1017" width="17.81640625" style="1" customWidth="1"/>
    <col min="1018" max="1018" width="14.453125" style="1" customWidth="1"/>
    <col min="1019" max="1019" width="9.1796875" style="1"/>
    <col min="1020" max="1020" width="15.1796875" style="1" bestFit="1" customWidth="1"/>
    <col min="1021" max="1248" width="9.1796875" style="1"/>
    <col min="1249" max="1249" width="4.81640625" style="1" customWidth="1"/>
    <col min="1250" max="1250" width="8.81640625" style="1" customWidth="1"/>
    <col min="1251" max="1251" width="0" style="1" hidden="1" customWidth="1"/>
    <col min="1252" max="1252" width="55.1796875" style="1" customWidth="1"/>
    <col min="1253" max="1269" width="0" style="1" hidden="1" customWidth="1"/>
    <col min="1270" max="1270" width="20.1796875" style="1" customWidth="1"/>
    <col min="1271" max="1272" width="0" style="1" hidden="1" customWidth="1"/>
    <col min="1273" max="1273" width="17.81640625" style="1" customWidth="1"/>
    <col min="1274" max="1274" width="14.453125" style="1" customWidth="1"/>
    <col min="1275" max="1275" width="9.1796875" style="1"/>
    <col min="1276" max="1276" width="15.1796875" style="1" bestFit="1" customWidth="1"/>
    <col min="1277" max="1504" width="9.1796875" style="1"/>
    <col min="1505" max="1505" width="4.81640625" style="1" customWidth="1"/>
    <col min="1506" max="1506" width="8.81640625" style="1" customWidth="1"/>
    <col min="1507" max="1507" width="0" style="1" hidden="1" customWidth="1"/>
    <col min="1508" max="1508" width="55.1796875" style="1" customWidth="1"/>
    <col min="1509" max="1525" width="0" style="1" hidden="1" customWidth="1"/>
    <col min="1526" max="1526" width="20.1796875" style="1" customWidth="1"/>
    <col min="1527" max="1528" width="0" style="1" hidden="1" customWidth="1"/>
    <col min="1529" max="1529" width="17.81640625" style="1" customWidth="1"/>
    <col min="1530" max="1530" width="14.453125" style="1" customWidth="1"/>
    <col min="1531" max="1531" width="9.1796875" style="1"/>
    <col min="1532" max="1532" width="15.1796875" style="1" bestFit="1" customWidth="1"/>
    <col min="1533" max="1760" width="9.1796875" style="1"/>
    <col min="1761" max="1761" width="4.81640625" style="1" customWidth="1"/>
    <col min="1762" max="1762" width="8.81640625" style="1" customWidth="1"/>
    <col min="1763" max="1763" width="0" style="1" hidden="1" customWidth="1"/>
    <col min="1764" max="1764" width="55.1796875" style="1" customWidth="1"/>
    <col min="1765" max="1781" width="0" style="1" hidden="1" customWidth="1"/>
    <col min="1782" max="1782" width="20.1796875" style="1" customWidth="1"/>
    <col min="1783" max="1784" width="0" style="1" hidden="1" customWidth="1"/>
    <col min="1785" max="1785" width="17.81640625" style="1" customWidth="1"/>
    <col min="1786" max="1786" width="14.453125" style="1" customWidth="1"/>
    <col min="1787" max="1787" width="9.1796875" style="1"/>
    <col min="1788" max="1788" width="15.1796875" style="1" bestFit="1" customWidth="1"/>
    <col min="1789" max="2016" width="9.1796875" style="1"/>
    <col min="2017" max="2017" width="4.81640625" style="1" customWidth="1"/>
    <col min="2018" max="2018" width="8.81640625" style="1" customWidth="1"/>
    <col min="2019" max="2019" width="0" style="1" hidden="1" customWidth="1"/>
    <col min="2020" max="2020" width="55.1796875" style="1" customWidth="1"/>
    <col min="2021" max="2037" width="0" style="1" hidden="1" customWidth="1"/>
    <col min="2038" max="2038" width="20.1796875" style="1" customWidth="1"/>
    <col min="2039" max="2040" width="0" style="1" hidden="1" customWidth="1"/>
    <col min="2041" max="2041" width="17.81640625" style="1" customWidth="1"/>
    <col min="2042" max="2042" width="14.453125" style="1" customWidth="1"/>
    <col min="2043" max="2043" width="9.1796875" style="1"/>
    <col min="2044" max="2044" width="15.1796875" style="1" bestFit="1" customWidth="1"/>
    <col min="2045" max="2272" width="9.1796875" style="1"/>
    <col min="2273" max="2273" width="4.81640625" style="1" customWidth="1"/>
    <col min="2274" max="2274" width="8.81640625" style="1" customWidth="1"/>
    <col min="2275" max="2275" width="0" style="1" hidden="1" customWidth="1"/>
    <col min="2276" max="2276" width="55.1796875" style="1" customWidth="1"/>
    <col min="2277" max="2293" width="0" style="1" hidden="1" customWidth="1"/>
    <col min="2294" max="2294" width="20.1796875" style="1" customWidth="1"/>
    <col min="2295" max="2296" width="0" style="1" hidden="1" customWidth="1"/>
    <col min="2297" max="2297" width="17.81640625" style="1" customWidth="1"/>
    <col min="2298" max="2298" width="14.453125" style="1" customWidth="1"/>
    <col min="2299" max="2299" width="9.1796875" style="1"/>
    <col min="2300" max="2300" width="15.1796875" style="1" bestFit="1" customWidth="1"/>
    <col min="2301" max="2528" width="9.1796875" style="1"/>
    <col min="2529" max="2529" width="4.81640625" style="1" customWidth="1"/>
    <col min="2530" max="2530" width="8.81640625" style="1" customWidth="1"/>
    <col min="2531" max="2531" width="0" style="1" hidden="1" customWidth="1"/>
    <col min="2532" max="2532" width="55.1796875" style="1" customWidth="1"/>
    <col min="2533" max="2549" width="0" style="1" hidden="1" customWidth="1"/>
    <col min="2550" max="2550" width="20.1796875" style="1" customWidth="1"/>
    <col min="2551" max="2552" width="0" style="1" hidden="1" customWidth="1"/>
    <col min="2553" max="2553" width="17.81640625" style="1" customWidth="1"/>
    <col min="2554" max="2554" width="14.453125" style="1" customWidth="1"/>
    <col min="2555" max="2555" width="9.1796875" style="1"/>
    <col min="2556" max="2556" width="15.1796875" style="1" bestFit="1" customWidth="1"/>
    <col min="2557" max="2784" width="9.1796875" style="1"/>
    <col min="2785" max="2785" width="4.81640625" style="1" customWidth="1"/>
    <col min="2786" max="2786" width="8.81640625" style="1" customWidth="1"/>
    <col min="2787" max="2787" width="0" style="1" hidden="1" customWidth="1"/>
    <col min="2788" max="2788" width="55.1796875" style="1" customWidth="1"/>
    <col min="2789" max="2805" width="0" style="1" hidden="1" customWidth="1"/>
    <col min="2806" max="2806" width="20.1796875" style="1" customWidth="1"/>
    <col min="2807" max="2808" width="0" style="1" hidden="1" customWidth="1"/>
    <col min="2809" max="2809" width="17.81640625" style="1" customWidth="1"/>
    <col min="2810" max="2810" width="14.453125" style="1" customWidth="1"/>
    <col min="2811" max="2811" width="9.1796875" style="1"/>
    <col min="2812" max="2812" width="15.1796875" style="1" bestFit="1" customWidth="1"/>
    <col min="2813" max="3040" width="9.1796875" style="1"/>
    <col min="3041" max="3041" width="4.81640625" style="1" customWidth="1"/>
    <col min="3042" max="3042" width="8.81640625" style="1" customWidth="1"/>
    <col min="3043" max="3043" width="0" style="1" hidden="1" customWidth="1"/>
    <col min="3044" max="3044" width="55.1796875" style="1" customWidth="1"/>
    <col min="3045" max="3061" width="0" style="1" hidden="1" customWidth="1"/>
    <col min="3062" max="3062" width="20.1796875" style="1" customWidth="1"/>
    <col min="3063" max="3064" width="0" style="1" hidden="1" customWidth="1"/>
    <col min="3065" max="3065" width="17.81640625" style="1" customWidth="1"/>
    <col min="3066" max="3066" width="14.453125" style="1" customWidth="1"/>
    <col min="3067" max="3067" width="9.1796875" style="1"/>
    <col min="3068" max="3068" width="15.1796875" style="1" bestFit="1" customWidth="1"/>
    <col min="3069" max="3296" width="9.1796875" style="1"/>
    <col min="3297" max="3297" width="4.81640625" style="1" customWidth="1"/>
    <col min="3298" max="3298" width="8.81640625" style="1" customWidth="1"/>
    <col min="3299" max="3299" width="0" style="1" hidden="1" customWidth="1"/>
    <col min="3300" max="3300" width="55.1796875" style="1" customWidth="1"/>
    <col min="3301" max="3317" width="0" style="1" hidden="1" customWidth="1"/>
    <col min="3318" max="3318" width="20.1796875" style="1" customWidth="1"/>
    <col min="3319" max="3320" width="0" style="1" hidden="1" customWidth="1"/>
    <col min="3321" max="3321" width="17.81640625" style="1" customWidth="1"/>
    <col min="3322" max="3322" width="14.453125" style="1" customWidth="1"/>
    <col min="3323" max="3323" width="9.1796875" style="1"/>
    <col min="3324" max="3324" width="15.1796875" style="1" bestFit="1" customWidth="1"/>
    <col min="3325" max="3552" width="9.1796875" style="1"/>
    <col min="3553" max="3553" width="4.81640625" style="1" customWidth="1"/>
    <col min="3554" max="3554" width="8.81640625" style="1" customWidth="1"/>
    <col min="3555" max="3555" width="0" style="1" hidden="1" customWidth="1"/>
    <col min="3556" max="3556" width="55.1796875" style="1" customWidth="1"/>
    <col min="3557" max="3573" width="0" style="1" hidden="1" customWidth="1"/>
    <col min="3574" max="3574" width="20.1796875" style="1" customWidth="1"/>
    <col min="3575" max="3576" width="0" style="1" hidden="1" customWidth="1"/>
    <col min="3577" max="3577" width="17.81640625" style="1" customWidth="1"/>
    <col min="3578" max="3578" width="14.453125" style="1" customWidth="1"/>
    <col min="3579" max="3579" width="9.1796875" style="1"/>
    <col min="3580" max="3580" width="15.1796875" style="1" bestFit="1" customWidth="1"/>
    <col min="3581" max="3808" width="9.1796875" style="1"/>
    <col min="3809" max="3809" width="4.81640625" style="1" customWidth="1"/>
    <col min="3810" max="3810" width="8.81640625" style="1" customWidth="1"/>
    <col min="3811" max="3811" width="0" style="1" hidden="1" customWidth="1"/>
    <col min="3812" max="3812" width="55.1796875" style="1" customWidth="1"/>
    <col min="3813" max="3829" width="0" style="1" hidden="1" customWidth="1"/>
    <col min="3830" max="3830" width="20.1796875" style="1" customWidth="1"/>
    <col min="3831" max="3832" width="0" style="1" hidden="1" customWidth="1"/>
    <col min="3833" max="3833" width="17.81640625" style="1" customWidth="1"/>
    <col min="3834" max="3834" width="14.453125" style="1" customWidth="1"/>
    <col min="3835" max="3835" width="9.1796875" style="1"/>
    <col min="3836" max="3836" width="15.1796875" style="1" bestFit="1" customWidth="1"/>
    <col min="3837" max="4064" width="9.1796875" style="1"/>
    <col min="4065" max="4065" width="4.81640625" style="1" customWidth="1"/>
    <col min="4066" max="4066" width="8.81640625" style="1" customWidth="1"/>
    <col min="4067" max="4067" width="0" style="1" hidden="1" customWidth="1"/>
    <col min="4068" max="4068" width="55.1796875" style="1" customWidth="1"/>
    <col min="4069" max="4085" width="0" style="1" hidden="1" customWidth="1"/>
    <col min="4086" max="4086" width="20.1796875" style="1" customWidth="1"/>
    <col min="4087" max="4088" width="0" style="1" hidden="1" customWidth="1"/>
    <col min="4089" max="4089" width="17.81640625" style="1" customWidth="1"/>
    <col min="4090" max="4090" width="14.453125" style="1" customWidth="1"/>
    <col min="4091" max="4091" width="9.1796875" style="1"/>
    <col min="4092" max="4092" width="15.1796875" style="1" bestFit="1" customWidth="1"/>
    <col min="4093" max="4320" width="9.1796875" style="1"/>
    <col min="4321" max="4321" width="4.81640625" style="1" customWidth="1"/>
    <col min="4322" max="4322" width="8.81640625" style="1" customWidth="1"/>
    <col min="4323" max="4323" width="0" style="1" hidden="1" customWidth="1"/>
    <col min="4324" max="4324" width="55.1796875" style="1" customWidth="1"/>
    <col min="4325" max="4341" width="0" style="1" hidden="1" customWidth="1"/>
    <col min="4342" max="4342" width="20.1796875" style="1" customWidth="1"/>
    <col min="4343" max="4344" width="0" style="1" hidden="1" customWidth="1"/>
    <col min="4345" max="4345" width="17.81640625" style="1" customWidth="1"/>
    <col min="4346" max="4346" width="14.453125" style="1" customWidth="1"/>
    <col min="4347" max="4347" width="9.1796875" style="1"/>
    <col min="4348" max="4348" width="15.1796875" style="1" bestFit="1" customWidth="1"/>
    <col min="4349" max="4576" width="9.1796875" style="1"/>
    <col min="4577" max="4577" width="4.81640625" style="1" customWidth="1"/>
    <col min="4578" max="4578" width="8.81640625" style="1" customWidth="1"/>
    <col min="4579" max="4579" width="0" style="1" hidden="1" customWidth="1"/>
    <col min="4580" max="4580" width="55.1796875" style="1" customWidth="1"/>
    <col min="4581" max="4597" width="0" style="1" hidden="1" customWidth="1"/>
    <col min="4598" max="4598" width="20.1796875" style="1" customWidth="1"/>
    <col min="4599" max="4600" width="0" style="1" hidden="1" customWidth="1"/>
    <col min="4601" max="4601" width="17.81640625" style="1" customWidth="1"/>
    <col min="4602" max="4602" width="14.453125" style="1" customWidth="1"/>
    <col min="4603" max="4603" width="9.1796875" style="1"/>
    <col min="4604" max="4604" width="15.1796875" style="1" bestFit="1" customWidth="1"/>
    <col min="4605" max="4832" width="9.1796875" style="1"/>
    <col min="4833" max="4833" width="4.81640625" style="1" customWidth="1"/>
    <col min="4834" max="4834" width="8.81640625" style="1" customWidth="1"/>
    <col min="4835" max="4835" width="0" style="1" hidden="1" customWidth="1"/>
    <col min="4836" max="4836" width="55.1796875" style="1" customWidth="1"/>
    <col min="4837" max="4853" width="0" style="1" hidden="1" customWidth="1"/>
    <col min="4854" max="4854" width="20.1796875" style="1" customWidth="1"/>
    <col min="4855" max="4856" width="0" style="1" hidden="1" customWidth="1"/>
    <col min="4857" max="4857" width="17.81640625" style="1" customWidth="1"/>
    <col min="4858" max="4858" width="14.453125" style="1" customWidth="1"/>
    <col min="4859" max="4859" width="9.1796875" style="1"/>
    <col min="4860" max="4860" width="15.1796875" style="1" bestFit="1" customWidth="1"/>
    <col min="4861" max="5088" width="9.1796875" style="1"/>
    <col min="5089" max="5089" width="4.81640625" style="1" customWidth="1"/>
    <col min="5090" max="5090" width="8.81640625" style="1" customWidth="1"/>
    <col min="5091" max="5091" width="0" style="1" hidden="1" customWidth="1"/>
    <col min="5092" max="5092" width="55.1796875" style="1" customWidth="1"/>
    <col min="5093" max="5109" width="0" style="1" hidden="1" customWidth="1"/>
    <col min="5110" max="5110" width="20.1796875" style="1" customWidth="1"/>
    <col min="5111" max="5112" width="0" style="1" hidden="1" customWidth="1"/>
    <col min="5113" max="5113" width="17.81640625" style="1" customWidth="1"/>
    <col min="5114" max="5114" width="14.453125" style="1" customWidth="1"/>
    <col min="5115" max="5115" width="9.1796875" style="1"/>
    <col min="5116" max="5116" width="15.1796875" style="1" bestFit="1" customWidth="1"/>
    <col min="5117" max="5344" width="9.1796875" style="1"/>
    <col min="5345" max="5345" width="4.81640625" style="1" customWidth="1"/>
    <col min="5346" max="5346" width="8.81640625" style="1" customWidth="1"/>
    <col min="5347" max="5347" width="0" style="1" hidden="1" customWidth="1"/>
    <col min="5348" max="5348" width="55.1796875" style="1" customWidth="1"/>
    <col min="5349" max="5365" width="0" style="1" hidden="1" customWidth="1"/>
    <col min="5366" max="5366" width="20.1796875" style="1" customWidth="1"/>
    <col min="5367" max="5368" width="0" style="1" hidden="1" customWidth="1"/>
    <col min="5369" max="5369" width="17.81640625" style="1" customWidth="1"/>
    <col min="5370" max="5370" width="14.453125" style="1" customWidth="1"/>
    <col min="5371" max="5371" width="9.1796875" style="1"/>
    <col min="5372" max="5372" width="15.1796875" style="1" bestFit="1" customWidth="1"/>
    <col min="5373" max="5600" width="9.1796875" style="1"/>
    <col min="5601" max="5601" width="4.81640625" style="1" customWidth="1"/>
    <col min="5602" max="5602" width="8.81640625" style="1" customWidth="1"/>
    <col min="5603" max="5603" width="0" style="1" hidden="1" customWidth="1"/>
    <col min="5604" max="5604" width="55.1796875" style="1" customWidth="1"/>
    <col min="5605" max="5621" width="0" style="1" hidden="1" customWidth="1"/>
    <col min="5622" max="5622" width="20.1796875" style="1" customWidth="1"/>
    <col min="5623" max="5624" width="0" style="1" hidden="1" customWidth="1"/>
    <col min="5625" max="5625" width="17.81640625" style="1" customWidth="1"/>
    <col min="5626" max="5626" width="14.453125" style="1" customWidth="1"/>
    <col min="5627" max="5627" width="9.1796875" style="1"/>
    <col min="5628" max="5628" width="15.1796875" style="1" bestFit="1" customWidth="1"/>
    <col min="5629" max="5856" width="9.1796875" style="1"/>
    <col min="5857" max="5857" width="4.81640625" style="1" customWidth="1"/>
    <col min="5858" max="5858" width="8.81640625" style="1" customWidth="1"/>
    <col min="5859" max="5859" width="0" style="1" hidden="1" customWidth="1"/>
    <col min="5860" max="5860" width="55.1796875" style="1" customWidth="1"/>
    <col min="5861" max="5877" width="0" style="1" hidden="1" customWidth="1"/>
    <col min="5878" max="5878" width="20.1796875" style="1" customWidth="1"/>
    <col min="5879" max="5880" width="0" style="1" hidden="1" customWidth="1"/>
    <col min="5881" max="5881" width="17.81640625" style="1" customWidth="1"/>
    <col min="5882" max="5882" width="14.453125" style="1" customWidth="1"/>
    <col min="5883" max="5883" width="9.1796875" style="1"/>
    <col min="5884" max="5884" width="15.1796875" style="1" bestFit="1" customWidth="1"/>
    <col min="5885" max="6112" width="9.1796875" style="1"/>
    <col min="6113" max="6113" width="4.81640625" style="1" customWidth="1"/>
    <col min="6114" max="6114" width="8.81640625" style="1" customWidth="1"/>
    <col min="6115" max="6115" width="0" style="1" hidden="1" customWidth="1"/>
    <col min="6116" max="6116" width="55.1796875" style="1" customWidth="1"/>
    <col min="6117" max="6133" width="0" style="1" hidden="1" customWidth="1"/>
    <col min="6134" max="6134" width="20.1796875" style="1" customWidth="1"/>
    <col min="6135" max="6136" width="0" style="1" hidden="1" customWidth="1"/>
    <col min="6137" max="6137" width="17.81640625" style="1" customWidth="1"/>
    <col min="6138" max="6138" width="14.453125" style="1" customWidth="1"/>
    <col min="6139" max="6139" width="9.1796875" style="1"/>
    <col min="6140" max="6140" width="15.1796875" style="1" bestFit="1" customWidth="1"/>
    <col min="6141" max="6368" width="9.1796875" style="1"/>
    <col min="6369" max="6369" width="4.81640625" style="1" customWidth="1"/>
    <col min="6370" max="6370" width="8.81640625" style="1" customWidth="1"/>
    <col min="6371" max="6371" width="0" style="1" hidden="1" customWidth="1"/>
    <col min="6372" max="6372" width="55.1796875" style="1" customWidth="1"/>
    <col min="6373" max="6389" width="0" style="1" hidden="1" customWidth="1"/>
    <col min="6390" max="6390" width="20.1796875" style="1" customWidth="1"/>
    <col min="6391" max="6392" width="0" style="1" hidden="1" customWidth="1"/>
    <col min="6393" max="6393" width="17.81640625" style="1" customWidth="1"/>
    <col min="6394" max="6394" width="14.453125" style="1" customWidth="1"/>
    <col min="6395" max="6395" width="9.1796875" style="1"/>
    <col min="6396" max="6396" width="15.1796875" style="1" bestFit="1" customWidth="1"/>
    <col min="6397" max="6624" width="9.1796875" style="1"/>
    <col min="6625" max="6625" width="4.81640625" style="1" customWidth="1"/>
    <col min="6626" max="6626" width="8.81640625" style="1" customWidth="1"/>
    <col min="6627" max="6627" width="0" style="1" hidden="1" customWidth="1"/>
    <col min="6628" max="6628" width="55.1796875" style="1" customWidth="1"/>
    <col min="6629" max="6645" width="0" style="1" hidden="1" customWidth="1"/>
    <col min="6646" max="6646" width="20.1796875" style="1" customWidth="1"/>
    <col min="6647" max="6648" width="0" style="1" hidden="1" customWidth="1"/>
    <col min="6649" max="6649" width="17.81640625" style="1" customWidth="1"/>
    <col min="6650" max="6650" width="14.453125" style="1" customWidth="1"/>
    <col min="6651" max="6651" width="9.1796875" style="1"/>
    <col min="6652" max="6652" width="15.1796875" style="1" bestFit="1" customWidth="1"/>
    <col min="6653" max="6880" width="9.1796875" style="1"/>
    <col min="6881" max="6881" width="4.81640625" style="1" customWidth="1"/>
    <col min="6882" max="6882" width="8.81640625" style="1" customWidth="1"/>
    <col min="6883" max="6883" width="0" style="1" hidden="1" customWidth="1"/>
    <col min="6884" max="6884" width="55.1796875" style="1" customWidth="1"/>
    <col min="6885" max="6901" width="0" style="1" hidden="1" customWidth="1"/>
    <col min="6902" max="6902" width="20.1796875" style="1" customWidth="1"/>
    <col min="6903" max="6904" width="0" style="1" hidden="1" customWidth="1"/>
    <col min="6905" max="6905" width="17.81640625" style="1" customWidth="1"/>
    <col min="6906" max="6906" width="14.453125" style="1" customWidth="1"/>
    <col min="6907" max="6907" width="9.1796875" style="1"/>
    <col min="6908" max="6908" width="15.1796875" style="1" bestFit="1" customWidth="1"/>
    <col min="6909" max="7136" width="9.1796875" style="1"/>
    <col min="7137" max="7137" width="4.81640625" style="1" customWidth="1"/>
    <col min="7138" max="7138" width="8.81640625" style="1" customWidth="1"/>
    <col min="7139" max="7139" width="0" style="1" hidden="1" customWidth="1"/>
    <col min="7140" max="7140" width="55.1796875" style="1" customWidth="1"/>
    <col min="7141" max="7157" width="0" style="1" hidden="1" customWidth="1"/>
    <col min="7158" max="7158" width="20.1796875" style="1" customWidth="1"/>
    <col min="7159" max="7160" width="0" style="1" hidden="1" customWidth="1"/>
    <col min="7161" max="7161" width="17.81640625" style="1" customWidth="1"/>
    <col min="7162" max="7162" width="14.453125" style="1" customWidth="1"/>
    <col min="7163" max="7163" width="9.1796875" style="1"/>
    <col min="7164" max="7164" width="15.1796875" style="1" bestFit="1" customWidth="1"/>
    <col min="7165" max="7392" width="9.1796875" style="1"/>
    <col min="7393" max="7393" width="4.81640625" style="1" customWidth="1"/>
    <col min="7394" max="7394" width="8.81640625" style="1" customWidth="1"/>
    <col min="7395" max="7395" width="0" style="1" hidden="1" customWidth="1"/>
    <col min="7396" max="7396" width="55.1796875" style="1" customWidth="1"/>
    <col min="7397" max="7413" width="0" style="1" hidden="1" customWidth="1"/>
    <col min="7414" max="7414" width="20.1796875" style="1" customWidth="1"/>
    <col min="7415" max="7416" width="0" style="1" hidden="1" customWidth="1"/>
    <col min="7417" max="7417" width="17.81640625" style="1" customWidth="1"/>
    <col min="7418" max="7418" width="14.453125" style="1" customWidth="1"/>
    <col min="7419" max="7419" width="9.1796875" style="1"/>
    <col min="7420" max="7420" width="15.1796875" style="1" bestFit="1" customWidth="1"/>
    <col min="7421" max="7648" width="9.1796875" style="1"/>
    <col min="7649" max="7649" width="4.81640625" style="1" customWidth="1"/>
    <col min="7650" max="7650" width="8.81640625" style="1" customWidth="1"/>
    <col min="7651" max="7651" width="0" style="1" hidden="1" customWidth="1"/>
    <col min="7652" max="7652" width="55.1796875" style="1" customWidth="1"/>
    <col min="7653" max="7669" width="0" style="1" hidden="1" customWidth="1"/>
    <col min="7670" max="7670" width="20.1796875" style="1" customWidth="1"/>
    <col min="7671" max="7672" width="0" style="1" hidden="1" customWidth="1"/>
    <col min="7673" max="7673" width="17.81640625" style="1" customWidth="1"/>
    <col min="7674" max="7674" width="14.453125" style="1" customWidth="1"/>
    <col min="7675" max="7675" width="9.1796875" style="1"/>
    <col min="7676" max="7676" width="15.1796875" style="1" bestFit="1" customWidth="1"/>
    <col min="7677" max="7904" width="9.1796875" style="1"/>
    <col min="7905" max="7905" width="4.81640625" style="1" customWidth="1"/>
    <col min="7906" max="7906" width="8.81640625" style="1" customWidth="1"/>
    <col min="7907" max="7907" width="0" style="1" hidden="1" customWidth="1"/>
    <col min="7908" max="7908" width="55.1796875" style="1" customWidth="1"/>
    <col min="7909" max="7925" width="0" style="1" hidden="1" customWidth="1"/>
    <col min="7926" max="7926" width="20.1796875" style="1" customWidth="1"/>
    <col min="7927" max="7928" width="0" style="1" hidden="1" customWidth="1"/>
    <col min="7929" max="7929" width="17.81640625" style="1" customWidth="1"/>
    <col min="7930" max="7930" width="14.453125" style="1" customWidth="1"/>
    <col min="7931" max="7931" width="9.1796875" style="1"/>
    <col min="7932" max="7932" width="15.1796875" style="1" bestFit="1" customWidth="1"/>
    <col min="7933" max="8160" width="9.1796875" style="1"/>
    <col min="8161" max="8161" width="4.81640625" style="1" customWidth="1"/>
    <col min="8162" max="8162" width="8.81640625" style="1" customWidth="1"/>
    <col min="8163" max="8163" width="0" style="1" hidden="1" customWidth="1"/>
    <col min="8164" max="8164" width="55.1796875" style="1" customWidth="1"/>
    <col min="8165" max="8181" width="0" style="1" hidden="1" customWidth="1"/>
    <col min="8182" max="8182" width="20.1796875" style="1" customWidth="1"/>
    <col min="8183" max="8184" width="0" style="1" hidden="1" customWidth="1"/>
    <col min="8185" max="8185" width="17.81640625" style="1" customWidth="1"/>
    <col min="8186" max="8186" width="14.453125" style="1" customWidth="1"/>
    <col min="8187" max="8187" width="9.1796875" style="1"/>
    <col min="8188" max="8188" width="15.1796875" style="1" bestFit="1" customWidth="1"/>
    <col min="8189" max="8416" width="9.1796875" style="1"/>
    <col min="8417" max="8417" width="4.81640625" style="1" customWidth="1"/>
    <col min="8418" max="8418" width="8.81640625" style="1" customWidth="1"/>
    <col min="8419" max="8419" width="0" style="1" hidden="1" customWidth="1"/>
    <col min="8420" max="8420" width="55.1796875" style="1" customWidth="1"/>
    <col min="8421" max="8437" width="0" style="1" hidden="1" customWidth="1"/>
    <col min="8438" max="8438" width="20.1796875" style="1" customWidth="1"/>
    <col min="8439" max="8440" width="0" style="1" hidden="1" customWidth="1"/>
    <col min="8441" max="8441" width="17.81640625" style="1" customWidth="1"/>
    <col min="8442" max="8442" width="14.453125" style="1" customWidth="1"/>
    <col min="8443" max="8443" width="9.1796875" style="1"/>
    <col min="8444" max="8444" width="15.1796875" style="1" bestFit="1" customWidth="1"/>
    <col min="8445" max="8672" width="9.1796875" style="1"/>
    <col min="8673" max="8673" width="4.81640625" style="1" customWidth="1"/>
    <col min="8674" max="8674" width="8.81640625" style="1" customWidth="1"/>
    <col min="8675" max="8675" width="0" style="1" hidden="1" customWidth="1"/>
    <col min="8676" max="8676" width="55.1796875" style="1" customWidth="1"/>
    <col min="8677" max="8693" width="0" style="1" hidden="1" customWidth="1"/>
    <col min="8694" max="8694" width="20.1796875" style="1" customWidth="1"/>
    <col min="8695" max="8696" width="0" style="1" hidden="1" customWidth="1"/>
    <col min="8697" max="8697" width="17.81640625" style="1" customWidth="1"/>
    <col min="8698" max="8698" width="14.453125" style="1" customWidth="1"/>
    <col min="8699" max="8699" width="9.1796875" style="1"/>
    <col min="8700" max="8700" width="15.1796875" style="1" bestFit="1" customWidth="1"/>
    <col min="8701" max="8928" width="9.1796875" style="1"/>
    <col min="8929" max="8929" width="4.81640625" style="1" customWidth="1"/>
    <col min="8930" max="8930" width="8.81640625" style="1" customWidth="1"/>
    <col min="8931" max="8931" width="0" style="1" hidden="1" customWidth="1"/>
    <col min="8932" max="8932" width="55.1796875" style="1" customWidth="1"/>
    <col min="8933" max="8949" width="0" style="1" hidden="1" customWidth="1"/>
    <col min="8950" max="8950" width="20.1796875" style="1" customWidth="1"/>
    <col min="8951" max="8952" width="0" style="1" hidden="1" customWidth="1"/>
    <col min="8953" max="8953" width="17.81640625" style="1" customWidth="1"/>
    <col min="8954" max="8954" width="14.453125" style="1" customWidth="1"/>
    <col min="8955" max="8955" width="9.1796875" style="1"/>
    <col min="8956" max="8956" width="15.1796875" style="1" bestFit="1" customWidth="1"/>
    <col min="8957" max="9184" width="9.1796875" style="1"/>
    <col min="9185" max="9185" width="4.81640625" style="1" customWidth="1"/>
    <col min="9186" max="9186" width="8.81640625" style="1" customWidth="1"/>
    <col min="9187" max="9187" width="0" style="1" hidden="1" customWidth="1"/>
    <col min="9188" max="9188" width="55.1796875" style="1" customWidth="1"/>
    <col min="9189" max="9205" width="0" style="1" hidden="1" customWidth="1"/>
    <col min="9206" max="9206" width="20.1796875" style="1" customWidth="1"/>
    <col min="9207" max="9208" width="0" style="1" hidden="1" customWidth="1"/>
    <col min="9209" max="9209" width="17.81640625" style="1" customWidth="1"/>
    <col min="9210" max="9210" width="14.453125" style="1" customWidth="1"/>
    <col min="9211" max="9211" width="9.1796875" style="1"/>
    <col min="9212" max="9212" width="15.1796875" style="1" bestFit="1" customWidth="1"/>
    <col min="9213" max="9440" width="9.1796875" style="1"/>
    <col min="9441" max="9441" width="4.81640625" style="1" customWidth="1"/>
    <col min="9442" max="9442" width="8.81640625" style="1" customWidth="1"/>
    <col min="9443" max="9443" width="0" style="1" hidden="1" customWidth="1"/>
    <col min="9444" max="9444" width="55.1796875" style="1" customWidth="1"/>
    <col min="9445" max="9461" width="0" style="1" hidden="1" customWidth="1"/>
    <col min="9462" max="9462" width="20.1796875" style="1" customWidth="1"/>
    <col min="9463" max="9464" width="0" style="1" hidden="1" customWidth="1"/>
    <col min="9465" max="9465" width="17.81640625" style="1" customWidth="1"/>
    <col min="9466" max="9466" width="14.453125" style="1" customWidth="1"/>
    <col min="9467" max="9467" width="9.1796875" style="1"/>
    <col min="9468" max="9468" width="15.1796875" style="1" bestFit="1" customWidth="1"/>
    <col min="9469" max="9696" width="9.1796875" style="1"/>
    <col min="9697" max="9697" width="4.81640625" style="1" customWidth="1"/>
    <col min="9698" max="9698" width="8.81640625" style="1" customWidth="1"/>
    <col min="9699" max="9699" width="0" style="1" hidden="1" customWidth="1"/>
    <col min="9700" max="9700" width="55.1796875" style="1" customWidth="1"/>
    <col min="9701" max="9717" width="0" style="1" hidden="1" customWidth="1"/>
    <col min="9718" max="9718" width="20.1796875" style="1" customWidth="1"/>
    <col min="9719" max="9720" width="0" style="1" hidden="1" customWidth="1"/>
    <col min="9721" max="9721" width="17.81640625" style="1" customWidth="1"/>
    <col min="9722" max="9722" width="14.453125" style="1" customWidth="1"/>
    <col min="9723" max="9723" width="9.1796875" style="1"/>
    <col min="9724" max="9724" width="15.1796875" style="1" bestFit="1" customWidth="1"/>
    <col min="9725" max="9952" width="9.1796875" style="1"/>
    <col min="9953" max="9953" width="4.81640625" style="1" customWidth="1"/>
    <col min="9954" max="9954" width="8.81640625" style="1" customWidth="1"/>
    <col min="9955" max="9955" width="0" style="1" hidden="1" customWidth="1"/>
    <col min="9956" max="9956" width="55.1796875" style="1" customWidth="1"/>
    <col min="9957" max="9973" width="0" style="1" hidden="1" customWidth="1"/>
    <col min="9974" max="9974" width="20.1796875" style="1" customWidth="1"/>
    <col min="9975" max="9976" width="0" style="1" hidden="1" customWidth="1"/>
    <col min="9977" max="9977" width="17.81640625" style="1" customWidth="1"/>
    <col min="9978" max="9978" width="14.453125" style="1" customWidth="1"/>
    <col min="9979" max="9979" width="9.1796875" style="1"/>
    <col min="9980" max="9980" width="15.1796875" style="1" bestFit="1" customWidth="1"/>
    <col min="9981" max="10208" width="9.1796875" style="1"/>
    <col min="10209" max="10209" width="4.81640625" style="1" customWidth="1"/>
    <col min="10210" max="10210" width="8.81640625" style="1" customWidth="1"/>
    <col min="10211" max="10211" width="0" style="1" hidden="1" customWidth="1"/>
    <col min="10212" max="10212" width="55.1796875" style="1" customWidth="1"/>
    <col min="10213" max="10229" width="0" style="1" hidden="1" customWidth="1"/>
    <col min="10230" max="10230" width="20.1796875" style="1" customWidth="1"/>
    <col min="10231" max="10232" width="0" style="1" hidden="1" customWidth="1"/>
    <col min="10233" max="10233" width="17.81640625" style="1" customWidth="1"/>
    <col min="10234" max="10234" width="14.453125" style="1" customWidth="1"/>
    <col min="10235" max="10235" width="9.1796875" style="1"/>
    <col min="10236" max="10236" width="15.1796875" style="1" bestFit="1" customWidth="1"/>
    <col min="10237" max="10464" width="9.1796875" style="1"/>
    <col min="10465" max="10465" width="4.81640625" style="1" customWidth="1"/>
    <col min="10466" max="10466" width="8.81640625" style="1" customWidth="1"/>
    <col min="10467" max="10467" width="0" style="1" hidden="1" customWidth="1"/>
    <col min="10468" max="10468" width="55.1796875" style="1" customWidth="1"/>
    <col min="10469" max="10485" width="0" style="1" hidden="1" customWidth="1"/>
    <col min="10486" max="10486" width="20.1796875" style="1" customWidth="1"/>
    <col min="10487" max="10488" width="0" style="1" hidden="1" customWidth="1"/>
    <col min="10489" max="10489" width="17.81640625" style="1" customWidth="1"/>
    <col min="10490" max="10490" width="14.453125" style="1" customWidth="1"/>
    <col min="10491" max="10491" width="9.1796875" style="1"/>
    <col min="10492" max="10492" width="15.1796875" style="1" bestFit="1" customWidth="1"/>
    <col min="10493" max="10720" width="9.1796875" style="1"/>
    <col min="10721" max="10721" width="4.81640625" style="1" customWidth="1"/>
    <col min="10722" max="10722" width="8.81640625" style="1" customWidth="1"/>
    <col min="10723" max="10723" width="0" style="1" hidden="1" customWidth="1"/>
    <col min="10724" max="10724" width="55.1796875" style="1" customWidth="1"/>
    <col min="10725" max="10741" width="0" style="1" hidden="1" customWidth="1"/>
    <col min="10742" max="10742" width="20.1796875" style="1" customWidth="1"/>
    <col min="10743" max="10744" width="0" style="1" hidden="1" customWidth="1"/>
    <col min="10745" max="10745" width="17.81640625" style="1" customWidth="1"/>
    <col min="10746" max="10746" width="14.453125" style="1" customWidth="1"/>
    <col min="10747" max="10747" width="9.1796875" style="1"/>
    <col min="10748" max="10748" width="15.1796875" style="1" bestFit="1" customWidth="1"/>
    <col min="10749" max="10976" width="9.1796875" style="1"/>
    <col min="10977" max="10977" width="4.81640625" style="1" customWidth="1"/>
    <col min="10978" max="10978" width="8.81640625" style="1" customWidth="1"/>
    <col min="10979" max="10979" width="0" style="1" hidden="1" customWidth="1"/>
    <col min="10980" max="10980" width="55.1796875" style="1" customWidth="1"/>
    <col min="10981" max="10997" width="0" style="1" hidden="1" customWidth="1"/>
    <col min="10998" max="10998" width="20.1796875" style="1" customWidth="1"/>
    <col min="10999" max="11000" width="0" style="1" hidden="1" customWidth="1"/>
    <col min="11001" max="11001" width="17.81640625" style="1" customWidth="1"/>
    <col min="11002" max="11002" width="14.453125" style="1" customWidth="1"/>
    <col min="11003" max="11003" width="9.1796875" style="1"/>
    <col min="11004" max="11004" width="15.1796875" style="1" bestFit="1" customWidth="1"/>
    <col min="11005" max="11232" width="9.1796875" style="1"/>
    <col min="11233" max="11233" width="4.81640625" style="1" customWidth="1"/>
    <col min="11234" max="11234" width="8.81640625" style="1" customWidth="1"/>
    <col min="11235" max="11235" width="0" style="1" hidden="1" customWidth="1"/>
    <col min="11236" max="11236" width="55.1796875" style="1" customWidth="1"/>
    <col min="11237" max="11253" width="0" style="1" hidden="1" customWidth="1"/>
    <col min="11254" max="11254" width="20.1796875" style="1" customWidth="1"/>
    <col min="11255" max="11256" width="0" style="1" hidden="1" customWidth="1"/>
    <col min="11257" max="11257" width="17.81640625" style="1" customWidth="1"/>
    <col min="11258" max="11258" width="14.453125" style="1" customWidth="1"/>
    <col min="11259" max="11259" width="9.1796875" style="1"/>
    <col min="11260" max="11260" width="15.1796875" style="1" bestFit="1" customWidth="1"/>
    <col min="11261" max="11488" width="9.1796875" style="1"/>
    <col min="11489" max="11489" width="4.81640625" style="1" customWidth="1"/>
    <col min="11490" max="11490" width="8.81640625" style="1" customWidth="1"/>
    <col min="11491" max="11491" width="0" style="1" hidden="1" customWidth="1"/>
    <col min="11492" max="11492" width="55.1796875" style="1" customWidth="1"/>
    <col min="11493" max="11509" width="0" style="1" hidden="1" customWidth="1"/>
    <col min="11510" max="11510" width="20.1796875" style="1" customWidth="1"/>
    <col min="11511" max="11512" width="0" style="1" hidden="1" customWidth="1"/>
    <col min="11513" max="11513" width="17.81640625" style="1" customWidth="1"/>
    <col min="11514" max="11514" width="14.453125" style="1" customWidth="1"/>
    <col min="11515" max="11515" width="9.1796875" style="1"/>
    <col min="11516" max="11516" width="15.1796875" style="1" bestFit="1" customWidth="1"/>
    <col min="11517" max="11744" width="9.1796875" style="1"/>
    <col min="11745" max="11745" width="4.81640625" style="1" customWidth="1"/>
    <col min="11746" max="11746" width="8.81640625" style="1" customWidth="1"/>
    <col min="11747" max="11747" width="0" style="1" hidden="1" customWidth="1"/>
    <col min="11748" max="11748" width="55.1796875" style="1" customWidth="1"/>
    <col min="11749" max="11765" width="0" style="1" hidden="1" customWidth="1"/>
    <col min="11766" max="11766" width="20.1796875" style="1" customWidth="1"/>
    <col min="11767" max="11768" width="0" style="1" hidden="1" customWidth="1"/>
    <col min="11769" max="11769" width="17.81640625" style="1" customWidth="1"/>
    <col min="11770" max="11770" width="14.453125" style="1" customWidth="1"/>
    <col min="11771" max="11771" width="9.1796875" style="1"/>
    <col min="11772" max="11772" width="15.1796875" style="1" bestFit="1" customWidth="1"/>
    <col min="11773" max="12000" width="9.1796875" style="1"/>
    <col min="12001" max="12001" width="4.81640625" style="1" customWidth="1"/>
    <col min="12002" max="12002" width="8.81640625" style="1" customWidth="1"/>
    <col min="12003" max="12003" width="0" style="1" hidden="1" customWidth="1"/>
    <col min="12004" max="12004" width="55.1796875" style="1" customWidth="1"/>
    <col min="12005" max="12021" width="0" style="1" hidden="1" customWidth="1"/>
    <col min="12022" max="12022" width="20.1796875" style="1" customWidth="1"/>
    <col min="12023" max="12024" width="0" style="1" hidden="1" customWidth="1"/>
    <col min="12025" max="12025" width="17.81640625" style="1" customWidth="1"/>
    <col min="12026" max="12026" width="14.453125" style="1" customWidth="1"/>
    <col min="12027" max="12027" width="9.1796875" style="1"/>
    <col min="12028" max="12028" width="15.1796875" style="1" bestFit="1" customWidth="1"/>
    <col min="12029" max="12256" width="9.1796875" style="1"/>
    <col min="12257" max="12257" width="4.81640625" style="1" customWidth="1"/>
    <col min="12258" max="12258" width="8.81640625" style="1" customWidth="1"/>
    <col min="12259" max="12259" width="0" style="1" hidden="1" customWidth="1"/>
    <col min="12260" max="12260" width="55.1796875" style="1" customWidth="1"/>
    <col min="12261" max="12277" width="0" style="1" hidden="1" customWidth="1"/>
    <col min="12278" max="12278" width="20.1796875" style="1" customWidth="1"/>
    <col min="12279" max="12280" width="0" style="1" hidden="1" customWidth="1"/>
    <col min="12281" max="12281" width="17.81640625" style="1" customWidth="1"/>
    <col min="12282" max="12282" width="14.453125" style="1" customWidth="1"/>
    <col min="12283" max="12283" width="9.1796875" style="1"/>
    <col min="12284" max="12284" width="15.1796875" style="1" bestFit="1" customWidth="1"/>
    <col min="12285" max="12512" width="9.1796875" style="1"/>
    <col min="12513" max="12513" width="4.81640625" style="1" customWidth="1"/>
    <col min="12514" max="12514" width="8.81640625" style="1" customWidth="1"/>
    <col min="12515" max="12515" width="0" style="1" hidden="1" customWidth="1"/>
    <col min="12516" max="12516" width="55.1796875" style="1" customWidth="1"/>
    <col min="12517" max="12533" width="0" style="1" hidden="1" customWidth="1"/>
    <col min="12534" max="12534" width="20.1796875" style="1" customWidth="1"/>
    <col min="12535" max="12536" width="0" style="1" hidden="1" customWidth="1"/>
    <col min="12537" max="12537" width="17.81640625" style="1" customWidth="1"/>
    <col min="12538" max="12538" width="14.453125" style="1" customWidth="1"/>
    <col min="12539" max="12539" width="9.1796875" style="1"/>
    <col min="12540" max="12540" width="15.1796875" style="1" bestFit="1" customWidth="1"/>
    <col min="12541" max="12768" width="9.1796875" style="1"/>
    <col min="12769" max="12769" width="4.81640625" style="1" customWidth="1"/>
    <col min="12770" max="12770" width="8.81640625" style="1" customWidth="1"/>
    <col min="12771" max="12771" width="0" style="1" hidden="1" customWidth="1"/>
    <col min="12772" max="12772" width="55.1796875" style="1" customWidth="1"/>
    <col min="12773" max="12789" width="0" style="1" hidden="1" customWidth="1"/>
    <col min="12790" max="12790" width="20.1796875" style="1" customWidth="1"/>
    <col min="12791" max="12792" width="0" style="1" hidden="1" customWidth="1"/>
    <col min="12793" max="12793" width="17.81640625" style="1" customWidth="1"/>
    <col min="12794" max="12794" width="14.453125" style="1" customWidth="1"/>
    <col min="12795" max="12795" width="9.1796875" style="1"/>
    <col min="12796" max="12796" width="15.1796875" style="1" bestFit="1" customWidth="1"/>
    <col min="12797" max="13024" width="9.1796875" style="1"/>
    <col min="13025" max="13025" width="4.81640625" style="1" customWidth="1"/>
    <col min="13026" max="13026" width="8.81640625" style="1" customWidth="1"/>
    <col min="13027" max="13027" width="0" style="1" hidden="1" customWidth="1"/>
    <col min="13028" max="13028" width="55.1796875" style="1" customWidth="1"/>
    <col min="13029" max="13045" width="0" style="1" hidden="1" customWidth="1"/>
    <col min="13046" max="13046" width="20.1796875" style="1" customWidth="1"/>
    <col min="13047" max="13048" width="0" style="1" hidden="1" customWidth="1"/>
    <col min="13049" max="13049" width="17.81640625" style="1" customWidth="1"/>
    <col min="13050" max="13050" width="14.453125" style="1" customWidth="1"/>
    <col min="13051" max="13051" width="9.1796875" style="1"/>
    <col min="13052" max="13052" width="15.1796875" style="1" bestFit="1" customWidth="1"/>
    <col min="13053" max="13280" width="9.1796875" style="1"/>
    <col min="13281" max="13281" width="4.81640625" style="1" customWidth="1"/>
    <col min="13282" max="13282" width="8.81640625" style="1" customWidth="1"/>
    <col min="13283" max="13283" width="0" style="1" hidden="1" customWidth="1"/>
    <col min="13284" max="13284" width="55.1796875" style="1" customWidth="1"/>
    <col min="13285" max="13301" width="0" style="1" hidden="1" customWidth="1"/>
    <col min="13302" max="13302" width="20.1796875" style="1" customWidth="1"/>
    <col min="13303" max="13304" width="0" style="1" hidden="1" customWidth="1"/>
    <col min="13305" max="13305" width="17.81640625" style="1" customWidth="1"/>
    <col min="13306" max="13306" width="14.453125" style="1" customWidth="1"/>
    <col min="13307" max="13307" width="9.1796875" style="1"/>
    <col min="13308" max="13308" width="15.1796875" style="1" bestFit="1" customWidth="1"/>
    <col min="13309" max="13536" width="9.1796875" style="1"/>
    <col min="13537" max="13537" width="4.81640625" style="1" customWidth="1"/>
    <col min="13538" max="13538" width="8.81640625" style="1" customWidth="1"/>
    <col min="13539" max="13539" width="0" style="1" hidden="1" customWidth="1"/>
    <col min="13540" max="13540" width="55.1796875" style="1" customWidth="1"/>
    <col min="13541" max="13557" width="0" style="1" hidden="1" customWidth="1"/>
    <col min="13558" max="13558" width="20.1796875" style="1" customWidth="1"/>
    <col min="13559" max="13560" width="0" style="1" hidden="1" customWidth="1"/>
    <col min="13561" max="13561" width="17.81640625" style="1" customWidth="1"/>
    <col min="13562" max="13562" width="14.453125" style="1" customWidth="1"/>
    <col min="13563" max="13563" width="9.1796875" style="1"/>
    <col min="13564" max="13564" width="15.1796875" style="1" bestFit="1" customWidth="1"/>
    <col min="13565" max="13792" width="9.1796875" style="1"/>
    <col min="13793" max="13793" width="4.81640625" style="1" customWidth="1"/>
    <col min="13794" max="13794" width="8.81640625" style="1" customWidth="1"/>
    <col min="13795" max="13795" width="0" style="1" hidden="1" customWidth="1"/>
    <col min="13796" max="13796" width="55.1796875" style="1" customWidth="1"/>
    <col min="13797" max="13813" width="0" style="1" hidden="1" customWidth="1"/>
    <col min="13814" max="13814" width="20.1796875" style="1" customWidth="1"/>
    <col min="13815" max="13816" width="0" style="1" hidden="1" customWidth="1"/>
    <col min="13817" max="13817" width="17.81640625" style="1" customWidth="1"/>
    <col min="13818" max="13818" width="14.453125" style="1" customWidth="1"/>
    <col min="13819" max="13819" width="9.1796875" style="1"/>
    <col min="13820" max="13820" width="15.1796875" style="1" bestFit="1" customWidth="1"/>
    <col min="13821" max="14048" width="9.1796875" style="1"/>
    <col min="14049" max="14049" width="4.81640625" style="1" customWidth="1"/>
    <col min="14050" max="14050" width="8.81640625" style="1" customWidth="1"/>
    <col min="14051" max="14051" width="0" style="1" hidden="1" customWidth="1"/>
    <col min="14052" max="14052" width="55.1796875" style="1" customWidth="1"/>
    <col min="14053" max="14069" width="0" style="1" hidden="1" customWidth="1"/>
    <col min="14070" max="14070" width="20.1796875" style="1" customWidth="1"/>
    <col min="14071" max="14072" width="0" style="1" hidden="1" customWidth="1"/>
    <col min="14073" max="14073" width="17.81640625" style="1" customWidth="1"/>
    <col min="14074" max="14074" width="14.453125" style="1" customWidth="1"/>
    <col min="14075" max="14075" width="9.1796875" style="1"/>
    <col min="14076" max="14076" width="15.1796875" style="1" bestFit="1" customWidth="1"/>
    <col min="14077" max="14304" width="9.1796875" style="1"/>
    <col min="14305" max="14305" width="4.81640625" style="1" customWidth="1"/>
    <col min="14306" max="14306" width="8.81640625" style="1" customWidth="1"/>
    <col min="14307" max="14307" width="0" style="1" hidden="1" customWidth="1"/>
    <col min="14308" max="14308" width="55.1796875" style="1" customWidth="1"/>
    <col min="14309" max="14325" width="0" style="1" hidden="1" customWidth="1"/>
    <col min="14326" max="14326" width="20.1796875" style="1" customWidth="1"/>
    <col min="14327" max="14328" width="0" style="1" hidden="1" customWidth="1"/>
    <col min="14329" max="14329" width="17.81640625" style="1" customWidth="1"/>
    <col min="14330" max="14330" width="14.453125" style="1" customWidth="1"/>
    <col min="14331" max="14331" width="9.1796875" style="1"/>
    <col min="14332" max="14332" width="15.1796875" style="1" bestFit="1" customWidth="1"/>
    <col min="14333" max="14560" width="9.1796875" style="1"/>
    <col min="14561" max="14561" width="4.81640625" style="1" customWidth="1"/>
    <col min="14562" max="14562" width="8.81640625" style="1" customWidth="1"/>
    <col min="14563" max="14563" width="0" style="1" hidden="1" customWidth="1"/>
    <col min="14564" max="14564" width="55.1796875" style="1" customWidth="1"/>
    <col min="14565" max="14581" width="0" style="1" hidden="1" customWidth="1"/>
    <col min="14582" max="14582" width="20.1796875" style="1" customWidth="1"/>
    <col min="14583" max="14584" width="0" style="1" hidden="1" customWidth="1"/>
    <col min="14585" max="14585" width="17.81640625" style="1" customWidth="1"/>
    <col min="14586" max="14586" width="14.453125" style="1" customWidth="1"/>
    <col min="14587" max="14587" width="9.1796875" style="1"/>
    <col min="14588" max="14588" width="15.1796875" style="1" bestFit="1" customWidth="1"/>
    <col min="14589" max="14816" width="9.1796875" style="1"/>
    <col min="14817" max="14817" width="4.81640625" style="1" customWidth="1"/>
    <col min="14818" max="14818" width="8.81640625" style="1" customWidth="1"/>
    <col min="14819" max="14819" width="0" style="1" hidden="1" customWidth="1"/>
    <col min="14820" max="14820" width="55.1796875" style="1" customWidth="1"/>
    <col min="14821" max="14837" width="0" style="1" hidden="1" customWidth="1"/>
    <col min="14838" max="14838" width="20.1796875" style="1" customWidth="1"/>
    <col min="14839" max="14840" width="0" style="1" hidden="1" customWidth="1"/>
    <col min="14841" max="14841" width="17.81640625" style="1" customWidth="1"/>
    <col min="14842" max="14842" width="14.453125" style="1" customWidth="1"/>
    <col min="14843" max="14843" width="9.1796875" style="1"/>
    <col min="14844" max="14844" width="15.1796875" style="1" bestFit="1" customWidth="1"/>
    <col min="14845" max="15072" width="9.1796875" style="1"/>
    <col min="15073" max="15073" width="4.81640625" style="1" customWidth="1"/>
    <col min="15074" max="15074" width="8.81640625" style="1" customWidth="1"/>
    <col min="15075" max="15075" width="0" style="1" hidden="1" customWidth="1"/>
    <col min="15076" max="15076" width="55.1796875" style="1" customWidth="1"/>
    <col min="15077" max="15093" width="0" style="1" hidden="1" customWidth="1"/>
    <col min="15094" max="15094" width="20.1796875" style="1" customWidth="1"/>
    <col min="15095" max="15096" width="0" style="1" hidden="1" customWidth="1"/>
    <col min="15097" max="15097" width="17.81640625" style="1" customWidth="1"/>
    <col min="15098" max="15098" width="14.453125" style="1" customWidth="1"/>
    <col min="15099" max="15099" width="9.1796875" style="1"/>
    <col min="15100" max="15100" width="15.1796875" style="1" bestFit="1" customWidth="1"/>
    <col min="15101" max="15328" width="9.1796875" style="1"/>
    <col min="15329" max="15329" width="4.81640625" style="1" customWidth="1"/>
    <col min="15330" max="15330" width="8.81640625" style="1" customWidth="1"/>
    <col min="15331" max="15331" width="0" style="1" hidden="1" customWidth="1"/>
    <col min="15332" max="15332" width="55.1796875" style="1" customWidth="1"/>
    <col min="15333" max="15349" width="0" style="1" hidden="1" customWidth="1"/>
    <col min="15350" max="15350" width="20.1796875" style="1" customWidth="1"/>
    <col min="15351" max="15352" width="0" style="1" hidden="1" customWidth="1"/>
    <col min="15353" max="15353" width="17.81640625" style="1" customWidth="1"/>
    <col min="15354" max="15354" width="14.453125" style="1" customWidth="1"/>
    <col min="15355" max="15355" width="9.1796875" style="1"/>
    <col min="15356" max="15356" width="15.1796875" style="1" bestFit="1" customWidth="1"/>
    <col min="15357" max="15584" width="9.1796875" style="1"/>
    <col min="15585" max="15585" width="4.81640625" style="1" customWidth="1"/>
    <col min="15586" max="15586" width="8.81640625" style="1" customWidth="1"/>
    <col min="15587" max="15587" width="0" style="1" hidden="1" customWidth="1"/>
    <col min="15588" max="15588" width="55.1796875" style="1" customWidth="1"/>
    <col min="15589" max="15605" width="0" style="1" hidden="1" customWidth="1"/>
    <col min="15606" max="15606" width="20.1796875" style="1" customWidth="1"/>
    <col min="15607" max="15608" width="0" style="1" hidden="1" customWidth="1"/>
    <col min="15609" max="15609" width="17.81640625" style="1" customWidth="1"/>
    <col min="15610" max="15610" width="14.453125" style="1" customWidth="1"/>
    <col min="15611" max="15611" width="9.1796875" style="1"/>
    <col min="15612" max="15612" width="15.1796875" style="1" bestFit="1" customWidth="1"/>
    <col min="15613" max="15840" width="9.1796875" style="1"/>
    <col min="15841" max="15841" width="4.81640625" style="1" customWidth="1"/>
    <col min="15842" max="15842" width="8.81640625" style="1" customWidth="1"/>
    <col min="15843" max="15843" width="0" style="1" hidden="1" customWidth="1"/>
    <col min="15844" max="15844" width="55.1796875" style="1" customWidth="1"/>
    <col min="15845" max="15861" width="0" style="1" hidden="1" customWidth="1"/>
    <col min="15862" max="15862" width="20.1796875" style="1" customWidth="1"/>
    <col min="15863" max="15864" width="0" style="1" hidden="1" customWidth="1"/>
    <col min="15865" max="15865" width="17.81640625" style="1" customWidth="1"/>
    <col min="15866" max="15866" width="14.453125" style="1" customWidth="1"/>
    <col min="15867" max="15867" width="9.1796875" style="1"/>
    <col min="15868" max="15868" width="15.1796875" style="1" bestFit="1" customWidth="1"/>
    <col min="15869" max="16096" width="9.1796875" style="1"/>
    <col min="16097" max="16097" width="4.81640625" style="1" customWidth="1"/>
    <col min="16098" max="16098" width="8.81640625" style="1" customWidth="1"/>
    <col min="16099" max="16099" width="0" style="1" hidden="1" customWidth="1"/>
    <col min="16100" max="16100" width="55.1796875" style="1" customWidth="1"/>
    <col min="16101" max="16117" width="0" style="1" hidden="1" customWidth="1"/>
    <col min="16118" max="16118" width="20.1796875" style="1" customWidth="1"/>
    <col min="16119" max="16120" width="0" style="1" hidden="1" customWidth="1"/>
    <col min="16121" max="16121" width="17.81640625" style="1" customWidth="1"/>
    <col min="16122" max="16122" width="14.453125" style="1" customWidth="1"/>
    <col min="16123" max="16123" width="9.1796875" style="1"/>
    <col min="16124" max="16124" width="15.1796875" style="1" bestFit="1" customWidth="1"/>
    <col min="16125" max="16384" width="9.1796875" style="1"/>
  </cols>
  <sheetData>
    <row r="1" spans="1:4" ht="20.25" customHeight="1" thickBot="1" x14ac:dyDescent="0.35">
      <c r="A1" s="73" t="s">
        <v>408</v>
      </c>
      <c r="B1" s="74"/>
      <c r="C1" s="74"/>
      <c r="D1" s="74"/>
    </row>
    <row r="2" spans="1:4" s="3" customFormat="1" ht="11.25" customHeight="1" thickTop="1" x14ac:dyDescent="0.3">
      <c r="A2" s="462" t="s">
        <v>15</v>
      </c>
      <c r="B2" s="465" t="s">
        <v>16</v>
      </c>
      <c r="C2" s="2"/>
      <c r="D2" s="468" t="s">
        <v>407</v>
      </c>
    </row>
    <row r="3" spans="1:4" s="3" customFormat="1" ht="51" customHeight="1" x14ac:dyDescent="0.3">
      <c r="A3" s="463"/>
      <c r="B3" s="466"/>
      <c r="C3" s="4" t="s">
        <v>14</v>
      </c>
      <c r="D3" s="469"/>
    </row>
    <row r="4" spans="1:4" s="3" customFormat="1" ht="19.5" customHeight="1" thickBot="1" x14ac:dyDescent="0.35">
      <c r="A4" s="464"/>
      <c r="B4" s="467"/>
      <c r="C4" s="5"/>
      <c r="D4" s="13" t="s">
        <v>17</v>
      </c>
    </row>
    <row r="5" spans="1:4" s="6" customFormat="1" ht="32" hidden="1" customHeight="1" thickBot="1" x14ac:dyDescent="0.4">
      <c r="A5" s="460"/>
      <c r="B5" s="460"/>
      <c r="C5" s="460"/>
      <c r="D5" s="461"/>
    </row>
    <row r="6" spans="1:4" s="6" customFormat="1" ht="15" hidden="1" customHeight="1" thickTop="1" thickBot="1" x14ac:dyDescent="0.4">
      <c r="A6" s="66"/>
      <c r="B6" s="8"/>
      <c r="C6" s="8"/>
      <c r="D6" s="14"/>
    </row>
    <row r="7" spans="1:4" ht="15" hidden="1" customHeight="1" thickTop="1" thickBot="1" x14ac:dyDescent="0.35">
      <c r="A7" s="67"/>
      <c r="B7" s="9"/>
      <c r="C7" s="107"/>
      <c r="D7" s="15"/>
    </row>
    <row r="8" spans="1:4" ht="15" hidden="1" customHeight="1" thickTop="1" thickBot="1" x14ac:dyDescent="0.35">
      <c r="A8" s="67"/>
      <c r="B8" s="9" t="s">
        <v>19</v>
      </c>
      <c r="C8" s="107"/>
      <c r="D8" s="15">
        <v>89000</v>
      </c>
    </row>
    <row r="9" spans="1:4" ht="15" hidden="1" customHeight="1" thickTop="1" thickBot="1" x14ac:dyDescent="0.35">
      <c r="A9" s="67"/>
      <c r="B9" s="9" t="s">
        <v>20</v>
      </c>
      <c r="C9" s="107"/>
      <c r="D9" s="15">
        <f>$D$8</f>
        <v>89000</v>
      </c>
    </row>
    <row r="10" spans="1:4" ht="15" hidden="1" customHeight="1" thickTop="1" thickBot="1" x14ac:dyDescent="0.35">
      <c r="A10" s="67"/>
      <c r="B10" s="9" t="s">
        <v>21</v>
      </c>
      <c r="C10" s="107"/>
      <c r="D10" s="15">
        <f t="shared" ref="D10:D15" si="0">$D$8</f>
        <v>89000</v>
      </c>
    </row>
    <row r="11" spans="1:4" ht="15" hidden="1" customHeight="1" thickTop="1" thickBot="1" x14ac:dyDescent="0.35">
      <c r="A11" s="67"/>
      <c r="B11" s="9" t="s">
        <v>22</v>
      </c>
      <c r="C11" s="107"/>
      <c r="D11" s="15">
        <f t="shared" si="0"/>
        <v>89000</v>
      </c>
    </row>
    <row r="12" spans="1:4" ht="15" hidden="1" customHeight="1" thickTop="1" thickBot="1" x14ac:dyDescent="0.35">
      <c r="A12" s="67"/>
      <c r="B12" s="9" t="s">
        <v>23</v>
      </c>
      <c r="C12" s="107"/>
      <c r="D12" s="15">
        <f t="shared" si="0"/>
        <v>89000</v>
      </c>
    </row>
    <row r="13" spans="1:4" ht="15" hidden="1" customHeight="1" thickTop="1" thickBot="1" x14ac:dyDescent="0.35">
      <c r="A13" s="67"/>
      <c r="B13" s="9" t="s">
        <v>24</v>
      </c>
      <c r="C13" s="107"/>
      <c r="D13" s="15">
        <f t="shared" si="0"/>
        <v>89000</v>
      </c>
    </row>
    <row r="14" spans="1:4" ht="15" hidden="1" customHeight="1" thickTop="1" thickBot="1" x14ac:dyDescent="0.35">
      <c r="A14" s="67"/>
      <c r="B14" s="9" t="s">
        <v>25</v>
      </c>
      <c r="C14" s="107"/>
      <c r="D14" s="15">
        <f t="shared" si="0"/>
        <v>89000</v>
      </c>
    </row>
    <row r="15" spans="1:4" ht="15" hidden="1" customHeight="1" thickTop="1" thickBot="1" x14ac:dyDescent="0.35">
      <c r="A15" s="67"/>
      <c r="B15" s="9" t="s">
        <v>26</v>
      </c>
      <c r="C15" s="107"/>
      <c r="D15" s="15">
        <f t="shared" si="0"/>
        <v>89000</v>
      </c>
    </row>
    <row r="16" spans="1:4" ht="15" hidden="1" customHeight="1" thickTop="1" thickBot="1" x14ac:dyDescent="0.35">
      <c r="A16" s="67"/>
      <c r="B16" s="9" t="s">
        <v>27</v>
      </c>
      <c r="C16" s="107"/>
      <c r="D16" s="15">
        <v>89000</v>
      </c>
    </row>
    <row r="17" spans="1:14" ht="15" hidden="1" customHeight="1" thickTop="1" thickBot="1" x14ac:dyDescent="0.35">
      <c r="A17" s="67"/>
      <c r="B17" s="9" t="s">
        <v>28</v>
      </c>
      <c r="C17" s="107"/>
      <c r="D17" s="15">
        <v>79000</v>
      </c>
    </row>
    <row r="18" spans="1:14" ht="15" hidden="1" customHeight="1" thickTop="1" thickBot="1" x14ac:dyDescent="0.35">
      <c r="A18" s="67"/>
      <c r="B18" s="9" t="s">
        <v>29</v>
      </c>
      <c r="C18" s="107"/>
      <c r="D18" s="15">
        <f>$D$17</f>
        <v>79000</v>
      </c>
    </row>
    <row r="19" spans="1:14" ht="15" hidden="1" customHeight="1" thickTop="1" thickBot="1" x14ac:dyDescent="0.35">
      <c r="A19" s="67"/>
      <c r="B19" s="9" t="s">
        <v>30</v>
      </c>
      <c r="C19" s="107"/>
      <c r="D19" s="15">
        <f>$D$16</f>
        <v>89000</v>
      </c>
    </row>
    <row r="20" spans="1:14" ht="15" hidden="1" customHeight="1" thickTop="1" thickBot="1" x14ac:dyDescent="0.35">
      <c r="A20" s="67"/>
      <c r="B20" s="9" t="s">
        <v>31</v>
      </c>
      <c r="C20" s="107"/>
      <c r="D20" s="15">
        <f t="shared" ref="D20:D21" si="1">$D$8</f>
        <v>89000</v>
      </c>
    </row>
    <row r="21" spans="1:14" ht="15" hidden="1" customHeight="1" thickTop="1" thickBot="1" x14ac:dyDescent="0.35">
      <c r="A21" s="67"/>
      <c r="B21" s="9" t="s">
        <v>32</v>
      </c>
      <c r="C21" s="107"/>
      <c r="D21" s="15">
        <f t="shared" si="1"/>
        <v>89000</v>
      </c>
    </row>
    <row r="22" spans="1:14" ht="15" hidden="1" customHeight="1" thickTop="1" thickBot="1" x14ac:dyDescent="0.35">
      <c r="A22" s="68"/>
      <c r="B22" s="10"/>
      <c r="C22" s="108"/>
      <c r="D22" s="16"/>
    </row>
    <row r="23" spans="1:14" ht="14.5" customHeight="1" thickTop="1" thickBot="1" x14ac:dyDescent="0.35">
      <c r="A23" s="54"/>
      <c r="B23" s="54"/>
      <c r="C23" s="7"/>
      <c r="D23" s="121">
        <f>COVER!A9</f>
        <v>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</row>
    <row r="24" spans="1:14" ht="27.5" customHeight="1" thickTop="1" x14ac:dyDescent="0.3">
      <c r="A24" s="69"/>
      <c r="B24" s="109"/>
      <c r="C24" s="110"/>
      <c r="D24" s="122" t="e">
        <f>VLOOKUP(D23,KODE_BPS!$B:$C,2,FALSE)</f>
        <v>#N/A</v>
      </c>
      <c r="E24" s="122"/>
      <c r="F24" s="122"/>
      <c r="G24" s="122"/>
      <c r="H24" s="122"/>
      <c r="I24" s="122"/>
      <c r="J24" s="122"/>
      <c r="K24" s="122"/>
      <c r="L24" s="122"/>
      <c r="M24" s="122"/>
      <c r="N24" s="122"/>
    </row>
    <row r="25" spans="1:14" ht="15" customHeight="1" x14ac:dyDescent="0.3">
      <c r="A25" s="70"/>
      <c r="B25" s="112"/>
      <c r="C25" s="113"/>
      <c r="D25" s="123"/>
    </row>
    <row r="26" spans="1:14" ht="15" customHeight="1" x14ac:dyDescent="0.3">
      <c r="A26" s="70">
        <v>1000000</v>
      </c>
      <c r="B26" s="111" t="s">
        <v>432</v>
      </c>
      <c r="C26" s="1"/>
      <c r="D26" s="63"/>
    </row>
    <row r="27" spans="1:14" ht="15" customHeight="1" x14ac:dyDescent="0.3">
      <c r="A27" s="70">
        <v>10110000</v>
      </c>
      <c r="B27" s="112" t="s">
        <v>30</v>
      </c>
      <c r="C27" s="113" t="s">
        <v>18</v>
      </c>
      <c r="D27" s="64">
        <v>150000</v>
      </c>
    </row>
    <row r="28" spans="1:14" ht="15" customHeight="1" x14ac:dyDescent="0.3">
      <c r="A28" s="70">
        <v>10111000</v>
      </c>
      <c r="B28" s="112" t="s">
        <v>30</v>
      </c>
      <c r="C28" s="113" t="s">
        <v>439</v>
      </c>
      <c r="D28" s="64">
        <f>D27/8</f>
        <v>18750</v>
      </c>
    </row>
    <row r="29" spans="1:14" ht="15" customHeight="1" x14ac:dyDescent="0.3">
      <c r="A29" s="70">
        <v>10120000</v>
      </c>
      <c r="B29" s="112" t="s">
        <v>27</v>
      </c>
      <c r="C29" s="113" t="s">
        <v>18</v>
      </c>
      <c r="D29" s="64">
        <v>130000</v>
      </c>
    </row>
    <row r="30" spans="1:14" ht="15" customHeight="1" x14ac:dyDescent="0.3">
      <c r="A30" s="70">
        <v>10121000</v>
      </c>
      <c r="B30" s="112" t="s">
        <v>27</v>
      </c>
      <c r="C30" s="113" t="s">
        <v>439</v>
      </c>
      <c r="D30" s="64">
        <f>D29/8</f>
        <v>16250</v>
      </c>
    </row>
    <row r="31" spans="1:14" ht="15" customHeight="1" x14ac:dyDescent="0.3">
      <c r="A31" s="70">
        <v>10121100</v>
      </c>
      <c r="B31" s="112" t="s">
        <v>515</v>
      </c>
      <c r="C31" s="113" t="s">
        <v>18</v>
      </c>
      <c r="D31" s="64">
        <v>100000</v>
      </c>
    </row>
    <row r="32" spans="1:14" ht="15" customHeight="1" x14ac:dyDescent="0.3">
      <c r="A32" s="70">
        <v>10121110</v>
      </c>
      <c r="B32" s="112" t="s">
        <v>515</v>
      </c>
      <c r="C32" s="113" t="s">
        <v>439</v>
      </c>
      <c r="D32" s="64">
        <f>D31/8</f>
        <v>12500</v>
      </c>
    </row>
    <row r="33" spans="1:4" ht="15" customHeight="1" x14ac:dyDescent="0.3">
      <c r="A33" s="70">
        <v>10130000</v>
      </c>
      <c r="B33" s="112" t="s">
        <v>28</v>
      </c>
      <c r="C33" s="113" t="s">
        <v>18</v>
      </c>
      <c r="D33" s="64">
        <v>115000</v>
      </c>
    </row>
    <row r="34" spans="1:4" ht="15" customHeight="1" x14ac:dyDescent="0.3">
      <c r="A34" s="70">
        <v>10131000</v>
      </c>
      <c r="B34" s="112" t="s">
        <v>28</v>
      </c>
      <c r="C34" s="113" t="s">
        <v>439</v>
      </c>
      <c r="D34" s="64">
        <f>D33/8</f>
        <v>14375</v>
      </c>
    </row>
    <row r="35" spans="1:4" ht="15" customHeight="1" x14ac:dyDescent="0.3">
      <c r="A35" s="70">
        <v>10141000</v>
      </c>
      <c r="B35" s="112" t="s">
        <v>433</v>
      </c>
      <c r="C35" s="113" t="s">
        <v>18</v>
      </c>
      <c r="D35" s="64">
        <v>236600</v>
      </c>
    </row>
    <row r="36" spans="1:4" ht="15" customHeight="1" x14ac:dyDescent="0.3">
      <c r="A36" s="70">
        <v>10142000</v>
      </c>
      <c r="B36" s="112" t="s">
        <v>434</v>
      </c>
      <c r="C36" s="113" t="s">
        <v>18</v>
      </c>
      <c r="D36" s="64">
        <v>236600</v>
      </c>
    </row>
    <row r="37" spans="1:4" ht="15" customHeight="1" x14ac:dyDescent="0.3">
      <c r="A37" s="70">
        <v>10143000</v>
      </c>
      <c r="B37" s="112" t="s">
        <v>435</v>
      </c>
      <c r="C37" s="113" t="s">
        <v>18</v>
      </c>
      <c r="D37" s="64">
        <v>236600</v>
      </c>
    </row>
    <row r="38" spans="1:4" ht="15" customHeight="1" x14ac:dyDescent="0.3">
      <c r="A38" s="70">
        <v>10144000</v>
      </c>
      <c r="B38" s="112" t="s">
        <v>436</v>
      </c>
      <c r="C38" s="113" t="s">
        <v>18</v>
      </c>
      <c r="D38" s="64">
        <v>236600</v>
      </c>
    </row>
    <row r="39" spans="1:4" ht="15" customHeight="1" x14ac:dyDescent="0.3">
      <c r="A39" s="70">
        <v>10145000</v>
      </c>
      <c r="B39" s="112" t="s">
        <v>437</v>
      </c>
      <c r="C39" s="113" t="s">
        <v>18</v>
      </c>
      <c r="D39" s="64">
        <v>236600</v>
      </c>
    </row>
    <row r="40" spans="1:4" ht="15" customHeight="1" x14ac:dyDescent="0.3">
      <c r="A40" s="70">
        <v>10146000</v>
      </c>
      <c r="B40" s="112" t="s">
        <v>438</v>
      </c>
      <c r="C40" s="113" t="s">
        <v>18</v>
      </c>
      <c r="D40" s="64">
        <v>236600</v>
      </c>
    </row>
    <row r="41" spans="1:4" ht="15" customHeight="1" x14ac:dyDescent="0.3">
      <c r="A41" s="70">
        <v>10147000</v>
      </c>
      <c r="B41" s="112" t="s">
        <v>26</v>
      </c>
      <c r="C41" s="113" t="s">
        <v>18</v>
      </c>
      <c r="D41" s="64">
        <v>236600</v>
      </c>
    </row>
    <row r="42" spans="1:4" ht="15" customHeight="1" x14ac:dyDescent="0.3">
      <c r="A42" s="70">
        <v>10150000</v>
      </c>
      <c r="B42" s="112" t="s">
        <v>442</v>
      </c>
      <c r="C42" s="113" t="s">
        <v>18</v>
      </c>
      <c r="D42" s="64">
        <v>150000</v>
      </c>
    </row>
    <row r="43" spans="1:4" ht="15" customHeight="1" x14ac:dyDescent="0.3">
      <c r="A43" s="70">
        <v>10151000</v>
      </c>
      <c r="B43" s="112" t="s">
        <v>442</v>
      </c>
      <c r="C43" s="113" t="s">
        <v>439</v>
      </c>
      <c r="D43" s="64">
        <f>D42/8</f>
        <v>18750</v>
      </c>
    </row>
    <row r="44" spans="1:4" ht="15" customHeight="1" x14ac:dyDescent="0.3">
      <c r="A44" s="70">
        <v>10160000</v>
      </c>
      <c r="B44" s="112" t="s">
        <v>510</v>
      </c>
      <c r="C44" s="113" t="s">
        <v>18</v>
      </c>
      <c r="D44" s="64">
        <v>125000</v>
      </c>
    </row>
    <row r="45" spans="1:4" ht="15" customHeight="1" x14ac:dyDescent="0.3">
      <c r="A45" s="70">
        <v>10161000</v>
      </c>
      <c r="B45" s="112" t="s">
        <v>510</v>
      </c>
      <c r="C45" s="113" t="s">
        <v>439</v>
      </c>
      <c r="D45" s="64">
        <f>D44/8</f>
        <v>15625</v>
      </c>
    </row>
    <row r="46" spans="1:4" ht="15" customHeight="1" x14ac:dyDescent="0.3">
      <c r="A46" s="70"/>
      <c r="B46" s="112" t="s">
        <v>755</v>
      </c>
      <c r="C46" s="113" t="s">
        <v>18</v>
      </c>
      <c r="D46" s="64"/>
    </row>
    <row r="47" spans="1:4" ht="15" customHeight="1" x14ac:dyDescent="0.3">
      <c r="A47" s="70"/>
      <c r="B47" s="112" t="s">
        <v>756</v>
      </c>
      <c r="C47" s="113" t="s">
        <v>18</v>
      </c>
      <c r="D47" s="64"/>
    </row>
    <row r="48" spans="1:4" ht="15" customHeight="1" x14ac:dyDescent="0.3">
      <c r="A48" s="70"/>
      <c r="B48" s="112" t="s">
        <v>757</v>
      </c>
      <c r="C48" s="113" t="s">
        <v>18</v>
      </c>
      <c r="D48" s="64"/>
    </row>
    <row r="49" spans="1:4" ht="15" customHeight="1" x14ac:dyDescent="0.3">
      <c r="A49" s="70"/>
      <c r="B49" s="112" t="s">
        <v>744</v>
      </c>
      <c r="C49" s="113" t="s">
        <v>18</v>
      </c>
      <c r="D49" s="64"/>
    </row>
    <row r="50" spans="1:4" ht="15" customHeight="1" x14ac:dyDescent="0.3">
      <c r="A50" s="70">
        <v>11200001</v>
      </c>
      <c r="B50" s="112" t="s">
        <v>745</v>
      </c>
      <c r="C50" s="113" t="s">
        <v>18</v>
      </c>
      <c r="D50" s="64">
        <v>750000</v>
      </c>
    </row>
    <row r="51" spans="1:4" ht="15" customHeight="1" x14ac:dyDescent="0.3">
      <c r="A51" s="70">
        <v>11200002</v>
      </c>
      <c r="B51" s="112" t="s">
        <v>746</v>
      </c>
      <c r="C51" s="113" t="s">
        <v>18</v>
      </c>
      <c r="D51" s="64">
        <v>600000</v>
      </c>
    </row>
    <row r="52" spans="1:4" ht="15" customHeight="1" x14ac:dyDescent="0.3">
      <c r="A52" s="70">
        <v>11200003</v>
      </c>
      <c r="B52" s="112" t="s">
        <v>747</v>
      </c>
      <c r="C52" s="113" t="s">
        <v>18</v>
      </c>
      <c r="D52" s="64">
        <v>450000</v>
      </c>
    </row>
    <row r="53" spans="1:4" ht="15" customHeight="1" x14ac:dyDescent="0.3">
      <c r="A53" s="70">
        <v>11200004</v>
      </c>
      <c r="B53" s="112" t="s">
        <v>748</v>
      </c>
      <c r="C53" s="113" t="s">
        <v>18</v>
      </c>
      <c r="D53" s="64">
        <v>300000</v>
      </c>
    </row>
    <row r="54" spans="1:4" ht="15" customHeight="1" x14ac:dyDescent="0.3">
      <c r="A54" s="70">
        <v>11210001</v>
      </c>
      <c r="B54" s="112" t="s">
        <v>749</v>
      </c>
      <c r="C54" s="113" t="s">
        <v>18</v>
      </c>
      <c r="D54" s="64">
        <v>1800000</v>
      </c>
    </row>
    <row r="55" spans="1:4" ht="15" customHeight="1" x14ac:dyDescent="0.3">
      <c r="A55" s="70">
        <v>11210002</v>
      </c>
      <c r="B55" s="112" t="s">
        <v>750</v>
      </c>
      <c r="C55" s="113" t="s">
        <v>18</v>
      </c>
      <c r="D55" s="64">
        <v>900000</v>
      </c>
    </row>
    <row r="56" spans="1:4" ht="15" customHeight="1" x14ac:dyDescent="0.3">
      <c r="A56" s="70">
        <v>11220001</v>
      </c>
      <c r="B56" s="112" t="s">
        <v>751</v>
      </c>
      <c r="C56" s="113" t="s">
        <v>18</v>
      </c>
      <c r="D56" s="64">
        <v>900000</v>
      </c>
    </row>
    <row r="57" spans="1:4" ht="15" customHeight="1" x14ac:dyDescent="0.3">
      <c r="A57" s="70">
        <v>11230001</v>
      </c>
      <c r="B57" s="112" t="s">
        <v>752</v>
      </c>
      <c r="C57" s="113" t="s">
        <v>18</v>
      </c>
      <c r="D57" s="64">
        <v>300000</v>
      </c>
    </row>
    <row r="58" spans="1:4" ht="15" customHeight="1" x14ac:dyDescent="0.3">
      <c r="A58" s="70">
        <v>11230002</v>
      </c>
      <c r="B58" s="112" t="s">
        <v>753</v>
      </c>
      <c r="C58" s="113" t="s">
        <v>18</v>
      </c>
      <c r="D58" s="64">
        <v>250000</v>
      </c>
    </row>
    <row r="59" spans="1:4" ht="15" customHeight="1" x14ac:dyDescent="0.3">
      <c r="A59" s="70">
        <v>11230003</v>
      </c>
      <c r="B59" s="112" t="s">
        <v>754</v>
      </c>
      <c r="C59" s="113" t="s">
        <v>18</v>
      </c>
      <c r="D59" s="64">
        <v>300000</v>
      </c>
    </row>
    <row r="60" spans="1:4" ht="15" customHeight="1" x14ac:dyDescent="0.3">
      <c r="A60" s="70">
        <v>21100000</v>
      </c>
      <c r="B60" s="111" t="s">
        <v>440</v>
      </c>
      <c r="C60" s="6"/>
      <c r="D60" s="63"/>
    </row>
    <row r="61" spans="1:4" ht="15" customHeight="1" x14ac:dyDescent="0.3">
      <c r="A61" s="70">
        <v>211100101</v>
      </c>
      <c r="B61" s="63" t="s">
        <v>34</v>
      </c>
      <c r="C61" s="6" t="s">
        <v>33</v>
      </c>
      <c r="D61" s="64">
        <v>236600</v>
      </c>
    </row>
    <row r="62" spans="1:4" ht="15" customHeight="1" x14ac:dyDescent="0.3">
      <c r="A62" s="70">
        <v>211100102</v>
      </c>
      <c r="B62" s="63" t="s">
        <v>35</v>
      </c>
      <c r="C62" s="6" t="s">
        <v>33</v>
      </c>
      <c r="D62" s="64">
        <v>236600</v>
      </c>
    </row>
    <row r="63" spans="1:4" ht="15" customHeight="1" x14ac:dyDescent="0.3">
      <c r="A63" s="70">
        <v>211100103</v>
      </c>
      <c r="B63" s="63" t="s">
        <v>36</v>
      </c>
      <c r="C63" s="6" t="s">
        <v>33</v>
      </c>
      <c r="D63" s="64">
        <v>242500</v>
      </c>
    </row>
    <row r="64" spans="1:4" ht="15" customHeight="1" x14ac:dyDescent="0.3">
      <c r="A64" s="70">
        <v>211100104</v>
      </c>
      <c r="B64" s="63" t="s">
        <v>37</v>
      </c>
      <c r="C64" s="6" t="s">
        <v>33</v>
      </c>
      <c r="D64" s="64">
        <v>250000</v>
      </c>
    </row>
    <row r="65" spans="1:4" ht="15" customHeight="1" x14ac:dyDescent="0.3">
      <c r="A65" s="70">
        <v>211100105</v>
      </c>
      <c r="B65" s="63" t="s">
        <v>38</v>
      </c>
      <c r="C65" s="6" t="s">
        <v>33</v>
      </c>
      <c r="D65" s="64">
        <v>250000</v>
      </c>
    </row>
    <row r="66" spans="1:4" ht="15" customHeight="1" x14ac:dyDescent="0.3">
      <c r="A66" s="70">
        <v>211100106</v>
      </c>
      <c r="B66" s="63" t="s">
        <v>39</v>
      </c>
      <c r="C66" s="6" t="s">
        <v>33</v>
      </c>
      <c r="D66" s="64">
        <v>258300</v>
      </c>
    </row>
    <row r="67" spans="1:4" ht="15" customHeight="1" x14ac:dyDescent="0.3">
      <c r="A67" s="70">
        <v>211100107</v>
      </c>
      <c r="B67" s="63" t="s">
        <v>41</v>
      </c>
      <c r="C67" s="6" t="s">
        <v>40</v>
      </c>
      <c r="D67" s="64">
        <f>D66/1350</f>
        <v>191.33333333333334</v>
      </c>
    </row>
    <row r="68" spans="1:4" ht="15" customHeight="1" x14ac:dyDescent="0.3">
      <c r="A68" s="70">
        <v>211100108</v>
      </c>
      <c r="B68" s="63" t="s">
        <v>42</v>
      </c>
      <c r="C68" s="6" t="s">
        <v>33</v>
      </c>
      <c r="D68" s="64">
        <v>275000</v>
      </c>
    </row>
    <row r="69" spans="1:4" ht="15" customHeight="1" x14ac:dyDescent="0.3">
      <c r="A69" s="70" t="s">
        <v>766</v>
      </c>
      <c r="B69" s="63" t="s">
        <v>42</v>
      </c>
      <c r="C69" s="6" t="s">
        <v>40</v>
      </c>
      <c r="D69" s="64">
        <f>D68/1600</f>
        <v>171.875</v>
      </c>
    </row>
    <row r="70" spans="1:4" ht="15" customHeight="1" x14ac:dyDescent="0.3">
      <c r="A70" s="70">
        <v>211100109</v>
      </c>
      <c r="B70" s="63" t="s">
        <v>44</v>
      </c>
      <c r="C70" s="6" t="s">
        <v>43</v>
      </c>
      <c r="D70" s="64">
        <v>275000</v>
      </c>
    </row>
    <row r="71" spans="1:4" ht="15" customHeight="1" x14ac:dyDescent="0.3">
      <c r="A71" s="70">
        <v>211100110</v>
      </c>
      <c r="B71" s="63" t="s">
        <v>45</v>
      </c>
      <c r="C71" s="6" t="s">
        <v>33</v>
      </c>
      <c r="D71" s="64">
        <v>166600</v>
      </c>
    </row>
    <row r="72" spans="1:4" ht="15" customHeight="1" x14ac:dyDescent="0.3">
      <c r="A72" s="70">
        <v>211100111</v>
      </c>
      <c r="B72" s="63" t="s">
        <v>47</v>
      </c>
      <c r="C72" s="6" t="s">
        <v>46</v>
      </c>
      <c r="D72" s="64">
        <v>680</v>
      </c>
    </row>
    <row r="73" spans="1:4" ht="15" customHeight="1" x14ac:dyDescent="0.3">
      <c r="A73" s="70">
        <v>211100112</v>
      </c>
      <c r="B73" s="63" t="s">
        <v>48</v>
      </c>
      <c r="C73" s="6" t="s">
        <v>43</v>
      </c>
      <c r="D73" s="64">
        <v>190200</v>
      </c>
    </row>
    <row r="74" spans="1:4" ht="15" customHeight="1" x14ac:dyDescent="0.3">
      <c r="A74" s="70">
        <v>211100113</v>
      </c>
      <c r="B74" s="63" t="s">
        <v>49</v>
      </c>
      <c r="C74" s="6" t="s">
        <v>33</v>
      </c>
      <c r="D74" s="64">
        <v>217500</v>
      </c>
    </row>
    <row r="75" spans="1:4" ht="15" customHeight="1" x14ac:dyDescent="0.3">
      <c r="A75" s="70">
        <v>211100114</v>
      </c>
      <c r="B75" s="63" t="s">
        <v>50</v>
      </c>
      <c r="C75" s="6" t="s">
        <v>33</v>
      </c>
      <c r="D75" s="64">
        <v>220000</v>
      </c>
    </row>
    <row r="76" spans="1:4" ht="15" customHeight="1" x14ac:dyDescent="0.3">
      <c r="A76" s="70">
        <v>211100115</v>
      </c>
      <c r="B76" s="63" t="s">
        <v>51</v>
      </c>
      <c r="C76" s="6" t="s">
        <v>40</v>
      </c>
      <c r="D76" s="64">
        <f>D75/1400</f>
        <v>157.14285714285714</v>
      </c>
    </row>
    <row r="77" spans="1:4" ht="15" customHeight="1" x14ac:dyDescent="0.3">
      <c r="A77" s="70">
        <v>211100116</v>
      </c>
      <c r="B77" s="63" t="s">
        <v>52</v>
      </c>
      <c r="C77" s="6" t="s">
        <v>33</v>
      </c>
      <c r="D77" s="64">
        <v>80000</v>
      </c>
    </row>
    <row r="78" spans="1:4" ht="15" customHeight="1" x14ac:dyDescent="0.3">
      <c r="A78" s="70">
        <v>211102116</v>
      </c>
      <c r="B78" s="63" t="s">
        <v>706</v>
      </c>
      <c r="C78" s="6" t="s">
        <v>33</v>
      </c>
      <c r="D78" s="64">
        <v>175000</v>
      </c>
    </row>
    <row r="79" spans="1:4" ht="15" customHeight="1" x14ac:dyDescent="0.3">
      <c r="A79" s="70">
        <v>211102120</v>
      </c>
      <c r="B79" s="63" t="s">
        <v>707</v>
      </c>
      <c r="C79" s="6" t="s">
        <v>33</v>
      </c>
      <c r="D79" s="64">
        <v>150000</v>
      </c>
    </row>
    <row r="80" spans="1:4" ht="15" customHeight="1" x14ac:dyDescent="0.3">
      <c r="A80" s="70">
        <v>21200000</v>
      </c>
      <c r="B80" s="114" t="s">
        <v>53</v>
      </c>
      <c r="C80" s="6"/>
      <c r="D80" s="64"/>
    </row>
    <row r="81" spans="1:4" ht="15" customHeight="1" x14ac:dyDescent="0.3">
      <c r="A81" s="70"/>
      <c r="B81" s="63" t="s">
        <v>54</v>
      </c>
      <c r="C81" s="6" t="s">
        <v>46</v>
      </c>
      <c r="D81" s="64">
        <v>2200</v>
      </c>
    </row>
    <row r="82" spans="1:4" ht="15" customHeight="1" x14ac:dyDescent="0.3">
      <c r="A82" s="70"/>
      <c r="B82" s="63" t="s">
        <v>55</v>
      </c>
      <c r="C82" s="6" t="s">
        <v>46</v>
      </c>
      <c r="D82" s="64">
        <v>2300</v>
      </c>
    </row>
    <row r="83" spans="1:4" ht="15" customHeight="1" x14ac:dyDescent="0.3">
      <c r="A83" s="70"/>
      <c r="B83" s="63" t="s">
        <v>56</v>
      </c>
      <c r="C83" s="6" t="s">
        <v>46</v>
      </c>
      <c r="D83" s="64">
        <v>3200</v>
      </c>
    </row>
    <row r="84" spans="1:4" ht="15" customHeight="1" x14ac:dyDescent="0.3">
      <c r="A84" s="70"/>
      <c r="B84" s="63" t="s">
        <v>57</v>
      </c>
      <c r="C84" s="6" t="s">
        <v>46</v>
      </c>
      <c r="D84" s="64">
        <v>6500</v>
      </c>
    </row>
    <row r="85" spans="1:4" ht="15" customHeight="1" x14ac:dyDescent="0.3">
      <c r="A85" s="70"/>
      <c r="B85" s="63" t="s">
        <v>58</v>
      </c>
      <c r="C85" s="6" t="s">
        <v>46</v>
      </c>
      <c r="D85" s="64">
        <v>6500</v>
      </c>
    </row>
    <row r="86" spans="1:4" ht="15" customHeight="1" x14ac:dyDescent="0.3">
      <c r="A86" s="70"/>
      <c r="B86" s="63" t="s">
        <v>620</v>
      </c>
      <c r="C86" s="6" t="s">
        <v>46</v>
      </c>
      <c r="D86" s="64">
        <v>6500</v>
      </c>
    </row>
    <row r="87" spans="1:4" ht="15" customHeight="1" x14ac:dyDescent="0.3">
      <c r="A87" s="70">
        <v>21300000</v>
      </c>
      <c r="B87" s="114" t="s">
        <v>441</v>
      </c>
      <c r="C87" s="6"/>
      <c r="D87" s="64"/>
    </row>
    <row r="88" spans="1:4" ht="15" customHeight="1" x14ac:dyDescent="0.3">
      <c r="A88" s="70">
        <v>21301000</v>
      </c>
      <c r="B88" s="63" t="s">
        <v>60</v>
      </c>
      <c r="C88" s="6" t="s">
        <v>59</v>
      </c>
      <c r="D88" s="64">
        <v>1350</v>
      </c>
    </row>
    <row r="89" spans="1:4" ht="15" hidden="1" customHeight="1" x14ac:dyDescent="0.3">
      <c r="A89" s="70"/>
      <c r="B89" s="63"/>
      <c r="C89" s="6"/>
      <c r="D89" s="64"/>
    </row>
    <row r="90" spans="1:4" ht="15" customHeight="1" x14ac:dyDescent="0.3">
      <c r="A90" s="70">
        <v>21301000</v>
      </c>
      <c r="B90" s="63" t="s">
        <v>630</v>
      </c>
      <c r="C90" s="6" t="s">
        <v>629</v>
      </c>
      <c r="D90" s="64">
        <f>D88*40</f>
        <v>54000</v>
      </c>
    </row>
    <row r="91" spans="1:4" ht="15" customHeight="1" x14ac:dyDescent="0.3">
      <c r="A91" s="70">
        <v>21302000</v>
      </c>
      <c r="B91" s="63" t="s">
        <v>775</v>
      </c>
      <c r="C91" s="6" t="s">
        <v>629</v>
      </c>
      <c r="D91" s="64">
        <v>20000</v>
      </c>
    </row>
    <row r="92" spans="1:4" ht="15" customHeight="1" x14ac:dyDescent="0.3">
      <c r="A92" s="70">
        <v>21302010</v>
      </c>
      <c r="B92" s="63" t="s">
        <v>776</v>
      </c>
      <c r="C92" s="6" t="s">
        <v>40</v>
      </c>
      <c r="D92" s="64">
        <f>D91/20</f>
        <v>1000</v>
      </c>
    </row>
    <row r="93" spans="1:4" ht="15" customHeight="1" x14ac:dyDescent="0.3">
      <c r="A93" s="70">
        <v>21302050</v>
      </c>
      <c r="B93" s="63" t="s">
        <v>777</v>
      </c>
      <c r="C93" s="6" t="s">
        <v>40</v>
      </c>
      <c r="D93" s="64">
        <f>310000/5</f>
        <v>62000</v>
      </c>
    </row>
    <row r="94" spans="1:4" ht="15" customHeight="1" x14ac:dyDescent="0.3">
      <c r="A94" s="70">
        <v>21301101</v>
      </c>
      <c r="B94" s="63" t="s">
        <v>106</v>
      </c>
      <c r="C94" s="115"/>
      <c r="D94" s="64">
        <v>19800</v>
      </c>
    </row>
    <row r="95" spans="1:4" ht="15" customHeight="1" x14ac:dyDescent="0.3">
      <c r="A95" s="70">
        <v>21400000</v>
      </c>
      <c r="B95" s="114" t="s">
        <v>451</v>
      </c>
      <c r="C95" s="6"/>
      <c r="D95" s="64"/>
    </row>
    <row r="96" spans="1:4" ht="15" customHeight="1" x14ac:dyDescent="0.3">
      <c r="A96" s="71">
        <v>21401010</v>
      </c>
      <c r="B96" s="63" t="s">
        <v>77</v>
      </c>
      <c r="C96" s="115" t="s">
        <v>33</v>
      </c>
      <c r="D96" s="64">
        <v>8375000</v>
      </c>
    </row>
    <row r="97" spans="1:4" ht="15" customHeight="1" x14ac:dyDescent="0.3">
      <c r="A97" s="71"/>
      <c r="B97" s="63" t="s">
        <v>78</v>
      </c>
      <c r="C97" s="115" t="s">
        <v>33</v>
      </c>
      <c r="D97" s="64">
        <v>7875000</v>
      </c>
    </row>
    <row r="98" spans="1:4" ht="15" customHeight="1" x14ac:dyDescent="0.3">
      <c r="A98" s="71"/>
      <c r="B98" s="63" t="s">
        <v>79</v>
      </c>
      <c r="C98" s="115" t="s">
        <v>33</v>
      </c>
      <c r="D98" s="64">
        <v>8737500</v>
      </c>
    </row>
    <row r="99" spans="1:4" ht="15" customHeight="1" x14ac:dyDescent="0.3">
      <c r="A99" s="71"/>
      <c r="B99" s="63" t="s">
        <v>80</v>
      </c>
      <c r="C99" s="115" t="s">
        <v>33</v>
      </c>
      <c r="D99" s="64">
        <v>9483300</v>
      </c>
    </row>
    <row r="100" spans="1:4" ht="15" customHeight="1" x14ac:dyDescent="0.3">
      <c r="A100" s="71"/>
      <c r="B100" s="63" t="s">
        <v>81</v>
      </c>
      <c r="C100" s="115" t="s">
        <v>33</v>
      </c>
      <c r="D100" s="64">
        <v>6900000</v>
      </c>
    </row>
    <row r="101" spans="1:4" ht="15" customHeight="1" x14ac:dyDescent="0.3">
      <c r="A101" s="71"/>
      <c r="B101" s="63" t="s">
        <v>82</v>
      </c>
      <c r="C101" s="115" t="s">
        <v>33</v>
      </c>
      <c r="D101" s="64">
        <v>7000000</v>
      </c>
    </row>
    <row r="102" spans="1:4" ht="15" customHeight="1" x14ac:dyDescent="0.3">
      <c r="A102" s="71"/>
      <c r="B102" s="63" t="s">
        <v>83</v>
      </c>
      <c r="C102" s="115" t="s">
        <v>33</v>
      </c>
      <c r="D102" s="64">
        <v>7000000</v>
      </c>
    </row>
    <row r="103" spans="1:4" ht="15" customHeight="1" x14ac:dyDescent="0.3">
      <c r="A103" s="71"/>
      <c r="B103" s="63" t="s">
        <v>84</v>
      </c>
      <c r="C103" s="115" t="s">
        <v>33</v>
      </c>
      <c r="D103" s="64">
        <v>7000000</v>
      </c>
    </row>
    <row r="104" spans="1:4" ht="15" customHeight="1" x14ac:dyDescent="0.3">
      <c r="A104" s="71"/>
      <c r="B104" s="63" t="s">
        <v>85</v>
      </c>
      <c r="C104" s="115" t="s">
        <v>33</v>
      </c>
      <c r="D104" s="64">
        <v>7000000</v>
      </c>
    </row>
    <row r="105" spans="1:4" ht="15" customHeight="1" x14ac:dyDescent="0.3">
      <c r="A105" s="71">
        <v>21401180</v>
      </c>
      <c r="B105" s="63" t="s">
        <v>86</v>
      </c>
      <c r="C105" s="115" t="s">
        <v>33</v>
      </c>
      <c r="D105" s="64">
        <v>1900000</v>
      </c>
    </row>
    <row r="106" spans="1:4" ht="15" customHeight="1" x14ac:dyDescent="0.3">
      <c r="A106" s="71">
        <v>21401200</v>
      </c>
      <c r="B106" s="63" t="s">
        <v>87</v>
      </c>
      <c r="C106" s="115" t="s">
        <v>33</v>
      </c>
      <c r="D106" s="64">
        <v>1900000</v>
      </c>
    </row>
    <row r="107" spans="1:4" ht="15" customHeight="1" x14ac:dyDescent="0.3">
      <c r="A107" s="71"/>
      <c r="B107" s="63" t="s">
        <v>88</v>
      </c>
      <c r="C107" s="115" t="s">
        <v>33</v>
      </c>
      <c r="D107" s="64">
        <v>1900000</v>
      </c>
    </row>
    <row r="108" spans="1:4" ht="15" customHeight="1" x14ac:dyDescent="0.3">
      <c r="A108" s="71"/>
      <c r="B108" s="63" t="s">
        <v>89</v>
      </c>
      <c r="C108" s="115" t="s">
        <v>33</v>
      </c>
      <c r="D108" s="64">
        <v>2222000</v>
      </c>
    </row>
    <row r="109" spans="1:4" ht="15" customHeight="1" x14ac:dyDescent="0.3">
      <c r="A109" s="71"/>
      <c r="B109" s="63" t="s">
        <v>90</v>
      </c>
      <c r="C109" s="115" t="s">
        <v>444</v>
      </c>
      <c r="D109" s="64">
        <v>36000</v>
      </c>
    </row>
    <row r="110" spans="1:4" ht="15" customHeight="1" x14ac:dyDescent="0.3">
      <c r="A110" s="71">
        <v>21403008</v>
      </c>
      <c r="B110" s="63" t="s">
        <v>449</v>
      </c>
      <c r="C110" s="115" t="s">
        <v>91</v>
      </c>
      <c r="D110" s="64">
        <v>20800</v>
      </c>
    </row>
    <row r="111" spans="1:4" ht="15" customHeight="1" x14ac:dyDescent="0.3">
      <c r="A111" s="71">
        <v>21403012</v>
      </c>
      <c r="B111" s="63" t="s">
        <v>450</v>
      </c>
      <c r="C111" s="115" t="s">
        <v>91</v>
      </c>
      <c r="D111" s="64">
        <v>24700</v>
      </c>
    </row>
    <row r="112" spans="1:4" ht="15" customHeight="1" x14ac:dyDescent="0.3">
      <c r="A112" s="71">
        <v>21404006</v>
      </c>
      <c r="B112" s="63" t="s">
        <v>445</v>
      </c>
      <c r="C112" s="115" t="s">
        <v>91</v>
      </c>
      <c r="D112" s="64">
        <v>24700</v>
      </c>
    </row>
    <row r="113" spans="1:4" ht="15" customHeight="1" x14ac:dyDescent="0.3">
      <c r="A113" s="71">
        <v>21404010</v>
      </c>
      <c r="B113" s="63" t="s">
        <v>446</v>
      </c>
      <c r="C113" s="115" t="s">
        <v>91</v>
      </c>
      <c r="D113" s="64">
        <v>24700</v>
      </c>
    </row>
    <row r="114" spans="1:4" ht="15" customHeight="1" x14ac:dyDescent="0.3">
      <c r="A114" s="71">
        <v>21404012</v>
      </c>
      <c r="B114" s="63" t="s">
        <v>447</v>
      </c>
      <c r="C114" s="115" t="s">
        <v>91</v>
      </c>
      <c r="D114" s="64">
        <v>24700</v>
      </c>
    </row>
    <row r="115" spans="1:4" ht="15" customHeight="1" x14ac:dyDescent="0.3">
      <c r="A115" s="71">
        <v>21404110</v>
      </c>
      <c r="B115" s="63" t="s">
        <v>448</v>
      </c>
      <c r="C115" s="115" t="s">
        <v>91</v>
      </c>
      <c r="D115" s="64">
        <v>24700</v>
      </c>
    </row>
    <row r="116" spans="1:4" ht="15" customHeight="1" x14ac:dyDescent="0.3">
      <c r="A116" s="70">
        <v>21500000</v>
      </c>
      <c r="B116" s="114" t="s">
        <v>443</v>
      </c>
      <c r="C116" s="115"/>
      <c r="D116" s="64"/>
    </row>
    <row r="117" spans="1:4" ht="15" customHeight="1" x14ac:dyDescent="0.3">
      <c r="A117" s="70">
        <v>21501000</v>
      </c>
      <c r="B117" s="63" t="s">
        <v>62</v>
      </c>
      <c r="C117" s="6" t="s">
        <v>61</v>
      </c>
      <c r="D117" s="64">
        <v>63000</v>
      </c>
    </row>
    <row r="118" spans="1:4" ht="15" customHeight="1" x14ac:dyDescent="0.3">
      <c r="A118" s="70">
        <v>21501003</v>
      </c>
      <c r="B118" s="63" t="s">
        <v>64</v>
      </c>
      <c r="C118" s="6" t="s">
        <v>63</v>
      </c>
      <c r="D118" s="64">
        <v>24000</v>
      </c>
    </row>
    <row r="119" spans="1:4" ht="15" customHeight="1" x14ac:dyDescent="0.3">
      <c r="A119" s="70">
        <v>21501007</v>
      </c>
      <c r="B119" s="63" t="s">
        <v>65</v>
      </c>
      <c r="C119" s="6" t="s">
        <v>61</v>
      </c>
      <c r="D119" s="64">
        <v>34000</v>
      </c>
    </row>
    <row r="120" spans="1:4" ht="27.65" customHeight="1" x14ac:dyDescent="0.3">
      <c r="A120" s="70"/>
      <c r="B120" s="63" t="s">
        <v>66</v>
      </c>
      <c r="C120" s="6" t="s">
        <v>63</v>
      </c>
      <c r="D120" s="64">
        <v>33300</v>
      </c>
    </row>
    <row r="121" spans="1:4" ht="27.65" customHeight="1" x14ac:dyDescent="0.3">
      <c r="A121" s="71"/>
      <c r="B121" s="63" t="s">
        <v>67</v>
      </c>
      <c r="C121" s="115" t="s">
        <v>63</v>
      </c>
      <c r="D121" s="64">
        <v>40800</v>
      </c>
    </row>
    <row r="122" spans="1:4" ht="27.65" customHeight="1" x14ac:dyDescent="0.3">
      <c r="A122" s="71"/>
      <c r="B122" s="63" t="s">
        <v>68</v>
      </c>
      <c r="C122" s="115"/>
      <c r="D122" s="64">
        <v>46500</v>
      </c>
    </row>
    <row r="123" spans="1:4" ht="15" customHeight="1" x14ac:dyDescent="0.3">
      <c r="A123" s="71"/>
      <c r="B123" s="63" t="s">
        <v>69</v>
      </c>
      <c r="C123" s="115" t="s">
        <v>63</v>
      </c>
      <c r="D123" s="64">
        <v>39000</v>
      </c>
    </row>
    <row r="124" spans="1:4" ht="15" customHeight="1" x14ac:dyDescent="0.3">
      <c r="A124" s="71"/>
      <c r="B124" s="63" t="s">
        <v>70</v>
      </c>
      <c r="C124" s="115" t="s">
        <v>63</v>
      </c>
      <c r="D124" s="64">
        <v>47200</v>
      </c>
    </row>
    <row r="125" spans="1:4" ht="15" customHeight="1" x14ac:dyDescent="0.3">
      <c r="A125" s="70">
        <v>21600000</v>
      </c>
      <c r="B125" s="111" t="s">
        <v>71</v>
      </c>
      <c r="C125" s="115"/>
      <c r="D125" s="64"/>
    </row>
    <row r="126" spans="1:4" ht="15" customHeight="1" x14ac:dyDescent="0.3">
      <c r="A126" s="71">
        <v>21601001</v>
      </c>
      <c r="B126" s="63" t="s">
        <v>72</v>
      </c>
      <c r="C126" s="115" t="s">
        <v>40</v>
      </c>
      <c r="D126" s="64">
        <v>32000</v>
      </c>
    </row>
    <row r="127" spans="1:4" ht="15" customHeight="1" x14ac:dyDescent="0.3">
      <c r="A127" s="71">
        <v>21601002</v>
      </c>
      <c r="B127" s="63" t="s">
        <v>73</v>
      </c>
      <c r="C127" s="115" t="s">
        <v>40</v>
      </c>
      <c r="D127" s="64">
        <v>19400</v>
      </c>
    </row>
    <row r="128" spans="1:4" ht="15" customHeight="1" x14ac:dyDescent="0.3">
      <c r="A128" s="71">
        <v>21603001</v>
      </c>
      <c r="B128" s="63" t="s">
        <v>712</v>
      </c>
      <c r="C128" s="115" t="s">
        <v>167</v>
      </c>
      <c r="D128" s="64">
        <v>2700000</v>
      </c>
    </row>
    <row r="129" spans="1:4" ht="15" customHeight="1" x14ac:dyDescent="0.3">
      <c r="A129" s="71">
        <v>21603004</v>
      </c>
      <c r="B129" s="63" t="s">
        <v>714</v>
      </c>
      <c r="C129" s="115" t="s">
        <v>713</v>
      </c>
      <c r="D129" s="64">
        <f>D128/400</f>
        <v>6750</v>
      </c>
    </row>
    <row r="130" spans="1:4" ht="15" customHeight="1" x14ac:dyDescent="0.3">
      <c r="A130" s="71">
        <v>21603007</v>
      </c>
      <c r="B130" s="63" t="s">
        <v>717</v>
      </c>
      <c r="C130" s="115" t="s">
        <v>167</v>
      </c>
      <c r="D130" s="64">
        <v>3500000</v>
      </c>
    </row>
    <row r="131" spans="1:4" ht="15" customHeight="1" x14ac:dyDescent="0.3">
      <c r="A131" s="71">
        <v>21603010</v>
      </c>
      <c r="B131" s="63" t="s">
        <v>718</v>
      </c>
      <c r="C131" s="115" t="s">
        <v>713</v>
      </c>
      <c r="D131" s="64">
        <f>D130/200</f>
        <v>17500</v>
      </c>
    </row>
    <row r="132" spans="1:4" ht="15" customHeight="1" x14ac:dyDescent="0.3">
      <c r="A132" s="71">
        <v>21603007</v>
      </c>
      <c r="B132" s="63" t="s">
        <v>875</v>
      </c>
      <c r="C132" s="115" t="s">
        <v>167</v>
      </c>
      <c r="D132" s="64">
        <v>4800000</v>
      </c>
    </row>
    <row r="133" spans="1:4" ht="15" customHeight="1" x14ac:dyDescent="0.3">
      <c r="A133" s="71">
        <v>21603010</v>
      </c>
      <c r="B133" s="63" t="s">
        <v>876</v>
      </c>
      <c r="C133" s="115" t="s">
        <v>713</v>
      </c>
      <c r="D133" s="64">
        <f>D132/200</f>
        <v>24000</v>
      </c>
    </row>
    <row r="134" spans="1:4" ht="15" customHeight="1" x14ac:dyDescent="0.3">
      <c r="A134" s="71">
        <v>21603100</v>
      </c>
      <c r="B134" s="63" t="s">
        <v>722</v>
      </c>
      <c r="C134" s="115" t="s">
        <v>167</v>
      </c>
      <c r="D134" s="64">
        <v>45000</v>
      </c>
    </row>
    <row r="135" spans="1:4" ht="15" customHeight="1" x14ac:dyDescent="0.3">
      <c r="A135" s="71">
        <v>21603111</v>
      </c>
      <c r="B135" s="63" t="s">
        <v>721</v>
      </c>
      <c r="C135" s="115" t="s">
        <v>63</v>
      </c>
      <c r="D135" s="64">
        <f>D134/600</f>
        <v>75</v>
      </c>
    </row>
    <row r="136" spans="1:4" ht="15" customHeight="1" x14ac:dyDescent="0.3">
      <c r="A136" s="71"/>
      <c r="B136" s="63"/>
      <c r="C136" s="115"/>
      <c r="D136" s="64"/>
    </row>
    <row r="137" spans="1:4" ht="15" customHeight="1" x14ac:dyDescent="0.3">
      <c r="A137" s="70">
        <v>21700000</v>
      </c>
      <c r="B137" s="111" t="s">
        <v>74</v>
      </c>
      <c r="C137" s="115"/>
      <c r="D137" s="64"/>
    </row>
    <row r="138" spans="1:4" ht="15" customHeight="1" x14ac:dyDescent="0.3">
      <c r="A138" s="71"/>
      <c r="B138" s="63" t="s">
        <v>75</v>
      </c>
      <c r="C138" s="115" t="s">
        <v>40</v>
      </c>
      <c r="D138" s="64">
        <v>65000</v>
      </c>
    </row>
    <row r="139" spans="1:4" ht="15" customHeight="1" x14ac:dyDescent="0.3">
      <c r="A139" s="71"/>
      <c r="B139" s="63" t="s">
        <v>76</v>
      </c>
      <c r="C139" s="115" t="s">
        <v>63</v>
      </c>
      <c r="D139" s="64">
        <v>63900</v>
      </c>
    </row>
    <row r="140" spans="1:4" ht="15" customHeight="1" x14ac:dyDescent="0.3">
      <c r="A140" s="70">
        <v>21800000</v>
      </c>
      <c r="B140" s="111" t="s">
        <v>92</v>
      </c>
      <c r="C140" s="115"/>
      <c r="D140" s="64"/>
    </row>
    <row r="141" spans="1:4" ht="15" customHeight="1" x14ac:dyDescent="0.3">
      <c r="A141" s="70"/>
      <c r="B141" s="63" t="s">
        <v>93</v>
      </c>
      <c r="C141" s="6" t="s">
        <v>46</v>
      </c>
      <c r="D141" s="64">
        <v>2100</v>
      </c>
    </row>
    <row r="142" spans="1:4" ht="15" customHeight="1" x14ac:dyDescent="0.3">
      <c r="A142" s="70"/>
      <c r="B142" s="63" t="s">
        <v>93</v>
      </c>
      <c r="C142" s="6" t="s">
        <v>46</v>
      </c>
      <c r="D142" s="64">
        <v>3600</v>
      </c>
    </row>
    <row r="143" spans="1:4" ht="15" customHeight="1" x14ac:dyDescent="0.3">
      <c r="A143" s="70"/>
      <c r="B143" s="63" t="s">
        <v>94</v>
      </c>
      <c r="C143" s="6"/>
      <c r="D143" s="64">
        <v>4500</v>
      </c>
    </row>
    <row r="144" spans="1:4" ht="15" customHeight="1" x14ac:dyDescent="0.3">
      <c r="A144" s="70"/>
      <c r="B144" s="63" t="s">
        <v>95</v>
      </c>
      <c r="C144" s="6"/>
      <c r="D144" s="64">
        <v>3600</v>
      </c>
    </row>
    <row r="145" spans="1:4" ht="15" customHeight="1" x14ac:dyDescent="0.3">
      <c r="A145" s="70"/>
      <c r="B145" s="63" t="s">
        <v>96</v>
      </c>
      <c r="C145" s="6" t="s">
        <v>46</v>
      </c>
      <c r="D145" s="64">
        <v>4600</v>
      </c>
    </row>
    <row r="146" spans="1:4" ht="15" customHeight="1" x14ac:dyDescent="0.3">
      <c r="A146" s="70"/>
      <c r="B146" s="63" t="s">
        <v>97</v>
      </c>
      <c r="C146" s="6" t="s">
        <v>46</v>
      </c>
      <c r="D146" s="64">
        <v>6500</v>
      </c>
    </row>
    <row r="147" spans="1:4" ht="15" customHeight="1" x14ac:dyDescent="0.3">
      <c r="A147" s="70"/>
      <c r="B147" s="63" t="s">
        <v>98</v>
      </c>
      <c r="C147" s="6" t="s">
        <v>46</v>
      </c>
      <c r="D147" s="64">
        <v>4200</v>
      </c>
    </row>
    <row r="148" spans="1:4" ht="15" customHeight="1" x14ac:dyDescent="0.3">
      <c r="A148" s="70"/>
      <c r="B148" s="63" t="s">
        <v>99</v>
      </c>
      <c r="C148" s="6" t="s">
        <v>46</v>
      </c>
      <c r="D148" s="64">
        <v>10000</v>
      </c>
    </row>
    <row r="149" spans="1:4" ht="15" customHeight="1" x14ac:dyDescent="0.3">
      <c r="A149" s="70"/>
      <c r="B149" s="63" t="s">
        <v>100</v>
      </c>
      <c r="C149" s="6" t="s">
        <v>46</v>
      </c>
      <c r="D149" s="64">
        <v>8900</v>
      </c>
    </row>
    <row r="150" spans="1:4" ht="15" customHeight="1" x14ac:dyDescent="0.3">
      <c r="A150" s="70"/>
      <c r="B150" s="63" t="s">
        <v>101</v>
      </c>
      <c r="C150" s="6" t="s">
        <v>46</v>
      </c>
      <c r="D150" s="64">
        <v>2800</v>
      </c>
    </row>
    <row r="151" spans="1:4" ht="15" customHeight="1" x14ac:dyDescent="0.3">
      <c r="A151" s="70"/>
      <c r="B151" s="63" t="s">
        <v>102</v>
      </c>
      <c r="C151" s="6" t="s">
        <v>46</v>
      </c>
      <c r="D151" s="64">
        <v>5900</v>
      </c>
    </row>
    <row r="152" spans="1:4" ht="15" customHeight="1" x14ac:dyDescent="0.3">
      <c r="A152" s="70"/>
      <c r="B152" s="63" t="s">
        <v>103</v>
      </c>
      <c r="C152" s="6" t="s">
        <v>46</v>
      </c>
      <c r="D152" s="64">
        <v>17100</v>
      </c>
    </row>
    <row r="153" spans="1:4" ht="15" customHeight="1" x14ac:dyDescent="0.3">
      <c r="A153" s="70"/>
      <c r="B153" s="63" t="s">
        <v>104</v>
      </c>
      <c r="C153" s="6" t="s">
        <v>46</v>
      </c>
      <c r="D153" s="64">
        <v>51600</v>
      </c>
    </row>
    <row r="154" spans="1:4" ht="15" customHeight="1" x14ac:dyDescent="0.3">
      <c r="A154" s="70"/>
      <c r="B154" s="63" t="s">
        <v>105</v>
      </c>
      <c r="C154" s="6" t="s">
        <v>46</v>
      </c>
      <c r="D154" s="64">
        <v>74100</v>
      </c>
    </row>
    <row r="155" spans="1:4" ht="15" customHeight="1" x14ac:dyDescent="0.3">
      <c r="A155" s="70">
        <v>21900000</v>
      </c>
      <c r="B155" s="111" t="s">
        <v>107</v>
      </c>
      <c r="C155" s="115"/>
      <c r="D155" s="64"/>
    </row>
    <row r="156" spans="1:4" ht="15" customHeight="1" x14ac:dyDescent="0.3">
      <c r="A156" s="71">
        <v>21901000</v>
      </c>
      <c r="B156" s="63" t="s">
        <v>108</v>
      </c>
      <c r="C156" s="115" t="s">
        <v>59</v>
      </c>
      <c r="D156" s="64">
        <v>12200</v>
      </c>
    </row>
    <row r="157" spans="1:4" ht="15" customHeight="1" x14ac:dyDescent="0.3">
      <c r="A157" s="71">
        <v>21901001</v>
      </c>
      <c r="B157" s="63" t="s">
        <v>109</v>
      </c>
      <c r="C157" s="115" t="s">
        <v>59</v>
      </c>
      <c r="D157" s="64">
        <f>D156</f>
        <v>12200</v>
      </c>
    </row>
    <row r="158" spans="1:4" ht="15" customHeight="1" x14ac:dyDescent="0.3">
      <c r="A158" s="71">
        <v>21901002</v>
      </c>
      <c r="B158" s="63" t="s">
        <v>110</v>
      </c>
      <c r="C158" s="115" t="s">
        <v>59</v>
      </c>
      <c r="D158" s="64">
        <v>20500</v>
      </c>
    </row>
    <row r="159" spans="1:4" ht="15" customHeight="1" x14ac:dyDescent="0.3">
      <c r="A159" s="71" t="s">
        <v>879</v>
      </c>
      <c r="B159" s="63" t="s">
        <v>880</v>
      </c>
      <c r="C159" s="115" t="s">
        <v>59</v>
      </c>
      <c r="D159" s="64">
        <v>20500</v>
      </c>
    </row>
    <row r="160" spans="1:4" ht="15" customHeight="1" x14ac:dyDescent="0.3">
      <c r="A160" s="71">
        <v>21902001</v>
      </c>
      <c r="B160" s="63" t="s">
        <v>111</v>
      </c>
      <c r="C160" s="115" t="s">
        <v>59</v>
      </c>
      <c r="D160" s="64">
        <v>16600</v>
      </c>
    </row>
    <row r="161" spans="1:4" ht="15" customHeight="1" x14ac:dyDescent="0.3">
      <c r="A161" s="71">
        <v>21902002</v>
      </c>
      <c r="B161" s="63" t="s">
        <v>112</v>
      </c>
      <c r="C161" s="115" t="s">
        <v>59</v>
      </c>
      <c r="D161" s="64">
        <v>16600</v>
      </c>
    </row>
    <row r="162" spans="1:4" ht="15" customHeight="1" x14ac:dyDescent="0.3">
      <c r="A162" s="71">
        <v>21902002</v>
      </c>
      <c r="B162" s="63" t="s">
        <v>113</v>
      </c>
      <c r="C162" s="115" t="s">
        <v>59</v>
      </c>
      <c r="D162" s="64">
        <v>16300</v>
      </c>
    </row>
    <row r="163" spans="1:4" ht="15" customHeight="1" x14ac:dyDescent="0.3">
      <c r="A163" s="71">
        <v>21903001</v>
      </c>
      <c r="B163" s="63" t="s">
        <v>115</v>
      </c>
      <c r="C163" s="115" t="s">
        <v>114</v>
      </c>
      <c r="D163" s="64"/>
    </row>
    <row r="164" spans="1:4" ht="15" customHeight="1" x14ac:dyDescent="0.3">
      <c r="A164" s="71">
        <v>21903002</v>
      </c>
      <c r="B164" s="63" t="s">
        <v>116</v>
      </c>
      <c r="C164" s="115" t="s">
        <v>114</v>
      </c>
      <c r="D164" s="64"/>
    </row>
    <row r="165" spans="1:4" ht="15" customHeight="1" x14ac:dyDescent="0.3">
      <c r="A165" s="71">
        <v>21903003</v>
      </c>
      <c r="B165" s="63" t="s">
        <v>117</v>
      </c>
      <c r="C165" s="115" t="s">
        <v>114</v>
      </c>
      <c r="D165" s="64"/>
    </row>
    <row r="166" spans="1:4" ht="15" customHeight="1" x14ac:dyDescent="0.3">
      <c r="A166" s="71">
        <v>21903004</v>
      </c>
      <c r="B166" s="63" t="s">
        <v>118</v>
      </c>
      <c r="C166" s="115" t="s">
        <v>114</v>
      </c>
      <c r="D166" s="64"/>
    </row>
    <row r="167" spans="1:4" ht="15" customHeight="1" x14ac:dyDescent="0.3">
      <c r="A167" s="71">
        <v>21903005</v>
      </c>
      <c r="B167" s="63" t="s">
        <v>119</v>
      </c>
      <c r="C167" s="115" t="s">
        <v>114</v>
      </c>
      <c r="D167" s="64"/>
    </row>
    <row r="168" spans="1:4" ht="15" customHeight="1" x14ac:dyDescent="0.3">
      <c r="A168" s="71">
        <v>21903006</v>
      </c>
      <c r="B168" s="63" t="s">
        <v>120</v>
      </c>
      <c r="C168" s="115" t="s">
        <v>114</v>
      </c>
      <c r="D168" s="64"/>
    </row>
    <row r="169" spans="1:4" ht="15" customHeight="1" x14ac:dyDescent="0.3">
      <c r="A169" s="71">
        <v>21903007</v>
      </c>
      <c r="B169" s="63" t="s">
        <v>121</v>
      </c>
      <c r="C169" s="115" t="s">
        <v>114</v>
      </c>
      <c r="D169" s="64"/>
    </row>
    <row r="170" spans="1:4" ht="15" customHeight="1" x14ac:dyDescent="0.3">
      <c r="A170" s="71">
        <v>21903008</v>
      </c>
      <c r="B170" s="63" t="s">
        <v>122</v>
      </c>
      <c r="C170" s="115" t="s">
        <v>114</v>
      </c>
      <c r="D170" s="64"/>
    </row>
    <row r="171" spans="1:4" ht="15" customHeight="1" x14ac:dyDescent="0.3">
      <c r="A171" s="71">
        <v>21903009</v>
      </c>
      <c r="B171" s="63" t="s">
        <v>123</v>
      </c>
      <c r="C171" s="115" t="s">
        <v>114</v>
      </c>
      <c r="D171" s="64"/>
    </row>
    <row r="172" spans="1:4" ht="15" customHeight="1" x14ac:dyDescent="0.3">
      <c r="A172" s="71">
        <v>21903010</v>
      </c>
      <c r="B172" s="63" t="s">
        <v>124</v>
      </c>
      <c r="C172" s="115" t="s">
        <v>114</v>
      </c>
      <c r="D172" s="64"/>
    </row>
    <row r="173" spans="1:4" ht="15" customHeight="1" x14ac:dyDescent="0.3">
      <c r="A173" s="71">
        <v>21903011</v>
      </c>
      <c r="B173" s="63" t="s">
        <v>125</v>
      </c>
      <c r="C173" s="115" t="s">
        <v>114</v>
      </c>
      <c r="D173" s="64"/>
    </row>
    <row r="174" spans="1:4" ht="15" customHeight="1" x14ac:dyDescent="0.3">
      <c r="A174" s="71">
        <v>21903012</v>
      </c>
      <c r="B174" s="63" t="s">
        <v>126</v>
      </c>
      <c r="C174" s="115" t="s">
        <v>114</v>
      </c>
      <c r="D174" s="64"/>
    </row>
    <row r="175" spans="1:4" ht="15" customHeight="1" x14ac:dyDescent="0.3">
      <c r="A175" s="71">
        <v>21903013</v>
      </c>
      <c r="B175" s="63" t="s">
        <v>127</v>
      </c>
      <c r="C175" s="115" t="s">
        <v>114</v>
      </c>
      <c r="D175" s="64"/>
    </row>
    <row r="176" spans="1:4" ht="15" customHeight="1" x14ac:dyDescent="0.3">
      <c r="A176" s="71">
        <v>21903014</v>
      </c>
      <c r="B176" s="63" t="s">
        <v>128</v>
      </c>
      <c r="C176" s="115" t="s">
        <v>114</v>
      </c>
      <c r="D176" s="64"/>
    </row>
    <row r="177" spans="1:4" ht="15" customHeight="1" x14ac:dyDescent="0.3">
      <c r="A177" s="71">
        <v>21903015</v>
      </c>
      <c r="B177" s="63" t="s">
        <v>129</v>
      </c>
      <c r="C177" s="115" t="s">
        <v>114</v>
      </c>
      <c r="D177" s="64"/>
    </row>
    <row r="178" spans="1:4" ht="15" customHeight="1" x14ac:dyDescent="0.3">
      <c r="A178" s="71">
        <v>21903016</v>
      </c>
      <c r="B178" s="63" t="s">
        <v>130</v>
      </c>
      <c r="C178" s="115" t="s">
        <v>114</v>
      </c>
      <c r="D178" s="64"/>
    </row>
    <row r="179" spans="1:4" ht="15" customHeight="1" x14ac:dyDescent="0.3">
      <c r="A179" s="71">
        <v>21903017</v>
      </c>
      <c r="B179" s="63" t="s">
        <v>131</v>
      </c>
      <c r="C179" s="115" t="s">
        <v>114</v>
      </c>
      <c r="D179" s="64"/>
    </row>
    <row r="180" spans="1:4" ht="15" customHeight="1" x14ac:dyDescent="0.3">
      <c r="A180" s="71">
        <v>21903018</v>
      </c>
      <c r="B180" s="63" t="s">
        <v>137</v>
      </c>
      <c r="C180" s="115" t="s">
        <v>63</v>
      </c>
      <c r="D180" s="64">
        <v>7425</v>
      </c>
    </row>
    <row r="181" spans="1:4" ht="15" customHeight="1" x14ac:dyDescent="0.3">
      <c r="A181" s="71">
        <v>21903019</v>
      </c>
      <c r="B181" s="63" t="s">
        <v>138</v>
      </c>
      <c r="C181" s="115" t="s">
        <v>63</v>
      </c>
      <c r="D181" s="64">
        <v>5750</v>
      </c>
    </row>
    <row r="182" spans="1:4" ht="15" customHeight="1" x14ac:dyDescent="0.3">
      <c r="A182" s="71">
        <v>21903020</v>
      </c>
      <c r="B182" s="63" t="s">
        <v>139</v>
      </c>
      <c r="C182" s="115" t="s">
        <v>63</v>
      </c>
      <c r="D182" s="64">
        <v>5800</v>
      </c>
    </row>
    <row r="183" spans="1:4" ht="15" customHeight="1" x14ac:dyDescent="0.3">
      <c r="A183" s="71">
        <v>21903021</v>
      </c>
      <c r="B183" s="63" t="s">
        <v>140</v>
      </c>
      <c r="C183" s="115" t="s">
        <v>63</v>
      </c>
      <c r="D183" s="64">
        <v>5450</v>
      </c>
    </row>
    <row r="184" spans="1:4" ht="15" customHeight="1" x14ac:dyDescent="0.3">
      <c r="A184" s="71">
        <v>21903022</v>
      </c>
      <c r="B184" s="63" t="s">
        <v>141</v>
      </c>
      <c r="C184" s="115" t="s">
        <v>63</v>
      </c>
      <c r="D184" s="64">
        <v>5900</v>
      </c>
    </row>
    <row r="185" spans="1:4" ht="15" customHeight="1" x14ac:dyDescent="0.3">
      <c r="A185" s="71">
        <v>21903023</v>
      </c>
      <c r="B185" s="63" t="s">
        <v>142</v>
      </c>
      <c r="C185" s="115" t="s">
        <v>63</v>
      </c>
      <c r="D185" s="64">
        <v>5000</v>
      </c>
    </row>
    <row r="186" spans="1:4" ht="15" customHeight="1" x14ac:dyDescent="0.3">
      <c r="A186" s="71">
        <v>21903024</v>
      </c>
      <c r="B186" s="63" t="s">
        <v>143</v>
      </c>
      <c r="C186" s="115" t="s">
        <v>63</v>
      </c>
      <c r="D186" s="64">
        <v>4275</v>
      </c>
    </row>
    <row r="187" spans="1:4" ht="15" customHeight="1" x14ac:dyDescent="0.3">
      <c r="A187" s="71">
        <v>21903025</v>
      </c>
      <c r="B187" s="63" t="s">
        <v>144</v>
      </c>
      <c r="C187" s="115" t="s">
        <v>63</v>
      </c>
      <c r="D187" s="64">
        <v>3825</v>
      </c>
    </row>
    <row r="188" spans="1:4" ht="15" customHeight="1" x14ac:dyDescent="0.3">
      <c r="A188" s="71">
        <v>21904001</v>
      </c>
      <c r="B188" s="63" t="s">
        <v>132</v>
      </c>
      <c r="C188" s="115" t="s">
        <v>40</v>
      </c>
      <c r="D188" s="64">
        <v>19150</v>
      </c>
    </row>
    <row r="189" spans="1:4" ht="15" customHeight="1" x14ac:dyDescent="0.3">
      <c r="A189" s="71">
        <v>21904002</v>
      </c>
      <c r="B189" s="63" t="s">
        <v>133</v>
      </c>
      <c r="C189" s="115" t="s">
        <v>40</v>
      </c>
      <c r="D189" s="64">
        <v>23000</v>
      </c>
    </row>
    <row r="190" spans="1:4" ht="15" customHeight="1" x14ac:dyDescent="0.3">
      <c r="A190" s="71">
        <v>21904003</v>
      </c>
      <c r="B190" s="63" t="s">
        <v>134</v>
      </c>
      <c r="C190" s="115" t="s">
        <v>40</v>
      </c>
      <c r="D190" s="64">
        <v>13500</v>
      </c>
    </row>
    <row r="191" spans="1:4" ht="15" customHeight="1" x14ac:dyDescent="0.3">
      <c r="A191" s="71" t="s">
        <v>738</v>
      </c>
      <c r="B191" s="63" t="s">
        <v>741</v>
      </c>
      <c r="C191" s="115" t="s">
        <v>114</v>
      </c>
      <c r="D191" s="64">
        <v>68750</v>
      </c>
    </row>
    <row r="192" spans="1:4" ht="15" customHeight="1" x14ac:dyDescent="0.3">
      <c r="A192" s="71" t="s">
        <v>740</v>
      </c>
      <c r="B192" s="63" t="s">
        <v>739</v>
      </c>
      <c r="C192" s="115" t="s">
        <v>114</v>
      </c>
      <c r="D192" s="64">
        <v>258500</v>
      </c>
    </row>
    <row r="193" spans="1:4" ht="15" customHeight="1" x14ac:dyDescent="0.3">
      <c r="A193" s="71">
        <v>21904004</v>
      </c>
      <c r="B193" s="63" t="s">
        <v>135</v>
      </c>
      <c r="C193" s="115" t="s">
        <v>40</v>
      </c>
      <c r="D193" s="64">
        <f>D188</f>
        <v>19150</v>
      </c>
    </row>
    <row r="194" spans="1:4" ht="15" customHeight="1" x14ac:dyDescent="0.3">
      <c r="A194" s="71">
        <v>21904005</v>
      </c>
      <c r="B194" s="63" t="s">
        <v>136</v>
      </c>
      <c r="C194" s="115" t="s">
        <v>40</v>
      </c>
      <c r="D194" s="64">
        <f>D188</f>
        <v>19150</v>
      </c>
    </row>
    <row r="195" spans="1:4" ht="15" customHeight="1" x14ac:dyDescent="0.3">
      <c r="A195" s="71">
        <v>21904006</v>
      </c>
      <c r="B195" s="63" t="s">
        <v>145</v>
      </c>
      <c r="C195" s="115" t="s">
        <v>63</v>
      </c>
      <c r="D195" s="64">
        <f>ROUNDDOWN(112500/6,-2)</f>
        <v>18700</v>
      </c>
    </row>
    <row r="196" spans="1:4" ht="15" customHeight="1" x14ac:dyDescent="0.3">
      <c r="A196" s="71">
        <v>21904007</v>
      </c>
      <c r="B196" s="63" t="s">
        <v>146</v>
      </c>
      <c r="C196" s="115" t="s">
        <v>114</v>
      </c>
      <c r="D196" s="64">
        <v>47000</v>
      </c>
    </row>
    <row r="197" spans="1:4" ht="15" customHeight="1" x14ac:dyDescent="0.3">
      <c r="A197" s="71">
        <v>21905001</v>
      </c>
      <c r="B197" s="63" t="s">
        <v>147</v>
      </c>
      <c r="C197" s="115" t="s">
        <v>40</v>
      </c>
      <c r="D197" s="64">
        <v>13700</v>
      </c>
    </row>
    <row r="198" spans="1:4" ht="15" customHeight="1" x14ac:dyDescent="0.3">
      <c r="A198" s="71">
        <v>21905002</v>
      </c>
      <c r="B198" s="63" t="s">
        <v>622</v>
      </c>
      <c r="C198" s="115" t="s">
        <v>621</v>
      </c>
      <c r="D198" s="64">
        <v>695000</v>
      </c>
    </row>
    <row r="199" spans="1:4" ht="15" customHeight="1" x14ac:dyDescent="0.3">
      <c r="A199" s="71">
        <v>21905005</v>
      </c>
      <c r="B199" s="63" t="s">
        <v>148</v>
      </c>
      <c r="C199" s="115" t="s">
        <v>40</v>
      </c>
      <c r="D199" s="64">
        <v>13700</v>
      </c>
    </row>
    <row r="200" spans="1:4" ht="15" customHeight="1" x14ac:dyDescent="0.3">
      <c r="A200" s="71">
        <v>21905008</v>
      </c>
      <c r="B200" s="63" t="s">
        <v>695</v>
      </c>
      <c r="C200" s="115" t="s">
        <v>40</v>
      </c>
      <c r="D200" s="64">
        <v>30000</v>
      </c>
    </row>
    <row r="201" spans="1:4" ht="23.5" customHeight="1" x14ac:dyDescent="0.3">
      <c r="A201" s="71">
        <v>21905011</v>
      </c>
      <c r="B201" s="63" t="s">
        <v>697</v>
      </c>
      <c r="C201" s="115" t="s">
        <v>621</v>
      </c>
      <c r="D201" s="64">
        <v>275000</v>
      </c>
    </row>
    <row r="202" spans="1:4" ht="15" customHeight="1" x14ac:dyDescent="0.3">
      <c r="A202" s="71">
        <v>21905014</v>
      </c>
      <c r="B202" s="63" t="s">
        <v>694</v>
      </c>
      <c r="C202" s="115" t="s">
        <v>63</v>
      </c>
      <c r="D202" s="64"/>
    </row>
    <row r="203" spans="1:4" ht="15" customHeight="1" x14ac:dyDescent="0.3">
      <c r="A203" s="71">
        <v>21920001</v>
      </c>
      <c r="B203" s="63" t="s">
        <v>759</v>
      </c>
      <c r="C203" s="115" t="s">
        <v>760</v>
      </c>
      <c r="D203" s="64">
        <v>250000</v>
      </c>
    </row>
    <row r="204" spans="1:4" ht="15" customHeight="1" x14ac:dyDescent="0.3">
      <c r="A204" s="71"/>
      <c r="B204" s="63"/>
      <c r="C204" s="115"/>
      <c r="D204" s="64"/>
    </row>
    <row r="205" spans="1:4" ht="15" customHeight="1" x14ac:dyDescent="0.3">
      <c r="A205" s="71"/>
      <c r="B205" s="63"/>
      <c r="C205" s="115"/>
      <c r="D205" s="64"/>
    </row>
    <row r="206" spans="1:4" ht="15" customHeight="1" x14ac:dyDescent="0.3">
      <c r="A206" s="70">
        <v>21910000</v>
      </c>
      <c r="B206" s="111" t="s">
        <v>732</v>
      </c>
      <c r="C206" s="115"/>
      <c r="D206" s="64"/>
    </row>
    <row r="207" spans="1:4" ht="15" customHeight="1" x14ac:dyDescent="0.3">
      <c r="A207" s="71">
        <v>21911001</v>
      </c>
      <c r="B207" s="63" t="s">
        <v>149</v>
      </c>
      <c r="C207" s="115" t="s">
        <v>59</v>
      </c>
      <c r="D207" s="64">
        <v>21200</v>
      </c>
    </row>
    <row r="208" spans="1:4" ht="15" customHeight="1" x14ac:dyDescent="0.3">
      <c r="A208" s="71">
        <v>21911002</v>
      </c>
      <c r="B208" s="63" t="s">
        <v>150</v>
      </c>
      <c r="C208" s="115" t="s">
        <v>40</v>
      </c>
      <c r="D208" s="64">
        <f>D207</f>
        <v>21200</v>
      </c>
    </row>
    <row r="209" spans="1:4" ht="15" customHeight="1" x14ac:dyDescent="0.3">
      <c r="A209" s="71">
        <v>21911005</v>
      </c>
      <c r="B209" s="63" t="s">
        <v>151</v>
      </c>
      <c r="C209" s="115" t="s">
        <v>40</v>
      </c>
      <c r="D209" s="64">
        <f>D208</f>
        <v>21200</v>
      </c>
    </row>
    <row r="210" spans="1:4" ht="15" customHeight="1" x14ac:dyDescent="0.3">
      <c r="A210" s="71">
        <v>21911012</v>
      </c>
      <c r="B210" s="63" t="s">
        <v>152</v>
      </c>
      <c r="C210" s="115" t="s">
        <v>40</v>
      </c>
      <c r="D210" s="64">
        <f>D209</f>
        <v>21200</v>
      </c>
    </row>
    <row r="211" spans="1:4" ht="15" customHeight="1" x14ac:dyDescent="0.3">
      <c r="A211" s="71">
        <v>21911015</v>
      </c>
      <c r="B211" s="63" t="s">
        <v>153</v>
      </c>
      <c r="C211" s="115" t="s">
        <v>40</v>
      </c>
      <c r="D211" s="64">
        <f>D210</f>
        <v>21200</v>
      </c>
    </row>
    <row r="212" spans="1:4" ht="15" customHeight="1" x14ac:dyDescent="0.3">
      <c r="A212" s="71">
        <v>21911018</v>
      </c>
      <c r="B212" s="63" t="s">
        <v>154</v>
      </c>
      <c r="C212" s="115" t="s">
        <v>40</v>
      </c>
      <c r="D212" s="64">
        <f>D211</f>
        <v>21200</v>
      </c>
    </row>
    <row r="213" spans="1:4" ht="15" customHeight="1" x14ac:dyDescent="0.3">
      <c r="A213" s="71">
        <v>21911021</v>
      </c>
      <c r="B213" s="63" t="s">
        <v>155</v>
      </c>
      <c r="C213" s="115"/>
      <c r="D213" s="64">
        <v>30000</v>
      </c>
    </row>
    <row r="214" spans="1:4" ht="15" customHeight="1" x14ac:dyDescent="0.3">
      <c r="A214" s="71">
        <v>21911024</v>
      </c>
      <c r="B214" s="63" t="s">
        <v>883</v>
      </c>
      <c r="C214" s="115" t="s">
        <v>40</v>
      </c>
      <c r="D214" s="64">
        <v>18500</v>
      </c>
    </row>
    <row r="215" spans="1:4" ht="15" customHeight="1" x14ac:dyDescent="0.3">
      <c r="A215" s="71">
        <v>21911027</v>
      </c>
      <c r="B215" s="63" t="s">
        <v>156</v>
      </c>
      <c r="C215" s="115" t="s">
        <v>40</v>
      </c>
      <c r="D215" s="64">
        <f>D214</f>
        <v>18500</v>
      </c>
    </row>
    <row r="216" spans="1:4" ht="15" customHeight="1" x14ac:dyDescent="0.3">
      <c r="A216" s="71">
        <v>21911030</v>
      </c>
      <c r="B216" s="63" t="s">
        <v>157</v>
      </c>
      <c r="C216" s="115" t="s">
        <v>40</v>
      </c>
      <c r="D216" s="64">
        <f>D215</f>
        <v>18500</v>
      </c>
    </row>
    <row r="217" spans="1:4" ht="15" customHeight="1" x14ac:dyDescent="0.3">
      <c r="A217" s="71">
        <v>21911033</v>
      </c>
      <c r="B217" s="116" t="s">
        <v>158</v>
      </c>
      <c r="C217" s="115" t="s">
        <v>40</v>
      </c>
      <c r="D217" s="64">
        <f>D216</f>
        <v>18500</v>
      </c>
    </row>
    <row r="218" spans="1:4" ht="15" customHeight="1" x14ac:dyDescent="0.3">
      <c r="A218" s="71">
        <v>21912000</v>
      </c>
      <c r="B218" s="116" t="s">
        <v>736</v>
      </c>
      <c r="C218" s="115" t="s">
        <v>40</v>
      </c>
      <c r="D218" s="64"/>
    </row>
    <row r="219" spans="1:4" ht="15" customHeight="1" x14ac:dyDescent="0.3">
      <c r="A219" s="71">
        <v>21912006</v>
      </c>
      <c r="B219" s="116" t="s">
        <v>734</v>
      </c>
      <c r="C219" s="115" t="s">
        <v>737</v>
      </c>
      <c r="D219" s="64">
        <v>600</v>
      </c>
    </row>
    <row r="220" spans="1:4" ht="15" customHeight="1" x14ac:dyDescent="0.3">
      <c r="A220" s="71">
        <v>21912008</v>
      </c>
      <c r="B220" s="116" t="s">
        <v>733</v>
      </c>
      <c r="C220" s="115" t="s">
        <v>737</v>
      </c>
      <c r="D220" s="64">
        <v>850</v>
      </c>
    </row>
    <row r="221" spans="1:4" ht="15" customHeight="1" x14ac:dyDescent="0.3">
      <c r="A221" s="71">
        <v>21912010</v>
      </c>
      <c r="B221" s="116" t="s">
        <v>735</v>
      </c>
      <c r="C221" s="115" t="s">
        <v>737</v>
      </c>
      <c r="D221" s="64">
        <v>1500</v>
      </c>
    </row>
    <row r="222" spans="1:4" ht="15" customHeight="1" x14ac:dyDescent="0.3">
      <c r="A222" s="71">
        <v>21912050</v>
      </c>
      <c r="B222" s="116" t="s">
        <v>861</v>
      </c>
      <c r="C222" s="115" t="s">
        <v>696</v>
      </c>
      <c r="D222" s="64">
        <v>300</v>
      </c>
    </row>
    <row r="223" spans="1:4" ht="15" customHeight="1" x14ac:dyDescent="0.3">
      <c r="A223" s="71">
        <v>21912100</v>
      </c>
      <c r="B223" s="63" t="s">
        <v>160</v>
      </c>
      <c r="C223" s="115" t="s">
        <v>159</v>
      </c>
      <c r="D223" s="65">
        <v>500</v>
      </c>
    </row>
    <row r="224" spans="1:4" ht="15" customHeight="1" x14ac:dyDescent="0.3">
      <c r="A224" s="71">
        <v>21912103</v>
      </c>
      <c r="B224" s="63" t="s">
        <v>161</v>
      </c>
      <c r="C224" s="115" t="s">
        <v>40</v>
      </c>
      <c r="D224" s="65">
        <v>25800</v>
      </c>
    </row>
    <row r="225" spans="1:4" ht="15" customHeight="1" x14ac:dyDescent="0.3">
      <c r="A225" s="70">
        <v>21920000</v>
      </c>
      <c r="B225" s="114" t="s">
        <v>452</v>
      </c>
      <c r="C225" s="115"/>
      <c r="D225" s="65"/>
    </row>
    <row r="226" spans="1:4" ht="15" customHeight="1" x14ac:dyDescent="0.3">
      <c r="A226" s="71"/>
      <c r="B226" s="63" t="s">
        <v>163</v>
      </c>
      <c r="C226" s="115" t="s">
        <v>162</v>
      </c>
      <c r="D226" s="65">
        <v>23000</v>
      </c>
    </row>
    <row r="227" spans="1:4" ht="15" customHeight="1" x14ac:dyDescent="0.3">
      <c r="A227" s="71"/>
      <c r="B227" s="63" t="s">
        <v>165</v>
      </c>
      <c r="C227" s="115" t="s">
        <v>164</v>
      </c>
      <c r="D227" s="65">
        <v>60000</v>
      </c>
    </row>
    <row r="228" spans="1:4" ht="15" customHeight="1" x14ac:dyDescent="0.3">
      <c r="A228" s="71"/>
      <c r="B228" s="63" t="s">
        <v>166</v>
      </c>
      <c r="C228" s="115" t="s">
        <v>40</v>
      </c>
      <c r="D228" s="65">
        <v>3300</v>
      </c>
    </row>
    <row r="229" spans="1:4" ht="15" customHeight="1" x14ac:dyDescent="0.3">
      <c r="A229" s="71"/>
      <c r="B229" s="63" t="s">
        <v>168</v>
      </c>
      <c r="C229" s="115" t="s">
        <v>167</v>
      </c>
      <c r="D229" s="65">
        <v>6500</v>
      </c>
    </row>
    <row r="230" spans="1:4" ht="15" customHeight="1" x14ac:dyDescent="0.3">
      <c r="A230" s="71"/>
      <c r="B230" s="63" t="s">
        <v>169</v>
      </c>
      <c r="C230" s="115" t="s">
        <v>164</v>
      </c>
      <c r="D230" s="65">
        <v>60000</v>
      </c>
    </row>
    <row r="231" spans="1:4" ht="15" customHeight="1" x14ac:dyDescent="0.3">
      <c r="A231" s="71">
        <v>21924000</v>
      </c>
      <c r="B231" s="63" t="s">
        <v>457</v>
      </c>
      <c r="C231" s="115"/>
      <c r="D231" s="65"/>
    </row>
    <row r="232" spans="1:4" ht="15" customHeight="1" x14ac:dyDescent="0.3">
      <c r="A232" s="71">
        <v>21924002</v>
      </c>
      <c r="B232" s="63" t="s">
        <v>457</v>
      </c>
      <c r="C232" s="115" t="s">
        <v>164</v>
      </c>
      <c r="D232" s="65">
        <v>240000</v>
      </c>
    </row>
    <row r="233" spans="1:4" ht="15" customHeight="1" x14ac:dyDescent="0.3">
      <c r="A233" s="71">
        <v>21924004</v>
      </c>
      <c r="B233" s="63" t="s">
        <v>456</v>
      </c>
      <c r="C233" s="115" t="s">
        <v>170</v>
      </c>
      <c r="D233" s="65">
        <v>175000</v>
      </c>
    </row>
    <row r="234" spans="1:4" ht="15" customHeight="1" x14ac:dyDescent="0.3">
      <c r="A234" s="71">
        <v>21924005</v>
      </c>
      <c r="B234" s="63" t="s">
        <v>456</v>
      </c>
      <c r="C234" s="115" t="s">
        <v>164</v>
      </c>
      <c r="D234" s="65"/>
    </row>
    <row r="235" spans="1:4" ht="15" customHeight="1" x14ac:dyDescent="0.3">
      <c r="A235" s="71">
        <v>21924008</v>
      </c>
      <c r="B235" s="63" t="s">
        <v>455</v>
      </c>
      <c r="C235" s="115" t="s">
        <v>170</v>
      </c>
      <c r="D235" s="65">
        <v>48000</v>
      </c>
    </row>
    <row r="236" spans="1:4" ht="15" customHeight="1" x14ac:dyDescent="0.3">
      <c r="A236" s="71">
        <v>21924009</v>
      </c>
      <c r="B236" s="63" t="s">
        <v>455</v>
      </c>
      <c r="C236" s="115" t="s">
        <v>164</v>
      </c>
      <c r="D236" s="65"/>
    </row>
    <row r="237" spans="1:4" ht="15" customHeight="1" x14ac:dyDescent="0.3">
      <c r="A237" s="71">
        <v>21924012</v>
      </c>
      <c r="B237" s="63" t="s">
        <v>454</v>
      </c>
      <c r="C237" s="115"/>
      <c r="D237" s="65"/>
    </row>
    <row r="238" spans="1:4" ht="15" customHeight="1" x14ac:dyDescent="0.3">
      <c r="A238" s="71">
        <v>21924013</v>
      </c>
      <c r="B238" s="63" t="s">
        <v>454</v>
      </c>
      <c r="C238" s="115" t="s">
        <v>164</v>
      </c>
      <c r="D238" s="65"/>
    </row>
    <row r="239" spans="1:4" ht="15" customHeight="1" x14ac:dyDescent="0.3">
      <c r="A239" s="71">
        <v>21924016</v>
      </c>
      <c r="B239" s="63" t="s">
        <v>453</v>
      </c>
      <c r="C239" s="115"/>
      <c r="D239" s="65"/>
    </row>
    <row r="240" spans="1:4" ht="15" customHeight="1" x14ac:dyDescent="0.3">
      <c r="A240" s="71">
        <v>21924020</v>
      </c>
      <c r="B240" s="63" t="s">
        <v>171</v>
      </c>
      <c r="C240" s="115" t="s">
        <v>61</v>
      </c>
      <c r="D240" s="65">
        <v>100000</v>
      </c>
    </row>
    <row r="241" spans="1:4" ht="15" customHeight="1" x14ac:dyDescent="0.3">
      <c r="A241" s="71"/>
      <c r="B241" s="63" t="s">
        <v>172</v>
      </c>
      <c r="C241" s="115" t="s">
        <v>63</v>
      </c>
      <c r="D241" s="65">
        <v>6600</v>
      </c>
    </row>
    <row r="242" spans="1:4" ht="15" customHeight="1" x14ac:dyDescent="0.3">
      <c r="A242" s="71"/>
      <c r="B242" s="63" t="s">
        <v>173</v>
      </c>
      <c r="C242" s="115" t="s">
        <v>63</v>
      </c>
      <c r="D242" s="65">
        <v>3500</v>
      </c>
    </row>
    <row r="243" spans="1:4" ht="15" customHeight="1" x14ac:dyDescent="0.3">
      <c r="A243" s="71"/>
      <c r="B243" s="63" t="s">
        <v>175</v>
      </c>
      <c r="C243" s="115" t="s">
        <v>174</v>
      </c>
      <c r="D243" s="65">
        <v>40000</v>
      </c>
    </row>
    <row r="244" spans="1:4" ht="15" customHeight="1" x14ac:dyDescent="0.3">
      <c r="A244" s="70">
        <v>21930000</v>
      </c>
      <c r="B244" s="111" t="s">
        <v>176</v>
      </c>
      <c r="C244" s="115"/>
      <c r="D244" s="65"/>
    </row>
    <row r="245" spans="1:4" ht="15" customHeight="1" x14ac:dyDescent="0.3">
      <c r="A245" s="71"/>
      <c r="B245" s="63" t="s">
        <v>177</v>
      </c>
      <c r="C245" s="115" t="s">
        <v>63</v>
      </c>
      <c r="D245" s="65"/>
    </row>
    <row r="246" spans="1:4" ht="15" customHeight="1" x14ac:dyDescent="0.3">
      <c r="A246" s="71"/>
      <c r="B246" s="63" t="s">
        <v>178</v>
      </c>
      <c r="C246" s="115" t="s">
        <v>63</v>
      </c>
      <c r="D246" s="65"/>
    </row>
    <row r="247" spans="1:4" ht="15" customHeight="1" x14ac:dyDescent="0.3">
      <c r="A247" s="71"/>
      <c r="B247" s="63" t="s">
        <v>179</v>
      </c>
      <c r="C247" s="115" t="s">
        <v>63</v>
      </c>
      <c r="D247" s="65"/>
    </row>
    <row r="248" spans="1:4" ht="15" customHeight="1" x14ac:dyDescent="0.3">
      <c r="A248" s="71"/>
      <c r="B248" s="63" t="s">
        <v>180</v>
      </c>
      <c r="C248" s="115" t="s">
        <v>63</v>
      </c>
      <c r="D248" s="65"/>
    </row>
    <row r="249" spans="1:4" ht="15" customHeight="1" x14ac:dyDescent="0.3">
      <c r="A249" s="71"/>
      <c r="B249" s="63" t="s">
        <v>181</v>
      </c>
      <c r="C249" s="115" t="s">
        <v>46</v>
      </c>
      <c r="D249" s="65"/>
    </row>
    <row r="250" spans="1:4" ht="15" customHeight="1" x14ac:dyDescent="0.3">
      <c r="A250" s="71"/>
      <c r="B250" s="63" t="s">
        <v>182</v>
      </c>
      <c r="C250" s="115"/>
      <c r="D250" s="65"/>
    </row>
    <row r="251" spans="1:4" ht="15" customHeight="1" x14ac:dyDescent="0.3">
      <c r="A251" s="71"/>
      <c r="B251" s="63" t="s">
        <v>183</v>
      </c>
      <c r="C251" s="115" t="s">
        <v>46</v>
      </c>
      <c r="D251" s="65"/>
    </row>
    <row r="252" spans="1:4" ht="15" customHeight="1" x14ac:dyDescent="0.3">
      <c r="A252" s="71"/>
      <c r="B252" s="63" t="s">
        <v>184</v>
      </c>
      <c r="C252" s="115" t="s">
        <v>46</v>
      </c>
      <c r="D252" s="65"/>
    </row>
    <row r="253" spans="1:4" ht="15" customHeight="1" x14ac:dyDescent="0.3">
      <c r="A253" s="71"/>
      <c r="B253" s="63" t="s">
        <v>185</v>
      </c>
      <c r="C253" s="115"/>
      <c r="D253" s="65"/>
    </row>
    <row r="254" spans="1:4" ht="15" customHeight="1" x14ac:dyDescent="0.3">
      <c r="A254" s="70">
        <v>21940000</v>
      </c>
      <c r="B254" s="111" t="s">
        <v>186</v>
      </c>
      <c r="C254" s="115"/>
      <c r="D254" s="65"/>
    </row>
    <row r="255" spans="1:4" ht="15" customHeight="1" x14ac:dyDescent="0.3">
      <c r="A255" s="71"/>
      <c r="B255" s="63" t="s">
        <v>187</v>
      </c>
      <c r="C255" s="115" t="s">
        <v>170</v>
      </c>
      <c r="D255" s="65">
        <v>120000</v>
      </c>
    </row>
    <row r="256" spans="1:4" ht="15" customHeight="1" x14ac:dyDescent="0.3">
      <c r="A256" s="71"/>
      <c r="B256" s="63" t="s">
        <v>188</v>
      </c>
      <c r="C256" s="115" t="s">
        <v>170</v>
      </c>
      <c r="D256" s="65">
        <v>364000</v>
      </c>
    </row>
    <row r="257" spans="1:4" ht="15" customHeight="1" x14ac:dyDescent="0.3">
      <c r="A257" s="71"/>
      <c r="B257" s="63" t="s">
        <v>189</v>
      </c>
      <c r="C257" s="115" t="s">
        <v>170</v>
      </c>
      <c r="D257" s="65">
        <v>465100</v>
      </c>
    </row>
    <row r="258" spans="1:4" ht="15" customHeight="1" x14ac:dyDescent="0.3">
      <c r="A258" s="71"/>
      <c r="B258" s="63" t="s">
        <v>190</v>
      </c>
      <c r="C258" s="115" t="s">
        <v>170</v>
      </c>
      <c r="D258" s="65">
        <v>959500</v>
      </c>
    </row>
    <row r="259" spans="1:4" ht="15" customHeight="1" x14ac:dyDescent="0.3">
      <c r="A259" s="71"/>
      <c r="B259" s="63" t="s">
        <v>191</v>
      </c>
      <c r="C259" s="115" t="s">
        <v>170</v>
      </c>
      <c r="D259" s="65">
        <v>175500</v>
      </c>
    </row>
    <row r="260" spans="1:4" ht="15" customHeight="1" x14ac:dyDescent="0.3">
      <c r="A260" s="71"/>
      <c r="B260" s="63" t="s">
        <v>192</v>
      </c>
      <c r="C260" s="115" t="s">
        <v>170</v>
      </c>
      <c r="D260" s="65">
        <v>231000</v>
      </c>
    </row>
    <row r="261" spans="1:4" ht="15" customHeight="1" x14ac:dyDescent="0.3">
      <c r="A261" s="71"/>
      <c r="B261" s="63" t="s">
        <v>193</v>
      </c>
      <c r="C261" s="115" t="s">
        <v>170</v>
      </c>
      <c r="D261" s="65">
        <v>151000</v>
      </c>
    </row>
    <row r="262" spans="1:4" ht="15" customHeight="1" x14ac:dyDescent="0.3">
      <c r="A262" s="71"/>
      <c r="B262" s="63" t="s">
        <v>194</v>
      </c>
      <c r="C262" s="115"/>
      <c r="D262" s="65">
        <v>140000</v>
      </c>
    </row>
    <row r="263" spans="1:4" ht="15" customHeight="1" x14ac:dyDescent="0.3">
      <c r="A263" s="70">
        <v>21950000</v>
      </c>
      <c r="B263" s="111" t="s">
        <v>195</v>
      </c>
      <c r="C263" s="115"/>
      <c r="D263" s="65"/>
    </row>
    <row r="264" spans="1:4" ht="15" customHeight="1" x14ac:dyDescent="0.3">
      <c r="A264" s="71"/>
      <c r="B264" s="63" t="s">
        <v>196</v>
      </c>
      <c r="C264" s="115" t="s">
        <v>40</v>
      </c>
      <c r="D264" s="65">
        <v>40000</v>
      </c>
    </row>
    <row r="265" spans="1:4" ht="15" customHeight="1" x14ac:dyDescent="0.3">
      <c r="A265" s="71"/>
      <c r="B265" s="63" t="s">
        <v>197</v>
      </c>
      <c r="C265" s="115" t="s">
        <v>40</v>
      </c>
      <c r="D265" s="65">
        <v>72000</v>
      </c>
    </row>
    <row r="266" spans="1:4" ht="15" customHeight="1" x14ac:dyDescent="0.3">
      <c r="A266" s="71"/>
      <c r="B266" s="63" t="s">
        <v>198</v>
      </c>
      <c r="C266" s="115" t="s">
        <v>40</v>
      </c>
      <c r="D266" s="65">
        <v>72000</v>
      </c>
    </row>
    <row r="267" spans="1:4" ht="15" customHeight="1" x14ac:dyDescent="0.3">
      <c r="A267" s="71"/>
      <c r="B267" s="63" t="s">
        <v>199</v>
      </c>
      <c r="C267" s="115" t="s">
        <v>40</v>
      </c>
      <c r="D267" s="65">
        <v>40000</v>
      </c>
    </row>
    <row r="268" spans="1:4" ht="15" customHeight="1" x14ac:dyDescent="0.3">
      <c r="A268" s="71"/>
      <c r="B268" s="63" t="s">
        <v>200</v>
      </c>
      <c r="C268" s="115"/>
      <c r="D268" s="65">
        <v>33700</v>
      </c>
    </row>
    <row r="269" spans="1:4" ht="15" customHeight="1" x14ac:dyDescent="0.3">
      <c r="A269" s="71"/>
      <c r="B269" s="63" t="s">
        <v>201</v>
      </c>
      <c r="C269" s="115" t="s">
        <v>40</v>
      </c>
      <c r="D269" s="65">
        <v>26600</v>
      </c>
    </row>
    <row r="270" spans="1:4" ht="15" customHeight="1" x14ac:dyDescent="0.3">
      <c r="A270" s="71"/>
      <c r="B270" s="63" t="s">
        <v>202</v>
      </c>
      <c r="C270" s="115" t="s">
        <v>40</v>
      </c>
      <c r="D270" s="65">
        <v>28100</v>
      </c>
    </row>
    <row r="271" spans="1:4" ht="15" customHeight="1" x14ac:dyDescent="0.3">
      <c r="A271" s="71"/>
      <c r="B271" s="63" t="s">
        <v>203</v>
      </c>
      <c r="C271" s="115" t="s">
        <v>40</v>
      </c>
      <c r="D271" s="65">
        <v>33300</v>
      </c>
    </row>
    <row r="272" spans="1:4" ht="15" customHeight="1" x14ac:dyDescent="0.3">
      <c r="A272" s="71"/>
      <c r="B272" s="63" t="s">
        <v>204</v>
      </c>
      <c r="C272" s="115" t="s">
        <v>40</v>
      </c>
      <c r="D272" s="65">
        <v>45000</v>
      </c>
    </row>
    <row r="273" spans="1:4" ht="15" customHeight="1" x14ac:dyDescent="0.3">
      <c r="A273" s="71"/>
      <c r="B273" s="63" t="s">
        <v>205</v>
      </c>
      <c r="C273" s="115"/>
      <c r="D273" s="65"/>
    </row>
    <row r="274" spans="1:4" ht="15" customHeight="1" x14ac:dyDescent="0.3">
      <c r="A274" s="71"/>
      <c r="B274" s="63" t="s">
        <v>206</v>
      </c>
      <c r="C274" s="115"/>
      <c r="D274" s="65">
        <v>118900</v>
      </c>
    </row>
    <row r="275" spans="1:4" ht="15" customHeight="1" x14ac:dyDescent="0.3">
      <c r="A275" s="71"/>
      <c r="B275" s="63" t="s">
        <v>207</v>
      </c>
      <c r="C275" s="115"/>
      <c r="D275" s="65">
        <v>60000</v>
      </c>
    </row>
    <row r="276" spans="1:4" ht="15" customHeight="1" x14ac:dyDescent="0.3">
      <c r="A276" s="71"/>
      <c r="B276" s="63" t="s">
        <v>208</v>
      </c>
      <c r="C276" s="115"/>
      <c r="D276" s="65">
        <v>20000</v>
      </c>
    </row>
    <row r="277" spans="1:4" ht="15" customHeight="1" x14ac:dyDescent="0.3">
      <c r="A277" s="71"/>
      <c r="B277" s="63" t="s">
        <v>209</v>
      </c>
      <c r="C277" s="115"/>
      <c r="D277" s="65">
        <v>5500</v>
      </c>
    </row>
    <row r="278" spans="1:4" ht="15" customHeight="1" x14ac:dyDescent="0.3">
      <c r="A278" s="71"/>
      <c r="B278" s="63" t="s">
        <v>210</v>
      </c>
      <c r="C278" s="115" t="s">
        <v>40</v>
      </c>
      <c r="D278" s="65">
        <v>29000</v>
      </c>
    </row>
    <row r="279" spans="1:4" ht="15" customHeight="1" x14ac:dyDescent="0.3">
      <c r="A279" s="70">
        <v>21960000</v>
      </c>
      <c r="B279" s="111" t="s">
        <v>214</v>
      </c>
      <c r="C279" s="115"/>
      <c r="D279" s="65"/>
    </row>
    <row r="280" spans="1:4" ht="15" customHeight="1" x14ac:dyDescent="0.3">
      <c r="A280" s="71">
        <v>21961000</v>
      </c>
      <c r="B280" s="63" t="s">
        <v>215</v>
      </c>
      <c r="C280" s="115" t="s">
        <v>213</v>
      </c>
      <c r="D280" s="65">
        <v>22100</v>
      </c>
    </row>
    <row r="281" spans="1:4" ht="15" customHeight="1" x14ac:dyDescent="0.3">
      <c r="A281" s="71">
        <v>21961100</v>
      </c>
      <c r="B281" s="63" t="s">
        <v>216</v>
      </c>
      <c r="C281" s="115" t="s">
        <v>213</v>
      </c>
      <c r="D281" s="65">
        <v>15500</v>
      </c>
    </row>
    <row r="282" spans="1:4" ht="15" customHeight="1" x14ac:dyDescent="0.3">
      <c r="A282" s="71">
        <v>21961200</v>
      </c>
      <c r="B282" s="63" t="s">
        <v>217</v>
      </c>
      <c r="C282" s="115" t="s">
        <v>213</v>
      </c>
      <c r="D282" s="65">
        <v>50000</v>
      </c>
    </row>
    <row r="283" spans="1:4" ht="15" customHeight="1" x14ac:dyDescent="0.3">
      <c r="A283" s="71">
        <v>21961300</v>
      </c>
      <c r="B283" s="63" t="s">
        <v>211</v>
      </c>
      <c r="C283" s="115"/>
      <c r="D283" s="65">
        <v>19500</v>
      </c>
    </row>
    <row r="284" spans="1:4" ht="15" customHeight="1" x14ac:dyDescent="0.3">
      <c r="A284" s="71">
        <v>21962000</v>
      </c>
      <c r="B284" s="63" t="s">
        <v>212</v>
      </c>
      <c r="C284" s="115"/>
      <c r="D284" s="65">
        <v>35</v>
      </c>
    </row>
    <row r="285" spans="1:4" ht="15" customHeight="1" x14ac:dyDescent="0.3">
      <c r="A285" s="70">
        <v>21970000</v>
      </c>
      <c r="B285" s="111" t="s">
        <v>225</v>
      </c>
      <c r="C285" s="115"/>
      <c r="D285" s="65"/>
    </row>
    <row r="286" spans="1:4" ht="15" customHeight="1" x14ac:dyDescent="0.3">
      <c r="A286" s="71"/>
      <c r="B286" s="63" t="s">
        <v>226</v>
      </c>
      <c r="C286" s="115"/>
      <c r="D286" s="65">
        <v>1452000</v>
      </c>
    </row>
    <row r="287" spans="1:4" ht="15" customHeight="1" x14ac:dyDescent="0.3">
      <c r="A287" s="71"/>
      <c r="B287" s="63" t="s">
        <v>227</v>
      </c>
      <c r="C287" s="115"/>
      <c r="D287" s="65">
        <v>364000</v>
      </c>
    </row>
    <row r="288" spans="1:4" ht="15" customHeight="1" x14ac:dyDescent="0.3">
      <c r="A288" s="71"/>
      <c r="B288" s="63" t="s">
        <v>228</v>
      </c>
      <c r="C288" s="115"/>
      <c r="D288" s="65">
        <v>1743800</v>
      </c>
    </row>
    <row r="289" spans="1:4" ht="15" customHeight="1" x14ac:dyDescent="0.3">
      <c r="A289" s="71"/>
      <c r="B289" s="63" t="s">
        <v>229</v>
      </c>
      <c r="C289" s="115"/>
      <c r="D289" s="65">
        <v>404000</v>
      </c>
    </row>
    <row r="290" spans="1:4" ht="15" customHeight="1" x14ac:dyDescent="0.3">
      <c r="A290" s="71"/>
      <c r="B290" s="63" t="s">
        <v>230</v>
      </c>
      <c r="C290" s="115"/>
      <c r="D290" s="65">
        <v>120000</v>
      </c>
    </row>
    <row r="291" spans="1:4" ht="15" customHeight="1" x14ac:dyDescent="0.3">
      <c r="A291" s="71"/>
      <c r="B291" s="63" t="s">
        <v>231</v>
      </c>
      <c r="C291" s="115"/>
      <c r="D291" s="65">
        <v>70000</v>
      </c>
    </row>
    <row r="292" spans="1:4" ht="15" customHeight="1" x14ac:dyDescent="0.3">
      <c r="A292" s="71"/>
      <c r="B292" s="63" t="s">
        <v>232</v>
      </c>
      <c r="C292" s="115"/>
      <c r="D292" s="65">
        <v>33700</v>
      </c>
    </row>
    <row r="293" spans="1:4" ht="15" customHeight="1" x14ac:dyDescent="0.3">
      <c r="A293" s="71"/>
      <c r="B293" s="63" t="s">
        <v>233</v>
      </c>
      <c r="C293" s="115"/>
      <c r="D293" s="65">
        <v>154500</v>
      </c>
    </row>
    <row r="294" spans="1:4" ht="15" customHeight="1" x14ac:dyDescent="0.3">
      <c r="A294" s="71"/>
      <c r="B294" s="63" t="s">
        <v>234</v>
      </c>
      <c r="C294" s="115"/>
      <c r="D294" s="65">
        <v>5000</v>
      </c>
    </row>
    <row r="295" spans="1:4" ht="15" customHeight="1" x14ac:dyDescent="0.3">
      <c r="A295" s="70">
        <v>21980000</v>
      </c>
      <c r="B295" s="111" t="s">
        <v>235</v>
      </c>
      <c r="C295" s="115"/>
      <c r="D295" s="65"/>
    </row>
    <row r="296" spans="1:4" ht="15" customHeight="1" x14ac:dyDescent="0.3">
      <c r="A296" s="71">
        <v>21981005</v>
      </c>
      <c r="B296" s="63" t="s">
        <v>236</v>
      </c>
      <c r="C296" s="115" t="s">
        <v>63</v>
      </c>
      <c r="D296" s="65">
        <v>7000</v>
      </c>
    </row>
    <row r="297" spans="1:4" ht="15" customHeight="1" x14ac:dyDescent="0.3">
      <c r="A297" s="71">
        <v>21981006</v>
      </c>
      <c r="B297" s="63" t="s">
        <v>236</v>
      </c>
      <c r="C297" s="115" t="s">
        <v>114</v>
      </c>
      <c r="D297" s="65">
        <f>D296*4</f>
        <v>28000</v>
      </c>
    </row>
    <row r="298" spans="1:4" ht="15" customHeight="1" x14ac:dyDescent="0.3">
      <c r="A298" s="71">
        <v>21981007</v>
      </c>
      <c r="B298" s="63" t="s">
        <v>458</v>
      </c>
      <c r="C298" s="115" t="s">
        <v>63</v>
      </c>
      <c r="D298" s="65">
        <v>9800</v>
      </c>
    </row>
    <row r="299" spans="1:4" ht="15" customHeight="1" x14ac:dyDescent="0.3">
      <c r="A299" s="71">
        <v>21981008</v>
      </c>
      <c r="B299" s="63" t="s">
        <v>458</v>
      </c>
      <c r="C299" s="115" t="s">
        <v>114</v>
      </c>
      <c r="D299" s="65">
        <f>D298*4</f>
        <v>39200</v>
      </c>
    </row>
    <row r="300" spans="1:4" ht="15" customHeight="1" x14ac:dyDescent="0.3">
      <c r="A300" s="71">
        <v>21981009</v>
      </c>
      <c r="B300" s="63" t="s">
        <v>237</v>
      </c>
      <c r="C300" s="115" t="s">
        <v>63</v>
      </c>
      <c r="D300" s="65">
        <v>13300</v>
      </c>
    </row>
    <row r="301" spans="1:4" ht="15" customHeight="1" x14ac:dyDescent="0.3">
      <c r="A301" s="71">
        <v>21981010</v>
      </c>
      <c r="B301" s="63" t="s">
        <v>237</v>
      </c>
      <c r="C301" s="115" t="s">
        <v>114</v>
      </c>
      <c r="D301" s="65">
        <f>D300*4</f>
        <v>53200</v>
      </c>
    </row>
    <row r="302" spans="1:4" ht="15" customHeight="1" x14ac:dyDescent="0.3">
      <c r="A302" s="71">
        <v>21981011</v>
      </c>
      <c r="B302" s="63" t="s">
        <v>238</v>
      </c>
      <c r="C302" s="115" t="s">
        <v>63</v>
      </c>
      <c r="D302" s="65">
        <v>21200</v>
      </c>
    </row>
    <row r="303" spans="1:4" ht="15" customHeight="1" x14ac:dyDescent="0.3">
      <c r="A303" s="71">
        <v>21981012</v>
      </c>
      <c r="B303" s="63" t="s">
        <v>238</v>
      </c>
      <c r="C303" s="115" t="s">
        <v>114</v>
      </c>
      <c r="D303" s="65">
        <f>D302*4</f>
        <v>84800</v>
      </c>
    </row>
    <row r="304" spans="1:4" ht="15" customHeight="1" x14ac:dyDescent="0.3">
      <c r="A304" s="71">
        <v>21981013</v>
      </c>
      <c r="B304" s="63" t="s">
        <v>239</v>
      </c>
      <c r="C304" s="115" t="s">
        <v>63</v>
      </c>
      <c r="D304" s="65">
        <v>26900</v>
      </c>
    </row>
    <row r="305" spans="1:4" ht="15" customHeight="1" x14ac:dyDescent="0.3">
      <c r="A305" s="71">
        <v>21981014</v>
      </c>
      <c r="B305" s="63" t="s">
        <v>239</v>
      </c>
      <c r="C305" s="115" t="s">
        <v>114</v>
      </c>
      <c r="D305" s="65">
        <f>D304*4</f>
        <v>107600</v>
      </c>
    </row>
    <row r="306" spans="1:4" ht="15" customHeight="1" x14ac:dyDescent="0.3">
      <c r="A306" s="71">
        <v>21981015</v>
      </c>
      <c r="B306" s="63" t="s">
        <v>240</v>
      </c>
      <c r="C306" s="115" t="s">
        <v>63</v>
      </c>
      <c r="D306" s="65">
        <v>57600</v>
      </c>
    </row>
    <row r="307" spans="1:4" ht="15" customHeight="1" x14ac:dyDescent="0.3">
      <c r="A307" s="71">
        <v>21981016</v>
      </c>
      <c r="B307" s="63" t="s">
        <v>240</v>
      </c>
      <c r="C307" s="115" t="s">
        <v>114</v>
      </c>
      <c r="D307" s="65">
        <f>D306*4</f>
        <v>230400</v>
      </c>
    </row>
    <row r="308" spans="1:4" ht="15" customHeight="1" x14ac:dyDescent="0.3">
      <c r="A308" s="71">
        <v>21981017</v>
      </c>
      <c r="B308" s="63" t="s">
        <v>241</v>
      </c>
      <c r="C308" s="115" t="s">
        <v>63</v>
      </c>
      <c r="D308" s="65">
        <v>94800</v>
      </c>
    </row>
    <row r="309" spans="1:4" ht="15" customHeight="1" x14ac:dyDescent="0.3">
      <c r="A309" s="71">
        <v>21981018</v>
      </c>
      <c r="B309" s="63" t="s">
        <v>241</v>
      </c>
      <c r="C309" s="115" t="s">
        <v>114</v>
      </c>
      <c r="D309" s="65">
        <f>D308*4</f>
        <v>379200</v>
      </c>
    </row>
    <row r="310" spans="1:4" ht="15" customHeight="1" x14ac:dyDescent="0.3">
      <c r="A310" s="71">
        <v>21981019</v>
      </c>
      <c r="B310" s="63" t="s">
        <v>242</v>
      </c>
      <c r="C310" s="115" t="s">
        <v>63</v>
      </c>
      <c r="D310" s="65">
        <v>30500</v>
      </c>
    </row>
    <row r="311" spans="1:4" ht="15" customHeight="1" x14ac:dyDescent="0.3">
      <c r="A311" s="71">
        <v>21981020</v>
      </c>
      <c r="B311" s="63" t="s">
        <v>242</v>
      </c>
      <c r="C311" s="115" t="s">
        <v>114</v>
      </c>
      <c r="D311" s="65">
        <f>D310*4</f>
        <v>122000</v>
      </c>
    </row>
    <row r="312" spans="1:4" ht="15" customHeight="1" x14ac:dyDescent="0.3">
      <c r="A312" s="71">
        <v>21981021</v>
      </c>
      <c r="B312" s="63" t="s">
        <v>243</v>
      </c>
      <c r="C312" s="115" t="s">
        <v>63</v>
      </c>
      <c r="D312" s="65">
        <v>54600</v>
      </c>
    </row>
    <row r="313" spans="1:4" ht="15" customHeight="1" x14ac:dyDescent="0.3">
      <c r="A313" s="71">
        <v>21981022</v>
      </c>
      <c r="B313" s="63" t="s">
        <v>243</v>
      </c>
      <c r="C313" s="115" t="s">
        <v>114</v>
      </c>
      <c r="D313" s="65">
        <f>D312*4</f>
        <v>218400</v>
      </c>
    </row>
    <row r="314" spans="1:4" ht="15" customHeight="1" x14ac:dyDescent="0.3">
      <c r="A314" s="70">
        <v>21990000</v>
      </c>
      <c r="B314" s="114" t="s">
        <v>460</v>
      </c>
      <c r="C314" s="115"/>
      <c r="D314" s="65"/>
    </row>
    <row r="315" spans="1:4" ht="15" customHeight="1" x14ac:dyDescent="0.3">
      <c r="A315" s="71"/>
      <c r="B315" s="63" t="s">
        <v>248</v>
      </c>
      <c r="C315" s="115"/>
      <c r="D315" s="65">
        <v>55000</v>
      </c>
    </row>
    <row r="316" spans="1:4" ht="15" customHeight="1" x14ac:dyDescent="0.3">
      <c r="A316" s="71"/>
      <c r="B316" s="117" t="s">
        <v>249</v>
      </c>
      <c r="C316" s="115"/>
      <c r="D316" s="65">
        <v>75700</v>
      </c>
    </row>
    <row r="317" spans="1:4" ht="15" customHeight="1" x14ac:dyDescent="0.3">
      <c r="A317" s="70">
        <v>22100000</v>
      </c>
      <c r="B317" s="120" t="s">
        <v>780</v>
      </c>
      <c r="C317" s="115"/>
      <c r="D317" s="65"/>
    </row>
    <row r="318" spans="1:4" ht="15" customHeight="1" x14ac:dyDescent="0.3">
      <c r="A318" s="70">
        <v>22101000</v>
      </c>
      <c r="B318" s="117" t="s">
        <v>781</v>
      </c>
      <c r="C318" s="115" t="s">
        <v>43</v>
      </c>
      <c r="D318" s="65">
        <v>495000</v>
      </c>
    </row>
    <row r="319" spans="1:4" ht="15" customHeight="1" x14ac:dyDescent="0.3">
      <c r="A319" s="70">
        <v>22101002</v>
      </c>
      <c r="B319" s="117" t="s">
        <v>782</v>
      </c>
      <c r="C319" s="115" t="s">
        <v>43</v>
      </c>
      <c r="D319" s="65">
        <v>670000</v>
      </c>
    </row>
    <row r="320" spans="1:4" ht="15" customHeight="1" x14ac:dyDescent="0.3">
      <c r="A320" s="70">
        <v>22101004</v>
      </c>
      <c r="B320" s="117" t="s">
        <v>783</v>
      </c>
      <c r="C320" s="115" t="s">
        <v>43</v>
      </c>
      <c r="D320" s="65">
        <v>655000</v>
      </c>
    </row>
    <row r="321" spans="1:4" ht="15" customHeight="1" x14ac:dyDescent="0.3">
      <c r="A321" s="70">
        <v>22101006</v>
      </c>
      <c r="B321" s="117" t="s">
        <v>784</v>
      </c>
      <c r="C321" s="115" t="s">
        <v>43</v>
      </c>
      <c r="D321" s="65">
        <v>700000</v>
      </c>
    </row>
    <row r="322" spans="1:4" ht="15" customHeight="1" x14ac:dyDescent="0.3">
      <c r="A322" s="70">
        <v>22101008</v>
      </c>
      <c r="B322" s="117" t="s">
        <v>785</v>
      </c>
      <c r="C322" s="115" t="s">
        <v>43</v>
      </c>
      <c r="D322" s="65">
        <v>690000</v>
      </c>
    </row>
    <row r="323" spans="1:4" ht="15" customHeight="1" x14ac:dyDescent="0.3">
      <c r="A323" s="70">
        <v>22101010</v>
      </c>
      <c r="B323" s="117" t="s">
        <v>786</v>
      </c>
      <c r="C323" s="115" t="s">
        <v>43</v>
      </c>
      <c r="D323" s="65">
        <v>710000</v>
      </c>
    </row>
    <row r="324" spans="1:4" ht="15" customHeight="1" x14ac:dyDescent="0.3">
      <c r="A324" s="70">
        <v>22101012</v>
      </c>
      <c r="B324" s="117" t="s">
        <v>787</v>
      </c>
      <c r="C324" s="115" t="s">
        <v>43</v>
      </c>
      <c r="D324" s="65">
        <v>710000</v>
      </c>
    </row>
    <row r="325" spans="1:4" ht="15" customHeight="1" x14ac:dyDescent="0.3">
      <c r="A325" s="70">
        <v>22101014</v>
      </c>
      <c r="B325" s="117" t="s">
        <v>788</v>
      </c>
      <c r="C325" s="115" t="s">
        <v>43</v>
      </c>
      <c r="D325" s="65">
        <v>715000</v>
      </c>
    </row>
    <row r="326" spans="1:4" ht="15" customHeight="1" x14ac:dyDescent="0.3">
      <c r="A326" s="70">
        <v>22101016</v>
      </c>
      <c r="B326" s="117" t="s">
        <v>789</v>
      </c>
      <c r="C326" s="115" t="s">
        <v>43</v>
      </c>
      <c r="D326" s="65">
        <v>760000</v>
      </c>
    </row>
    <row r="327" spans="1:4" ht="15" customHeight="1" x14ac:dyDescent="0.3">
      <c r="A327" s="70">
        <v>22101018</v>
      </c>
      <c r="B327" s="117" t="s">
        <v>790</v>
      </c>
      <c r="C327" s="115" t="s">
        <v>43</v>
      </c>
      <c r="D327" s="65">
        <v>810000</v>
      </c>
    </row>
    <row r="328" spans="1:4" ht="15" customHeight="1" x14ac:dyDescent="0.3">
      <c r="A328" s="70">
        <v>22101020</v>
      </c>
      <c r="B328" s="117" t="s">
        <v>791</v>
      </c>
      <c r="C328" s="115" t="s">
        <v>43</v>
      </c>
      <c r="D328" s="65">
        <v>860000</v>
      </c>
    </row>
    <row r="329" spans="1:4" ht="15" customHeight="1" x14ac:dyDescent="0.3">
      <c r="A329" s="70">
        <v>22101022</v>
      </c>
      <c r="B329" s="117" t="s">
        <v>792</v>
      </c>
      <c r="C329" s="115" t="s">
        <v>43</v>
      </c>
      <c r="D329" s="65">
        <v>770000</v>
      </c>
    </row>
    <row r="330" spans="1:4" ht="15" customHeight="1" x14ac:dyDescent="0.3">
      <c r="A330" s="70">
        <v>22101024</v>
      </c>
      <c r="B330" s="117" t="s">
        <v>793</v>
      </c>
      <c r="C330" s="115" t="s">
        <v>43</v>
      </c>
      <c r="D330" s="65">
        <v>890000</v>
      </c>
    </row>
    <row r="331" spans="1:4" ht="15" customHeight="1" x14ac:dyDescent="0.3">
      <c r="A331" s="70">
        <v>22101026</v>
      </c>
      <c r="B331" s="117" t="s">
        <v>794</v>
      </c>
      <c r="C331" s="115" t="s">
        <v>43</v>
      </c>
      <c r="D331" s="65">
        <v>880000</v>
      </c>
    </row>
    <row r="332" spans="1:4" ht="15" customHeight="1" x14ac:dyDescent="0.3">
      <c r="A332" s="70">
        <v>22101028</v>
      </c>
      <c r="B332" s="117" t="s">
        <v>795</v>
      </c>
      <c r="C332" s="115" t="s">
        <v>43</v>
      </c>
      <c r="D332" s="65">
        <v>930000</v>
      </c>
    </row>
    <row r="333" spans="1:4" ht="15" customHeight="1" x14ac:dyDescent="0.3">
      <c r="A333" s="70">
        <v>22101030</v>
      </c>
      <c r="B333" s="117" t="s">
        <v>796</v>
      </c>
      <c r="C333" s="115" t="s">
        <v>43</v>
      </c>
      <c r="D333" s="65"/>
    </row>
    <row r="334" spans="1:4" ht="15" customHeight="1" x14ac:dyDescent="0.3">
      <c r="A334" s="70">
        <v>22101032</v>
      </c>
      <c r="B334" s="117" t="s">
        <v>797</v>
      </c>
      <c r="C334" s="115" t="s">
        <v>43</v>
      </c>
      <c r="D334" s="65">
        <v>860000</v>
      </c>
    </row>
    <row r="335" spans="1:4" ht="15" customHeight="1" x14ac:dyDescent="0.3">
      <c r="A335" s="70">
        <v>22101034</v>
      </c>
      <c r="B335" s="117" t="s">
        <v>798</v>
      </c>
      <c r="C335" s="115" t="s">
        <v>43</v>
      </c>
      <c r="D335" s="65"/>
    </row>
    <row r="336" spans="1:4" ht="15" customHeight="1" x14ac:dyDescent="0.3">
      <c r="A336" s="70">
        <v>22101036</v>
      </c>
      <c r="B336" s="117" t="s">
        <v>799</v>
      </c>
      <c r="C336" s="115" t="s">
        <v>43</v>
      </c>
      <c r="D336" s="65"/>
    </row>
    <row r="337" spans="1:4" ht="15" customHeight="1" x14ac:dyDescent="0.3">
      <c r="A337" s="70">
        <v>22101038</v>
      </c>
      <c r="B337" s="117" t="s">
        <v>800</v>
      </c>
      <c r="C337" s="115" t="s">
        <v>43</v>
      </c>
      <c r="D337" s="65"/>
    </row>
    <row r="338" spans="1:4" ht="15" customHeight="1" x14ac:dyDescent="0.3">
      <c r="A338" s="71"/>
      <c r="B338" s="117" t="s">
        <v>250</v>
      </c>
      <c r="C338" s="115"/>
      <c r="D338" s="65">
        <v>38000</v>
      </c>
    </row>
    <row r="339" spans="1:4" ht="15" customHeight="1" x14ac:dyDescent="0.3">
      <c r="A339" s="71"/>
      <c r="B339" s="117" t="s">
        <v>251</v>
      </c>
      <c r="C339" s="115"/>
      <c r="D339" s="65">
        <v>220000</v>
      </c>
    </row>
    <row r="340" spans="1:4" ht="15" customHeight="1" x14ac:dyDescent="0.3">
      <c r="A340" s="71"/>
      <c r="B340" s="63" t="s">
        <v>252</v>
      </c>
      <c r="C340" s="115"/>
      <c r="D340" s="65">
        <v>319000</v>
      </c>
    </row>
    <row r="341" spans="1:4" ht="15" customHeight="1" x14ac:dyDescent="0.3">
      <c r="A341" s="71">
        <v>22310001</v>
      </c>
      <c r="B341" s="63" t="s">
        <v>920</v>
      </c>
      <c r="C341" s="115" t="s">
        <v>696</v>
      </c>
      <c r="D341" s="65"/>
    </row>
    <row r="342" spans="1:4" ht="15" customHeight="1" x14ac:dyDescent="0.3">
      <c r="A342" s="71">
        <v>22310002</v>
      </c>
      <c r="B342" s="63" t="s">
        <v>921</v>
      </c>
      <c r="C342" s="115" t="s">
        <v>696</v>
      </c>
      <c r="D342" s="65"/>
    </row>
    <row r="343" spans="1:4" ht="15" customHeight="1" x14ac:dyDescent="0.3">
      <c r="A343" s="71">
        <v>22310003</v>
      </c>
      <c r="B343" s="63" t="s">
        <v>922</v>
      </c>
      <c r="C343" s="115" t="s">
        <v>696</v>
      </c>
      <c r="D343" s="65"/>
    </row>
    <row r="344" spans="1:4" ht="15" customHeight="1" x14ac:dyDescent="0.3">
      <c r="A344" s="71">
        <v>22310004</v>
      </c>
      <c r="B344" s="63" t="s">
        <v>923</v>
      </c>
      <c r="C344" s="115" t="s">
        <v>696</v>
      </c>
      <c r="D344" s="65"/>
    </row>
    <row r="345" spans="1:4" ht="15" customHeight="1" x14ac:dyDescent="0.3">
      <c r="A345" s="71">
        <v>22310005</v>
      </c>
      <c r="B345" s="63" t="s">
        <v>951</v>
      </c>
      <c r="C345" s="115" t="s">
        <v>696</v>
      </c>
      <c r="D345" s="65"/>
    </row>
    <row r="346" spans="1:4" ht="15" customHeight="1" x14ac:dyDescent="0.3">
      <c r="A346" s="71">
        <v>22310006</v>
      </c>
      <c r="B346" s="63" t="s">
        <v>924</v>
      </c>
      <c r="C346" s="115" t="s">
        <v>696</v>
      </c>
      <c r="D346" s="65"/>
    </row>
    <row r="347" spans="1:4" ht="15" customHeight="1" x14ac:dyDescent="0.3">
      <c r="A347" s="71">
        <v>22310007</v>
      </c>
      <c r="B347" s="63" t="s">
        <v>952</v>
      </c>
      <c r="C347" s="115" t="s">
        <v>696</v>
      </c>
      <c r="D347" s="65"/>
    </row>
    <row r="348" spans="1:4" ht="15" customHeight="1" x14ac:dyDescent="0.3">
      <c r="A348" s="71">
        <v>22310008</v>
      </c>
      <c r="B348" s="63" t="s">
        <v>925</v>
      </c>
      <c r="C348" s="115" t="s">
        <v>696</v>
      </c>
      <c r="D348" s="65">
        <v>466000</v>
      </c>
    </row>
    <row r="349" spans="1:4" ht="15" customHeight="1" x14ac:dyDescent="0.3">
      <c r="A349" s="71">
        <v>22310009</v>
      </c>
      <c r="B349" s="63" t="s">
        <v>953</v>
      </c>
      <c r="C349" s="115" t="s">
        <v>696</v>
      </c>
      <c r="D349" s="65">
        <v>548000</v>
      </c>
    </row>
    <row r="350" spans="1:4" ht="15" customHeight="1" x14ac:dyDescent="0.3">
      <c r="A350" s="71">
        <v>22310010</v>
      </c>
      <c r="B350" s="63" t="s">
        <v>926</v>
      </c>
      <c r="C350" s="115" t="s">
        <v>696</v>
      </c>
      <c r="D350" s="65"/>
    </row>
    <row r="351" spans="1:4" ht="15" customHeight="1" x14ac:dyDescent="0.3">
      <c r="A351" s="71">
        <v>22310011</v>
      </c>
      <c r="B351" s="63" t="s">
        <v>939</v>
      </c>
      <c r="C351" s="115" t="s">
        <v>696</v>
      </c>
      <c r="D351" s="65"/>
    </row>
    <row r="352" spans="1:4" ht="15" customHeight="1" x14ac:dyDescent="0.3">
      <c r="A352" s="71">
        <v>22310012</v>
      </c>
      <c r="B352" s="63" t="s">
        <v>927</v>
      </c>
      <c r="C352" s="115" t="s">
        <v>696</v>
      </c>
      <c r="D352" s="65"/>
    </row>
    <row r="353" spans="1:4" ht="15" customHeight="1" x14ac:dyDescent="0.3">
      <c r="A353" s="71">
        <v>22310013</v>
      </c>
      <c r="B353" s="63" t="s">
        <v>940</v>
      </c>
      <c r="C353" s="115" t="s">
        <v>696</v>
      </c>
      <c r="D353" s="65"/>
    </row>
    <row r="354" spans="1:4" ht="15" customHeight="1" x14ac:dyDescent="0.3">
      <c r="A354" s="71">
        <v>22310014</v>
      </c>
      <c r="B354" s="63" t="s">
        <v>928</v>
      </c>
      <c r="C354" s="115" t="s">
        <v>696</v>
      </c>
      <c r="D354" s="65"/>
    </row>
    <row r="355" spans="1:4" ht="15" customHeight="1" x14ac:dyDescent="0.3">
      <c r="A355" s="71">
        <v>22310015</v>
      </c>
      <c r="B355" s="63" t="s">
        <v>941</v>
      </c>
      <c r="C355" s="115" t="s">
        <v>696</v>
      </c>
      <c r="D355" s="65"/>
    </row>
    <row r="356" spans="1:4" ht="15" customHeight="1" x14ac:dyDescent="0.3">
      <c r="A356" s="71">
        <v>22310016</v>
      </c>
      <c r="B356" s="63" t="s">
        <v>929</v>
      </c>
      <c r="C356" s="115" t="s">
        <v>696</v>
      </c>
      <c r="D356" s="65"/>
    </row>
    <row r="357" spans="1:4" ht="15" customHeight="1" x14ac:dyDescent="0.3">
      <c r="A357" s="71">
        <v>22310017</v>
      </c>
      <c r="B357" s="63" t="s">
        <v>942</v>
      </c>
      <c r="C357" s="115" t="s">
        <v>696</v>
      </c>
      <c r="D357" s="65"/>
    </row>
    <row r="358" spans="1:4" ht="15" customHeight="1" x14ac:dyDescent="0.3">
      <c r="A358" s="71">
        <v>22310018</v>
      </c>
      <c r="B358" s="63" t="s">
        <v>930</v>
      </c>
      <c r="C358" s="115" t="s">
        <v>696</v>
      </c>
      <c r="D358" s="65"/>
    </row>
    <row r="359" spans="1:4" ht="15" customHeight="1" x14ac:dyDescent="0.3">
      <c r="A359" s="71">
        <v>22310019</v>
      </c>
      <c r="B359" s="63" t="s">
        <v>943</v>
      </c>
      <c r="C359" s="115" t="s">
        <v>696</v>
      </c>
      <c r="D359" s="65"/>
    </row>
    <row r="360" spans="1:4" ht="15" customHeight="1" x14ac:dyDescent="0.3">
      <c r="A360" s="71">
        <v>22310020</v>
      </c>
      <c r="B360" s="63" t="s">
        <v>931</v>
      </c>
      <c r="C360" s="115" t="s">
        <v>696</v>
      </c>
      <c r="D360" s="65"/>
    </row>
    <row r="361" spans="1:4" ht="15" customHeight="1" x14ac:dyDescent="0.3">
      <c r="A361" s="71">
        <v>22310021</v>
      </c>
      <c r="B361" s="63" t="s">
        <v>944</v>
      </c>
      <c r="C361" s="115" t="s">
        <v>696</v>
      </c>
      <c r="D361" s="65"/>
    </row>
    <row r="362" spans="1:4" ht="15" customHeight="1" x14ac:dyDescent="0.3">
      <c r="A362" s="71">
        <v>22310022</v>
      </c>
      <c r="B362" s="63" t="s">
        <v>932</v>
      </c>
      <c r="C362" s="115" t="s">
        <v>696</v>
      </c>
      <c r="D362" s="65"/>
    </row>
    <row r="363" spans="1:4" ht="15" customHeight="1" x14ac:dyDescent="0.3">
      <c r="A363" s="71">
        <v>22310023</v>
      </c>
      <c r="B363" s="63" t="s">
        <v>945</v>
      </c>
      <c r="C363" s="115" t="s">
        <v>696</v>
      </c>
      <c r="D363" s="65"/>
    </row>
    <row r="364" spans="1:4" ht="15" customHeight="1" x14ac:dyDescent="0.3">
      <c r="A364" s="71">
        <v>22310024</v>
      </c>
      <c r="B364" s="63" t="s">
        <v>933</v>
      </c>
      <c r="C364" s="115" t="s">
        <v>696</v>
      </c>
      <c r="D364" s="65"/>
    </row>
    <row r="365" spans="1:4" ht="15" customHeight="1" x14ac:dyDescent="0.3">
      <c r="A365" s="71">
        <v>22310025</v>
      </c>
      <c r="B365" s="63" t="s">
        <v>946</v>
      </c>
      <c r="C365" s="115" t="s">
        <v>696</v>
      </c>
      <c r="D365" s="65"/>
    </row>
    <row r="366" spans="1:4" ht="15" customHeight="1" x14ac:dyDescent="0.3">
      <c r="A366" s="71">
        <v>22310026</v>
      </c>
      <c r="B366" s="63" t="s">
        <v>934</v>
      </c>
      <c r="C366" s="115" t="s">
        <v>696</v>
      </c>
      <c r="D366" s="65"/>
    </row>
    <row r="367" spans="1:4" ht="15" customHeight="1" x14ac:dyDescent="0.3">
      <c r="A367" s="71">
        <v>22310027</v>
      </c>
      <c r="B367" s="63" t="s">
        <v>947</v>
      </c>
      <c r="C367" s="115" t="s">
        <v>696</v>
      </c>
      <c r="D367" s="65"/>
    </row>
    <row r="368" spans="1:4" ht="15" customHeight="1" x14ac:dyDescent="0.3">
      <c r="A368" s="71">
        <v>22310028</v>
      </c>
      <c r="B368" s="63" t="s">
        <v>935</v>
      </c>
      <c r="C368" s="115" t="s">
        <v>696</v>
      </c>
      <c r="D368" s="65"/>
    </row>
    <row r="369" spans="1:4" ht="15" customHeight="1" x14ac:dyDescent="0.3">
      <c r="A369" s="71">
        <v>22310029</v>
      </c>
      <c r="B369" s="63" t="s">
        <v>948</v>
      </c>
      <c r="C369" s="115" t="s">
        <v>696</v>
      </c>
      <c r="D369" s="65"/>
    </row>
    <row r="370" spans="1:4" ht="15" customHeight="1" x14ac:dyDescent="0.3">
      <c r="A370" s="71">
        <v>22310030</v>
      </c>
      <c r="B370" s="63" t="s">
        <v>936</v>
      </c>
      <c r="C370" s="115" t="s">
        <v>696</v>
      </c>
      <c r="D370" s="65"/>
    </row>
    <row r="371" spans="1:4" ht="15" customHeight="1" x14ac:dyDescent="0.3">
      <c r="A371" s="71">
        <v>22310031</v>
      </c>
      <c r="B371" s="63" t="s">
        <v>937</v>
      </c>
      <c r="C371" s="115" t="s">
        <v>696</v>
      </c>
      <c r="D371" s="65"/>
    </row>
    <row r="372" spans="1:4" ht="15" customHeight="1" x14ac:dyDescent="0.3">
      <c r="A372" s="71">
        <v>22310032</v>
      </c>
      <c r="B372" s="63" t="s">
        <v>949</v>
      </c>
      <c r="C372" s="115" t="s">
        <v>696</v>
      </c>
      <c r="D372" s="65"/>
    </row>
    <row r="373" spans="1:4" ht="15" customHeight="1" x14ac:dyDescent="0.3">
      <c r="A373" s="71">
        <v>22310033</v>
      </c>
      <c r="B373" s="63" t="s">
        <v>938</v>
      </c>
      <c r="C373" s="115" t="s">
        <v>696</v>
      </c>
      <c r="D373" s="65">
        <v>1100000</v>
      </c>
    </row>
    <row r="374" spans="1:4" ht="15" customHeight="1" x14ac:dyDescent="0.3">
      <c r="A374" s="71">
        <v>22310034</v>
      </c>
      <c r="B374" s="63" t="s">
        <v>950</v>
      </c>
      <c r="C374" s="115" t="s">
        <v>696</v>
      </c>
      <c r="D374" s="65">
        <v>1300000</v>
      </c>
    </row>
    <row r="375" spans="1:4" ht="15" customHeight="1" x14ac:dyDescent="0.3">
      <c r="A375" s="71">
        <v>22320040</v>
      </c>
      <c r="B375" s="63" t="s">
        <v>961</v>
      </c>
      <c r="C375" s="115" t="s">
        <v>696</v>
      </c>
      <c r="D375" s="65">
        <v>925000</v>
      </c>
    </row>
    <row r="376" spans="1:4" ht="15" customHeight="1" x14ac:dyDescent="0.3">
      <c r="A376" s="71">
        <v>22320050</v>
      </c>
      <c r="B376" s="63" t="s">
        <v>962</v>
      </c>
      <c r="C376" s="115" t="s">
        <v>696</v>
      </c>
      <c r="D376" s="65"/>
    </row>
    <row r="377" spans="1:4" ht="15" customHeight="1" x14ac:dyDescent="0.3">
      <c r="A377" s="71">
        <v>22320060</v>
      </c>
      <c r="B377" s="63" t="s">
        <v>963</v>
      </c>
      <c r="C377" s="115" t="s">
        <v>696</v>
      </c>
      <c r="D377" s="65">
        <v>1120000</v>
      </c>
    </row>
    <row r="378" spans="1:4" ht="15" customHeight="1" x14ac:dyDescent="0.3">
      <c r="A378" s="71">
        <v>22320070</v>
      </c>
      <c r="B378" s="63" t="s">
        <v>964</v>
      </c>
      <c r="C378" s="115" t="s">
        <v>696</v>
      </c>
      <c r="D378" s="65"/>
    </row>
    <row r="379" spans="1:4" ht="15" customHeight="1" x14ac:dyDescent="0.3">
      <c r="A379" s="71">
        <v>22320080</v>
      </c>
      <c r="B379" s="63" t="s">
        <v>965</v>
      </c>
      <c r="C379" s="115" t="s">
        <v>696</v>
      </c>
      <c r="D379" s="65">
        <v>2700000</v>
      </c>
    </row>
    <row r="380" spans="1:4" ht="15" customHeight="1" x14ac:dyDescent="0.3">
      <c r="A380" s="71">
        <v>22320100</v>
      </c>
      <c r="B380" s="63" t="s">
        <v>966</v>
      </c>
      <c r="C380" s="115" t="s">
        <v>696</v>
      </c>
      <c r="D380" s="65">
        <v>3125000</v>
      </c>
    </row>
    <row r="381" spans="1:4" ht="15" customHeight="1" x14ac:dyDescent="0.3">
      <c r="A381" s="71">
        <v>22320120</v>
      </c>
      <c r="B381" s="63" t="s">
        <v>967</v>
      </c>
      <c r="C381" s="115" t="s">
        <v>696</v>
      </c>
      <c r="D381" s="65"/>
    </row>
    <row r="382" spans="1:4" ht="15" customHeight="1" x14ac:dyDescent="0.3">
      <c r="A382" s="71"/>
      <c r="B382" s="63"/>
      <c r="C382" s="115"/>
      <c r="D382" s="65"/>
    </row>
    <row r="383" spans="1:4" ht="15" customHeight="1" x14ac:dyDescent="0.3">
      <c r="A383" s="71"/>
      <c r="B383" s="63"/>
      <c r="C383" s="115"/>
      <c r="D383" s="65"/>
    </row>
    <row r="384" spans="1:4" ht="15" customHeight="1" x14ac:dyDescent="0.3">
      <c r="A384" s="70">
        <v>23100000</v>
      </c>
      <c r="B384" s="114" t="s">
        <v>461</v>
      </c>
      <c r="C384" s="115"/>
      <c r="D384" s="65"/>
    </row>
    <row r="385" spans="1:4" ht="15" customHeight="1" x14ac:dyDescent="0.3">
      <c r="A385" s="71">
        <v>23100103</v>
      </c>
      <c r="B385" s="63" t="s">
        <v>244</v>
      </c>
      <c r="C385" s="115" t="s">
        <v>40</v>
      </c>
      <c r="D385" s="65">
        <v>35000</v>
      </c>
    </row>
    <row r="386" spans="1:4" ht="15" customHeight="1" x14ac:dyDescent="0.3">
      <c r="A386" s="71">
        <v>23100108</v>
      </c>
      <c r="B386" s="63" t="s">
        <v>245</v>
      </c>
      <c r="C386" s="115" t="s">
        <v>46</v>
      </c>
      <c r="D386" s="65">
        <v>200000</v>
      </c>
    </row>
    <row r="387" spans="1:4" ht="15" customHeight="1" x14ac:dyDescent="0.3">
      <c r="A387" s="71"/>
      <c r="B387" s="63" t="s">
        <v>246</v>
      </c>
      <c r="C387" s="115"/>
      <c r="D387" s="65">
        <v>150000</v>
      </c>
    </row>
    <row r="388" spans="1:4" ht="15" customHeight="1" x14ac:dyDescent="0.3">
      <c r="A388" s="71">
        <v>24100000</v>
      </c>
      <c r="B388" s="63" t="s">
        <v>247</v>
      </c>
      <c r="C388" s="115" t="s">
        <v>40</v>
      </c>
      <c r="D388" s="65">
        <v>6500</v>
      </c>
    </row>
    <row r="389" spans="1:4" ht="15" customHeight="1" x14ac:dyDescent="0.3">
      <c r="A389" s="71"/>
      <c r="B389" s="63" t="s">
        <v>219</v>
      </c>
      <c r="C389" s="115"/>
      <c r="D389" s="65">
        <v>29000</v>
      </c>
    </row>
    <row r="390" spans="1:4" ht="15" customHeight="1" x14ac:dyDescent="0.3">
      <c r="A390" s="71"/>
      <c r="B390" s="63" t="s">
        <v>220</v>
      </c>
      <c r="C390" s="115"/>
      <c r="D390" s="65">
        <v>34000</v>
      </c>
    </row>
    <row r="391" spans="1:4" ht="15" customHeight="1" x14ac:dyDescent="0.3">
      <c r="A391" s="71"/>
      <c r="B391" s="63" t="s">
        <v>221</v>
      </c>
      <c r="C391" s="115"/>
      <c r="D391" s="65">
        <v>15000</v>
      </c>
    </row>
    <row r="392" spans="1:4" ht="15" customHeight="1" x14ac:dyDescent="0.3">
      <c r="A392" s="71"/>
      <c r="B392" s="63" t="s">
        <v>222</v>
      </c>
      <c r="C392" s="115"/>
      <c r="D392" s="65">
        <v>37500</v>
      </c>
    </row>
    <row r="393" spans="1:4" ht="15" customHeight="1" x14ac:dyDescent="0.3">
      <c r="A393" s="71"/>
      <c r="B393" s="63" t="s">
        <v>223</v>
      </c>
      <c r="C393" s="115"/>
      <c r="D393" s="65">
        <v>28500</v>
      </c>
    </row>
    <row r="394" spans="1:4" ht="15" customHeight="1" x14ac:dyDescent="0.3">
      <c r="A394" s="71"/>
      <c r="B394" s="63" t="s">
        <v>224</v>
      </c>
      <c r="C394" s="115"/>
      <c r="D394" s="65">
        <v>18500</v>
      </c>
    </row>
    <row r="395" spans="1:4" ht="15" customHeight="1" x14ac:dyDescent="0.3">
      <c r="A395" s="71"/>
      <c r="B395" s="63" t="s">
        <v>218</v>
      </c>
      <c r="C395" s="115"/>
      <c r="D395" s="65">
        <v>242500</v>
      </c>
    </row>
    <row r="396" spans="1:4" ht="15" customHeight="1" x14ac:dyDescent="0.3">
      <c r="A396" s="71">
        <v>24510000</v>
      </c>
      <c r="B396" s="63" t="s">
        <v>854</v>
      </c>
      <c r="C396" s="115" t="s">
        <v>696</v>
      </c>
      <c r="D396" s="65">
        <v>7500</v>
      </c>
    </row>
    <row r="397" spans="1:4" ht="15" customHeight="1" x14ac:dyDescent="0.3">
      <c r="A397" s="71">
        <v>24510020</v>
      </c>
      <c r="B397" s="63" t="s">
        <v>855</v>
      </c>
      <c r="C397" s="115" t="s">
        <v>167</v>
      </c>
      <c r="D397" s="65">
        <v>25000</v>
      </c>
    </row>
    <row r="398" spans="1:4" ht="15" customHeight="1" x14ac:dyDescent="0.3">
      <c r="A398" s="71">
        <v>25100001</v>
      </c>
      <c r="B398" s="63" t="s">
        <v>864</v>
      </c>
      <c r="C398" s="115" t="s">
        <v>760</v>
      </c>
      <c r="D398" s="65">
        <v>11000000</v>
      </c>
    </row>
    <row r="399" spans="1:4" ht="15" customHeight="1" x14ac:dyDescent="0.3">
      <c r="A399" s="71">
        <v>25100002</v>
      </c>
      <c r="B399" s="63" t="s">
        <v>866</v>
      </c>
      <c r="C399" s="115" t="s">
        <v>760</v>
      </c>
      <c r="D399" s="65"/>
    </row>
    <row r="400" spans="1:4" ht="15" customHeight="1" x14ac:dyDescent="0.3">
      <c r="A400" s="71"/>
      <c r="B400" s="63"/>
      <c r="C400" s="115"/>
      <c r="D400" s="65"/>
    </row>
    <row r="401" spans="1:4" ht="15" customHeight="1" x14ac:dyDescent="0.3">
      <c r="A401" s="71"/>
      <c r="B401" s="63"/>
      <c r="C401" s="115"/>
      <c r="D401" s="65"/>
    </row>
    <row r="402" spans="1:4" ht="15" customHeight="1" x14ac:dyDescent="0.3">
      <c r="A402" s="71"/>
      <c r="B402" s="63"/>
      <c r="C402" s="115"/>
      <c r="D402" s="65"/>
    </row>
    <row r="403" spans="1:4" ht="15" customHeight="1" x14ac:dyDescent="0.3">
      <c r="A403" s="71"/>
      <c r="B403" s="63"/>
      <c r="C403" s="115"/>
      <c r="D403" s="65"/>
    </row>
    <row r="404" spans="1:4" ht="15" customHeight="1" x14ac:dyDescent="0.3">
      <c r="A404" s="71">
        <v>31000000</v>
      </c>
      <c r="B404" s="114" t="s">
        <v>459</v>
      </c>
      <c r="C404" s="115"/>
      <c r="D404" s="65" t="s">
        <v>611</v>
      </c>
    </row>
    <row r="405" spans="1:4" ht="15" customHeight="1" x14ac:dyDescent="0.3">
      <c r="A405" s="71">
        <v>31100001</v>
      </c>
      <c r="B405" s="118" t="s">
        <v>482</v>
      </c>
      <c r="C405" s="115" t="s">
        <v>253</v>
      </c>
      <c r="D405" s="65">
        <v>12515000</v>
      </c>
    </row>
    <row r="406" spans="1:4" ht="15" customHeight="1" x14ac:dyDescent="0.3">
      <c r="A406" s="71">
        <v>31100002</v>
      </c>
      <c r="B406" s="118" t="s">
        <v>483</v>
      </c>
      <c r="C406" s="115" t="s">
        <v>253</v>
      </c>
      <c r="D406" s="65">
        <v>877000</v>
      </c>
    </row>
    <row r="407" spans="1:4" ht="15" customHeight="1" x14ac:dyDescent="0.3">
      <c r="A407" s="71">
        <v>31100003</v>
      </c>
      <c r="B407" s="118" t="s">
        <v>484</v>
      </c>
      <c r="C407" s="115" t="s">
        <v>253</v>
      </c>
      <c r="D407" s="65">
        <v>142000</v>
      </c>
    </row>
    <row r="408" spans="1:4" ht="15" customHeight="1" x14ac:dyDescent="0.3">
      <c r="A408" s="71">
        <v>31100004</v>
      </c>
      <c r="B408" s="63" t="s">
        <v>485</v>
      </c>
      <c r="C408" s="115" t="s">
        <v>473</v>
      </c>
      <c r="D408" s="65">
        <v>1151000</v>
      </c>
    </row>
    <row r="409" spans="1:4" ht="15" customHeight="1" x14ac:dyDescent="0.3">
      <c r="A409" s="71">
        <v>31100005</v>
      </c>
      <c r="B409" s="63" t="s">
        <v>486</v>
      </c>
      <c r="C409" s="115" t="s">
        <v>253</v>
      </c>
      <c r="D409" s="65">
        <v>242000</v>
      </c>
    </row>
    <row r="410" spans="1:4" ht="15" customHeight="1" x14ac:dyDescent="0.3">
      <c r="A410" s="71">
        <v>31100006</v>
      </c>
      <c r="B410" s="63" t="s">
        <v>487</v>
      </c>
      <c r="C410" s="115" t="s">
        <v>253</v>
      </c>
      <c r="D410" s="65">
        <v>132000</v>
      </c>
    </row>
    <row r="411" spans="1:4" ht="15" customHeight="1" x14ac:dyDescent="0.3">
      <c r="A411" s="71" t="s">
        <v>572</v>
      </c>
      <c r="B411" s="63" t="s">
        <v>573</v>
      </c>
      <c r="C411" s="115" t="s">
        <v>253</v>
      </c>
      <c r="D411" s="65">
        <f>D410*2.2</f>
        <v>290400</v>
      </c>
    </row>
    <row r="412" spans="1:4" ht="15" customHeight="1" x14ac:dyDescent="0.3">
      <c r="A412" s="71">
        <v>31100007</v>
      </c>
      <c r="B412" s="63" t="s">
        <v>488</v>
      </c>
      <c r="C412" s="115" t="s">
        <v>253</v>
      </c>
      <c r="D412" s="65">
        <v>589000</v>
      </c>
    </row>
    <row r="413" spans="1:4" ht="15" customHeight="1" x14ac:dyDescent="0.3">
      <c r="A413" s="71">
        <v>31100008</v>
      </c>
      <c r="B413" s="63" t="s">
        <v>489</v>
      </c>
      <c r="C413" s="115" t="s">
        <v>253</v>
      </c>
      <c r="D413" s="65">
        <v>449000</v>
      </c>
    </row>
    <row r="414" spans="1:4" ht="15" customHeight="1" x14ac:dyDescent="0.3">
      <c r="A414" s="71" t="s">
        <v>626</v>
      </c>
      <c r="B414" s="63" t="s">
        <v>627</v>
      </c>
      <c r="C414" s="115" t="s">
        <v>253</v>
      </c>
      <c r="D414" s="65">
        <f>D413*1.5</f>
        <v>673500</v>
      </c>
    </row>
    <row r="415" spans="1:4" ht="15" customHeight="1" x14ac:dyDescent="0.3">
      <c r="A415" s="71">
        <v>31100009</v>
      </c>
      <c r="B415" s="63" t="s">
        <v>490</v>
      </c>
      <c r="C415" s="115" t="s">
        <v>253</v>
      </c>
      <c r="D415" s="65">
        <v>760000</v>
      </c>
    </row>
    <row r="416" spans="1:4" ht="15" customHeight="1" x14ac:dyDescent="0.3">
      <c r="A416" s="71">
        <v>31100010</v>
      </c>
      <c r="B416" s="63" t="s">
        <v>491</v>
      </c>
      <c r="C416" s="115" t="s">
        <v>253</v>
      </c>
      <c r="D416" s="65">
        <v>747000</v>
      </c>
    </row>
    <row r="417" spans="1:4" ht="15" customHeight="1" x14ac:dyDescent="0.3">
      <c r="A417" s="71" t="s">
        <v>916</v>
      </c>
      <c r="B417" s="63" t="s">
        <v>915</v>
      </c>
      <c r="C417" s="115" t="s">
        <v>253</v>
      </c>
      <c r="D417" s="65">
        <f>550000/8</f>
        <v>68750</v>
      </c>
    </row>
    <row r="418" spans="1:4" ht="15" customHeight="1" x14ac:dyDescent="0.3">
      <c r="A418" s="71">
        <v>31100011</v>
      </c>
      <c r="B418" s="63" t="s">
        <v>492</v>
      </c>
      <c r="C418" s="115" t="s">
        <v>253</v>
      </c>
      <c r="D418" s="65">
        <v>787000</v>
      </c>
    </row>
    <row r="419" spans="1:4" ht="15" customHeight="1" x14ac:dyDescent="0.3">
      <c r="A419" s="71">
        <v>31100012</v>
      </c>
      <c r="B419" s="63" t="s">
        <v>493</v>
      </c>
      <c r="C419" s="115" t="s">
        <v>253</v>
      </c>
      <c r="D419" s="65">
        <v>564000</v>
      </c>
    </row>
    <row r="420" spans="1:4" ht="15" customHeight="1" x14ac:dyDescent="0.3">
      <c r="A420" s="71">
        <v>31100013</v>
      </c>
      <c r="B420" s="63" t="s">
        <v>494</v>
      </c>
      <c r="C420" s="115" t="s">
        <v>253</v>
      </c>
      <c r="D420" s="65">
        <v>1002000</v>
      </c>
    </row>
    <row r="421" spans="1:4" ht="15" customHeight="1" x14ac:dyDescent="0.3">
      <c r="A421" s="71">
        <v>31100014</v>
      </c>
      <c r="B421" s="63" t="s">
        <v>495</v>
      </c>
      <c r="C421" s="115" t="s">
        <v>253</v>
      </c>
      <c r="D421" s="65">
        <v>726000</v>
      </c>
    </row>
    <row r="422" spans="1:4" ht="15" customHeight="1" x14ac:dyDescent="0.3">
      <c r="A422" s="71">
        <v>31100015</v>
      </c>
      <c r="B422" s="63" t="s">
        <v>496</v>
      </c>
      <c r="C422" s="115" t="s">
        <v>253</v>
      </c>
      <c r="D422" s="65">
        <v>463000</v>
      </c>
    </row>
    <row r="423" spans="1:4" ht="15" customHeight="1" x14ac:dyDescent="0.3">
      <c r="A423" s="71">
        <v>31100016</v>
      </c>
      <c r="B423" s="63" t="s">
        <v>497</v>
      </c>
      <c r="C423" s="115" t="s">
        <v>253</v>
      </c>
      <c r="D423" s="65">
        <v>625000</v>
      </c>
    </row>
    <row r="424" spans="1:4" ht="15" customHeight="1" x14ac:dyDescent="0.3">
      <c r="A424" s="71">
        <v>31100017</v>
      </c>
      <c r="B424" s="63" t="s">
        <v>498</v>
      </c>
      <c r="C424" s="115" t="s">
        <v>253</v>
      </c>
      <c r="D424" s="65">
        <v>889000</v>
      </c>
    </row>
    <row r="425" spans="1:4" ht="15" customHeight="1" x14ac:dyDescent="0.3">
      <c r="A425" s="71" t="s">
        <v>602</v>
      </c>
      <c r="B425" s="63" t="s">
        <v>603</v>
      </c>
      <c r="C425" s="115" t="s">
        <v>253</v>
      </c>
      <c r="D425" s="65">
        <v>450000</v>
      </c>
    </row>
    <row r="426" spans="1:4" ht="15" customHeight="1" x14ac:dyDescent="0.3">
      <c r="A426" s="71">
        <v>31100018</v>
      </c>
      <c r="B426" s="63" t="s">
        <v>499</v>
      </c>
      <c r="C426" s="115" t="s">
        <v>253</v>
      </c>
      <c r="D426" s="65">
        <v>513000</v>
      </c>
    </row>
    <row r="427" spans="1:4" ht="15" customHeight="1" x14ac:dyDescent="0.3">
      <c r="A427" s="71">
        <v>31100019</v>
      </c>
      <c r="B427" s="63" t="s">
        <v>500</v>
      </c>
      <c r="C427" s="115" t="s">
        <v>253</v>
      </c>
      <c r="D427" s="65">
        <v>92000</v>
      </c>
    </row>
    <row r="428" spans="1:4" ht="15" customHeight="1" x14ac:dyDescent="0.3">
      <c r="A428" s="71">
        <v>31100020</v>
      </c>
      <c r="B428" s="63" t="s">
        <v>501</v>
      </c>
      <c r="C428" s="115" t="s">
        <v>253</v>
      </c>
      <c r="D428" s="65">
        <v>1201000</v>
      </c>
    </row>
    <row r="429" spans="1:4" ht="15" customHeight="1" x14ac:dyDescent="0.3">
      <c r="A429" s="71">
        <v>31100021</v>
      </c>
      <c r="B429" s="63" t="s">
        <v>502</v>
      </c>
      <c r="C429" s="115" t="s">
        <v>253</v>
      </c>
      <c r="D429" s="65">
        <v>71000</v>
      </c>
    </row>
    <row r="430" spans="1:4" ht="15" customHeight="1" x14ac:dyDescent="0.3">
      <c r="A430" s="71">
        <v>31100022</v>
      </c>
      <c r="B430" s="63" t="s">
        <v>503</v>
      </c>
      <c r="C430" s="115" t="s">
        <v>253</v>
      </c>
      <c r="D430" s="65">
        <v>403000</v>
      </c>
    </row>
    <row r="431" spans="1:4" ht="15" customHeight="1" x14ac:dyDescent="0.3">
      <c r="A431" s="71" t="s">
        <v>511</v>
      </c>
      <c r="B431" s="63" t="s">
        <v>503</v>
      </c>
      <c r="C431" s="115" t="s">
        <v>473</v>
      </c>
      <c r="D431" s="65">
        <f>D430*8</f>
        <v>3224000</v>
      </c>
    </row>
    <row r="432" spans="1:4" ht="15" customHeight="1" x14ac:dyDescent="0.3">
      <c r="A432" s="71">
        <v>31100023</v>
      </c>
      <c r="B432" s="63" t="s">
        <v>504</v>
      </c>
      <c r="C432" s="115" t="s">
        <v>253</v>
      </c>
      <c r="D432" s="65">
        <v>131000</v>
      </c>
    </row>
    <row r="433" spans="1:5" ht="15" customHeight="1" x14ac:dyDescent="0.3">
      <c r="A433" s="71">
        <v>31100024</v>
      </c>
      <c r="B433" s="63" t="s">
        <v>505</v>
      </c>
      <c r="C433" s="115" t="s">
        <v>253</v>
      </c>
      <c r="D433" s="65">
        <v>88000</v>
      </c>
    </row>
    <row r="434" spans="1:5" ht="15" customHeight="1" x14ac:dyDescent="0.3">
      <c r="A434" s="71">
        <v>31100025</v>
      </c>
      <c r="B434" s="63" t="s">
        <v>506</v>
      </c>
      <c r="C434" s="115" t="s">
        <v>253</v>
      </c>
      <c r="D434" s="65">
        <v>66000</v>
      </c>
    </row>
    <row r="435" spans="1:5" ht="15" customHeight="1" x14ac:dyDescent="0.3">
      <c r="A435" s="71">
        <v>31100026</v>
      </c>
      <c r="B435" s="63" t="s">
        <v>507</v>
      </c>
      <c r="C435" s="115" t="s">
        <v>253</v>
      </c>
      <c r="D435" s="65">
        <v>5814000</v>
      </c>
    </row>
    <row r="436" spans="1:5" ht="15" customHeight="1" x14ac:dyDescent="0.3">
      <c r="A436" s="71">
        <v>31100027</v>
      </c>
      <c r="B436" s="63" t="s">
        <v>508</v>
      </c>
      <c r="C436" s="115" t="s">
        <v>253</v>
      </c>
      <c r="D436" s="65">
        <v>546000</v>
      </c>
    </row>
    <row r="437" spans="1:5" ht="15" customHeight="1" x14ac:dyDescent="0.3">
      <c r="A437" s="71">
        <v>31100028</v>
      </c>
      <c r="B437" s="63" t="s">
        <v>509</v>
      </c>
      <c r="C437" s="115" t="s">
        <v>253</v>
      </c>
      <c r="D437" s="65">
        <v>793000</v>
      </c>
    </row>
    <row r="438" spans="1:5" ht="15" customHeight="1" x14ac:dyDescent="0.3">
      <c r="A438" s="71">
        <v>31100029</v>
      </c>
      <c r="B438" s="63" t="s">
        <v>593</v>
      </c>
      <c r="C438" s="115" t="s">
        <v>253</v>
      </c>
      <c r="D438" s="65">
        <v>350000</v>
      </c>
    </row>
    <row r="439" spans="1:5" ht="15" customHeight="1" x14ac:dyDescent="0.3">
      <c r="A439" s="71">
        <v>31110029</v>
      </c>
      <c r="B439" s="63" t="s">
        <v>625</v>
      </c>
      <c r="C439" s="115" t="s">
        <v>253</v>
      </c>
      <c r="D439" s="65">
        <v>200000</v>
      </c>
    </row>
    <row r="440" spans="1:5" ht="15" customHeight="1" x14ac:dyDescent="0.3">
      <c r="A440" s="71">
        <v>31210000</v>
      </c>
      <c r="B440" s="118" t="s">
        <v>472</v>
      </c>
      <c r="C440" s="119" t="s">
        <v>473</v>
      </c>
      <c r="D440" s="65">
        <v>250000</v>
      </c>
    </row>
    <row r="441" spans="1:5" ht="15" customHeight="1" x14ac:dyDescent="0.3">
      <c r="A441" s="71">
        <v>31220000</v>
      </c>
      <c r="B441" s="118" t="s">
        <v>723</v>
      </c>
      <c r="C441" s="119" t="s">
        <v>473</v>
      </c>
      <c r="D441" s="65">
        <v>50000</v>
      </c>
    </row>
    <row r="442" spans="1:5" ht="15" customHeight="1" x14ac:dyDescent="0.3">
      <c r="A442" s="71">
        <v>31220101</v>
      </c>
      <c r="B442" s="118" t="s">
        <v>728</v>
      </c>
      <c r="C442" s="119" t="s">
        <v>473</v>
      </c>
      <c r="D442" s="65">
        <v>55000</v>
      </c>
    </row>
    <row r="443" spans="1:5" ht="15" customHeight="1" x14ac:dyDescent="0.3">
      <c r="A443" s="71">
        <v>31220105</v>
      </c>
      <c r="B443" s="118" t="s">
        <v>729</v>
      </c>
      <c r="C443" s="119" t="s">
        <v>473</v>
      </c>
      <c r="D443" s="65">
        <v>50000</v>
      </c>
    </row>
    <row r="444" spans="1:5" ht="15" customHeight="1" x14ac:dyDescent="0.3">
      <c r="A444" s="71">
        <v>31220110</v>
      </c>
      <c r="B444" s="118" t="s">
        <v>914</v>
      </c>
      <c r="C444" s="119" t="s">
        <v>473</v>
      </c>
      <c r="D444" s="65">
        <v>50000</v>
      </c>
    </row>
    <row r="445" spans="1:5" ht="15" customHeight="1" x14ac:dyDescent="0.3">
      <c r="A445" s="71">
        <v>31230001</v>
      </c>
      <c r="B445" s="118" t="s">
        <v>865</v>
      </c>
      <c r="C445" s="119" t="s">
        <v>473</v>
      </c>
      <c r="D445" s="65">
        <v>15000</v>
      </c>
    </row>
    <row r="446" spans="1:5" ht="15" customHeight="1" x14ac:dyDescent="0.3">
      <c r="A446" s="70">
        <v>9000000</v>
      </c>
      <c r="B446" s="135" t="s">
        <v>758</v>
      </c>
      <c r="C446" s="119"/>
      <c r="D446" s="65"/>
    </row>
    <row r="447" spans="1:5" ht="29" customHeight="1" x14ac:dyDescent="0.3">
      <c r="A447" s="70">
        <v>91111001</v>
      </c>
      <c r="B447" s="136" t="s">
        <v>644</v>
      </c>
      <c r="C447" s="119" t="s">
        <v>43</v>
      </c>
      <c r="D447" s="65" t="e">
        <f>ANALISA!H1528</f>
        <v>#REF!</v>
      </c>
      <c r="E447" s="138"/>
    </row>
    <row r="448" spans="1:5" ht="29" customHeight="1" x14ac:dyDescent="0.3">
      <c r="A448" s="70">
        <v>91111004</v>
      </c>
      <c r="B448" s="136" t="s">
        <v>645</v>
      </c>
      <c r="C448" s="119" t="s">
        <v>43</v>
      </c>
      <c r="D448" s="65" t="e">
        <f>ANALISA!H1553</f>
        <v>#REF!</v>
      </c>
      <c r="E448" s="138"/>
    </row>
    <row r="449" spans="1:5" ht="29" customHeight="1" x14ac:dyDescent="0.3">
      <c r="A449" s="70">
        <v>91111007</v>
      </c>
      <c r="B449" s="136" t="s">
        <v>646</v>
      </c>
      <c r="C449" s="119" t="s">
        <v>43</v>
      </c>
      <c r="D449" s="65" t="e">
        <f>ANALISA!H1578</f>
        <v>#REF!</v>
      </c>
      <c r="E449" s="138"/>
    </row>
    <row r="450" spans="1:5" ht="28" x14ac:dyDescent="0.3">
      <c r="A450" s="70">
        <v>91111010</v>
      </c>
      <c r="B450" s="136" t="s">
        <v>647</v>
      </c>
      <c r="C450" s="119" t="s">
        <v>43</v>
      </c>
      <c r="D450" s="65" t="e">
        <f>ANALISA!H1603</f>
        <v>#REF!</v>
      </c>
    </row>
    <row r="451" spans="1:5" ht="28" x14ac:dyDescent="0.3">
      <c r="A451" s="70">
        <v>91111013</v>
      </c>
      <c r="B451" s="118" t="s">
        <v>649</v>
      </c>
      <c r="C451" s="119" t="s">
        <v>43</v>
      </c>
      <c r="D451" s="65" t="e">
        <f>ANALISA!H1628</f>
        <v>#REF!</v>
      </c>
    </row>
    <row r="452" spans="1:5" ht="28" x14ac:dyDescent="0.3">
      <c r="A452" s="70">
        <v>91111016</v>
      </c>
      <c r="B452" s="118" t="s">
        <v>650</v>
      </c>
      <c r="C452" s="119" t="s">
        <v>43</v>
      </c>
      <c r="D452" s="65" t="e">
        <f>ANALISA!H1653</f>
        <v>#REF!</v>
      </c>
    </row>
    <row r="453" spans="1:5" ht="28" x14ac:dyDescent="0.3">
      <c r="A453" s="70">
        <v>91111019</v>
      </c>
      <c r="B453" s="118" t="s">
        <v>651</v>
      </c>
      <c r="C453" s="119" t="s">
        <v>43</v>
      </c>
      <c r="D453" s="65" t="e">
        <f>ANALISA!H1678</f>
        <v>#REF!</v>
      </c>
    </row>
    <row r="454" spans="1:5" ht="28" x14ac:dyDescent="0.3">
      <c r="A454" s="70">
        <v>91111022</v>
      </c>
      <c r="B454" s="136" t="s">
        <v>652</v>
      </c>
      <c r="C454" s="119" t="s">
        <v>43</v>
      </c>
      <c r="D454" s="65" t="e">
        <f>ANALISA!H1703</f>
        <v>#REF!</v>
      </c>
    </row>
    <row r="455" spans="1:5" ht="28" x14ac:dyDescent="0.3">
      <c r="A455" s="70">
        <v>91111025</v>
      </c>
      <c r="B455" s="136" t="s">
        <v>664</v>
      </c>
      <c r="C455" s="119" t="s">
        <v>43</v>
      </c>
      <c r="D455" s="65" t="e">
        <f>ANALISA!H1728</f>
        <v>#REF!</v>
      </c>
    </row>
    <row r="456" spans="1:5" ht="28" x14ac:dyDescent="0.3">
      <c r="A456" s="70">
        <v>91111028</v>
      </c>
      <c r="B456" s="136" t="s">
        <v>665</v>
      </c>
      <c r="C456" s="119" t="s">
        <v>43</v>
      </c>
      <c r="D456" s="65" t="e">
        <f>ANALISA!H1753</f>
        <v>#REF!</v>
      </c>
    </row>
    <row r="457" spans="1:5" ht="28" x14ac:dyDescent="0.3">
      <c r="A457" s="70">
        <v>91112001</v>
      </c>
      <c r="B457" s="136" t="s">
        <v>648</v>
      </c>
      <c r="C457" s="119" t="s">
        <v>43</v>
      </c>
      <c r="D457" s="65" t="e">
        <f>ANALISA!H1804</f>
        <v>#REF!</v>
      </c>
      <c r="E457" s="138"/>
    </row>
    <row r="458" spans="1:5" ht="28" x14ac:dyDescent="0.3">
      <c r="A458" s="70">
        <v>91112004</v>
      </c>
      <c r="B458" s="136" t="s">
        <v>648</v>
      </c>
      <c r="C458" s="119" t="s">
        <v>43</v>
      </c>
      <c r="D458" s="65" t="e">
        <f>ANALISA!H1829</f>
        <v>#REF!</v>
      </c>
      <c r="E458" s="138"/>
    </row>
    <row r="459" spans="1:5" ht="28" x14ac:dyDescent="0.3">
      <c r="A459" s="70">
        <v>91112007</v>
      </c>
      <c r="B459" s="136" t="s">
        <v>653</v>
      </c>
      <c r="C459" s="119" t="s">
        <v>43</v>
      </c>
      <c r="D459" s="65" t="e">
        <f>ANALISA!H1854</f>
        <v>#REF!</v>
      </c>
      <c r="E459" s="138"/>
    </row>
    <row r="460" spans="1:5" ht="28" x14ac:dyDescent="0.3">
      <c r="A460" s="70">
        <v>91112010</v>
      </c>
      <c r="B460" s="136" t="s">
        <v>654</v>
      </c>
      <c r="C460" s="119" t="s">
        <v>43</v>
      </c>
      <c r="D460" s="65" t="e">
        <f>ANALISA!H1879</f>
        <v>#REF!</v>
      </c>
      <c r="E460" s="138"/>
    </row>
    <row r="461" spans="1:5" ht="28" x14ac:dyDescent="0.3">
      <c r="A461" s="70">
        <v>91112013</v>
      </c>
      <c r="B461" s="136" t="s">
        <v>657</v>
      </c>
      <c r="C461" s="119" t="s">
        <v>43</v>
      </c>
      <c r="D461" s="65" t="e">
        <f>ANALISA!H1904</f>
        <v>#REF!</v>
      </c>
      <c r="E461" s="138"/>
    </row>
    <row r="462" spans="1:5" ht="28" x14ac:dyDescent="0.3">
      <c r="A462" s="70">
        <v>91112016</v>
      </c>
      <c r="B462" s="136" t="s">
        <v>658</v>
      </c>
      <c r="C462" s="119" t="s">
        <v>43</v>
      </c>
      <c r="D462" s="65" t="e">
        <f>ANALISA!H1929</f>
        <v>#REF!</v>
      </c>
      <c r="E462" s="138"/>
    </row>
    <row r="463" spans="1:5" ht="28" x14ac:dyDescent="0.3">
      <c r="A463" s="70">
        <v>91112019</v>
      </c>
      <c r="B463" s="136" t="s">
        <v>661</v>
      </c>
      <c r="C463" s="119" t="s">
        <v>43</v>
      </c>
      <c r="D463" s="65" t="e">
        <f>ANALISA!H1954</f>
        <v>#REF!</v>
      </c>
      <c r="E463" s="138"/>
    </row>
    <row r="464" spans="1:5" ht="28" x14ac:dyDescent="0.3">
      <c r="A464" s="70">
        <v>91112022</v>
      </c>
      <c r="B464" s="136" t="s">
        <v>662</v>
      </c>
      <c r="C464" s="119" t="s">
        <v>43</v>
      </c>
      <c r="D464" s="65" t="e">
        <f>ANALISA!H1979</f>
        <v>#REF!</v>
      </c>
      <c r="E464" s="138"/>
    </row>
    <row r="465" spans="1:5" ht="28" customHeight="1" x14ac:dyDescent="0.3">
      <c r="A465" s="70">
        <v>91114001</v>
      </c>
      <c r="B465" s="139" t="s">
        <v>805</v>
      </c>
      <c r="C465" s="137" t="s">
        <v>713</v>
      </c>
      <c r="D465" s="65" t="e">
        <f>ANALISA!H2854</f>
        <v>#REF!</v>
      </c>
      <c r="E465" s="138"/>
    </row>
    <row r="466" spans="1:5" ht="28" x14ac:dyDescent="0.3">
      <c r="A466" s="70">
        <v>91114003</v>
      </c>
      <c r="B466" s="139" t="s">
        <v>808</v>
      </c>
      <c r="C466" s="137" t="s">
        <v>713</v>
      </c>
      <c r="D466" s="65" t="e">
        <f>ANALISA!H2881</f>
        <v>#REF!</v>
      </c>
      <c r="E466" s="138"/>
    </row>
    <row r="467" spans="1:5" ht="30" customHeight="1" x14ac:dyDescent="0.3">
      <c r="A467" s="70">
        <v>91114005</v>
      </c>
      <c r="B467" s="139" t="s">
        <v>815</v>
      </c>
      <c r="C467" s="137" t="s">
        <v>713</v>
      </c>
      <c r="D467" s="65" t="e">
        <f>ANALISA!H2987</f>
        <v>#REF!</v>
      </c>
      <c r="E467" s="138"/>
    </row>
    <row r="468" spans="1:5" ht="31" customHeight="1" x14ac:dyDescent="0.3">
      <c r="A468" s="70">
        <v>91114007</v>
      </c>
      <c r="B468" s="139" t="s">
        <v>817</v>
      </c>
      <c r="C468" s="137" t="s">
        <v>713</v>
      </c>
      <c r="D468" s="65" t="e">
        <f>ANALISA!H3014</f>
        <v>#REF!</v>
      </c>
      <c r="E468" s="138"/>
    </row>
    <row r="469" spans="1:5" x14ac:dyDescent="0.3">
      <c r="A469" s="70">
        <v>91114009</v>
      </c>
      <c r="B469" s="139" t="s">
        <v>826</v>
      </c>
      <c r="C469" s="137" t="s">
        <v>713</v>
      </c>
      <c r="D469" s="65" t="e">
        <f>ANALISA!H3119</f>
        <v>#REF!</v>
      </c>
      <c r="E469" s="138"/>
    </row>
    <row r="470" spans="1:5" x14ac:dyDescent="0.3">
      <c r="A470" s="70">
        <v>91114011</v>
      </c>
      <c r="B470" s="139" t="s">
        <v>830</v>
      </c>
      <c r="C470" s="137" t="s">
        <v>713</v>
      </c>
      <c r="D470" s="65" t="e">
        <f>ANALISA!H3146</f>
        <v>#REF!</v>
      </c>
      <c r="E470" s="138"/>
    </row>
    <row r="471" spans="1:5" x14ac:dyDescent="0.3">
      <c r="A471" s="70">
        <v>91114013</v>
      </c>
      <c r="B471" s="139" t="s">
        <v>836</v>
      </c>
      <c r="C471" s="137" t="s">
        <v>713</v>
      </c>
      <c r="D471" s="65" t="e">
        <f>ANALISA!H3251</f>
        <v>#REF!</v>
      </c>
      <c r="E471" s="138"/>
    </row>
    <row r="472" spans="1:5" ht="15" customHeight="1" x14ac:dyDescent="0.3">
      <c r="A472" s="70">
        <v>91114015</v>
      </c>
      <c r="B472" s="139" t="s">
        <v>838</v>
      </c>
      <c r="C472" s="137" t="s">
        <v>713</v>
      </c>
      <c r="D472" s="65" t="e">
        <f>ANALISA!H3278</f>
        <v>#REF!</v>
      </c>
      <c r="E472" s="138"/>
    </row>
    <row r="473" spans="1:5" ht="28" x14ac:dyDescent="0.3">
      <c r="A473" s="70">
        <v>91114017</v>
      </c>
      <c r="B473" s="139" t="s">
        <v>843</v>
      </c>
      <c r="C473" s="137" t="s">
        <v>713</v>
      </c>
      <c r="D473" s="65" t="e">
        <f>ANALISA!H3357</f>
        <v>#REF!</v>
      </c>
      <c r="E473" s="138"/>
    </row>
    <row r="474" spans="1:5" ht="28" x14ac:dyDescent="0.3">
      <c r="A474" s="70">
        <v>91114019</v>
      </c>
      <c r="B474" s="139" t="s">
        <v>847</v>
      </c>
      <c r="C474" s="137" t="s">
        <v>713</v>
      </c>
      <c r="D474" s="65" t="e">
        <f>ANALISA!H3407</f>
        <v>#REF!</v>
      </c>
      <c r="E474" s="138"/>
    </row>
    <row r="475" spans="1:5" ht="28" x14ac:dyDescent="0.3">
      <c r="A475" s="70">
        <v>91121010</v>
      </c>
      <c r="B475" s="136" t="s">
        <v>954</v>
      </c>
      <c r="C475" s="137" t="s">
        <v>43</v>
      </c>
      <c r="D475" s="65" t="e">
        <f>ANALISA!H2670</f>
        <v>#REF!</v>
      </c>
      <c r="E475" s="138"/>
    </row>
    <row r="476" spans="1:5" ht="28" x14ac:dyDescent="0.3">
      <c r="A476" s="70">
        <v>91121015</v>
      </c>
      <c r="B476" s="136" t="s">
        <v>955</v>
      </c>
      <c r="C476" s="137" t="s">
        <v>43</v>
      </c>
      <c r="D476" s="65" t="e">
        <f>ANALISA!H2696</f>
        <v>#REF!</v>
      </c>
      <c r="E476" s="138"/>
    </row>
    <row r="477" spans="1:5" ht="28" x14ac:dyDescent="0.3">
      <c r="A477" s="70">
        <v>91121020</v>
      </c>
      <c r="B477" s="136" t="s">
        <v>956</v>
      </c>
      <c r="C477" s="137" t="s">
        <v>43</v>
      </c>
      <c r="D477" s="65" t="e">
        <f>ANALISA!H2722</f>
        <v>#REF!</v>
      </c>
      <c r="E477" s="138"/>
    </row>
    <row r="478" spans="1:5" ht="28" x14ac:dyDescent="0.3">
      <c r="A478" s="70">
        <v>91121025</v>
      </c>
      <c r="B478" s="136" t="s">
        <v>957</v>
      </c>
      <c r="C478" s="137" t="s">
        <v>43</v>
      </c>
      <c r="D478" s="65" t="e">
        <f>ANALISA!H2748</f>
        <v>#REF!</v>
      </c>
      <c r="E478" s="138"/>
    </row>
    <row r="479" spans="1:5" ht="28" x14ac:dyDescent="0.3">
      <c r="A479" s="70">
        <v>91121040</v>
      </c>
      <c r="B479" s="136" t="s">
        <v>958</v>
      </c>
      <c r="C479" s="137" t="s">
        <v>43</v>
      </c>
      <c r="D479" s="65" t="e">
        <f>ANALISA!H2776</f>
        <v>#REF!</v>
      </c>
      <c r="E479" s="138"/>
    </row>
    <row r="480" spans="1:5" ht="15" customHeight="1" x14ac:dyDescent="0.3">
      <c r="D480" s="65"/>
    </row>
    <row r="481" spans="4:4" ht="15" customHeight="1" x14ac:dyDescent="0.3">
      <c r="D481" s="65"/>
    </row>
    <row r="482" spans="4:4" x14ac:dyDescent="0.3">
      <c r="D482" s="65"/>
    </row>
    <row r="483" spans="4:4" x14ac:dyDescent="0.3">
      <c r="D483" s="65"/>
    </row>
    <row r="484" spans="4:4" x14ac:dyDescent="0.3">
      <c r="D484" s="65"/>
    </row>
    <row r="485" spans="4:4" x14ac:dyDescent="0.3">
      <c r="D485" s="65"/>
    </row>
    <row r="486" spans="4:4" x14ac:dyDescent="0.3">
      <c r="D486" s="65"/>
    </row>
    <row r="487" spans="4:4" x14ac:dyDescent="0.3">
      <c r="D487" s="65"/>
    </row>
    <row r="488" spans="4:4" x14ac:dyDescent="0.3">
      <c r="D488" s="65"/>
    </row>
    <row r="489" spans="4:4" x14ac:dyDescent="0.3">
      <c r="D489" s="65"/>
    </row>
    <row r="490" spans="4:4" x14ac:dyDescent="0.3">
      <c r="D490" s="65"/>
    </row>
    <row r="491" spans="4:4" x14ac:dyDescent="0.3">
      <c r="D491" s="65"/>
    </row>
    <row r="492" spans="4:4" x14ac:dyDescent="0.3">
      <c r="D492" s="65"/>
    </row>
    <row r="493" spans="4:4" x14ac:dyDescent="0.3">
      <c r="D493" s="65"/>
    </row>
    <row r="494" spans="4:4" x14ac:dyDescent="0.3">
      <c r="D494" s="65"/>
    </row>
    <row r="495" spans="4:4" x14ac:dyDescent="0.3">
      <c r="D495" s="65"/>
    </row>
    <row r="496" spans="4:4" x14ac:dyDescent="0.3">
      <c r="D496" s="65"/>
    </row>
    <row r="497" spans="4:4" x14ac:dyDescent="0.3">
      <c r="D497" s="65"/>
    </row>
    <row r="498" spans="4:4" x14ac:dyDescent="0.3">
      <c r="D498" s="65"/>
    </row>
    <row r="499" spans="4:4" x14ac:dyDescent="0.3">
      <c r="D499" s="65"/>
    </row>
    <row r="500" spans="4:4" x14ac:dyDescent="0.3">
      <c r="D500" s="65"/>
    </row>
    <row r="501" spans="4:4" x14ac:dyDescent="0.3">
      <c r="D501" s="65"/>
    </row>
    <row r="502" spans="4:4" x14ac:dyDescent="0.3">
      <c r="D502" s="65"/>
    </row>
    <row r="503" spans="4:4" x14ac:dyDescent="0.3">
      <c r="D503" s="65"/>
    </row>
    <row r="504" spans="4:4" x14ac:dyDescent="0.3">
      <c r="D504" s="65"/>
    </row>
    <row r="505" spans="4:4" x14ac:dyDescent="0.3">
      <c r="D505" s="65"/>
    </row>
    <row r="506" spans="4:4" x14ac:dyDescent="0.3">
      <c r="D506" s="65"/>
    </row>
    <row r="507" spans="4:4" x14ac:dyDescent="0.3">
      <c r="D507" s="65"/>
    </row>
    <row r="508" spans="4:4" x14ac:dyDescent="0.3">
      <c r="D508" s="65"/>
    </row>
    <row r="509" spans="4:4" x14ac:dyDescent="0.3">
      <c r="D509" s="65"/>
    </row>
    <row r="510" spans="4:4" x14ac:dyDescent="0.3">
      <c r="D510" s="65"/>
    </row>
    <row r="511" spans="4:4" x14ac:dyDescent="0.3">
      <c r="D511" s="65"/>
    </row>
    <row r="512" spans="4:4" x14ac:dyDescent="0.3">
      <c r="D512" s="65"/>
    </row>
    <row r="513" spans="4:4" x14ac:dyDescent="0.3">
      <c r="D513" s="65"/>
    </row>
    <row r="514" spans="4:4" x14ac:dyDescent="0.3">
      <c r="D514" s="65"/>
    </row>
    <row r="515" spans="4:4" x14ac:dyDescent="0.3">
      <c r="D515" s="65"/>
    </row>
    <row r="516" spans="4:4" x14ac:dyDescent="0.3">
      <c r="D516" s="65"/>
    </row>
    <row r="517" spans="4:4" x14ac:dyDescent="0.3">
      <c r="D517" s="65"/>
    </row>
    <row r="518" spans="4:4" x14ac:dyDescent="0.3">
      <c r="D518" s="65"/>
    </row>
    <row r="519" spans="4:4" x14ac:dyDescent="0.3">
      <c r="D519" s="65"/>
    </row>
    <row r="520" spans="4:4" x14ac:dyDescent="0.3">
      <c r="D520" s="65"/>
    </row>
    <row r="521" spans="4:4" x14ac:dyDescent="0.3">
      <c r="D521" s="65"/>
    </row>
    <row r="522" spans="4:4" x14ac:dyDescent="0.3">
      <c r="D522" s="65"/>
    </row>
    <row r="523" spans="4:4" x14ac:dyDescent="0.3">
      <c r="D523" s="65"/>
    </row>
    <row r="524" spans="4:4" x14ac:dyDescent="0.3">
      <c r="D524" s="65"/>
    </row>
    <row r="525" spans="4:4" x14ac:dyDescent="0.3">
      <c r="D525" s="65"/>
    </row>
    <row r="526" spans="4:4" x14ac:dyDescent="0.3">
      <c r="D526" s="65"/>
    </row>
    <row r="527" spans="4:4" x14ac:dyDescent="0.3">
      <c r="D527" s="65"/>
    </row>
    <row r="528" spans="4:4" x14ac:dyDescent="0.3">
      <c r="D528" s="65"/>
    </row>
    <row r="529" spans="4:4" x14ac:dyDescent="0.3">
      <c r="D529" s="65"/>
    </row>
    <row r="530" spans="4:4" x14ac:dyDescent="0.3">
      <c r="D530" s="65"/>
    </row>
    <row r="531" spans="4:4" x14ac:dyDescent="0.3">
      <c r="D531" s="65"/>
    </row>
    <row r="532" spans="4:4" x14ac:dyDescent="0.3">
      <c r="D532" s="65"/>
    </row>
    <row r="533" spans="4:4" x14ac:dyDescent="0.3">
      <c r="D533" s="65"/>
    </row>
    <row r="534" spans="4:4" x14ac:dyDescent="0.3">
      <c r="D534" s="65"/>
    </row>
    <row r="535" spans="4:4" x14ac:dyDescent="0.3">
      <c r="D535" s="65"/>
    </row>
    <row r="536" spans="4:4" x14ac:dyDescent="0.3">
      <c r="D536" s="65"/>
    </row>
    <row r="537" spans="4:4" x14ac:dyDescent="0.3">
      <c r="D537" s="65"/>
    </row>
    <row r="538" spans="4:4" x14ac:dyDescent="0.3">
      <c r="D538" s="65"/>
    </row>
    <row r="539" spans="4:4" x14ac:dyDescent="0.3">
      <c r="D539" s="65"/>
    </row>
    <row r="540" spans="4:4" x14ac:dyDescent="0.3">
      <c r="D540" s="65"/>
    </row>
    <row r="541" spans="4:4" x14ac:dyDescent="0.3">
      <c r="D541" s="65"/>
    </row>
    <row r="542" spans="4:4" x14ac:dyDescent="0.3">
      <c r="D542" s="65"/>
    </row>
    <row r="543" spans="4:4" x14ac:dyDescent="0.3">
      <c r="D543" s="65"/>
    </row>
    <row r="544" spans="4:4" x14ac:dyDescent="0.3">
      <c r="D544" s="65"/>
    </row>
    <row r="545" spans="4:4" x14ac:dyDescent="0.3">
      <c r="D545" s="65"/>
    </row>
    <row r="546" spans="4:4" x14ac:dyDescent="0.3">
      <c r="D546" s="65"/>
    </row>
    <row r="547" spans="4:4" x14ac:dyDescent="0.3">
      <c r="D547" s="65"/>
    </row>
    <row r="548" spans="4:4" x14ac:dyDescent="0.3">
      <c r="D548" s="65"/>
    </row>
    <row r="549" spans="4:4" x14ac:dyDescent="0.3">
      <c r="D549" s="65"/>
    </row>
    <row r="550" spans="4:4" x14ac:dyDescent="0.3">
      <c r="D550" s="65"/>
    </row>
    <row r="551" spans="4:4" x14ac:dyDescent="0.3">
      <c r="D551" s="65"/>
    </row>
    <row r="552" spans="4:4" x14ac:dyDescent="0.3">
      <c r="D552" s="65"/>
    </row>
    <row r="553" spans="4:4" x14ac:dyDescent="0.3">
      <c r="D553" s="65"/>
    </row>
  </sheetData>
  <mergeCells count="4">
    <mergeCell ref="A5:D5"/>
    <mergeCell ref="A2:A4"/>
    <mergeCell ref="B2:B4"/>
    <mergeCell ref="D2:D3"/>
  </mergeCells>
  <phoneticPr fontId="3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A17E3-9385-4AE1-9FA8-AC178383ECAF}">
  <dimension ref="A1:R3957"/>
  <sheetViews>
    <sheetView topLeftCell="A3548" workbookViewId="0">
      <selection activeCell="G3571" sqref="G3571"/>
    </sheetView>
  </sheetViews>
  <sheetFormatPr defaultRowHeight="13" x14ac:dyDescent="0.35"/>
  <cols>
    <col min="1" max="1" width="9.36328125" style="134" customWidth="1"/>
    <col min="2" max="2" width="13.81640625" style="75" customWidth="1"/>
    <col min="3" max="3" width="26.81640625" style="75" customWidth="1"/>
    <col min="4" max="4" width="10.81640625" style="75" hidden="1" customWidth="1"/>
    <col min="5" max="5" width="10.81640625" style="75" customWidth="1"/>
    <col min="6" max="6" width="13.81640625" style="75" customWidth="1"/>
    <col min="7" max="8" width="14.81640625" style="75" customWidth="1"/>
    <col min="9" max="9" width="11.1796875" style="75" hidden="1" customWidth="1"/>
    <col min="10" max="10" width="11" style="75" hidden="1" customWidth="1"/>
    <col min="11" max="11" width="10.81640625" style="75" hidden="1" customWidth="1"/>
    <col min="12" max="12" width="11" style="75" hidden="1" customWidth="1"/>
    <col min="13" max="257" width="8.81640625" style="75"/>
    <col min="258" max="258" width="13.81640625" style="75" customWidth="1"/>
    <col min="259" max="259" width="26.81640625" style="75" customWidth="1"/>
    <col min="260" max="261" width="10.81640625" style="75" customWidth="1"/>
    <col min="262" max="262" width="13.81640625" style="75" customWidth="1"/>
    <col min="263" max="264" width="14.81640625" style="75" customWidth="1"/>
    <col min="265" max="268" width="0" style="75" hidden="1" customWidth="1"/>
    <col min="269" max="513" width="8.81640625" style="75"/>
    <col min="514" max="514" width="13.81640625" style="75" customWidth="1"/>
    <col min="515" max="515" width="26.81640625" style="75" customWidth="1"/>
    <col min="516" max="517" width="10.81640625" style="75" customWidth="1"/>
    <col min="518" max="518" width="13.81640625" style="75" customWidth="1"/>
    <col min="519" max="520" width="14.81640625" style="75" customWidth="1"/>
    <col min="521" max="524" width="0" style="75" hidden="1" customWidth="1"/>
    <col min="525" max="769" width="8.81640625" style="75"/>
    <col min="770" max="770" width="13.81640625" style="75" customWidth="1"/>
    <col min="771" max="771" width="26.81640625" style="75" customWidth="1"/>
    <col min="772" max="773" width="10.81640625" style="75" customWidth="1"/>
    <col min="774" max="774" width="13.81640625" style="75" customWidth="1"/>
    <col min="775" max="776" width="14.81640625" style="75" customWidth="1"/>
    <col min="777" max="780" width="0" style="75" hidden="1" customWidth="1"/>
    <col min="781" max="1025" width="8.81640625" style="75"/>
    <col min="1026" max="1026" width="13.81640625" style="75" customWidth="1"/>
    <col min="1027" max="1027" width="26.81640625" style="75" customWidth="1"/>
    <col min="1028" max="1029" width="10.81640625" style="75" customWidth="1"/>
    <col min="1030" max="1030" width="13.81640625" style="75" customWidth="1"/>
    <col min="1031" max="1032" width="14.81640625" style="75" customWidth="1"/>
    <col min="1033" max="1036" width="0" style="75" hidden="1" customWidth="1"/>
    <col min="1037" max="1281" width="8.81640625" style="75"/>
    <col min="1282" max="1282" width="13.81640625" style="75" customWidth="1"/>
    <col min="1283" max="1283" width="26.81640625" style="75" customWidth="1"/>
    <col min="1284" max="1285" width="10.81640625" style="75" customWidth="1"/>
    <col min="1286" max="1286" width="13.81640625" style="75" customWidth="1"/>
    <col min="1287" max="1288" width="14.81640625" style="75" customWidth="1"/>
    <col min="1289" max="1292" width="0" style="75" hidden="1" customWidth="1"/>
    <col min="1293" max="1537" width="8.81640625" style="75"/>
    <col min="1538" max="1538" width="13.81640625" style="75" customWidth="1"/>
    <col min="1539" max="1539" width="26.81640625" style="75" customWidth="1"/>
    <col min="1540" max="1541" width="10.81640625" style="75" customWidth="1"/>
    <col min="1542" max="1542" width="13.81640625" style="75" customWidth="1"/>
    <col min="1543" max="1544" width="14.81640625" style="75" customWidth="1"/>
    <col min="1545" max="1548" width="0" style="75" hidden="1" customWidth="1"/>
    <col min="1549" max="1793" width="8.81640625" style="75"/>
    <col min="1794" max="1794" width="13.81640625" style="75" customWidth="1"/>
    <col min="1795" max="1795" width="26.81640625" style="75" customWidth="1"/>
    <col min="1796" max="1797" width="10.81640625" style="75" customWidth="1"/>
    <col min="1798" max="1798" width="13.81640625" style="75" customWidth="1"/>
    <col min="1799" max="1800" width="14.81640625" style="75" customWidth="1"/>
    <col min="1801" max="1804" width="0" style="75" hidden="1" customWidth="1"/>
    <col min="1805" max="2049" width="8.81640625" style="75"/>
    <col min="2050" max="2050" width="13.81640625" style="75" customWidth="1"/>
    <col min="2051" max="2051" width="26.81640625" style="75" customWidth="1"/>
    <col min="2052" max="2053" width="10.81640625" style="75" customWidth="1"/>
    <col min="2054" max="2054" width="13.81640625" style="75" customWidth="1"/>
    <col min="2055" max="2056" width="14.81640625" style="75" customWidth="1"/>
    <col min="2057" max="2060" width="0" style="75" hidden="1" customWidth="1"/>
    <col min="2061" max="2305" width="8.81640625" style="75"/>
    <col min="2306" max="2306" width="13.81640625" style="75" customWidth="1"/>
    <col min="2307" max="2307" width="26.81640625" style="75" customWidth="1"/>
    <col min="2308" max="2309" width="10.81640625" style="75" customWidth="1"/>
    <col min="2310" max="2310" width="13.81640625" style="75" customWidth="1"/>
    <col min="2311" max="2312" width="14.81640625" style="75" customWidth="1"/>
    <col min="2313" max="2316" width="0" style="75" hidden="1" customWidth="1"/>
    <col min="2317" max="2561" width="8.81640625" style="75"/>
    <col min="2562" max="2562" width="13.81640625" style="75" customWidth="1"/>
    <col min="2563" max="2563" width="26.81640625" style="75" customWidth="1"/>
    <col min="2564" max="2565" width="10.81640625" style="75" customWidth="1"/>
    <col min="2566" max="2566" width="13.81640625" style="75" customWidth="1"/>
    <col min="2567" max="2568" width="14.81640625" style="75" customWidth="1"/>
    <col min="2569" max="2572" width="0" style="75" hidden="1" customWidth="1"/>
    <col min="2573" max="2817" width="8.81640625" style="75"/>
    <col min="2818" max="2818" width="13.81640625" style="75" customWidth="1"/>
    <col min="2819" max="2819" width="26.81640625" style="75" customWidth="1"/>
    <col min="2820" max="2821" width="10.81640625" style="75" customWidth="1"/>
    <col min="2822" max="2822" width="13.81640625" style="75" customWidth="1"/>
    <col min="2823" max="2824" width="14.81640625" style="75" customWidth="1"/>
    <col min="2825" max="2828" width="0" style="75" hidden="1" customWidth="1"/>
    <col min="2829" max="3073" width="8.81640625" style="75"/>
    <col min="3074" max="3074" width="13.81640625" style="75" customWidth="1"/>
    <col min="3075" max="3075" width="26.81640625" style="75" customWidth="1"/>
    <col min="3076" max="3077" width="10.81640625" style="75" customWidth="1"/>
    <col min="3078" max="3078" width="13.81640625" style="75" customWidth="1"/>
    <col min="3079" max="3080" width="14.81640625" style="75" customWidth="1"/>
    <col min="3081" max="3084" width="0" style="75" hidden="1" customWidth="1"/>
    <col min="3085" max="3329" width="8.81640625" style="75"/>
    <col min="3330" max="3330" width="13.81640625" style="75" customWidth="1"/>
    <col min="3331" max="3331" width="26.81640625" style="75" customWidth="1"/>
    <col min="3332" max="3333" width="10.81640625" style="75" customWidth="1"/>
    <col min="3334" max="3334" width="13.81640625" style="75" customWidth="1"/>
    <col min="3335" max="3336" width="14.81640625" style="75" customWidth="1"/>
    <col min="3337" max="3340" width="0" style="75" hidden="1" customWidth="1"/>
    <col min="3341" max="3585" width="8.81640625" style="75"/>
    <col min="3586" max="3586" width="13.81640625" style="75" customWidth="1"/>
    <col min="3587" max="3587" width="26.81640625" style="75" customWidth="1"/>
    <col min="3588" max="3589" width="10.81640625" style="75" customWidth="1"/>
    <col min="3590" max="3590" width="13.81640625" style="75" customWidth="1"/>
    <col min="3591" max="3592" width="14.81640625" style="75" customWidth="1"/>
    <col min="3593" max="3596" width="0" style="75" hidden="1" customWidth="1"/>
    <col min="3597" max="3841" width="8.81640625" style="75"/>
    <col min="3842" max="3842" width="13.81640625" style="75" customWidth="1"/>
    <col min="3843" max="3843" width="26.81640625" style="75" customWidth="1"/>
    <col min="3844" max="3845" width="10.81640625" style="75" customWidth="1"/>
    <col min="3846" max="3846" width="13.81640625" style="75" customWidth="1"/>
    <col min="3847" max="3848" width="14.81640625" style="75" customWidth="1"/>
    <col min="3849" max="3852" width="0" style="75" hidden="1" customWidth="1"/>
    <col min="3853" max="4097" width="8.81640625" style="75"/>
    <col min="4098" max="4098" width="13.81640625" style="75" customWidth="1"/>
    <col min="4099" max="4099" width="26.81640625" style="75" customWidth="1"/>
    <col min="4100" max="4101" width="10.81640625" style="75" customWidth="1"/>
    <col min="4102" max="4102" width="13.81640625" style="75" customWidth="1"/>
    <col min="4103" max="4104" width="14.81640625" style="75" customWidth="1"/>
    <col min="4105" max="4108" width="0" style="75" hidden="1" customWidth="1"/>
    <col min="4109" max="4353" width="8.81640625" style="75"/>
    <col min="4354" max="4354" width="13.81640625" style="75" customWidth="1"/>
    <col min="4355" max="4355" width="26.81640625" style="75" customWidth="1"/>
    <col min="4356" max="4357" width="10.81640625" style="75" customWidth="1"/>
    <col min="4358" max="4358" width="13.81640625" style="75" customWidth="1"/>
    <col min="4359" max="4360" width="14.81640625" style="75" customWidth="1"/>
    <col min="4361" max="4364" width="0" style="75" hidden="1" customWidth="1"/>
    <col min="4365" max="4609" width="8.81640625" style="75"/>
    <col min="4610" max="4610" width="13.81640625" style="75" customWidth="1"/>
    <col min="4611" max="4611" width="26.81640625" style="75" customWidth="1"/>
    <col min="4612" max="4613" width="10.81640625" style="75" customWidth="1"/>
    <col min="4614" max="4614" width="13.81640625" style="75" customWidth="1"/>
    <col min="4615" max="4616" width="14.81640625" style="75" customWidth="1"/>
    <col min="4617" max="4620" width="0" style="75" hidden="1" customWidth="1"/>
    <col min="4621" max="4865" width="8.81640625" style="75"/>
    <col min="4866" max="4866" width="13.81640625" style="75" customWidth="1"/>
    <col min="4867" max="4867" width="26.81640625" style="75" customWidth="1"/>
    <col min="4868" max="4869" width="10.81640625" style="75" customWidth="1"/>
    <col min="4870" max="4870" width="13.81640625" style="75" customWidth="1"/>
    <col min="4871" max="4872" width="14.81640625" style="75" customWidth="1"/>
    <col min="4873" max="4876" width="0" style="75" hidden="1" customWidth="1"/>
    <col min="4877" max="5121" width="8.81640625" style="75"/>
    <col min="5122" max="5122" width="13.81640625" style="75" customWidth="1"/>
    <col min="5123" max="5123" width="26.81640625" style="75" customWidth="1"/>
    <col min="5124" max="5125" width="10.81640625" style="75" customWidth="1"/>
    <col min="5126" max="5126" width="13.81640625" style="75" customWidth="1"/>
    <col min="5127" max="5128" width="14.81640625" style="75" customWidth="1"/>
    <col min="5129" max="5132" width="0" style="75" hidden="1" customWidth="1"/>
    <col min="5133" max="5377" width="8.81640625" style="75"/>
    <col min="5378" max="5378" width="13.81640625" style="75" customWidth="1"/>
    <col min="5379" max="5379" width="26.81640625" style="75" customWidth="1"/>
    <col min="5380" max="5381" width="10.81640625" style="75" customWidth="1"/>
    <col min="5382" max="5382" width="13.81640625" style="75" customWidth="1"/>
    <col min="5383" max="5384" width="14.81640625" style="75" customWidth="1"/>
    <col min="5385" max="5388" width="0" style="75" hidden="1" customWidth="1"/>
    <col min="5389" max="5633" width="8.81640625" style="75"/>
    <col min="5634" max="5634" width="13.81640625" style="75" customWidth="1"/>
    <col min="5635" max="5635" width="26.81640625" style="75" customWidth="1"/>
    <col min="5636" max="5637" width="10.81640625" style="75" customWidth="1"/>
    <col min="5638" max="5638" width="13.81640625" style="75" customWidth="1"/>
    <col min="5639" max="5640" width="14.81640625" style="75" customWidth="1"/>
    <col min="5641" max="5644" width="0" style="75" hidden="1" customWidth="1"/>
    <col min="5645" max="5889" width="8.81640625" style="75"/>
    <col min="5890" max="5890" width="13.81640625" style="75" customWidth="1"/>
    <col min="5891" max="5891" width="26.81640625" style="75" customWidth="1"/>
    <col min="5892" max="5893" width="10.81640625" style="75" customWidth="1"/>
    <col min="5894" max="5894" width="13.81640625" style="75" customWidth="1"/>
    <col min="5895" max="5896" width="14.81640625" style="75" customWidth="1"/>
    <col min="5897" max="5900" width="0" style="75" hidden="1" customWidth="1"/>
    <col min="5901" max="6145" width="8.81640625" style="75"/>
    <col min="6146" max="6146" width="13.81640625" style="75" customWidth="1"/>
    <col min="6147" max="6147" width="26.81640625" style="75" customWidth="1"/>
    <col min="6148" max="6149" width="10.81640625" style="75" customWidth="1"/>
    <col min="6150" max="6150" width="13.81640625" style="75" customWidth="1"/>
    <col min="6151" max="6152" width="14.81640625" style="75" customWidth="1"/>
    <col min="6153" max="6156" width="0" style="75" hidden="1" customWidth="1"/>
    <col min="6157" max="6401" width="8.81640625" style="75"/>
    <col min="6402" max="6402" width="13.81640625" style="75" customWidth="1"/>
    <col min="6403" max="6403" width="26.81640625" style="75" customWidth="1"/>
    <col min="6404" max="6405" width="10.81640625" style="75" customWidth="1"/>
    <col min="6406" max="6406" width="13.81640625" style="75" customWidth="1"/>
    <col min="6407" max="6408" width="14.81640625" style="75" customWidth="1"/>
    <col min="6409" max="6412" width="0" style="75" hidden="1" customWidth="1"/>
    <col min="6413" max="6657" width="8.81640625" style="75"/>
    <col min="6658" max="6658" width="13.81640625" style="75" customWidth="1"/>
    <col min="6659" max="6659" width="26.81640625" style="75" customWidth="1"/>
    <col min="6660" max="6661" width="10.81640625" style="75" customWidth="1"/>
    <col min="6662" max="6662" width="13.81640625" style="75" customWidth="1"/>
    <col min="6663" max="6664" width="14.81640625" style="75" customWidth="1"/>
    <col min="6665" max="6668" width="0" style="75" hidden="1" customWidth="1"/>
    <col min="6669" max="6913" width="8.81640625" style="75"/>
    <col min="6914" max="6914" width="13.81640625" style="75" customWidth="1"/>
    <col min="6915" max="6915" width="26.81640625" style="75" customWidth="1"/>
    <col min="6916" max="6917" width="10.81640625" style="75" customWidth="1"/>
    <col min="6918" max="6918" width="13.81640625" style="75" customWidth="1"/>
    <col min="6919" max="6920" width="14.81640625" style="75" customWidth="1"/>
    <col min="6921" max="6924" width="0" style="75" hidden="1" customWidth="1"/>
    <col min="6925" max="7169" width="8.81640625" style="75"/>
    <col min="7170" max="7170" width="13.81640625" style="75" customWidth="1"/>
    <col min="7171" max="7171" width="26.81640625" style="75" customWidth="1"/>
    <col min="7172" max="7173" width="10.81640625" style="75" customWidth="1"/>
    <col min="7174" max="7174" width="13.81640625" style="75" customWidth="1"/>
    <col min="7175" max="7176" width="14.81640625" style="75" customWidth="1"/>
    <col min="7177" max="7180" width="0" style="75" hidden="1" customWidth="1"/>
    <col min="7181" max="7425" width="8.81640625" style="75"/>
    <col min="7426" max="7426" width="13.81640625" style="75" customWidth="1"/>
    <col min="7427" max="7427" width="26.81640625" style="75" customWidth="1"/>
    <col min="7428" max="7429" width="10.81640625" style="75" customWidth="1"/>
    <col min="7430" max="7430" width="13.81640625" style="75" customWidth="1"/>
    <col min="7431" max="7432" width="14.81640625" style="75" customWidth="1"/>
    <col min="7433" max="7436" width="0" style="75" hidden="1" customWidth="1"/>
    <col min="7437" max="7681" width="8.81640625" style="75"/>
    <col min="7682" max="7682" width="13.81640625" style="75" customWidth="1"/>
    <col min="7683" max="7683" width="26.81640625" style="75" customWidth="1"/>
    <col min="7684" max="7685" width="10.81640625" style="75" customWidth="1"/>
    <col min="7686" max="7686" width="13.81640625" style="75" customWidth="1"/>
    <col min="7687" max="7688" width="14.81640625" style="75" customWidth="1"/>
    <col min="7689" max="7692" width="0" style="75" hidden="1" customWidth="1"/>
    <col min="7693" max="7937" width="8.81640625" style="75"/>
    <col min="7938" max="7938" width="13.81640625" style="75" customWidth="1"/>
    <col min="7939" max="7939" width="26.81640625" style="75" customWidth="1"/>
    <col min="7940" max="7941" width="10.81640625" style="75" customWidth="1"/>
    <col min="7942" max="7942" width="13.81640625" style="75" customWidth="1"/>
    <col min="7943" max="7944" width="14.81640625" style="75" customWidth="1"/>
    <col min="7945" max="7948" width="0" style="75" hidden="1" customWidth="1"/>
    <col min="7949" max="8193" width="8.81640625" style="75"/>
    <col min="8194" max="8194" width="13.81640625" style="75" customWidth="1"/>
    <col min="8195" max="8195" width="26.81640625" style="75" customWidth="1"/>
    <col min="8196" max="8197" width="10.81640625" style="75" customWidth="1"/>
    <col min="8198" max="8198" width="13.81640625" style="75" customWidth="1"/>
    <col min="8199" max="8200" width="14.81640625" style="75" customWidth="1"/>
    <col min="8201" max="8204" width="0" style="75" hidden="1" customWidth="1"/>
    <col min="8205" max="8449" width="8.81640625" style="75"/>
    <col min="8450" max="8450" width="13.81640625" style="75" customWidth="1"/>
    <col min="8451" max="8451" width="26.81640625" style="75" customWidth="1"/>
    <col min="8452" max="8453" width="10.81640625" style="75" customWidth="1"/>
    <col min="8454" max="8454" width="13.81640625" style="75" customWidth="1"/>
    <col min="8455" max="8456" width="14.81640625" style="75" customWidth="1"/>
    <col min="8457" max="8460" width="0" style="75" hidden="1" customWidth="1"/>
    <col min="8461" max="8705" width="8.81640625" style="75"/>
    <col min="8706" max="8706" width="13.81640625" style="75" customWidth="1"/>
    <col min="8707" max="8707" width="26.81640625" style="75" customWidth="1"/>
    <col min="8708" max="8709" width="10.81640625" style="75" customWidth="1"/>
    <col min="8710" max="8710" width="13.81640625" style="75" customWidth="1"/>
    <col min="8711" max="8712" width="14.81640625" style="75" customWidth="1"/>
    <col min="8713" max="8716" width="0" style="75" hidden="1" customWidth="1"/>
    <col min="8717" max="8961" width="8.81640625" style="75"/>
    <col min="8962" max="8962" width="13.81640625" style="75" customWidth="1"/>
    <col min="8963" max="8963" width="26.81640625" style="75" customWidth="1"/>
    <col min="8964" max="8965" width="10.81640625" style="75" customWidth="1"/>
    <col min="8966" max="8966" width="13.81640625" style="75" customWidth="1"/>
    <col min="8967" max="8968" width="14.81640625" style="75" customWidth="1"/>
    <col min="8969" max="8972" width="0" style="75" hidden="1" customWidth="1"/>
    <col min="8973" max="9217" width="8.81640625" style="75"/>
    <col min="9218" max="9218" width="13.81640625" style="75" customWidth="1"/>
    <col min="9219" max="9219" width="26.81640625" style="75" customWidth="1"/>
    <col min="9220" max="9221" width="10.81640625" style="75" customWidth="1"/>
    <col min="9222" max="9222" width="13.81640625" style="75" customWidth="1"/>
    <col min="9223" max="9224" width="14.81640625" style="75" customWidth="1"/>
    <col min="9225" max="9228" width="0" style="75" hidden="1" customWidth="1"/>
    <col min="9229" max="9473" width="8.81640625" style="75"/>
    <col min="9474" max="9474" width="13.81640625" style="75" customWidth="1"/>
    <col min="9475" max="9475" width="26.81640625" style="75" customWidth="1"/>
    <col min="9476" max="9477" width="10.81640625" style="75" customWidth="1"/>
    <col min="9478" max="9478" width="13.81640625" style="75" customWidth="1"/>
    <col min="9479" max="9480" width="14.81640625" style="75" customWidth="1"/>
    <col min="9481" max="9484" width="0" style="75" hidden="1" customWidth="1"/>
    <col min="9485" max="9729" width="8.81640625" style="75"/>
    <col min="9730" max="9730" width="13.81640625" style="75" customWidth="1"/>
    <col min="9731" max="9731" width="26.81640625" style="75" customWidth="1"/>
    <col min="9732" max="9733" width="10.81640625" style="75" customWidth="1"/>
    <col min="9734" max="9734" width="13.81640625" style="75" customWidth="1"/>
    <col min="9735" max="9736" width="14.81640625" style="75" customWidth="1"/>
    <col min="9737" max="9740" width="0" style="75" hidden="1" customWidth="1"/>
    <col min="9741" max="9985" width="8.81640625" style="75"/>
    <col min="9986" max="9986" width="13.81640625" style="75" customWidth="1"/>
    <col min="9987" max="9987" width="26.81640625" style="75" customWidth="1"/>
    <col min="9988" max="9989" width="10.81640625" style="75" customWidth="1"/>
    <col min="9990" max="9990" width="13.81640625" style="75" customWidth="1"/>
    <col min="9991" max="9992" width="14.81640625" style="75" customWidth="1"/>
    <col min="9993" max="9996" width="0" style="75" hidden="1" customWidth="1"/>
    <col min="9997" max="10241" width="8.81640625" style="75"/>
    <col min="10242" max="10242" width="13.81640625" style="75" customWidth="1"/>
    <col min="10243" max="10243" width="26.81640625" style="75" customWidth="1"/>
    <col min="10244" max="10245" width="10.81640625" style="75" customWidth="1"/>
    <col min="10246" max="10246" width="13.81640625" style="75" customWidth="1"/>
    <col min="10247" max="10248" width="14.81640625" style="75" customWidth="1"/>
    <col min="10249" max="10252" width="0" style="75" hidden="1" customWidth="1"/>
    <col min="10253" max="10497" width="8.81640625" style="75"/>
    <col min="10498" max="10498" width="13.81640625" style="75" customWidth="1"/>
    <col min="10499" max="10499" width="26.81640625" style="75" customWidth="1"/>
    <col min="10500" max="10501" width="10.81640625" style="75" customWidth="1"/>
    <col min="10502" max="10502" width="13.81640625" style="75" customWidth="1"/>
    <col min="10503" max="10504" width="14.81640625" style="75" customWidth="1"/>
    <col min="10505" max="10508" width="0" style="75" hidden="1" customWidth="1"/>
    <col min="10509" max="10753" width="8.81640625" style="75"/>
    <col min="10754" max="10754" width="13.81640625" style="75" customWidth="1"/>
    <col min="10755" max="10755" width="26.81640625" style="75" customWidth="1"/>
    <col min="10756" max="10757" width="10.81640625" style="75" customWidth="1"/>
    <col min="10758" max="10758" width="13.81640625" style="75" customWidth="1"/>
    <col min="10759" max="10760" width="14.81640625" style="75" customWidth="1"/>
    <col min="10761" max="10764" width="0" style="75" hidden="1" customWidth="1"/>
    <col min="10765" max="11009" width="8.81640625" style="75"/>
    <col min="11010" max="11010" width="13.81640625" style="75" customWidth="1"/>
    <col min="11011" max="11011" width="26.81640625" style="75" customWidth="1"/>
    <col min="11012" max="11013" width="10.81640625" style="75" customWidth="1"/>
    <col min="11014" max="11014" width="13.81640625" style="75" customWidth="1"/>
    <col min="11015" max="11016" width="14.81640625" style="75" customWidth="1"/>
    <col min="11017" max="11020" width="0" style="75" hidden="1" customWidth="1"/>
    <col min="11021" max="11265" width="8.81640625" style="75"/>
    <col min="11266" max="11266" width="13.81640625" style="75" customWidth="1"/>
    <col min="11267" max="11267" width="26.81640625" style="75" customWidth="1"/>
    <col min="11268" max="11269" width="10.81640625" style="75" customWidth="1"/>
    <col min="11270" max="11270" width="13.81640625" style="75" customWidth="1"/>
    <col min="11271" max="11272" width="14.81640625" style="75" customWidth="1"/>
    <col min="11273" max="11276" width="0" style="75" hidden="1" customWidth="1"/>
    <col min="11277" max="11521" width="8.81640625" style="75"/>
    <col min="11522" max="11522" width="13.81640625" style="75" customWidth="1"/>
    <col min="11523" max="11523" width="26.81640625" style="75" customWidth="1"/>
    <col min="11524" max="11525" width="10.81640625" style="75" customWidth="1"/>
    <col min="11526" max="11526" width="13.81640625" style="75" customWidth="1"/>
    <col min="11527" max="11528" width="14.81640625" style="75" customWidth="1"/>
    <col min="11529" max="11532" width="0" style="75" hidden="1" customWidth="1"/>
    <col min="11533" max="11777" width="8.81640625" style="75"/>
    <col min="11778" max="11778" width="13.81640625" style="75" customWidth="1"/>
    <col min="11779" max="11779" width="26.81640625" style="75" customWidth="1"/>
    <col min="11780" max="11781" width="10.81640625" style="75" customWidth="1"/>
    <col min="11782" max="11782" width="13.81640625" style="75" customWidth="1"/>
    <col min="11783" max="11784" width="14.81640625" style="75" customWidth="1"/>
    <col min="11785" max="11788" width="0" style="75" hidden="1" customWidth="1"/>
    <col min="11789" max="12033" width="8.81640625" style="75"/>
    <col min="12034" max="12034" width="13.81640625" style="75" customWidth="1"/>
    <col min="12035" max="12035" width="26.81640625" style="75" customWidth="1"/>
    <col min="12036" max="12037" width="10.81640625" style="75" customWidth="1"/>
    <col min="12038" max="12038" width="13.81640625" style="75" customWidth="1"/>
    <col min="12039" max="12040" width="14.81640625" style="75" customWidth="1"/>
    <col min="12041" max="12044" width="0" style="75" hidden="1" customWidth="1"/>
    <col min="12045" max="12289" width="8.81640625" style="75"/>
    <col min="12290" max="12290" width="13.81640625" style="75" customWidth="1"/>
    <col min="12291" max="12291" width="26.81640625" style="75" customWidth="1"/>
    <col min="12292" max="12293" width="10.81640625" style="75" customWidth="1"/>
    <col min="12294" max="12294" width="13.81640625" style="75" customWidth="1"/>
    <col min="12295" max="12296" width="14.81640625" style="75" customWidth="1"/>
    <col min="12297" max="12300" width="0" style="75" hidden="1" customWidth="1"/>
    <col min="12301" max="12545" width="8.81640625" style="75"/>
    <col min="12546" max="12546" width="13.81640625" style="75" customWidth="1"/>
    <col min="12547" max="12547" width="26.81640625" style="75" customWidth="1"/>
    <col min="12548" max="12549" width="10.81640625" style="75" customWidth="1"/>
    <col min="12550" max="12550" width="13.81640625" style="75" customWidth="1"/>
    <col min="12551" max="12552" width="14.81640625" style="75" customWidth="1"/>
    <col min="12553" max="12556" width="0" style="75" hidden="1" customWidth="1"/>
    <col min="12557" max="12801" width="8.81640625" style="75"/>
    <col min="12802" max="12802" width="13.81640625" style="75" customWidth="1"/>
    <col min="12803" max="12803" width="26.81640625" style="75" customWidth="1"/>
    <col min="12804" max="12805" width="10.81640625" style="75" customWidth="1"/>
    <col min="12806" max="12806" width="13.81640625" style="75" customWidth="1"/>
    <col min="12807" max="12808" width="14.81640625" style="75" customWidth="1"/>
    <col min="12809" max="12812" width="0" style="75" hidden="1" customWidth="1"/>
    <col min="12813" max="13057" width="8.81640625" style="75"/>
    <col min="13058" max="13058" width="13.81640625" style="75" customWidth="1"/>
    <col min="13059" max="13059" width="26.81640625" style="75" customWidth="1"/>
    <col min="13060" max="13061" width="10.81640625" style="75" customWidth="1"/>
    <col min="13062" max="13062" width="13.81640625" style="75" customWidth="1"/>
    <col min="13063" max="13064" width="14.81640625" style="75" customWidth="1"/>
    <col min="13065" max="13068" width="0" style="75" hidden="1" customWidth="1"/>
    <col min="13069" max="13313" width="8.81640625" style="75"/>
    <col min="13314" max="13314" width="13.81640625" style="75" customWidth="1"/>
    <col min="13315" max="13315" width="26.81640625" style="75" customWidth="1"/>
    <col min="13316" max="13317" width="10.81640625" style="75" customWidth="1"/>
    <col min="13318" max="13318" width="13.81640625" style="75" customWidth="1"/>
    <col min="13319" max="13320" width="14.81640625" style="75" customWidth="1"/>
    <col min="13321" max="13324" width="0" style="75" hidden="1" customWidth="1"/>
    <col min="13325" max="13569" width="8.81640625" style="75"/>
    <col min="13570" max="13570" width="13.81640625" style="75" customWidth="1"/>
    <col min="13571" max="13571" width="26.81640625" style="75" customWidth="1"/>
    <col min="13572" max="13573" width="10.81640625" style="75" customWidth="1"/>
    <col min="13574" max="13574" width="13.81640625" style="75" customWidth="1"/>
    <col min="13575" max="13576" width="14.81640625" style="75" customWidth="1"/>
    <col min="13577" max="13580" width="0" style="75" hidden="1" customWidth="1"/>
    <col min="13581" max="13825" width="8.81640625" style="75"/>
    <col min="13826" max="13826" width="13.81640625" style="75" customWidth="1"/>
    <col min="13827" max="13827" width="26.81640625" style="75" customWidth="1"/>
    <col min="13828" max="13829" width="10.81640625" style="75" customWidth="1"/>
    <col min="13830" max="13830" width="13.81640625" style="75" customWidth="1"/>
    <col min="13831" max="13832" width="14.81640625" style="75" customWidth="1"/>
    <col min="13833" max="13836" width="0" style="75" hidden="1" customWidth="1"/>
    <col min="13837" max="14081" width="8.81640625" style="75"/>
    <col min="14082" max="14082" width="13.81640625" style="75" customWidth="1"/>
    <col min="14083" max="14083" width="26.81640625" style="75" customWidth="1"/>
    <col min="14084" max="14085" width="10.81640625" style="75" customWidth="1"/>
    <col min="14086" max="14086" width="13.81640625" style="75" customWidth="1"/>
    <col min="14087" max="14088" width="14.81640625" style="75" customWidth="1"/>
    <col min="14089" max="14092" width="0" style="75" hidden="1" customWidth="1"/>
    <col min="14093" max="14337" width="8.81640625" style="75"/>
    <col min="14338" max="14338" width="13.81640625" style="75" customWidth="1"/>
    <col min="14339" max="14339" width="26.81640625" style="75" customWidth="1"/>
    <col min="14340" max="14341" width="10.81640625" style="75" customWidth="1"/>
    <col min="14342" max="14342" width="13.81640625" style="75" customWidth="1"/>
    <col min="14343" max="14344" width="14.81640625" style="75" customWidth="1"/>
    <col min="14345" max="14348" width="0" style="75" hidden="1" customWidth="1"/>
    <col min="14349" max="14593" width="8.81640625" style="75"/>
    <col min="14594" max="14594" width="13.81640625" style="75" customWidth="1"/>
    <col min="14595" max="14595" width="26.81640625" style="75" customWidth="1"/>
    <col min="14596" max="14597" width="10.81640625" style="75" customWidth="1"/>
    <col min="14598" max="14598" width="13.81640625" style="75" customWidth="1"/>
    <col min="14599" max="14600" width="14.81640625" style="75" customWidth="1"/>
    <col min="14601" max="14604" width="0" style="75" hidden="1" customWidth="1"/>
    <col min="14605" max="14849" width="8.81640625" style="75"/>
    <col min="14850" max="14850" width="13.81640625" style="75" customWidth="1"/>
    <col min="14851" max="14851" width="26.81640625" style="75" customWidth="1"/>
    <col min="14852" max="14853" width="10.81640625" style="75" customWidth="1"/>
    <col min="14854" max="14854" width="13.81640625" style="75" customWidth="1"/>
    <col min="14855" max="14856" width="14.81640625" style="75" customWidth="1"/>
    <col min="14857" max="14860" width="0" style="75" hidden="1" customWidth="1"/>
    <col min="14861" max="15105" width="8.81640625" style="75"/>
    <col min="15106" max="15106" width="13.81640625" style="75" customWidth="1"/>
    <col min="15107" max="15107" width="26.81640625" style="75" customWidth="1"/>
    <col min="15108" max="15109" width="10.81640625" style="75" customWidth="1"/>
    <col min="15110" max="15110" width="13.81640625" style="75" customWidth="1"/>
    <col min="15111" max="15112" width="14.81640625" style="75" customWidth="1"/>
    <col min="15113" max="15116" width="0" style="75" hidden="1" customWidth="1"/>
    <col min="15117" max="15361" width="8.81640625" style="75"/>
    <col min="15362" max="15362" width="13.81640625" style="75" customWidth="1"/>
    <col min="15363" max="15363" width="26.81640625" style="75" customWidth="1"/>
    <col min="15364" max="15365" width="10.81640625" style="75" customWidth="1"/>
    <col min="15366" max="15366" width="13.81640625" style="75" customWidth="1"/>
    <col min="15367" max="15368" width="14.81640625" style="75" customWidth="1"/>
    <col min="15369" max="15372" width="0" style="75" hidden="1" customWidth="1"/>
    <col min="15373" max="15617" width="8.81640625" style="75"/>
    <col min="15618" max="15618" width="13.81640625" style="75" customWidth="1"/>
    <col min="15619" max="15619" width="26.81640625" style="75" customWidth="1"/>
    <col min="15620" max="15621" width="10.81640625" style="75" customWidth="1"/>
    <col min="15622" max="15622" width="13.81640625" style="75" customWidth="1"/>
    <col min="15623" max="15624" width="14.81640625" style="75" customWidth="1"/>
    <col min="15625" max="15628" width="0" style="75" hidden="1" customWidth="1"/>
    <col min="15629" max="15873" width="8.81640625" style="75"/>
    <col min="15874" max="15874" width="13.81640625" style="75" customWidth="1"/>
    <col min="15875" max="15875" width="26.81640625" style="75" customWidth="1"/>
    <col min="15876" max="15877" width="10.81640625" style="75" customWidth="1"/>
    <col min="15878" max="15878" width="13.81640625" style="75" customWidth="1"/>
    <col min="15879" max="15880" width="14.81640625" style="75" customWidth="1"/>
    <col min="15881" max="15884" width="0" style="75" hidden="1" customWidth="1"/>
    <col min="15885" max="16129" width="8.81640625" style="75"/>
    <col min="16130" max="16130" width="13.81640625" style="75" customWidth="1"/>
    <col min="16131" max="16131" width="26.81640625" style="75" customWidth="1"/>
    <col min="16132" max="16133" width="10.81640625" style="75" customWidth="1"/>
    <col min="16134" max="16134" width="13.81640625" style="75" customWidth="1"/>
    <col min="16135" max="16136" width="14.81640625" style="75" customWidth="1"/>
    <col min="16137" max="16140" width="0" style="75" hidden="1" customWidth="1"/>
    <col min="16141" max="16384" width="8.81640625" style="75"/>
  </cols>
  <sheetData>
    <row r="1" spans="1:12" ht="12" customHeight="1" x14ac:dyDescent="0.35"/>
    <row r="2" spans="1:12" ht="12" hidden="1" customHeight="1" x14ac:dyDescent="0.35"/>
    <row r="3" spans="1:12" ht="12" hidden="1" customHeight="1" x14ac:dyDescent="0.35"/>
    <row r="4" spans="1:12" ht="28.5" customHeight="1" x14ac:dyDescent="0.35">
      <c r="B4" s="76" t="s">
        <v>430</v>
      </c>
      <c r="C4" s="458" t="s">
        <v>431</v>
      </c>
      <c r="D4" s="459"/>
      <c r="E4" s="459"/>
      <c r="F4" s="459"/>
      <c r="G4" s="456"/>
      <c r="H4" s="457"/>
      <c r="I4" s="455" t="s">
        <v>3</v>
      </c>
      <c r="J4" s="455"/>
      <c r="K4" s="455" t="s">
        <v>4</v>
      </c>
      <c r="L4" s="455"/>
    </row>
    <row r="5" spans="1:12" ht="12" customHeight="1" x14ac:dyDescent="0.35">
      <c r="B5" s="451" t="s">
        <v>409</v>
      </c>
      <c r="C5" s="451" t="s">
        <v>410</v>
      </c>
      <c r="D5" s="452" t="s">
        <v>411</v>
      </c>
      <c r="E5" s="451" t="s">
        <v>412</v>
      </c>
      <c r="F5" s="451" t="s">
        <v>413</v>
      </c>
      <c r="G5" s="77" t="s">
        <v>414</v>
      </c>
      <c r="H5" s="77" t="s">
        <v>415</v>
      </c>
      <c r="I5" s="78" t="s">
        <v>414</v>
      </c>
      <c r="J5" s="79" t="s">
        <v>415</v>
      </c>
      <c r="K5" s="79" t="s">
        <v>414</v>
      </c>
      <c r="L5" s="79" t="s">
        <v>415</v>
      </c>
    </row>
    <row r="6" spans="1:12" ht="12" customHeight="1" x14ac:dyDescent="0.35">
      <c r="B6" s="451"/>
      <c r="C6" s="451"/>
      <c r="D6" s="453"/>
      <c r="E6" s="451"/>
      <c r="F6" s="451"/>
      <c r="G6" s="77" t="s">
        <v>17</v>
      </c>
      <c r="H6" s="77" t="s">
        <v>416</v>
      </c>
      <c r="I6" s="78" t="s">
        <v>17</v>
      </c>
      <c r="J6" s="79" t="s">
        <v>416</v>
      </c>
      <c r="K6" s="79" t="s">
        <v>17</v>
      </c>
      <c r="L6" s="79" t="s">
        <v>416</v>
      </c>
    </row>
    <row r="7" spans="1:12" ht="12" customHeight="1" x14ac:dyDescent="0.35">
      <c r="B7" s="451"/>
      <c r="C7" s="451"/>
      <c r="D7" s="454"/>
      <c r="E7" s="451"/>
      <c r="F7" s="451"/>
      <c r="G7" s="106"/>
      <c r="H7" s="77" t="s">
        <v>17</v>
      </c>
      <c r="I7" s="94"/>
      <c r="J7" s="79" t="s">
        <v>17</v>
      </c>
      <c r="K7" s="85"/>
      <c r="L7" s="79" t="s">
        <v>17</v>
      </c>
    </row>
    <row r="8" spans="1:12" ht="12" customHeight="1" x14ac:dyDescent="0.35">
      <c r="B8" s="80" t="s">
        <v>5</v>
      </c>
      <c r="C8" s="81" t="s">
        <v>417</v>
      </c>
      <c r="D8" s="82"/>
      <c r="E8" s="82"/>
      <c r="F8" s="82"/>
      <c r="G8" s="82"/>
      <c r="H8" s="82"/>
      <c r="I8" s="83"/>
      <c r="J8" s="83"/>
      <c r="K8" s="83"/>
      <c r="L8" s="83"/>
    </row>
    <row r="9" spans="1:12" ht="12" customHeight="1" x14ac:dyDescent="0.35">
      <c r="A9" s="134">
        <v>10110000</v>
      </c>
      <c r="B9" s="84"/>
      <c r="C9" s="85" t="str">
        <f>VLOOKUP(A9,'DAFTAR HARGA'!A:D,3,FALSE)</f>
        <v>OH</v>
      </c>
      <c r="D9" s="84" t="s">
        <v>418</v>
      </c>
      <c r="E9" s="84">
        <f>VLOOKUP(A9,'DAFTAR HARGA'!A:D,4,FALSE)</f>
        <v>150000</v>
      </c>
      <c r="F9" s="86">
        <v>5.0000000000000001E-3</v>
      </c>
      <c r="G9" s="87" t="e">
        <f>VLOOKUP(A9,'DAFTAR HARGA'!A:D,5,FALSE)</f>
        <v>#REF!</v>
      </c>
      <c r="H9" s="87" t="e">
        <f>F9*G9</f>
        <v>#REF!</v>
      </c>
      <c r="I9" s="87">
        <v>78600</v>
      </c>
      <c r="J9" s="87">
        <f>F9*I9</f>
        <v>393</v>
      </c>
      <c r="K9" s="87">
        <v>78600</v>
      </c>
      <c r="L9" s="87">
        <f>F9*K9</f>
        <v>393</v>
      </c>
    </row>
    <row r="10" spans="1:12" ht="12" customHeight="1" x14ac:dyDescent="0.35">
      <c r="A10" s="134">
        <v>10120000</v>
      </c>
      <c r="B10" s="84"/>
      <c r="C10" s="85" t="str">
        <f>VLOOKUP(A10,'DAFTAR HARGA'!A:D,3,FALSE)</f>
        <v>OH</v>
      </c>
      <c r="D10" s="84" t="s">
        <v>419</v>
      </c>
      <c r="E10" s="84">
        <f>VLOOKUP(A10,'DAFTAR HARGA'!A:D,4,FALSE)</f>
        <v>130000</v>
      </c>
      <c r="F10" s="86"/>
      <c r="G10" s="87" t="e">
        <f>VLOOKUP(A10,'DAFTAR HARGA'!A:D,5,FALSE)</f>
        <v>#REF!</v>
      </c>
      <c r="H10" s="87" t="e">
        <f>F10*G10</f>
        <v>#REF!</v>
      </c>
      <c r="I10" s="87">
        <v>91500</v>
      </c>
      <c r="J10" s="87">
        <f>F10*I10</f>
        <v>0</v>
      </c>
      <c r="K10" s="87">
        <v>91500</v>
      </c>
      <c r="L10" s="87">
        <f>F10*K10</f>
        <v>0</v>
      </c>
    </row>
    <row r="11" spans="1:12" ht="12" customHeight="1" x14ac:dyDescent="0.35">
      <c r="A11" s="134">
        <v>10130000</v>
      </c>
      <c r="B11" s="84"/>
      <c r="C11" s="85" t="str">
        <f>VLOOKUP(A11,'DAFTAR HARGA'!A:D,3,FALSE)</f>
        <v>OH</v>
      </c>
      <c r="D11" s="84" t="s">
        <v>420</v>
      </c>
      <c r="E11" s="84">
        <f>VLOOKUP(A11,'DAFTAR HARGA'!A:D,4,FALSE)</f>
        <v>115000</v>
      </c>
      <c r="F11" s="86">
        <v>0.05</v>
      </c>
      <c r="G11" s="87" t="e">
        <f>VLOOKUP(A11,'DAFTAR HARGA'!A:D,5,FALSE)</f>
        <v>#REF!</v>
      </c>
      <c r="H11" s="87" t="e">
        <f>F11*G11</f>
        <v>#REF!</v>
      </c>
      <c r="I11" s="87">
        <v>92500</v>
      </c>
      <c r="J11" s="87">
        <f>F11*I11</f>
        <v>4625</v>
      </c>
      <c r="K11" s="87">
        <v>92500</v>
      </c>
      <c r="L11" s="87">
        <f>F11*K11</f>
        <v>4625</v>
      </c>
    </row>
    <row r="12" spans="1:12" ht="12" customHeight="1" x14ac:dyDescent="0.35">
      <c r="B12" s="84"/>
      <c r="C12" s="85"/>
      <c r="D12" s="84"/>
      <c r="E12" s="84"/>
      <c r="F12" s="86"/>
      <c r="G12" s="87"/>
      <c r="H12" s="87"/>
      <c r="I12" s="87">
        <v>93500</v>
      </c>
      <c r="J12" s="87">
        <f>F12*I12</f>
        <v>0</v>
      </c>
      <c r="K12" s="87">
        <v>93500</v>
      </c>
      <c r="L12" s="87">
        <f>F12*K12</f>
        <v>0</v>
      </c>
    </row>
    <row r="13" spans="1:12" ht="12" customHeight="1" x14ac:dyDescent="0.35">
      <c r="B13" s="84"/>
      <c r="C13" s="88"/>
      <c r="D13" s="79"/>
      <c r="E13" s="79"/>
      <c r="F13" s="89" t="s">
        <v>421</v>
      </c>
      <c r="G13" s="85"/>
      <c r="H13" s="87" t="e">
        <f>SUM(H9:H12)</f>
        <v>#REF!</v>
      </c>
      <c r="I13" s="85"/>
      <c r="J13" s="87">
        <f>SUM(J9:J12)</f>
        <v>5018</v>
      </c>
      <c r="K13" s="85"/>
      <c r="L13" s="87">
        <f>SUM(L9:L12)</f>
        <v>5018</v>
      </c>
    </row>
    <row r="14" spans="1:12" ht="12" customHeight="1" x14ac:dyDescent="0.35">
      <c r="B14" s="84" t="s">
        <v>6</v>
      </c>
      <c r="C14" s="88" t="s">
        <v>422</v>
      </c>
      <c r="D14" s="79"/>
      <c r="E14" s="79"/>
      <c r="F14" s="90"/>
      <c r="G14" s="88"/>
      <c r="H14" s="87"/>
      <c r="I14" s="88"/>
      <c r="J14" s="87"/>
      <c r="K14" s="88"/>
      <c r="L14" s="87"/>
    </row>
    <row r="15" spans="1:12" ht="12" customHeight="1" x14ac:dyDescent="0.35">
      <c r="B15" s="84"/>
      <c r="C15" s="88"/>
      <c r="D15" s="79"/>
      <c r="E15" s="84"/>
      <c r="F15" s="124"/>
      <c r="G15" s="87"/>
      <c r="H15" s="87">
        <f>F15*G15</f>
        <v>0</v>
      </c>
      <c r="I15" s="87">
        <v>232500</v>
      </c>
      <c r="J15" s="87">
        <f>F15*I15</f>
        <v>0</v>
      </c>
      <c r="K15" s="87">
        <v>270000</v>
      </c>
      <c r="L15" s="87">
        <f>F15*K15</f>
        <v>0</v>
      </c>
    </row>
    <row r="16" spans="1:12" ht="12" customHeight="1" x14ac:dyDescent="0.35">
      <c r="B16" s="84"/>
      <c r="C16" s="88"/>
      <c r="D16" s="79"/>
      <c r="E16" s="84"/>
      <c r="F16" s="124"/>
      <c r="G16" s="87"/>
      <c r="H16" s="87">
        <f>F16*G16</f>
        <v>0</v>
      </c>
      <c r="I16" s="87">
        <v>1060</v>
      </c>
      <c r="J16" s="87">
        <f>F16*I16</f>
        <v>0</v>
      </c>
      <c r="K16" s="87">
        <v>1060</v>
      </c>
      <c r="L16" s="87">
        <f>F16*K16</f>
        <v>0</v>
      </c>
    </row>
    <row r="17" spans="1:12" ht="12" customHeight="1" x14ac:dyDescent="0.35">
      <c r="B17" s="84"/>
      <c r="C17" s="88"/>
      <c r="D17" s="79"/>
      <c r="E17" s="84"/>
      <c r="F17" s="124"/>
      <c r="G17" s="87"/>
      <c r="H17" s="87">
        <f>F17*G17</f>
        <v>0</v>
      </c>
      <c r="I17" s="87">
        <v>215000</v>
      </c>
      <c r="J17" s="87">
        <f>F17*I17</f>
        <v>0</v>
      </c>
      <c r="K17" s="87">
        <v>250000</v>
      </c>
      <c r="L17" s="87">
        <f>F17*K17</f>
        <v>0</v>
      </c>
    </row>
    <row r="18" spans="1:12" ht="12" customHeight="1" x14ac:dyDescent="0.35">
      <c r="B18" s="84"/>
      <c r="C18" s="88"/>
      <c r="D18" s="83"/>
      <c r="E18" s="83"/>
      <c r="F18" s="89" t="s">
        <v>423</v>
      </c>
      <c r="G18" s="85"/>
      <c r="H18" s="87">
        <f>SUM(H15:H17)</f>
        <v>0</v>
      </c>
      <c r="I18" s="85"/>
      <c r="J18" s="87">
        <f>SUM(J15:J17)</f>
        <v>0</v>
      </c>
      <c r="K18" s="85"/>
      <c r="L18" s="87">
        <f>SUM(L15:L17)</f>
        <v>0</v>
      </c>
    </row>
    <row r="19" spans="1:12" ht="12" customHeight="1" x14ac:dyDescent="0.35">
      <c r="B19" s="84" t="s">
        <v>7</v>
      </c>
      <c r="C19" s="88" t="s">
        <v>424</v>
      </c>
      <c r="D19" s="83"/>
      <c r="E19" s="83"/>
      <c r="F19" s="91"/>
      <c r="G19" s="88"/>
      <c r="H19" s="87"/>
      <c r="I19" s="88"/>
      <c r="J19" s="87"/>
      <c r="K19" s="88"/>
      <c r="L19" s="87"/>
    </row>
    <row r="20" spans="1:12" ht="12" customHeight="1" x14ac:dyDescent="0.35">
      <c r="B20" s="88"/>
      <c r="C20" s="88"/>
      <c r="D20" s="83"/>
      <c r="E20" s="83"/>
      <c r="F20" s="91"/>
      <c r="G20" s="87"/>
      <c r="H20" s="87">
        <f>F20*G20</f>
        <v>0</v>
      </c>
      <c r="I20" s="87"/>
      <c r="J20" s="87">
        <f>H20*I20</f>
        <v>0</v>
      </c>
      <c r="K20" s="87"/>
      <c r="L20" s="87">
        <f>J20*K20</f>
        <v>0</v>
      </c>
    </row>
    <row r="21" spans="1:12" ht="12" customHeight="1" x14ac:dyDescent="0.35">
      <c r="B21" s="88"/>
      <c r="C21" s="88"/>
      <c r="D21" s="83"/>
      <c r="E21" s="83"/>
      <c r="F21" s="91"/>
      <c r="G21" s="87"/>
      <c r="H21" s="87">
        <f>F21*G21</f>
        <v>0</v>
      </c>
      <c r="I21" s="87"/>
      <c r="J21" s="87">
        <f>H21*I21</f>
        <v>0</v>
      </c>
      <c r="K21" s="87"/>
      <c r="L21" s="87">
        <f>J21*K21</f>
        <v>0</v>
      </c>
    </row>
    <row r="22" spans="1:12" ht="12" customHeight="1" x14ac:dyDescent="0.35">
      <c r="B22" s="88"/>
      <c r="C22" s="88"/>
      <c r="D22" s="83"/>
      <c r="E22" s="83"/>
      <c r="F22" s="89" t="s">
        <v>425</v>
      </c>
      <c r="G22" s="85"/>
      <c r="H22" s="87">
        <f>SUM(H20:H21)</f>
        <v>0</v>
      </c>
      <c r="I22" s="85"/>
      <c r="J22" s="87">
        <f>SUM(J20:J21)</f>
        <v>0</v>
      </c>
      <c r="K22" s="85"/>
      <c r="L22" s="87">
        <f>SUM(L20:L21)</f>
        <v>0</v>
      </c>
    </row>
    <row r="23" spans="1:12" ht="12" customHeight="1" x14ac:dyDescent="0.35">
      <c r="B23" s="84" t="s">
        <v>8</v>
      </c>
      <c r="C23" s="92" t="s">
        <v>426</v>
      </c>
      <c r="D23" s="93"/>
      <c r="E23" s="93"/>
      <c r="F23" s="93"/>
      <c r="G23" s="94"/>
      <c r="H23" s="87" t="e">
        <f>H13+H18+H22</f>
        <v>#REF!</v>
      </c>
      <c r="I23" s="94"/>
      <c r="J23" s="87">
        <f>J13+J18+J22</f>
        <v>5018</v>
      </c>
      <c r="K23" s="94"/>
      <c r="L23" s="87">
        <f>L13+L18+L22</f>
        <v>5018</v>
      </c>
    </row>
    <row r="24" spans="1:12" ht="12" customHeight="1" x14ac:dyDescent="0.35">
      <c r="B24" s="84" t="s">
        <v>9</v>
      </c>
      <c r="C24" s="455" t="s">
        <v>427</v>
      </c>
      <c r="D24" s="455"/>
      <c r="E24" s="455"/>
      <c r="F24" s="95" t="str">
        <f>OP</f>
        <v>TANJUNG PALAS TENGAH</v>
      </c>
      <c r="G24" s="85" t="s">
        <v>428</v>
      </c>
      <c r="H24" s="87" t="e">
        <f>H23*F24</f>
        <v>#REF!</v>
      </c>
      <c r="I24" s="85" t="s">
        <v>428</v>
      </c>
      <c r="J24" s="87" t="e">
        <f>J23*F24</f>
        <v>#VALUE!</v>
      </c>
      <c r="K24" s="85" t="s">
        <v>428</v>
      </c>
      <c r="L24" s="87" t="e">
        <f>L23*F24</f>
        <v>#VALUE!</v>
      </c>
    </row>
    <row r="25" spans="1:12" ht="12" customHeight="1" x14ac:dyDescent="0.35">
      <c r="B25" s="84" t="s">
        <v>10</v>
      </c>
      <c r="C25" s="92" t="s">
        <v>429</v>
      </c>
      <c r="D25" s="93"/>
      <c r="E25" s="93"/>
      <c r="F25" s="93"/>
      <c r="G25" s="94"/>
      <c r="H25" s="96" t="e">
        <f>H23+H24</f>
        <v>#REF!</v>
      </c>
      <c r="I25" s="97"/>
      <c r="J25" s="96" t="e">
        <f>J23+J24</f>
        <v>#VALUE!</v>
      </c>
      <c r="K25" s="97"/>
      <c r="L25" s="96" t="e">
        <f>L23+L24</f>
        <v>#VALUE!</v>
      </c>
    </row>
    <row r="26" spans="1:12" ht="12" customHeight="1" x14ac:dyDescent="0.35">
      <c r="B26" s="98"/>
      <c r="C26" s="99"/>
      <c r="D26" s="99"/>
      <c r="E26" s="99"/>
      <c r="F26" s="99"/>
      <c r="G26" s="99"/>
      <c r="H26" s="100"/>
    </row>
    <row r="27" spans="1:12" ht="29" customHeight="1" x14ac:dyDescent="0.35">
      <c r="B27" s="76" t="s">
        <v>465</v>
      </c>
      <c r="C27" s="458" t="s">
        <v>462</v>
      </c>
      <c r="D27" s="459"/>
      <c r="E27" s="459"/>
      <c r="F27" s="459"/>
      <c r="G27" s="456"/>
      <c r="H27" s="457"/>
      <c r="I27" s="455" t="s">
        <v>3</v>
      </c>
      <c r="J27" s="455"/>
      <c r="K27" s="455" t="s">
        <v>4</v>
      </c>
      <c r="L27" s="455"/>
    </row>
    <row r="28" spans="1:12" ht="12" customHeight="1" x14ac:dyDescent="0.35">
      <c r="B28" s="451" t="s">
        <v>409</v>
      </c>
      <c r="C28" s="451" t="s">
        <v>410</v>
      </c>
      <c r="D28" s="452" t="s">
        <v>411</v>
      </c>
      <c r="E28" s="451" t="s">
        <v>412</v>
      </c>
      <c r="F28" s="451" t="s">
        <v>413</v>
      </c>
      <c r="G28" s="77" t="s">
        <v>414</v>
      </c>
      <c r="H28" s="77" t="s">
        <v>415</v>
      </c>
      <c r="I28" s="78" t="s">
        <v>414</v>
      </c>
      <c r="J28" s="79" t="s">
        <v>415</v>
      </c>
      <c r="K28" s="79" t="s">
        <v>414</v>
      </c>
      <c r="L28" s="79" t="s">
        <v>415</v>
      </c>
    </row>
    <row r="29" spans="1:12" ht="12" customHeight="1" x14ac:dyDescent="0.35">
      <c r="B29" s="451"/>
      <c r="C29" s="451"/>
      <c r="D29" s="453"/>
      <c r="E29" s="451"/>
      <c r="F29" s="451"/>
      <c r="G29" s="77" t="s">
        <v>17</v>
      </c>
      <c r="H29" s="77" t="s">
        <v>416</v>
      </c>
      <c r="I29" s="78" t="s">
        <v>17</v>
      </c>
      <c r="J29" s="79" t="s">
        <v>416</v>
      </c>
      <c r="K29" s="79" t="s">
        <v>17</v>
      </c>
      <c r="L29" s="79" t="s">
        <v>416</v>
      </c>
    </row>
    <row r="30" spans="1:12" ht="12" customHeight="1" x14ac:dyDescent="0.35">
      <c r="B30" s="451"/>
      <c r="C30" s="451"/>
      <c r="D30" s="454"/>
      <c r="E30" s="451"/>
      <c r="F30" s="451"/>
      <c r="G30" s="106"/>
      <c r="H30" s="77" t="s">
        <v>17</v>
      </c>
      <c r="I30" s="94"/>
      <c r="J30" s="79" t="s">
        <v>17</v>
      </c>
      <c r="K30" s="85"/>
      <c r="L30" s="79" t="s">
        <v>17</v>
      </c>
    </row>
    <row r="31" spans="1:12" ht="12" customHeight="1" x14ac:dyDescent="0.35">
      <c r="B31" s="80" t="s">
        <v>5</v>
      </c>
      <c r="C31" s="81" t="s">
        <v>417</v>
      </c>
      <c r="D31" s="82"/>
      <c r="E31" s="82"/>
      <c r="F31" s="82"/>
      <c r="G31" s="82"/>
      <c r="H31" s="82"/>
      <c r="I31" s="83"/>
      <c r="J31" s="83"/>
      <c r="K31" s="83"/>
      <c r="L31" s="83"/>
    </row>
    <row r="32" spans="1:12" ht="12" customHeight="1" x14ac:dyDescent="0.35">
      <c r="A32" s="134">
        <v>10110000</v>
      </c>
      <c r="B32" s="84"/>
      <c r="C32" s="85" t="str">
        <f>VLOOKUP(A32,'DAFTAR HARGA'!A:D,3,FALSE)</f>
        <v>OH</v>
      </c>
      <c r="D32" s="84" t="s">
        <v>418</v>
      </c>
      <c r="E32" s="84">
        <f>VLOOKUP(A32,'DAFTAR HARGA'!A:D,4,FALSE)</f>
        <v>150000</v>
      </c>
      <c r="F32" s="86">
        <v>0.33779999999999999</v>
      </c>
      <c r="G32" s="87" t="e">
        <f>VLOOKUP(A32,'DAFTAR HARGA'!A:D,5,FALSE)</f>
        <v>#REF!</v>
      </c>
      <c r="H32" s="87" t="e">
        <f>F32*G32</f>
        <v>#REF!</v>
      </c>
      <c r="I32" s="87">
        <v>78600</v>
      </c>
      <c r="J32" s="87">
        <f>F32*I32</f>
        <v>26551.079999999998</v>
      </c>
      <c r="K32" s="87">
        <v>78600</v>
      </c>
      <c r="L32" s="87">
        <f>F32*K32</f>
        <v>26551.079999999998</v>
      </c>
    </row>
    <row r="33" spans="1:12" ht="12" customHeight="1" x14ac:dyDescent="0.35">
      <c r="A33" s="134">
        <v>10120000</v>
      </c>
      <c r="B33" s="84"/>
      <c r="C33" s="85" t="str">
        <f>VLOOKUP(A33,'DAFTAR HARGA'!A:D,3,FALSE)</f>
        <v>OH</v>
      </c>
      <c r="D33" s="84" t="s">
        <v>419</v>
      </c>
      <c r="E33" s="84">
        <f>VLOOKUP(A33,'DAFTAR HARGA'!A:D,4,FALSE)</f>
        <v>130000</v>
      </c>
      <c r="F33" s="86"/>
      <c r="G33" s="87" t="e">
        <f>VLOOKUP(A33,'DAFTAR HARGA'!A:D,5,FALSE)</f>
        <v>#REF!</v>
      </c>
      <c r="H33" s="87" t="e">
        <f>F33*G33</f>
        <v>#REF!</v>
      </c>
      <c r="I33" s="87">
        <v>91500</v>
      </c>
      <c r="J33" s="87">
        <f>F33*I33</f>
        <v>0</v>
      </c>
      <c r="K33" s="87">
        <v>91500</v>
      </c>
      <c r="L33" s="87">
        <f>F33*K33</f>
        <v>0</v>
      </c>
    </row>
    <row r="34" spans="1:12" ht="12" customHeight="1" x14ac:dyDescent="0.35">
      <c r="A34" s="134">
        <v>10130000</v>
      </c>
      <c r="B34" s="84"/>
      <c r="C34" s="85" t="str">
        <f>VLOOKUP(A34,'DAFTAR HARGA'!A:D,3,FALSE)</f>
        <v>OH</v>
      </c>
      <c r="D34" s="84" t="s">
        <v>420</v>
      </c>
      <c r="E34" s="84">
        <f>VLOOKUP(A34,'DAFTAR HARGA'!A:D,4,FALSE)</f>
        <v>115000</v>
      </c>
      <c r="F34" s="86">
        <v>3.3780000000000001</v>
      </c>
      <c r="G34" s="87" t="e">
        <f>VLOOKUP(A34,'DAFTAR HARGA'!A:D,5,FALSE)</f>
        <v>#REF!</v>
      </c>
      <c r="H34" s="87" t="e">
        <f>F34*G34</f>
        <v>#REF!</v>
      </c>
      <c r="I34" s="87">
        <v>92500</v>
      </c>
      <c r="J34" s="87">
        <f>F34*I34</f>
        <v>312465</v>
      </c>
      <c r="K34" s="87">
        <v>92500</v>
      </c>
      <c r="L34" s="87">
        <f>F34*K34</f>
        <v>312465</v>
      </c>
    </row>
    <row r="35" spans="1:12" ht="12" customHeight="1" x14ac:dyDescent="0.35">
      <c r="B35" s="84"/>
      <c r="C35" s="85"/>
      <c r="D35" s="84"/>
      <c r="E35" s="84"/>
      <c r="F35" s="86"/>
      <c r="G35" s="87"/>
      <c r="H35" s="87"/>
      <c r="I35" s="87"/>
      <c r="J35" s="87"/>
      <c r="K35" s="87"/>
      <c r="L35" s="87"/>
    </row>
    <row r="36" spans="1:12" ht="12" customHeight="1" x14ac:dyDescent="0.35">
      <c r="B36" s="84"/>
      <c r="C36" s="88"/>
      <c r="D36" s="79"/>
      <c r="E36" s="79"/>
      <c r="F36" s="89" t="s">
        <v>421</v>
      </c>
      <c r="G36" s="101"/>
      <c r="H36" s="87" t="e">
        <f>SUM(H32:H35)</f>
        <v>#REF!</v>
      </c>
      <c r="I36" s="101"/>
      <c r="J36" s="87">
        <f>SUM(J32:J35)</f>
        <v>339016.08</v>
      </c>
      <c r="K36" s="101"/>
      <c r="L36" s="87">
        <f>SUM(L32:L35)</f>
        <v>339016.08</v>
      </c>
    </row>
    <row r="37" spans="1:12" ht="12" customHeight="1" x14ac:dyDescent="0.35">
      <c r="B37" s="84" t="s">
        <v>6</v>
      </c>
      <c r="C37" s="88" t="s">
        <v>422</v>
      </c>
      <c r="D37" s="79"/>
      <c r="E37" s="79"/>
      <c r="F37" s="90"/>
      <c r="G37" s="84"/>
      <c r="H37" s="87"/>
      <c r="I37" s="84"/>
      <c r="J37" s="87"/>
      <c r="K37" s="84"/>
      <c r="L37" s="87"/>
    </row>
    <row r="38" spans="1:12" ht="12" customHeight="1" x14ac:dyDescent="0.35">
      <c r="B38" s="84"/>
      <c r="C38" s="88"/>
      <c r="D38" s="79"/>
      <c r="E38" s="84"/>
      <c r="F38" s="102"/>
      <c r="G38" s="87"/>
      <c r="H38" s="87">
        <f>F38*G38</f>
        <v>0</v>
      </c>
      <c r="I38" s="87">
        <v>232500</v>
      </c>
      <c r="J38" s="87">
        <f>F38*I38</f>
        <v>0</v>
      </c>
      <c r="K38" s="87">
        <v>270000</v>
      </c>
      <c r="L38" s="87">
        <f>F38*K38</f>
        <v>0</v>
      </c>
    </row>
    <row r="39" spans="1:12" ht="12" customHeight="1" x14ac:dyDescent="0.35">
      <c r="B39" s="84"/>
      <c r="C39" s="88"/>
      <c r="D39" s="79"/>
      <c r="E39" s="84"/>
      <c r="F39" s="102"/>
      <c r="G39" s="87"/>
      <c r="H39" s="87">
        <f>F39*G39</f>
        <v>0</v>
      </c>
      <c r="I39" s="87">
        <v>1060</v>
      </c>
      <c r="J39" s="87">
        <f>F39*I39</f>
        <v>0</v>
      </c>
      <c r="K39" s="87">
        <v>1060</v>
      </c>
      <c r="L39" s="87">
        <f>F39*K39</f>
        <v>0</v>
      </c>
    </row>
    <row r="40" spans="1:12" ht="12" customHeight="1" x14ac:dyDescent="0.35">
      <c r="B40" s="84"/>
      <c r="C40" s="88"/>
      <c r="D40" s="79"/>
      <c r="E40" s="84"/>
      <c r="F40" s="102"/>
      <c r="G40" s="87"/>
      <c r="H40" s="87">
        <f>F40*G40</f>
        <v>0</v>
      </c>
      <c r="I40" s="87">
        <v>215000</v>
      </c>
      <c r="J40" s="87">
        <f>F40*I40</f>
        <v>0</v>
      </c>
      <c r="K40" s="87">
        <v>250000</v>
      </c>
      <c r="L40" s="87">
        <f>F40*K40</f>
        <v>0</v>
      </c>
    </row>
    <row r="41" spans="1:12" ht="12" customHeight="1" x14ac:dyDescent="0.35">
      <c r="B41" s="84"/>
      <c r="C41" s="88"/>
      <c r="D41" s="79"/>
      <c r="E41" s="79"/>
      <c r="F41" s="89" t="s">
        <v>423</v>
      </c>
      <c r="G41" s="101"/>
      <c r="H41" s="87">
        <f>SUM(H38:H40)</f>
        <v>0</v>
      </c>
      <c r="I41" s="101"/>
      <c r="J41" s="87">
        <f>SUM(J38:J40)</f>
        <v>0</v>
      </c>
      <c r="K41" s="101"/>
      <c r="L41" s="87">
        <f>SUM(L38:L40)</f>
        <v>0</v>
      </c>
    </row>
    <row r="42" spans="1:12" ht="12" customHeight="1" x14ac:dyDescent="0.35">
      <c r="B42" s="84" t="s">
        <v>7</v>
      </c>
      <c r="C42" s="88" t="s">
        <v>424</v>
      </c>
      <c r="D42" s="79"/>
      <c r="E42" s="79"/>
      <c r="F42" s="90"/>
      <c r="G42" s="84"/>
      <c r="H42" s="87"/>
      <c r="I42" s="84"/>
      <c r="J42" s="87"/>
      <c r="K42" s="84"/>
      <c r="L42" s="87"/>
    </row>
    <row r="43" spans="1:12" ht="12" customHeight="1" x14ac:dyDescent="0.35">
      <c r="B43" s="84"/>
      <c r="C43" s="88"/>
      <c r="D43" s="79"/>
      <c r="E43" s="79"/>
      <c r="F43" s="90"/>
      <c r="G43" s="87"/>
      <c r="H43" s="87">
        <f>F43*G43</f>
        <v>0</v>
      </c>
      <c r="I43" s="87"/>
      <c r="J43" s="87">
        <f>H43*I43</f>
        <v>0</v>
      </c>
      <c r="K43" s="87"/>
      <c r="L43" s="87">
        <f>J43*K43</f>
        <v>0</v>
      </c>
    </row>
    <row r="44" spans="1:12" ht="12" customHeight="1" x14ac:dyDescent="0.35">
      <c r="B44" s="84"/>
      <c r="C44" s="88"/>
      <c r="D44" s="79"/>
      <c r="E44" s="79"/>
      <c r="F44" s="89" t="s">
        <v>425</v>
      </c>
      <c r="G44" s="101"/>
      <c r="H44" s="87">
        <f>SUM(H43)</f>
        <v>0</v>
      </c>
      <c r="I44" s="101"/>
      <c r="J44" s="87">
        <f>SUM(J43)</f>
        <v>0</v>
      </c>
      <c r="K44" s="101"/>
      <c r="L44" s="87">
        <f>SUM(L43)</f>
        <v>0</v>
      </c>
    </row>
    <row r="45" spans="1:12" ht="12" customHeight="1" x14ac:dyDescent="0.35">
      <c r="B45" s="84" t="s">
        <v>8</v>
      </c>
      <c r="C45" s="103" t="s">
        <v>426</v>
      </c>
      <c r="D45" s="104"/>
      <c r="E45" s="104"/>
      <c r="F45" s="104"/>
      <c r="G45" s="105"/>
      <c r="H45" s="87" t="e">
        <f>H36+H41+H44</f>
        <v>#REF!</v>
      </c>
      <c r="I45" s="105"/>
      <c r="J45" s="87">
        <f>J36+J41+J44</f>
        <v>339016.08</v>
      </c>
      <c r="K45" s="105"/>
      <c r="L45" s="87">
        <f>L36+L41+L44</f>
        <v>339016.08</v>
      </c>
    </row>
    <row r="46" spans="1:12" ht="12" customHeight="1" x14ac:dyDescent="0.35">
      <c r="B46" s="84" t="s">
        <v>9</v>
      </c>
      <c r="C46" s="455" t="s">
        <v>427</v>
      </c>
      <c r="D46" s="455"/>
      <c r="E46" s="455"/>
      <c r="F46" s="95" t="str">
        <f>OP</f>
        <v>TANJUNG PALAS TENGAH</v>
      </c>
      <c r="G46" s="85" t="s">
        <v>428</v>
      </c>
      <c r="H46" s="87" t="e">
        <f>H45*F46</f>
        <v>#REF!</v>
      </c>
      <c r="I46" s="85" t="s">
        <v>428</v>
      </c>
      <c r="J46" s="87" t="e">
        <f>J45*F46</f>
        <v>#VALUE!</v>
      </c>
      <c r="K46" s="85" t="s">
        <v>428</v>
      </c>
      <c r="L46" s="87" t="e">
        <f>L45*F46</f>
        <v>#VALUE!</v>
      </c>
    </row>
    <row r="47" spans="1:12" ht="12" customHeight="1" x14ac:dyDescent="0.35">
      <c r="B47" s="84" t="s">
        <v>10</v>
      </c>
      <c r="C47" s="103" t="s">
        <v>429</v>
      </c>
      <c r="D47" s="104"/>
      <c r="E47" s="104"/>
      <c r="F47" s="104"/>
      <c r="G47" s="105"/>
      <c r="H47" s="96" t="e">
        <f>H45+H46</f>
        <v>#REF!</v>
      </c>
      <c r="I47" s="97"/>
      <c r="J47" s="96" t="e">
        <f>J45+J46</f>
        <v>#VALUE!</v>
      </c>
      <c r="K47" s="97"/>
      <c r="L47" s="96" t="e">
        <f>L45+L46</f>
        <v>#VALUE!</v>
      </c>
    </row>
    <row r="48" spans="1:12" ht="12" customHeight="1" x14ac:dyDescent="0.35">
      <c r="B48" s="98"/>
      <c r="C48" s="99"/>
      <c r="D48" s="99"/>
      <c r="E48" s="99"/>
      <c r="F48" s="99"/>
      <c r="G48" s="99"/>
      <c r="H48" s="100"/>
    </row>
    <row r="49" spans="1:12" ht="29" customHeight="1" x14ac:dyDescent="0.35">
      <c r="B49" s="76" t="s">
        <v>466</v>
      </c>
      <c r="C49" s="458" t="s">
        <v>463</v>
      </c>
      <c r="D49" s="459"/>
      <c r="E49" s="459"/>
      <c r="F49" s="459"/>
      <c r="G49" s="456"/>
      <c r="H49" s="457"/>
      <c r="I49" s="455" t="s">
        <v>3</v>
      </c>
      <c r="J49" s="455"/>
      <c r="K49" s="455" t="s">
        <v>4</v>
      </c>
      <c r="L49" s="455"/>
    </row>
    <row r="50" spans="1:12" ht="12" customHeight="1" x14ac:dyDescent="0.35">
      <c r="B50" s="451" t="s">
        <v>409</v>
      </c>
      <c r="C50" s="451" t="s">
        <v>410</v>
      </c>
      <c r="D50" s="452" t="s">
        <v>411</v>
      </c>
      <c r="E50" s="451" t="s">
        <v>412</v>
      </c>
      <c r="F50" s="451" t="s">
        <v>413</v>
      </c>
      <c r="G50" s="77" t="s">
        <v>414</v>
      </c>
      <c r="H50" s="77" t="s">
        <v>415</v>
      </c>
      <c r="I50" s="78" t="s">
        <v>414</v>
      </c>
      <c r="J50" s="79" t="s">
        <v>415</v>
      </c>
      <c r="K50" s="79" t="s">
        <v>414</v>
      </c>
      <c r="L50" s="79" t="s">
        <v>415</v>
      </c>
    </row>
    <row r="51" spans="1:12" ht="12" customHeight="1" x14ac:dyDescent="0.35">
      <c r="B51" s="451"/>
      <c r="C51" s="451"/>
      <c r="D51" s="453"/>
      <c r="E51" s="451"/>
      <c r="F51" s="451"/>
      <c r="G51" s="77" t="s">
        <v>17</v>
      </c>
      <c r="H51" s="77" t="s">
        <v>416</v>
      </c>
      <c r="I51" s="78" t="s">
        <v>17</v>
      </c>
      <c r="J51" s="79" t="s">
        <v>416</v>
      </c>
      <c r="K51" s="79" t="s">
        <v>17</v>
      </c>
      <c r="L51" s="79" t="s">
        <v>416</v>
      </c>
    </row>
    <row r="52" spans="1:12" ht="12" customHeight="1" x14ac:dyDescent="0.35">
      <c r="B52" s="451"/>
      <c r="C52" s="451"/>
      <c r="D52" s="454"/>
      <c r="E52" s="451"/>
      <c r="F52" s="451"/>
      <c r="G52" s="106"/>
      <c r="H52" s="77" t="s">
        <v>17</v>
      </c>
      <c r="I52" s="94"/>
      <c r="J52" s="79" t="s">
        <v>17</v>
      </c>
      <c r="K52" s="85"/>
      <c r="L52" s="79" t="s">
        <v>17</v>
      </c>
    </row>
    <row r="53" spans="1:12" ht="12" customHeight="1" x14ac:dyDescent="0.35">
      <c r="B53" s="80" t="s">
        <v>5</v>
      </c>
      <c r="C53" s="81" t="s">
        <v>417</v>
      </c>
      <c r="D53" s="82"/>
      <c r="E53" s="82"/>
      <c r="F53" s="82"/>
      <c r="G53" s="82"/>
      <c r="H53" s="82"/>
      <c r="I53" s="83"/>
      <c r="J53" s="83"/>
      <c r="K53" s="83"/>
      <c r="L53" s="83"/>
    </row>
    <row r="54" spans="1:12" ht="12" customHeight="1" x14ac:dyDescent="0.35">
      <c r="A54" s="134">
        <v>10110000</v>
      </c>
      <c r="B54" s="84"/>
      <c r="C54" s="85" t="str">
        <f>VLOOKUP(A54,'DAFTAR HARGA'!A:D,3,FALSE)</f>
        <v>OH</v>
      </c>
      <c r="D54" s="84" t="s">
        <v>418</v>
      </c>
      <c r="E54" s="84">
        <f>VLOOKUP(A54,'DAFTAR HARGA'!A:D,4,FALSE)</f>
        <v>150000</v>
      </c>
      <c r="F54" s="86">
        <v>0.375</v>
      </c>
      <c r="G54" s="87" t="e">
        <f>VLOOKUP(A54,'DAFTAR HARGA'!A:D,5,FALSE)</f>
        <v>#REF!</v>
      </c>
      <c r="H54" s="87" t="e">
        <f>F54*G54</f>
        <v>#REF!</v>
      </c>
      <c r="I54" s="87">
        <v>78600</v>
      </c>
      <c r="J54" s="87">
        <f>F54*I54</f>
        <v>29475</v>
      </c>
      <c r="K54" s="87">
        <v>78600</v>
      </c>
      <c r="L54" s="87">
        <f>F54*K54</f>
        <v>29475</v>
      </c>
    </row>
    <row r="55" spans="1:12" ht="12" customHeight="1" x14ac:dyDescent="0.35">
      <c r="A55" s="134">
        <v>10120000</v>
      </c>
      <c r="B55" s="84"/>
      <c r="C55" s="85" t="str">
        <f>VLOOKUP(A55,'DAFTAR HARGA'!A:D,3,FALSE)</f>
        <v>OH</v>
      </c>
      <c r="D55" s="84" t="s">
        <v>419</v>
      </c>
      <c r="E55" s="84">
        <f>VLOOKUP(A55,'DAFTAR HARGA'!A:D,4,FALSE)</f>
        <v>130000</v>
      </c>
      <c r="F55" s="86"/>
      <c r="G55" s="87" t="e">
        <f>VLOOKUP(A55,'DAFTAR HARGA'!A:D,5,FALSE)</f>
        <v>#REF!</v>
      </c>
      <c r="H55" s="87" t="e">
        <f>F55*G55</f>
        <v>#REF!</v>
      </c>
      <c r="I55" s="87">
        <v>91500</v>
      </c>
      <c r="J55" s="87">
        <f>F55*I55</f>
        <v>0</v>
      </c>
      <c r="K55" s="87">
        <v>91500</v>
      </c>
      <c r="L55" s="87">
        <f>F55*K55</f>
        <v>0</v>
      </c>
    </row>
    <row r="56" spans="1:12" ht="12" customHeight="1" x14ac:dyDescent="0.35">
      <c r="A56" s="134">
        <v>10130000</v>
      </c>
      <c r="B56" s="84"/>
      <c r="C56" s="85" t="str">
        <f>VLOOKUP(A56,'DAFTAR HARGA'!A:D,3,FALSE)</f>
        <v>OH</v>
      </c>
      <c r="D56" s="84" t="s">
        <v>420</v>
      </c>
      <c r="E56" s="84">
        <f>VLOOKUP(A56,'DAFTAR HARGA'!A:D,4,FALSE)</f>
        <v>115000</v>
      </c>
      <c r="F56" s="86">
        <v>3.75</v>
      </c>
      <c r="G56" s="87" t="e">
        <f>VLOOKUP(A56,'DAFTAR HARGA'!A:D,5,FALSE)</f>
        <v>#REF!</v>
      </c>
      <c r="H56" s="87" t="e">
        <f>F56*G56</f>
        <v>#REF!</v>
      </c>
      <c r="I56" s="87">
        <v>92500</v>
      </c>
      <c r="J56" s="87">
        <f>F56*I56</f>
        <v>346875</v>
      </c>
      <c r="K56" s="87">
        <v>92500</v>
      </c>
      <c r="L56" s="87">
        <f>F56*K56</f>
        <v>346875</v>
      </c>
    </row>
    <row r="57" spans="1:12" ht="12" customHeight="1" x14ac:dyDescent="0.35">
      <c r="B57" s="84"/>
      <c r="C57" s="85"/>
      <c r="D57" s="84"/>
      <c r="E57" s="84"/>
      <c r="F57" s="86"/>
      <c r="G57" s="87"/>
      <c r="H57" s="87"/>
      <c r="I57" s="87"/>
      <c r="J57" s="87"/>
      <c r="K57" s="87"/>
      <c r="L57" s="87"/>
    </row>
    <row r="58" spans="1:12" ht="12" customHeight="1" x14ac:dyDescent="0.35">
      <c r="B58" s="84"/>
      <c r="C58" s="88"/>
      <c r="D58" s="79"/>
      <c r="E58" s="79"/>
      <c r="F58" s="89" t="s">
        <v>421</v>
      </c>
      <c r="G58" s="101"/>
      <c r="H58" s="87" t="e">
        <f>SUM(H54:H57)</f>
        <v>#REF!</v>
      </c>
      <c r="I58" s="101"/>
      <c r="J58" s="87">
        <f>SUM(J54:J57)</f>
        <v>376350</v>
      </c>
      <c r="K58" s="101"/>
      <c r="L58" s="87">
        <f>SUM(L54:L57)</f>
        <v>376350</v>
      </c>
    </row>
    <row r="59" spans="1:12" ht="12" customHeight="1" x14ac:dyDescent="0.35">
      <c r="B59" s="84" t="s">
        <v>6</v>
      </c>
      <c r="C59" s="88" t="s">
        <v>422</v>
      </c>
      <c r="D59" s="79"/>
      <c r="E59" s="79"/>
      <c r="F59" s="90"/>
      <c r="G59" s="84"/>
      <c r="H59" s="87"/>
      <c r="I59" s="84"/>
      <c r="J59" s="87"/>
      <c r="K59" s="84"/>
      <c r="L59" s="87"/>
    </row>
    <row r="60" spans="1:12" ht="12" customHeight="1" x14ac:dyDescent="0.35">
      <c r="B60" s="84"/>
      <c r="C60" s="88"/>
      <c r="D60" s="79"/>
      <c r="E60" s="84"/>
      <c r="F60" s="102"/>
      <c r="G60" s="87"/>
      <c r="H60" s="87">
        <f>F60*G60</f>
        <v>0</v>
      </c>
      <c r="I60" s="87">
        <v>232500</v>
      </c>
      <c r="J60" s="87">
        <f>F60*I60</f>
        <v>0</v>
      </c>
      <c r="K60" s="87">
        <v>270000</v>
      </c>
      <c r="L60" s="87">
        <f>F60*K60</f>
        <v>0</v>
      </c>
    </row>
    <row r="61" spans="1:12" ht="12" customHeight="1" x14ac:dyDescent="0.35">
      <c r="B61" s="84"/>
      <c r="C61" s="88"/>
      <c r="D61" s="79"/>
      <c r="E61" s="84"/>
      <c r="F61" s="102"/>
      <c r="G61" s="87"/>
      <c r="H61" s="87">
        <f>F61*G61</f>
        <v>0</v>
      </c>
      <c r="I61" s="87">
        <v>1060</v>
      </c>
      <c r="J61" s="87">
        <f>F61*I61</f>
        <v>0</v>
      </c>
      <c r="K61" s="87">
        <v>1060</v>
      </c>
      <c r="L61" s="87">
        <f>F61*K61</f>
        <v>0</v>
      </c>
    </row>
    <row r="62" spans="1:12" ht="12" customHeight="1" x14ac:dyDescent="0.35">
      <c r="B62" s="84"/>
      <c r="C62" s="88"/>
      <c r="D62" s="79"/>
      <c r="E62" s="84"/>
      <c r="F62" s="102"/>
      <c r="G62" s="87"/>
      <c r="H62" s="87">
        <f>F62*G62</f>
        <v>0</v>
      </c>
      <c r="I62" s="87">
        <v>215000</v>
      </c>
      <c r="J62" s="87">
        <f>F62*I62</f>
        <v>0</v>
      </c>
      <c r="K62" s="87">
        <v>250000</v>
      </c>
      <c r="L62" s="87">
        <f>F62*K62</f>
        <v>0</v>
      </c>
    </row>
    <row r="63" spans="1:12" ht="12" customHeight="1" x14ac:dyDescent="0.35">
      <c r="B63" s="84"/>
      <c r="C63" s="88"/>
      <c r="D63" s="79"/>
      <c r="E63" s="79"/>
      <c r="F63" s="89" t="s">
        <v>423</v>
      </c>
      <c r="G63" s="101"/>
      <c r="H63" s="87">
        <f>SUM(H60:H62)</f>
        <v>0</v>
      </c>
      <c r="I63" s="101"/>
      <c r="J63" s="87">
        <f>SUM(J60:J62)</f>
        <v>0</v>
      </c>
      <c r="K63" s="101"/>
      <c r="L63" s="87">
        <f>SUM(L60:L62)</f>
        <v>0</v>
      </c>
    </row>
    <row r="64" spans="1:12" ht="12" customHeight="1" x14ac:dyDescent="0.35">
      <c r="B64" s="84" t="s">
        <v>7</v>
      </c>
      <c r="C64" s="88" t="s">
        <v>424</v>
      </c>
      <c r="D64" s="79"/>
      <c r="E64" s="79"/>
      <c r="F64" s="90"/>
      <c r="G64" s="84"/>
      <c r="H64" s="87"/>
      <c r="I64" s="84"/>
      <c r="J64" s="87"/>
      <c r="K64" s="84"/>
      <c r="L64" s="87"/>
    </row>
    <row r="65" spans="1:12" ht="12" customHeight="1" x14ac:dyDescent="0.35">
      <c r="B65" s="84"/>
      <c r="C65" s="88"/>
      <c r="D65" s="79"/>
      <c r="E65" s="79"/>
      <c r="F65" s="90"/>
      <c r="G65" s="87"/>
      <c r="H65" s="87">
        <f>F65*G65</f>
        <v>0</v>
      </c>
      <c r="I65" s="87"/>
      <c r="J65" s="87">
        <f>H65*I65</f>
        <v>0</v>
      </c>
      <c r="K65" s="87"/>
      <c r="L65" s="87">
        <f>J65*K65</f>
        <v>0</v>
      </c>
    </row>
    <row r="66" spans="1:12" ht="12" customHeight="1" x14ac:dyDescent="0.35">
      <c r="B66" s="84"/>
      <c r="C66" s="88"/>
      <c r="D66" s="79"/>
      <c r="E66" s="79"/>
      <c r="F66" s="89" t="s">
        <v>425</v>
      </c>
      <c r="G66" s="101"/>
      <c r="H66" s="87">
        <f>SUM(H65)</f>
        <v>0</v>
      </c>
      <c r="I66" s="101"/>
      <c r="J66" s="87">
        <f>SUM(J65)</f>
        <v>0</v>
      </c>
      <c r="K66" s="101"/>
      <c r="L66" s="87">
        <f>SUM(L65)</f>
        <v>0</v>
      </c>
    </row>
    <row r="67" spans="1:12" ht="12" customHeight="1" x14ac:dyDescent="0.35">
      <c r="B67" s="84" t="s">
        <v>8</v>
      </c>
      <c r="C67" s="103" t="s">
        <v>426</v>
      </c>
      <c r="D67" s="104"/>
      <c r="E67" s="104"/>
      <c r="F67" s="104"/>
      <c r="G67" s="105"/>
      <c r="H67" s="87" t="e">
        <f>H58+H63+H66</f>
        <v>#REF!</v>
      </c>
      <c r="I67" s="105"/>
      <c r="J67" s="87">
        <f>J58+J63+J66</f>
        <v>376350</v>
      </c>
      <c r="K67" s="105"/>
      <c r="L67" s="87">
        <f>L58+L63+L66</f>
        <v>376350</v>
      </c>
    </row>
    <row r="68" spans="1:12" ht="12" customHeight="1" x14ac:dyDescent="0.35">
      <c r="B68" s="84" t="s">
        <v>9</v>
      </c>
      <c r="C68" s="455" t="s">
        <v>427</v>
      </c>
      <c r="D68" s="455"/>
      <c r="E68" s="455"/>
      <c r="F68" s="95" t="str">
        <f>OP</f>
        <v>TANJUNG PALAS TENGAH</v>
      </c>
      <c r="G68" s="85" t="s">
        <v>428</v>
      </c>
      <c r="H68" s="87" t="e">
        <f>H67*F68</f>
        <v>#REF!</v>
      </c>
      <c r="I68" s="85" t="s">
        <v>428</v>
      </c>
      <c r="J68" s="87" t="e">
        <f>J67*F68</f>
        <v>#VALUE!</v>
      </c>
      <c r="K68" s="85" t="s">
        <v>428</v>
      </c>
      <c r="L68" s="87" t="e">
        <f>L67*F68</f>
        <v>#VALUE!</v>
      </c>
    </row>
    <row r="69" spans="1:12" ht="12" customHeight="1" x14ac:dyDescent="0.35">
      <c r="B69" s="84" t="s">
        <v>10</v>
      </c>
      <c r="C69" s="103" t="s">
        <v>429</v>
      </c>
      <c r="D69" s="104"/>
      <c r="E69" s="104"/>
      <c r="F69" s="104"/>
      <c r="G69" s="105"/>
      <c r="H69" s="96" t="e">
        <f>H67+H68</f>
        <v>#REF!</v>
      </c>
      <c r="I69" s="97"/>
      <c r="J69" s="96" t="e">
        <f>J67+J68</f>
        <v>#VALUE!</v>
      </c>
      <c r="K69" s="97"/>
      <c r="L69" s="96" t="e">
        <f>L67+L68</f>
        <v>#VALUE!</v>
      </c>
    </row>
    <row r="70" spans="1:12" ht="12" customHeight="1" x14ac:dyDescent="0.35">
      <c r="B70" s="98"/>
      <c r="C70" s="99"/>
      <c r="D70" s="99"/>
      <c r="E70" s="99"/>
      <c r="F70" s="99"/>
      <c r="G70" s="99"/>
      <c r="H70" s="100"/>
    </row>
    <row r="71" spans="1:12" ht="29" customHeight="1" x14ac:dyDescent="0.35">
      <c r="B71" s="76" t="s">
        <v>467</v>
      </c>
      <c r="C71" s="458" t="s">
        <v>464</v>
      </c>
      <c r="D71" s="459"/>
      <c r="E71" s="459"/>
      <c r="F71" s="459"/>
      <c r="G71" s="456"/>
      <c r="H71" s="457"/>
      <c r="I71" s="455" t="s">
        <v>3</v>
      </c>
      <c r="J71" s="455"/>
      <c r="K71" s="455" t="s">
        <v>4</v>
      </c>
      <c r="L71" s="455"/>
    </row>
    <row r="72" spans="1:12" ht="12" customHeight="1" x14ac:dyDescent="0.35">
      <c r="B72" s="451" t="s">
        <v>409</v>
      </c>
      <c r="C72" s="451" t="s">
        <v>410</v>
      </c>
      <c r="D72" s="452" t="s">
        <v>411</v>
      </c>
      <c r="E72" s="451" t="s">
        <v>412</v>
      </c>
      <c r="F72" s="451" t="s">
        <v>413</v>
      </c>
      <c r="G72" s="77" t="s">
        <v>414</v>
      </c>
      <c r="H72" s="77" t="s">
        <v>415</v>
      </c>
      <c r="I72" s="78" t="s">
        <v>414</v>
      </c>
      <c r="J72" s="79" t="s">
        <v>415</v>
      </c>
      <c r="K72" s="79" t="s">
        <v>414</v>
      </c>
      <c r="L72" s="79" t="s">
        <v>415</v>
      </c>
    </row>
    <row r="73" spans="1:12" ht="12" customHeight="1" x14ac:dyDescent="0.35">
      <c r="B73" s="451"/>
      <c r="C73" s="451"/>
      <c r="D73" s="453"/>
      <c r="E73" s="451"/>
      <c r="F73" s="451"/>
      <c r="G73" s="77" t="s">
        <v>17</v>
      </c>
      <c r="H73" s="77" t="s">
        <v>416</v>
      </c>
      <c r="I73" s="78" t="s">
        <v>17</v>
      </c>
      <c r="J73" s="79" t="s">
        <v>416</v>
      </c>
      <c r="K73" s="79" t="s">
        <v>17</v>
      </c>
      <c r="L73" s="79" t="s">
        <v>416</v>
      </c>
    </row>
    <row r="74" spans="1:12" ht="12" customHeight="1" x14ac:dyDescent="0.35">
      <c r="B74" s="451"/>
      <c r="C74" s="451"/>
      <c r="D74" s="454"/>
      <c r="E74" s="451"/>
      <c r="F74" s="451"/>
      <c r="G74" s="106"/>
      <c r="H74" s="77" t="s">
        <v>17</v>
      </c>
      <c r="I74" s="94"/>
      <c r="J74" s="79" t="s">
        <v>17</v>
      </c>
      <c r="K74" s="85"/>
      <c r="L74" s="79" t="s">
        <v>17</v>
      </c>
    </row>
    <row r="75" spans="1:12" ht="12" customHeight="1" x14ac:dyDescent="0.35">
      <c r="B75" s="80" t="s">
        <v>5</v>
      </c>
      <c r="C75" s="81" t="s">
        <v>417</v>
      </c>
      <c r="D75" s="82"/>
      <c r="E75" s="82"/>
      <c r="F75" s="82"/>
      <c r="G75" s="82"/>
      <c r="H75" s="82"/>
      <c r="I75" s="83"/>
      <c r="J75" s="83"/>
      <c r="K75" s="83"/>
      <c r="L75" s="83"/>
    </row>
    <row r="76" spans="1:12" ht="12" customHeight="1" x14ac:dyDescent="0.35">
      <c r="A76" s="134">
        <v>10110000</v>
      </c>
      <c r="B76" s="84"/>
      <c r="C76" s="85" t="str">
        <f>VLOOKUP(A76,'DAFTAR HARGA'!A:D,3,FALSE)</f>
        <v>OH</v>
      </c>
      <c r="D76" s="84" t="s">
        <v>418</v>
      </c>
      <c r="E76" s="84">
        <f>VLOOKUP(A76,'DAFTAR HARGA'!A:D,4,FALSE)</f>
        <v>150000</v>
      </c>
      <c r="F76" s="86">
        <v>0.41249999999999998</v>
      </c>
      <c r="G76" s="87" t="e">
        <f>VLOOKUP(A76,'DAFTAR HARGA'!A:D,5,FALSE)</f>
        <v>#REF!</v>
      </c>
      <c r="H76" s="87" t="e">
        <f>F76*G76</f>
        <v>#REF!</v>
      </c>
      <c r="I76" s="87">
        <v>78600</v>
      </c>
      <c r="J76" s="87">
        <f>F76*I76</f>
        <v>32422.5</v>
      </c>
      <c r="K76" s="87">
        <v>78600</v>
      </c>
      <c r="L76" s="87">
        <f>F76*K76</f>
        <v>32422.5</v>
      </c>
    </row>
    <row r="77" spans="1:12" ht="12" customHeight="1" x14ac:dyDescent="0.35">
      <c r="A77" s="134">
        <v>10120000</v>
      </c>
      <c r="B77" s="84"/>
      <c r="C77" s="85" t="str">
        <f>VLOOKUP(A77,'DAFTAR HARGA'!A:D,3,FALSE)</f>
        <v>OH</v>
      </c>
      <c r="D77" s="84" t="s">
        <v>419</v>
      </c>
      <c r="E77" s="84">
        <f>VLOOKUP(A77,'DAFTAR HARGA'!A:D,4,FALSE)</f>
        <v>130000</v>
      </c>
      <c r="F77" s="86"/>
      <c r="G77" s="87" t="e">
        <f>VLOOKUP(A77,'DAFTAR HARGA'!A:D,5,FALSE)</f>
        <v>#REF!</v>
      </c>
      <c r="H77" s="87" t="e">
        <f>F77*G77</f>
        <v>#REF!</v>
      </c>
      <c r="I77" s="87">
        <v>91500</v>
      </c>
      <c r="J77" s="87">
        <f>F77*I77</f>
        <v>0</v>
      </c>
      <c r="K77" s="87">
        <v>91500</v>
      </c>
      <c r="L77" s="87">
        <f>F77*K77</f>
        <v>0</v>
      </c>
    </row>
    <row r="78" spans="1:12" ht="12" customHeight="1" x14ac:dyDescent="0.35">
      <c r="A78" s="134">
        <v>10130000</v>
      </c>
      <c r="B78" s="84"/>
      <c r="C78" s="85" t="str">
        <f>VLOOKUP(A78,'DAFTAR HARGA'!A:D,3,FALSE)</f>
        <v>OH</v>
      </c>
      <c r="D78" s="84" t="s">
        <v>420</v>
      </c>
      <c r="E78" s="84">
        <f>VLOOKUP(A78,'DAFTAR HARGA'!A:D,4,FALSE)</f>
        <v>115000</v>
      </c>
      <c r="F78" s="86">
        <v>4.125</v>
      </c>
      <c r="G78" s="87" t="e">
        <f>VLOOKUP(A78,'DAFTAR HARGA'!A:D,5,FALSE)</f>
        <v>#REF!</v>
      </c>
      <c r="H78" s="87" t="e">
        <f>F78*G78</f>
        <v>#REF!</v>
      </c>
      <c r="I78" s="87">
        <v>92500</v>
      </c>
      <c r="J78" s="87">
        <f>F78*I78</f>
        <v>381562.5</v>
      </c>
      <c r="K78" s="87">
        <v>92500</v>
      </c>
      <c r="L78" s="87">
        <f>F78*K78</f>
        <v>381562.5</v>
      </c>
    </row>
    <row r="79" spans="1:12" ht="12" customHeight="1" x14ac:dyDescent="0.35">
      <c r="B79" s="84"/>
      <c r="C79" s="85"/>
      <c r="D79" s="84"/>
      <c r="E79" s="84"/>
      <c r="F79" s="86"/>
      <c r="G79" s="87"/>
      <c r="H79" s="87"/>
      <c r="I79" s="87"/>
      <c r="J79" s="87"/>
      <c r="K79" s="87"/>
      <c r="L79" s="87"/>
    </row>
    <row r="80" spans="1:12" ht="12" customHeight="1" x14ac:dyDescent="0.35">
      <c r="B80" s="84"/>
      <c r="C80" s="88"/>
      <c r="D80" s="79"/>
      <c r="E80" s="79"/>
      <c r="F80" s="89" t="s">
        <v>421</v>
      </c>
      <c r="G80" s="101"/>
      <c r="H80" s="87" t="e">
        <f>SUM(H76:H79)</f>
        <v>#REF!</v>
      </c>
      <c r="I80" s="101"/>
      <c r="J80" s="87">
        <f>SUM(J76:J79)</f>
        <v>413985</v>
      </c>
      <c r="K80" s="101"/>
      <c r="L80" s="87">
        <f>SUM(L76:L79)</f>
        <v>413985</v>
      </c>
    </row>
    <row r="81" spans="2:12" ht="12" customHeight="1" x14ac:dyDescent="0.35">
      <c r="B81" s="84" t="s">
        <v>6</v>
      </c>
      <c r="C81" s="88" t="s">
        <v>422</v>
      </c>
      <c r="D81" s="79"/>
      <c r="E81" s="79"/>
      <c r="F81" s="90"/>
      <c r="G81" s="84"/>
      <c r="H81" s="87"/>
      <c r="I81" s="84"/>
      <c r="J81" s="87"/>
      <c r="K81" s="84"/>
      <c r="L81" s="87"/>
    </row>
    <row r="82" spans="2:12" ht="12" customHeight="1" x14ac:dyDescent="0.35">
      <c r="B82" s="84"/>
      <c r="C82" s="88"/>
      <c r="D82" s="79"/>
      <c r="E82" s="84"/>
      <c r="F82" s="102"/>
      <c r="G82" s="87"/>
      <c r="H82" s="87">
        <f>F82*G82</f>
        <v>0</v>
      </c>
      <c r="I82" s="87">
        <v>232500</v>
      </c>
      <c r="J82" s="87">
        <f>F82*I82</f>
        <v>0</v>
      </c>
      <c r="K82" s="87">
        <v>270000</v>
      </c>
      <c r="L82" s="87">
        <f>F82*K82</f>
        <v>0</v>
      </c>
    </row>
    <row r="83" spans="2:12" ht="12" customHeight="1" x14ac:dyDescent="0.35">
      <c r="B83" s="84"/>
      <c r="C83" s="88"/>
      <c r="D83" s="79"/>
      <c r="E83" s="84"/>
      <c r="F83" s="102"/>
      <c r="G83" s="87"/>
      <c r="H83" s="87">
        <f>F83*G83</f>
        <v>0</v>
      </c>
      <c r="I83" s="87">
        <v>1060</v>
      </c>
      <c r="J83" s="87">
        <f>F83*I83</f>
        <v>0</v>
      </c>
      <c r="K83" s="87">
        <v>1060</v>
      </c>
      <c r="L83" s="87">
        <f>F83*K83</f>
        <v>0</v>
      </c>
    </row>
    <row r="84" spans="2:12" ht="12" customHeight="1" x14ac:dyDescent="0.35">
      <c r="B84" s="84"/>
      <c r="C84" s="88"/>
      <c r="D84" s="79"/>
      <c r="E84" s="84"/>
      <c r="F84" s="102"/>
      <c r="G84" s="87"/>
      <c r="H84" s="87">
        <f>F84*G84</f>
        <v>0</v>
      </c>
      <c r="I84" s="87">
        <v>215000</v>
      </c>
      <c r="J84" s="87">
        <f>F84*I84</f>
        <v>0</v>
      </c>
      <c r="K84" s="87">
        <v>250000</v>
      </c>
      <c r="L84" s="87">
        <f>F84*K84</f>
        <v>0</v>
      </c>
    </row>
    <row r="85" spans="2:12" ht="12" customHeight="1" x14ac:dyDescent="0.35">
      <c r="B85" s="84"/>
      <c r="C85" s="88"/>
      <c r="D85" s="79"/>
      <c r="E85" s="79"/>
      <c r="F85" s="89" t="s">
        <v>423</v>
      </c>
      <c r="G85" s="101"/>
      <c r="H85" s="87">
        <f>SUM(H82:H84)</f>
        <v>0</v>
      </c>
      <c r="I85" s="101"/>
      <c r="J85" s="87">
        <f>SUM(J82:J84)</f>
        <v>0</v>
      </c>
      <c r="K85" s="101"/>
      <c r="L85" s="87">
        <f>SUM(L82:L84)</f>
        <v>0</v>
      </c>
    </row>
    <row r="86" spans="2:12" ht="12" customHeight="1" x14ac:dyDescent="0.35">
      <c r="B86" s="84" t="s">
        <v>7</v>
      </c>
      <c r="C86" s="88" t="s">
        <v>424</v>
      </c>
      <c r="D86" s="79"/>
      <c r="E86" s="79"/>
      <c r="F86" s="90"/>
      <c r="G86" s="84"/>
      <c r="H86" s="87"/>
      <c r="I86" s="84"/>
      <c r="J86" s="87"/>
      <c r="K86" s="84"/>
      <c r="L86" s="87"/>
    </row>
    <row r="87" spans="2:12" ht="12" customHeight="1" x14ac:dyDescent="0.35">
      <c r="B87" s="84"/>
      <c r="C87" s="88"/>
      <c r="D87" s="79"/>
      <c r="E87" s="79"/>
      <c r="F87" s="90"/>
      <c r="G87" s="87"/>
      <c r="H87" s="87">
        <f>F87*G87</f>
        <v>0</v>
      </c>
      <c r="I87" s="87"/>
      <c r="J87" s="87">
        <f>H87*I87</f>
        <v>0</v>
      </c>
      <c r="K87" s="87"/>
      <c r="L87" s="87">
        <f>J87*K87</f>
        <v>0</v>
      </c>
    </row>
    <row r="88" spans="2:12" ht="12" customHeight="1" x14ac:dyDescent="0.35">
      <c r="B88" s="84"/>
      <c r="C88" s="88"/>
      <c r="D88" s="79"/>
      <c r="E88" s="79"/>
      <c r="F88" s="89" t="s">
        <v>425</v>
      </c>
      <c r="G88" s="101"/>
      <c r="H88" s="87">
        <f>SUM(H87)</f>
        <v>0</v>
      </c>
      <c r="I88" s="101"/>
      <c r="J88" s="87">
        <f>SUM(J87)</f>
        <v>0</v>
      </c>
      <c r="K88" s="101"/>
      <c r="L88" s="87">
        <f>SUM(L87)</f>
        <v>0</v>
      </c>
    </row>
    <row r="89" spans="2:12" ht="12" customHeight="1" x14ac:dyDescent="0.35">
      <c r="B89" s="84" t="s">
        <v>8</v>
      </c>
      <c r="C89" s="103" t="s">
        <v>426</v>
      </c>
      <c r="D89" s="104"/>
      <c r="E89" s="104"/>
      <c r="F89" s="104"/>
      <c r="G89" s="105"/>
      <c r="H89" s="87" t="e">
        <f>H80+H85+H88</f>
        <v>#REF!</v>
      </c>
      <c r="I89" s="105"/>
      <c r="J89" s="87">
        <f>J80+J85+J88</f>
        <v>413985</v>
      </c>
      <c r="K89" s="105"/>
      <c r="L89" s="87">
        <f>L80+L85+L88</f>
        <v>413985</v>
      </c>
    </row>
    <row r="90" spans="2:12" ht="12" customHeight="1" x14ac:dyDescent="0.35">
      <c r="B90" s="84" t="s">
        <v>9</v>
      </c>
      <c r="C90" s="455" t="s">
        <v>427</v>
      </c>
      <c r="D90" s="455"/>
      <c r="E90" s="455"/>
      <c r="F90" s="95" t="str">
        <f>OP</f>
        <v>TANJUNG PALAS TENGAH</v>
      </c>
      <c r="G90" s="85" t="s">
        <v>428</v>
      </c>
      <c r="H90" s="87" t="e">
        <f>H89*F90</f>
        <v>#REF!</v>
      </c>
      <c r="I90" s="85" t="s">
        <v>428</v>
      </c>
      <c r="J90" s="87" t="e">
        <f>J89*F90</f>
        <v>#VALUE!</v>
      </c>
      <c r="K90" s="85" t="s">
        <v>428</v>
      </c>
      <c r="L90" s="87" t="e">
        <f>L89*F90</f>
        <v>#VALUE!</v>
      </c>
    </row>
    <row r="91" spans="2:12" ht="12" customHeight="1" x14ac:dyDescent="0.35">
      <c r="B91" s="84" t="s">
        <v>10</v>
      </c>
      <c r="C91" s="103" t="s">
        <v>429</v>
      </c>
      <c r="D91" s="104"/>
      <c r="E91" s="104"/>
      <c r="F91" s="104"/>
      <c r="G91" s="105"/>
      <c r="H91" s="96" t="e">
        <f>H89+H90</f>
        <v>#REF!</v>
      </c>
      <c r="I91" s="97"/>
      <c r="J91" s="96" t="e">
        <f>J89+J90</f>
        <v>#VALUE!</v>
      </c>
      <c r="K91" s="97"/>
      <c r="L91" s="96" t="e">
        <f>L89+L90</f>
        <v>#VALUE!</v>
      </c>
    </row>
    <row r="92" spans="2:12" ht="12" customHeight="1" x14ac:dyDescent="0.35">
      <c r="B92" s="98"/>
      <c r="C92" s="99"/>
      <c r="D92" s="99"/>
      <c r="E92" s="99"/>
      <c r="F92" s="99"/>
      <c r="G92" s="99"/>
      <c r="H92" s="100"/>
    </row>
    <row r="93" spans="2:12" ht="29" customHeight="1" x14ac:dyDescent="0.35">
      <c r="B93" s="76" t="s">
        <v>468</v>
      </c>
      <c r="C93" s="458" t="s">
        <v>469</v>
      </c>
      <c r="D93" s="459"/>
      <c r="E93" s="459"/>
      <c r="F93" s="459"/>
      <c r="G93" s="456"/>
      <c r="H93" s="457"/>
      <c r="I93" s="455" t="s">
        <v>3</v>
      </c>
      <c r="J93" s="455"/>
      <c r="K93" s="455" t="s">
        <v>4</v>
      </c>
      <c r="L93" s="455"/>
    </row>
    <row r="94" spans="2:12" ht="12" customHeight="1" x14ac:dyDescent="0.35">
      <c r="B94" s="451" t="s">
        <v>409</v>
      </c>
      <c r="C94" s="451" t="s">
        <v>410</v>
      </c>
      <c r="D94" s="452" t="s">
        <v>411</v>
      </c>
      <c r="E94" s="451" t="s">
        <v>412</v>
      </c>
      <c r="F94" s="451" t="s">
        <v>413</v>
      </c>
      <c r="G94" s="77" t="s">
        <v>414</v>
      </c>
      <c r="H94" s="77" t="s">
        <v>415</v>
      </c>
      <c r="I94" s="78" t="s">
        <v>414</v>
      </c>
      <c r="J94" s="79" t="s">
        <v>415</v>
      </c>
      <c r="K94" s="79" t="s">
        <v>414</v>
      </c>
      <c r="L94" s="79" t="s">
        <v>415</v>
      </c>
    </row>
    <row r="95" spans="2:12" ht="12" customHeight="1" x14ac:dyDescent="0.35">
      <c r="B95" s="451"/>
      <c r="C95" s="451"/>
      <c r="D95" s="453"/>
      <c r="E95" s="451"/>
      <c r="F95" s="451"/>
      <c r="G95" s="77" t="s">
        <v>17</v>
      </c>
      <c r="H95" s="77" t="s">
        <v>416</v>
      </c>
      <c r="I95" s="78" t="s">
        <v>17</v>
      </c>
      <c r="J95" s="79" t="s">
        <v>416</v>
      </c>
      <c r="K95" s="79" t="s">
        <v>17</v>
      </c>
      <c r="L95" s="79" t="s">
        <v>416</v>
      </c>
    </row>
    <row r="96" spans="2:12" ht="12" customHeight="1" x14ac:dyDescent="0.35">
      <c r="B96" s="451"/>
      <c r="C96" s="451"/>
      <c r="D96" s="454"/>
      <c r="E96" s="451"/>
      <c r="F96" s="451"/>
      <c r="G96" s="106"/>
      <c r="H96" s="77" t="s">
        <v>17</v>
      </c>
      <c r="I96" s="94"/>
      <c r="J96" s="79" t="s">
        <v>17</v>
      </c>
      <c r="K96" s="85"/>
      <c r="L96" s="79" t="s">
        <v>17</v>
      </c>
    </row>
    <row r="97" spans="1:12" ht="12" customHeight="1" x14ac:dyDescent="0.35">
      <c r="B97" s="80" t="s">
        <v>5</v>
      </c>
      <c r="C97" s="81" t="s">
        <v>417</v>
      </c>
      <c r="D97" s="82"/>
      <c r="E97" s="82"/>
      <c r="F97" s="82"/>
      <c r="G97" s="82"/>
      <c r="H97" s="82"/>
      <c r="I97" s="83"/>
      <c r="J97" s="83"/>
      <c r="K97" s="83"/>
      <c r="L97" s="83"/>
    </row>
    <row r="98" spans="1:12" ht="12" customHeight="1" x14ac:dyDescent="0.35">
      <c r="A98" s="134">
        <v>10110000</v>
      </c>
      <c r="B98" s="84"/>
      <c r="C98" s="85" t="str">
        <f>VLOOKUP(A98,'DAFTAR HARGA'!A:D,3,FALSE)</f>
        <v>OH</v>
      </c>
      <c r="D98" s="84" t="s">
        <v>418</v>
      </c>
      <c r="E98" s="84">
        <f>VLOOKUP(A98,'DAFTAR HARGA'!A:D,4,FALSE)</f>
        <v>150000</v>
      </c>
      <c r="F98" s="86">
        <v>1.25E-3</v>
      </c>
      <c r="G98" s="87" t="e">
        <f>VLOOKUP(A98,'DAFTAR HARGA'!A:D,5,FALSE)</f>
        <v>#REF!</v>
      </c>
      <c r="H98" s="87" t="e">
        <f>F98*G98</f>
        <v>#REF!</v>
      </c>
      <c r="I98" s="87">
        <v>78600</v>
      </c>
      <c r="J98" s="87">
        <f>F98*I98</f>
        <v>98.25</v>
      </c>
      <c r="K98" s="87">
        <v>78600</v>
      </c>
      <c r="L98" s="87">
        <f>F98*K98</f>
        <v>98.25</v>
      </c>
    </row>
    <row r="99" spans="1:12" ht="12" customHeight="1" x14ac:dyDescent="0.35">
      <c r="A99" s="134">
        <v>10120000</v>
      </c>
      <c r="B99" s="84"/>
      <c r="C99" s="85" t="str">
        <f>VLOOKUP(A99,'DAFTAR HARGA'!A:D,3,FALSE)</f>
        <v>OH</v>
      </c>
      <c r="D99" s="84" t="s">
        <v>419</v>
      </c>
      <c r="E99" s="84">
        <f>VLOOKUP(A99,'DAFTAR HARGA'!A:D,4,FALSE)</f>
        <v>130000</v>
      </c>
      <c r="F99" s="86"/>
      <c r="G99" s="87" t="e">
        <f>VLOOKUP(A99,'DAFTAR HARGA'!A:D,5,FALSE)</f>
        <v>#REF!</v>
      </c>
      <c r="H99" s="87" t="e">
        <f>F99*G99</f>
        <v>#REF!</v>
      </c>
      <c r="I99" s="87">
        <v>91500</v>
      </c>
      <c r="J99" s="87">
        <f>F99*I99</f>
        <v>0</v>
      </c>
      <c r="K99" s="87">
        <v>91500</v>
      </c>
      <c r="L99" s="87">
        <f>F99*K99</f>
        <v>0</v>
      </c>
    </row>
    <row r="100" spans="1:12" ht="12" customHeight="1" x14ac:dyDescent="0.35">
      <c r="A100" s="134">
        <v>10130000</v>
      </c>
      <c r="B100" s="84"/>
      <c r="C100" s="85" t="str">
        <f>VLOOKUP(A100,'DAFTAR HARGA'!A:D,3,FALSE)</f>
        <v>OH</v>
      </c>
      <c r="D100" s="84" t="s">
        <v>420</v>
      </c>
      <c r="E100" s="84">
        <f>VLOOKUP(A100,'DAFTAR HARGA'!A:D,4,FALSE)</f>
        <v>115000</v>
      </c>
      <c r="F100" s="86">
        <v>1.2500000000000001E-2</v>
      </c>
      <c r="G100" s="87" t="e">
        <f>VLOOKUP(A100,'DAFTAR HARGA'!A:D,5,FALSE)</f>
        <v>#REF!</v>
      </c>
      <c r="H100" s="87" t="e">
        <f>F100*G100</f>
        <v>#REF!</v>
      </c>
      <c r="I100" s="87">
        <v>92500</v>
      </c>
      <c r="J100" s="87">
        <f>F100*I100</f>
        <v>1156.25</v>
      </c>
      <c r="K100" s="87">
        <v>92500</v>
      </c>
      <c r="L100" s="87">
        <f>F100*K100</f>
        <v>1156.25</v>
      </c>
    </row>
    <row r="101" spans="1:12" ht="12" customHeight="1" x14ac:dyDescent="0.35">
      <c r="B101" s="84"/>
      <c r="C101" s="85"/>
      <c r="D101" s="84"/>
      <c r="E101" s="84"/>
      <c r="F101" s="86"/>
      <c r="G101" s="87"/>
      <c r="H101" s="87"/>
      <c r="I101" s="87"/>
      <c r="J101" s="87"/>
      <c r="K101" s="87"/>
      <c r="L101" s="87"/>
    </row>
    <row r="102" spans="1:12" ht="12" customHeight="1" x14ac:dyDescent="0.35">
      <c r="B102" s="84"/>
      <c r="C102" s="88"/>
      <c r="D102" s="79"/>
      <c r="E102" s="79"/>
      <c r="F102" s="89" t="s">
        <v>421</v>
      </c>
      <c r="G102" s="101"/>
      <c r="H102" s="87" t="e">
        <f>SUM(H98:H101)</f>
        <v>#REF!</v>
      </c>
      <c r="I102" s="101"/>
      <c r="J102" s="87">
        <f>SUM(J98:J101)</f>
        <v>1254.5</v>
      </c>
      <c r="K102" s="101"/>
      <c r="L102" s="87">
        <f>SUM(L98:L101)</f>
        <v>1254.5</v>
      </c>
    </row>
    <row r="103" spans="1:12" ht="12" customHeight="1" x14ac:dyDescent="0.35">
      <c r="B103" s="84" t="s">
        <v>6</v>
      </c>
      <c r="C103" s="88" t="s">
        <v>422</v>
      </c>
      <c r="D103" s="79"/>
      <c r="E103" s="79"/>
      <c r="F103" s="90"/>
      <c r="G103" s="84"/>
      <c r="H103" s="87"/>
      <c r="I103" s="84"/>
      <c r="J103" s="87"/>
      <c r="K103" s="84"/>
      <c r="L103" s="87"/>
    </row>
    <row r="104" spans="1:12" ht="12" customHeight="1" x14ac:dyDescent="0.35">
      <c r="B104" s="84"/>
      <c r="C104" s="88"/>
      <c r="D104" s="79"/>
      <c r="E104" s="84"/>
      <c r="F104" s="102"/>
      <c r="G104" s="87"/>
      <c r="H104" s="87">
        <f>F104*G104</f>
        <v>0</v>
      </c>
      <c r="I104" s="87">
        <v>232500</v>
      </c>
      <c r="J104" s="87">
        <f>F104*I104</f>
        <v>0</v>
      </c>
      <c r="K104" s="87">
        <v>270000</v>
      </c>
      <c r="L104" s="87">
        <f>F104*K104</f>
        <v>0</v>
      </c>
    </row>
    <row r="105" spans="1:12" ht="12" customHeight="1" x14ac:dyDescent="0.35">
      <c r="B105" s="84"/>
      <c r="C105" s="88"/>
      <c r="D105" s="79"/>
      <c r="E105" s="84"/>
      <c r="F105" s="102"/>
      <c r="G105" s="87"/>
      <c r="H105" s="87">
        <f>F105*G105</f>
        <v>0</v>
      </c>
      <c r="I105" s="87">
        <v>1060</v>
      </c>
      <c r="J105" s="87">
        <f>F105*I105</f>
        <v>0</v>
      </c>
      <c r="K105" s="87">
        <v>1060</v>
      </c>
      <c r="L105" s="87">
        <f>F105*K105</f>
        <v>0</v>
      </c>
    </row>
    <row r="106" spans="1:12" ht="12" customHeight="1" x14ac:dyDescent="0.35">
      <c r="B106" s="84"/>
      <c r="C106" s="88"/>
      <c r="D106" s="79"/>
      <c r="E106" s="84"/>
      <c r="F106" s="102"/>
      <c r="G106" s="87"/>
      <c r="H106" s="87">
        <f>F106*G106</f>
        <v>0</v>
      </c>
      <c r="I106" s="87">
        <v>215000</v>
      </c>
      <c r="J106" s="87">
        <f>F106*I106</f>
        <v>0</v>
      </c>
      <c r="K106" s="87">
        <v>250000</v>
      </c>
      <c r="L106" s="87">
        <f>F106*K106</f>
        <v>0</v>
      </c>
    </row>
    <row r="107" spans="1:12" ht="12" customHeight="1" x14ac:dyDescent="0.35">
      <c r="B107" s="84"/>
      <c r="C107" s="88"/>
      <c r="D107" s="79"/>
      <c r="E107" s="79"/>
      <c r="F107" s="89" t="s">
        <v>423</v>
      </c>
      <c r="G107" s="101"/>
      <c r="H107" s="87">
        <f>SUM(H104:H106)</f>
        <v>0</v>
      </c>
      <c r="I107" s="101"/>
      <c r="J107" s="87">
        <f>SUM(J104:J106)</f>
        <v>0</v>
      </c>
      <c r="K107" s="101"/>
      <c r="L107" s="87">
        <f>SUM(L104:L106)</f>
        <v>0</v>
      </c>
    </row>
    <row r="108" spans="1:12" ht="12" customHeight="1" x14ac:dyDescent="0.35">
      <c r="B108" s="84" t="s">
        <v>7</v>
      </c>
      <c r="C108" s="88" t="s">
        <v>424</v>
      </c>
      <c r="D108" s="79"/>
      <c r="E108" s="79"/>
      <c r="F108" s="90"/>
      <c r="G108" s="84"/>
      <c r="H108" s="87"/>
      <c r="I108" s="84"/>
      <c r="J108" s="87"/>
      <c r="K108" s="84"/>
      <c r="L108" s="87"/>
    </row>
    <row r="109" spans="1:12" ht="12" customHeight="1" x14ac:dyDescent="0.35">
      <c r="B109" s="84"/>
      <c r="C109" s="88"/>
      <c r="D109" s="79"/>
      <c r="E109" s="79"/>
      <c r="F109" s="90"/>
      <c r="G109" s="87"/>
      <c r="H109" s="87">
        <f>F109*G109</f>
        <v>0</v>
      </c>
      <c r="I109" s="87"/>
      <c r="J109" s="87">
        <f>H109*I109</f>
        <v>0</v>
      </c>
      <c r="K109" s="87"/>
      <c r="L109" s="87">
        <f>J109*K109</f>
        <v>0</v>
      </c>
    </row>
    <row r="110" spans="1:12" ht="12" customHeight="1" x14ac:dyDescent="0.35">
      <c r="B110" s="84"/>
      <c r="C110" s="88"/>
      <c r="D110" s="79"/>
      <c r="E110" s="79"/>
      <c r="F110" s="89" t="s">
        <v>425</v>
      </c>
      <c r="G110" s="101"/>
      <c r="H110" s="87">
        <f>SUM(H109)</f>
        <v>0</v>
      </c>
      <c r="I110" s="101"/>
      <c r="J110" s="87">
        <f>SUM(J109)</f>
        <v>0</v>
      </c>
      <c r="K110" s="101"/>
      <c r="L110" s="87">
        <f>SUM(L109)</f>
        <v>0</v>
      </c>
    </row>
    <row r="111" spans="1:12" ht="12" customHeight="1" x14ac:dyDescent="0.35">
      <c r="B111" s="84" t="s">
        <v>8</v>
      </c>
      <c r="C111" s="103" t="s">
        <v>426</v>
      </c>
      <c r="D111" s="104"/>
      <c r="E111" s="104"/>
      <c r="F111" s="104"/>
      <c r="G111" s="105"/>
      <c r="H111" s="87" t="e">
        <f>H102+H107+H110</f>
        <v>#REF!</v>
      </c>
      <c r="I111" s="105"/>
      <c r="J111" s="87">
        <f>J102+J107+J110</f>
        <v>1254.5</v>
      </c>
      <c r="K111" s="105"/>
      <c r="L111" s="87">
        <f>L102+L107+L110</f>
        <v>1254.5</v>
      </c>
    </row>
    <row r="112" spans="1:12" ht="12" customHeight="1" x14ac:dyDescent="0.35">
      <c r="B112" s="84" t="s">
        <v>9</v>
      </c>
      <c r="C112" s="455" t="s">
        <v>427</v>
      </c>
      <c r="D112" s="455"/>
      <c r="E112" s="455"/>
      <c r="F112" s="95" t="str">
        <f>OP</f>
        <v>TANJUNG PALAS TENGAH</v>
      </c>
      <c r="G112" s="85" t="s">
        <v>428</v>
      </c>
      <c r="H112" s="87" t="e">
        <f>H111*F112</f>
        <v>#REF!</v>
      </c>
      <c r="I112" s="85" t="s">
        <v>428</v>
      </c>
      <c r="J112" s="87" t="e">
        <f>J111*F112</f>
        <v>#VALUE!</v>
      </c>
      <c r="K112" s="85" t="s">
        <v>428</v>
      </c>
      <c r="L112" s="87" t="e">
        <f>L111*F112</f>
        <v>#VALUE!</v>
      </c>
    </row>
    <row r="113" spans="1:12" ht="12" customHeight="1" x14ac:dyDescent="0.35">
      <c r="B113" s="84" t="s">
        <v>10</v>
      </c>
      <c r="C113" s="103" t="s">
        <v>429</v>
      </c>
      <c r="D113" s="104"/>
      <c r="E113" s="104"/>
      <c r="F113" s="104"/>
      <c r="G113" s="105"/>
      <c r="H113" s="96" t="e">
        <f>H111+H112</f>
        <v>#REF!</v>
      </c>
      <c r="I113" s="97"/>
      <c r="J113" s="96" t="e">
        <f>J111+J112</f>
        <v>#VALUE!</v>
      </c>
      <c r="K113" s="97"/>
      <c r="L113" s="96" t="e">
        <f>L111+L112</f>
        <v>#VALUE!</v>
      </c>
    </row>
    <row r="114" spans="1:12" ht="12" customHeight="1" x14ac:dyDescent="0.35">
      <c r="B114" s="98"/>
      <c r="H114" s="125"/>
      <c r="I114" s="126"/>
      <c r="J114" s="125"/>
      <c r="K114" s="126"/>
      <c r="L114" s="125"/>
    </row>
    <row r="115" spans="1:12" ht="29" customHeight="1" x14ac:dyDescent="0.35">
      <c r="B115" s="76" t="s">
        <v>470</v>
      </c>
      <c r="C115" s="458" t="s">
        <v>471</v>
      </c>
      <c r="D115" s="459"/>
      <c r="E115" s="459"/>
      <c r="F115" s="459"/>
      <c r="G115" s="456"/>
      <c r="H115" s="457"/>
      <c r="I115" s="455" t="s">
        <v>3</v>
      </c>
      <c r="J115" s="455"/>
      <c r="K115" s="455" t="s">
        <v>4</v>
      </c>
      <c r="L115" s="455"/>
    </row>
    <row r="116" spans="1:12" ht="12" customHeight="1" x14ac:dyDescent="0.35">
      <c r="B116" s="451" t="s">
        <v>409</v>
      </c>
      <c r="C116" s="451" t="s">
        <v>410</v>
      </c>
      <c r="D116" s="452" t="s">
        <v>411</v>
      </c>
      <c r="E116" s="451" t="s">
        <v>412</v>
      </c>
      <c r="F116" s="451" t="s">
        <v>413</v>
      </c>
      <c r="G116" s="77" t="s">
        <v>414</v>
      </c>
      <c r="H116" s="77" t="s">
        <v>415</v>
      </c>
      <c r="I116" s="78" t="s">
        <v>414</v>
      </c>
      <c r="J116" s="79" t="s">
        <v>415</v>
      </c>
      <c r="K116" s="79" t="s">
        <v>414</v>
      </c>
      <c r="L116" s="79" t="s">
        <v>415</v>
      </c>
    </row>
    <row r="117" spans="1:12" ht="12" customHeight="1" x14ac:dyDescent="0.35">
      <c r="B117" s="451"/>
      <c r="C117" s="451"/>
      <c r="D117" s="453"/>
      <c r="E117" s="451"/>
      <c r="F117" s="451"/>
      <c r="G117" s="77" t="s">
        <v>17</v>
      </c>
      <c r="H117" s="77" t="s">
        <v>416</v>
      </c>
      <c r="I117" s="78" t="s">
        <v>17</v>
      </c>
      <c r="J117" s="79" t="s">
        <v>416</v>
      </c>
      <c r="K117" s="79" t="s">
        <v>17</v>
      </c>
      <c r="L117" s="79" t="s">
        <v>416</v>
      </c>
    </row>
    <row r="118" spans="1:12" ht="12" customHeight="1" x14ac:dyDescent="0.35">
      <c r="B118" s="451"/>
      <c r="C118" s="451"/>
      <c r="D118" s="454"/>
      <c r="E118" s="451"/>
      <c r="F118" s="451"/>
      <c r="G118" s="106"/>
      <c r="H118" s="77" t="s">
        <v>17</v>
      </c>
      <c r="I118" s="94"/>
      <c r="J118" s="79" t="s">
        <v>17</v>
      </c>
      <c r="K118" s="85"/>
      <c r="L118" s="79" t="s">
        <v>17</v>
      </c>
    </row>
    <row r="119" spans="1:12" ht="12" customHeight="1" x14ac:dyDescent="0.35">
      <c r="B119" s="80" t="s">
        <v>5</v>
      </c>
      <c r="C119" s="81" t="s">
        <v>417</v>
      </c>
      <c r="D119" s="82"/>
      <c r="E119" s="82"/>
      <c r="F119" s="82"/>
      <c r="G119" s="82"/>
      <c r="H119" s="82"/>
      <c r="I119" s="83"/>
      <c r="J119" s="83"/>
      <c r="K119" s="83"/>
      <c r="L119" s="83"/>
    </row>
    <row r="120" spans="1:12" ht="12" customHeight="1" x14ac:dyDescent="0.35">
      <c r="A120" s="134">
        <v>10110000</v>
      </c>
      <c r="B120" s="84"/>
      <c r="C120" s="85" t="str">
        <f>VLOOKUP(A120,'DAFTAR HARGA'!A:D,3,FALSE)</f>
        <v>OH</v>
      </c>
      <c r="D120" s="84" t="s">
        <v>418</v>
      </c>
      <c r="E120" s="84">
        <f>VLOOKUP(A120,'DAFTAR HARGA'!A:D,4,FALSE)</f>
        <v>150000</v>
      </c>
      <c r="F120" s="86">
        <v>5.3100000000000001E-2</v>
      </c>
      <c r="G120" s="87" t="e">
        <f>VLOOKUP(A120,'DAFTAR HARGA'!A:D,5,FALSE)</f>
        <v>#REF!</v>
      </c>
      <c r="H120" s="87" t="e">
        <f>F120*G120</f>
        <v>#REF!</v>
      </c>
      <c r="I120" s="87">
        <v>78600</v>
      </c>
      <c r="J120" s="87">
        <f>F120*I120</f>
        <v>4173.66</v>
      </c>
      <c r="K120" s="87">
        <v>78600</v>
      </c>
      <c r="L120" s="87">
        <f>F120*K120</f>
        <v>4173.66</v>
      </c>
    </row>
    <row r="121" spans="1:12" ht="12" customHeight="1" x14ac:dyDescent="0.35">
      <c r="A121" s="134">
        <v>10120000</v>
      </c>
      <c r="B121" s="84"/>
      <c r="C121" s="85" t="str">
        <f>VLOOKUP(A121,'DAFTAR HARGA'!A:D,3,FALSE)</f>
        <v>OH</v>
      </c>
      <c r="D121" s="84" t="s">
        <v>419</v>
      </c>
      <c r="E121" s="84">
        <f>VLOOKUP(A121,'DAFTAR HARGA'!A:D,4,FALSE)</f>
        <v>130000</v>
      </c>
      <c r="F121" s="86"/>
      <c r="G121" s="87" t="e">
        <f>VLOOKUP(A121,'DAFTAR HARGA'!A:D,5,FALSE)</f>
        <v>#REF!</v>
      </c>
      <c r="H121" s="87" t="e">
        <f>F121*G121</f>
        <v>#REF!</v>
      </c>
      <c r="I121" s="87">
        <v>91500</v>
      </c>
      <c r="J121" s="87">
        <f>F121*I121</f>
        <v>0</v>
      </c>
      <c r="K121" s="87">
        <v>91500</v>
      </c>
      <c r="L121" s="87">
        <f>F121*K121</f>
        <v>0</v>
      </c>
    </row>
    <row r="122" spans="1:12" ht="12" customHeight="1" x14ac:dyDescent="0.35">
      <c r="A122" s="134">
        <v>10130000</v>
      </c>
      <c r="B122" s="84"/>
      <c r="C122" s="85" t="str">
        <f>VLOOKUP(A122,'DAFTAR HARGA'!A:D,3,FALSE)</f>
        <v>OH</v>
      </c>
      <c r="D122" s="84" t="s">
        <v>420</v>
      </c>
      <c r="E122" s="84">
        <f>VLOOKUP(A122,'DAFTAR HARGA'!A:D,4,FALSE)</f>
        <v>115000</v>
      </c>
      <c r="F122" s="86">
        <v>0.53100000000000003</v>
      </c>
      <c r="G122" s="87" t="e">
        <f>VLOOKUP(A122,'DAFTAR HARGA'!A:D,5,FALSE)</f>
        <v>#REF!</v>
      </c>
      <c r="H122" s="87" t="e">
        <f>F122*G122</f>
        <v>#REF!</v>
      </c>
      <c r="I122" s="87">
        <v>92500</v>
      </c>
      <c r="J122" s="87">
        <f>F122*I122</f>
        <v>49117.5</v>
      </c>
      <c r="K122" s="87">
        <v>92500</v>
      </c>
      <c r="L122" s="87">
        <f>F122*K122</f>
        <v>49117.5</v>
      </c>
    </row>
    <row r="123" spans="1:12" ht="12" customHeight="1" x14ac:dyDescent="0.35">
      <c r="B123" s="84"/>
      <c r="C123" s="85"/>
      <c r="D123" s="84"/>
      <c r="E123" s="84"/>
      <c r="F123" s="86"/>
      <c r="G123" s="87"/>
      <c r="H123" s="87"/>
      <c r="I123" s="87"/>
      <c r="J123" s="87"/>
      <c r="K123" s="87"/>
      <c r="L123" s="87"/>
    </row>
    <row r="124" spans="1:12" ht="12" customHeight="1" x14ac:dyDescent="0.35">
      <c r="B124" s="84"/>
      <c r="C124" s="88"/>
      <c r="D124" s="79"/>
      <c r="E124" s="79"/>
      <c r="F124" s="89" t="s">
        <v>421</v>
      </c>
      <c r="G124" s="101"/>
      <c r="H124" s="87" t="e">
        <f>SUM(H120:H123)</f>
        <v>#REF!</v>
      </c>
      <c r="I124" s="101"/>
      <c r="J124" s="87">
        <f>SUM(J120:J123)</f>
        <v>53291.16</v>
      </c>
      <c r="K124" s="101"/>
      <c r="L124" s="87">
        <f>SUM(L120:L123)</f>
        <v>53291.16</v>
      </c>
    </row>
    <row r="125" spans="1:12" ht="12" customHeight="1" x14ac:dyDescent="0.35">
      <c r="B125" s="84" t="s">
        <v>6</v>
      </c>
      <c r="C125" s="88" t="s">
        <v>422</v>
      </c>
      <c r="D125" s="79"/>
      <c r="E125" s="79"/>
      <c r="F125" s="90"/>
      <c r="G125" s="84"/>
      <c r="H125" s="87"/>
      <c r="I125" s="84"/>
      <c r="J125" s="87"/>
      <c r="K125" s="84"/>
      <c r="L125" s="87"/>
    </row>
    <row r="126" spans="1:12" ht="12" customHeight="1" x14ac:dyDescent="0.35">
      <c r="B126" s="84"/>
      <c r="C126" s="88"/>
      <c r="D126" s="79"/>
      <c r="E126" s="84"/>
      <c r="F126" s="102"/>
      <c r="G126" s="87"/>
      <c r="H126" s="87">
        <f>F126*G126</f>
        <v>0</v>
      </c>
      <c r="I126" s="87">
        <v>232500</v>
      </c>
      <c r="J126" s="87">
        <f>F126*I126</f>
        <v>0</v>
      </c>
      <c r="K126" s="87">
        <v>270000</v>
      </c>
      <c r="L126" s="87">
        <f>F126*K126</f>
        <v>0</v>
      </c>
    </row>
    <row r="127" spans="1:12" ht="12" customHeight="1" x14ac:dyDescent="0.35">
      <c r="B127" s="84"/>
      <c r="C127" s="88"/>
      <c r="D127" s="79"/>
      <c r="E127" s="84"/>
      <c r="F127" s="102"/>
      <c r="G127" s="87"/>
      <c r="H127" s="87">
        <f>F127*G127</f>
        <v>0</v>
      </c>
      <c r="I127" s="87">
        <v>1060</v>
      </c>
      <c r="J127" s="87">
        <f>F127*I127</f>
        <v>0</v>
      </c>
      <c r="K127" s="87">
        <v>1060</v>
      </c>
      <c r="L127" s="87">
        <f>F127*K127</f>
        <v>0</v>
      </c>
    </row>
    <row r="128" spans="1:12" ht="12" customHeight="1" x14ac:dyDescent="0.35">
      <c r="B128" s="84"/>
      <c r="C128" s="88"/>
      <c r="D128" s="79"/>
      <c r="E128" s="84"/>
      <c r="F128" s="102"/>
      <c r="G128" s="87"/>
      <c r="H128" s="87">
        <f>F128*G128</f>
        <v>0</v>
      </c>
      <c r="I128" s="87">
        <v>215000</v>
      </c>
      <c r="J128" s="87">
        <f>F128*I128</f>
        <v>0</v>
      </c>
      <c r="K128" s="87">
        <v>250000</v>
      </c>
      <c r="L128" s="87">
        <f>F128*K128</f>
        <v>0</v>
      </c>
    </row>
    <row r="129" spans="1:12" ht="12" customHeight="1" x14ac:dyDescent="0.35">
      <c r="B129" s="84"/>
      <c r="C129" s="88"/>
      <c r="D129" s="79"/>
      <c r="E129" s="79"/>
      <c r="F129" s="89" t="s">
        <v>423</v>
      </c>
      <c r="G129" s="101"/>
      <c r="H129" s="87">
        <f>SUM(H126:H128)</f>
        <v>0</v>
      </c>
      <c r="I129" s="101"/>
      <c r="J129" s="87">
        <f>SUM(J126:J128)</f>
        <v>0</v>
      </c>
      <c r="K129" s="101"/>
      <c r="L129" s="87">
        <f>SUM(L126:L128)</f>
        <v>0</v>
      </c>
    </row>
    <row r="130" spans="1:12" ht="12" customHeight="1" x14ac:dyDescent="0.35">
      <c r="B130" s="84" t="s">
        <v>7</v>
      </c>
      <c r="C130" s="88" t="s">
        <v>424</v>
      </c>
      <c r="D130" s="79"/>
      <c r="E130" s="79"/>
      <c r="F130" s="90"/>
      <c r="G130" s="84"/>
      <c r="H130" s="87"/>
      <c r="I130" s="84"/>
      <c r="J130" s="87"/>
      <c r="K130" s="84"/>
      <c r="L130" s="87"/>
    </row>
    <row r="131" spans="1:12" ht="12" customHeight="1" x14ac:dyDescent="0.35">
      <c r="A131" s="134">
        <v>31210000</v>
      </c>
      <c r="B131" s="84"/>
      <c r="C131" s="85" t="str">
        <f>VLOOKUP(A131,'DAFTAR HARGA'!A:D,3,FALSE)</f>
        <v>hari</v>
      </c>
      <c r="D131" s="84" t="s">
        <v>418</v>
      </c>
      <c r="E131" s="84">
        <f>VLOOKUP(A131,'DAFTAR HARGA'!A:D,4,FALSE)</f>
        <v>250000</v>
      </c>
      <c r="F131" s="86">
        <v>0.1062</v>
      </c>
      <c r="G131" s="87" t="e">
        <f>VLOOKUP(A131,'DAFTAR HARGA'!A:D,5,FALSE)</f>
        <v>#REF!</v>
      </c>
      <c r="H131" s="87" t="e">
        <f>F131*G131</f>
        <v>#REF!</v>
      </c>
      <c r="I131" s="87"/>
      <c r="J131" s="87" t="e">
        <f>H131*I131</f>
        <v>#REF!</v>
      </c>
      <c r="K131" s="87"/>
      <c r="L131" s="87" t="e">
        <f>J131*K131</f>
        <v>#REF!</v>
      </c>
    </row>
    <row r="132" spans="1:12" ht="12" customHeight="1" x14ac:dyDescent="0.35">
      <c r="B132" s="84"/>
      <c r="C132" s="88"/>
      <c r="D132" s="79"/>
      <c r="E132" s="79"/>
      <c r="F132" s="90"/>
      <c r="G132" s="87"/>
      <c r="H132" s="87"/>
      <c r="I132" s="87"/>
      <c r="J132" s="87"/>
      <c r="K132" s="87"/>
      <c r="L132" s="87"/>
    </row>
    <row r="133" spans="1:12" ht="12" customHeight="1" x14ac:dyDescent="0.35">
      <c r="B133" s="84"/>
      <c r="C133" s="88"/>
      <c r="D133" s="79"/>
      <c r="E133" s="79"/>
      <c r="F133" s="90"/>
      <c r="G133" s="87"/>
      <c r="H133" s="87">
        <f>F133*G133</f>
        <v>0</v>
      </c>
      <c r="I133" s="87"/>
      <c r="J133" s="87"/>
      <c r="K133" s="87"/>
      <c r="L133" s="87"/>
    </row>
    <row r="134" spans="1:12" ht="12" customHeight="1" x14ac:dyDescent="0.35">
      <c r="B134" s="84"/>
      <c r="C134" s="88"/>
      <c r="D134" s="79"/>
      <c r="E134" s="79"/>
      <c r="F134" s="89" t="s">
        <v>425</v>
      </c>
      <c r="G134" s="101"/>
      <c r="H134" s="87" t="e">
        <f>SUM(H131:H133)</f>
        <v>#REF!</v>
      </c>
      <c r="I134" s="101"/>
      <c r="J134" s="87" t="e">
        <f>SUM(J131)</f>
        <v>#REF!</v>
      </c>
      <c r="K134" s="101"/>
      <c r="L134" s="87" t="e">
        <f>SUM(L131)</f>
        <v>#REF!</v>
      </c>
    </row>
    <row r="135" spans="1:12" ht="12" customHeight="1" x14ac:dyDescent="0.35">
      <c r="B135" s="84" t="s">
        <v>8</v>
      </c>
      <c r="C135" s="103" t="s">
        <v>426</v>
      </c>
      <c r="D135" s="104"/>
      <c r="E135" s="104"/>
      <c r="F135" s="104"/>
      <c r="G135" s="105"/>
      <c r="H135" s="87" t="e">
        <f>H124+H129+H134</f>
        <v>#REF!</v>
      </c>
      <c r="I135" s="105"/>
      <c r="J135" s="87" t="e">
        <f>J124+J129+J134</f>
        <v>#REF!</v>
      </c>
      <c r="K135" s="105"/>
      <c r="L135" s="87" t="e">
        <f>L124+L129+L134</f>
        <v>#REF!</v>
      </c>
    </row>
    <row r="136" spans="1:12" ht="12" customHeight="1" x14ac:dyDescent="0.35">
      <c r="B136" s="84" t="s">
        <v>9</v>
      </c>
      <c r="C136" s="455" t="s">
        <v>427</v>
      </c>
      <c r="D136" s="455"/>
      <c r="E136" s="455"/>
      <c r="F136" s="95" t="str">
        <f>OP</f>
        <v>TANJUNG PALAS TENGAH</v>
      </c>
      <c r="G136" s="85" t="s">
        <v>428</v>
      </c>
      <c r="H136" s="87" t="e">
        <f>H135*F136</f>
        <v>#REF!</v>
      </c>
      <c r="I136" s="85" t="s">
        <v>428</v>
      </c>
      <c r="J136" s="87" t="e">
        <f>J135*F136</f>
        <v>#REF!</v>
      </c>
      <c r="K136" s="85" t="s">
        <v>428</v>
      </c>
      <c r="L136" s="87" t="e">
        <f>L135*F136</f>
        <v>#REF!</v>
      </c>
    </row>
    <row r="137" spans="1:12" ht="12" customHeight="1" x14ac:dyDescent="0.35">
      <c r="B137" s="84" t="s">
        <v>10</v>
      </c>
      <c r="C137" s="103" t="s">
        <v>429</v>
      </c>
      <c r="D137" s="104"/>
      <c r="E137" s="104"/>
      <c r="F137" s="104"/>
      <c r="G137" s="105"/>
      <c r="H137" s="96" t="e">
        <f>H135+H136</f>
        <v>#REF!</v>
      </c>
      <c r="I137" s="97"/>
      <c r="J137" s="96" t="e">
        <f>J135+J136</f>
        <v>#REF!</v>
      </c>
      <c r="K137" s="97"/>
      <c r="L137" s="96" t="e">
        <f>L135+L136</f>
        <v>#REF!</v>
      </c>
    </row>
    <row r="139" spans="1:12" ht="29" customHeight="1" x14ac:dyDescent="0.35">
      <c r="B139" s="76" t="s">
        <v>474</v>
      </c>
      <c r="C139" s="458" t="s">
        <v>475</v>
      </c>
      <c r="D139" s="459"/>
      <c r="E139" s="459"/>
      <c r="F139" s="459"/>
      <c r="G139" s="456"/>
      <c r="H139" s="457"/>
      <c r="I139" s="455" t="s">
        <v>3</v>
      </c>
      <c r="J139" s="455"/>
      <c r="K139" s="455" t="s">
        <v>4</v>
      </c>
      <c r="L139" s="455"/>
    </row>
    <row r="140" spans="1:12" ht="12" customHeight="1" x14ac:dyDescent="0.35">
      <c r="B140" s="451" t="s">
        <v>409</v>
      </c>
      <c r="C140" s="451" t="s">
        <v>410</v>
      </c>
      <c r="D140" s="452" t="s">
        <v>411</v>
      </c>
      <c r="E140" s="451" t="s">
        <v>412</v>
      </c>
      <c r="F140" s="451" t="s">
        <v>413</v>
      </c>
      <c r="G140" s="77" t="s">
        <v>414</v>
      </c>
      <c r="H140" s="77" t="s">
        <v>415</v>
      </c>
      <c r="I140" s="78" t="s">
        <v>414</v>
      </c>
      <c r="J140" s="79" t="s">
        <v>415</v>
      </c>
      <c r="K140" s="79" t="s">
        <v>414</v>
      </c>
      <c r="L140" s="79" t="s">
        <v>415</v>
      </c>
    </row>
    <row r="141" spans="1:12" ht="12" customHeight="1" x14ac:dyDescent="0.35">
      <c r="B141" s="451"/>
      <c r="C141" s="451"/>
      <c r="D141" s="453"/>
      <c r="E141" s="451"/>
      <c r="F141" s="451"/>
      <c r="G141" s="77" t="s">
        <v>17</v>
      </c>
      <c r="H141" s="77" t="s">
        <v>416</v>
      </c>
      <c r="I141" s="78" t="s">
        <v>17</v>
      </c>
      <c r="J141" s="79" t="s">
        <v>416</v>
      </c>
      <c r="K141" s="79" t="s">
        <v>17</v>
      </c>
      <c r="L141" s="79" t="s">
        <v>416</v>
      </c>
    </row>
    <row r="142" spans="1:12" ht="12" customHeight="1" x14ac:dyDescent="0.35">
      <c r="B142" s="451"/>
      <c r="C142" s="451"/>
      <c r="D142" s="454"/>
      <c r="E142" s="451"/>
      <c r="F142" s="451"/>
      <c r="G142" s="106"/>
      <c r="H142" s="77" t="s">
        <v>17</v>
      </c>
      <c r="I142" s="94"/>
      <c r="J142" s="79" t="s">
        <v>17</v>
      </c>
      <c r="K142" s="85"/>
      <c r="L142" s="79" t="s">
        <v>17</v>
      </c>
    </row>
    <row r="143" spans="1:12" ht="12" customHeight="1" x14ac:dyDescent="0.35">
      <c r="B143" s="80" t="s">
        <v>5</v>
      </c>
      <c r="C143" s="81" t="s">
        <v>417</v>
      </c>
      <c r="D143" s="82"/>
      <c r="E143" s="82"/>
      <c r="F143" s="82"/>
      <c r="G143" s="82"/>
      <c r="H143" s="82"/>
      <c r="I143" s="83"/>
      <c r="J143" s="83"/>
      <c r="K143" s="83"/>
      <c r="L143" s="83"/>
    </row>
    <row r="144" spans="1:12" ht="12" customHeight="1" x14ac:dyDescent="0.35">
      <c r="A144" s="134">
        <v>10110000</v>
      </c>
      <c r="B144" s="84"/>
      <c r="C144" s="85" t="str">
        <f>VLOOKUP(A144,'DAFTAR HARGA'!A:D,3,FALSE)</f>
        <v>OH</v>
      </c>
      <c r="D144" s="84" t="s">
        <v>418</v>
      </c>
      <c r="E144" s="84">
        <f>VLOOKUP(A144,'DAFTAR HARGA'!A:D,4,FALSE)</f>
        <v>150000</v>
      </c>
      <c r="F144" s="86">
        <v>6.6500000000000004E-2</v>
      </c>
      <c r="G144" s="87" t="e">
        <f>VLOOKUP(A144,'DAFTAR HARGA'!A:D,5,FALSE)</f>
        <v>#REF!</v>
      </c>
      <c r="H144" s="87" t="e">
        <f>F144*G144</f>
        <v>#REF!</v>
      </c>
      <c r="I144" s="87">
        <v>78600</v>
      </c>
      <c r="J144" s="87">
        <f>F144*I144</f>
        <v>5226.9000000000005</v>
      </c>
      <c r="K144" s="87">
        <v>78600</v>
      </c>
      <c r="L144" s="87">
        <f>F144*K144</f>
        <v>5226.9000000000005</v>
      </c>
    </row>
    <row r="145" spans="1:12" ht="12" customHeight="1" x14ac:dyDescent="0.35">
      <c r="A145" s="134">
        <v>10120000</v>
      </c>
      <c r="B145" s="84"/>
      <c r="C145" s="85" t="str">
        <f>VLOOKUP(A145,'DAFTAR HARGA'!A:D,3,FALSE)</f>
        <v>OH</v>
      </c>
      <c r="D145" s="84" t="s">
        <v>419</v>
      </c>
      <c r="E145" s="84">
        <f>VLOOKUP(A145,'DAFTAR HARGA'!A:D,4,FALSE)</f>
        <v>130000</v>
      </c>
      <c r="F145" s="86"/>
      <c r="G145" s="87" t="e">
        <f>VLOOKUP(A145,'DAFTAR HARGA'!A:D,5,FALSE)</f>
        <v>#REF!</v>
      </c>
      <c r="H145" s="87" t="e">
        <f>F145*G145</f>
        <v>#REF!</v>
      </c>
      <c r="I145" s="87">
        <v>91500</v>
      </c>
      <c r="J145" s="87">
        <f>F145*I145</f>
        <v>0</v>
      </c>
      <c r="K145" s="87">
        <v>91500</v>
      </c>
      <c r="L145" s="87">
        <f>F145*K145</f>
        <v>0</v>
      </c>
    </row>
    <row r="146" spans="1:12" ht="12" customHeight="1" x14ac:dyDescent="0.35">
      <c r="A146" s="134">
        <v>10130000</v>
      </c>
      <c r="B146" s="84"/>
      <c r="C146" s="85" t="str">
        <f>VLOOKUP(A146,'DAFTAR HARGA'!A:D,3,FALSE)</f>
        <v>OH</v>
      </c>
      <c r="D146" s="84" t="s">
        <v>420</v>
      </c>
      <c r="E146" s="84">
        <f>VLOOKUP(A146,'DAFTAR HARGA'!A:D,4,FALSE)</f>
        <v>115000</v>
      </c>
      <c r="F146" s="86">
        <v>0.66539999999999999</v>
      </c>
      <c r="G146" s="87" t="e">
        <f>VLOOKUP(A146,'DAFTAR HARGA'!A:D,5,FALSE)</f>
        <v>#REF!</v>
      </c>
      <c r="H146" s="87" t="e">
        <f>F146*G146</f>
        <v>#REF!</v>
      </c>
      <c r="I146" s="87">
        <v>92500</v>
      </c>
      <c r="J146" s="87">
        <f>F146*I146</f>
        <v>61549.5</v>
      </c>
      <c r="K146" s="87">
        <v>92500</v>
      </c>
      <c r="L146" s="87">
        <f>F146*K146</f>
        <v>61549.5</v>
      </c>
    </row>
    <row r="147" spans="1:12" ht="12" customHeight="1" x14ac:dyDescent="0.35">
      <c r="B147" s="84"/>
      <c r="C147" s="85"/>
      <c r="D147" s="84"/>
      <c r="E147" s="84"/>
      <c r="F147" s="86"/>
      <c r="G147" s="87"/>
      <c r="H147" s="87"/>
      <c r="I147" s="87"/>
      <c r="J147" s="87"/>
      <c r="K147" s="87"/>
      <c r="L147" s="87"/>
    </row>
    <row r="148" spans="1:12" ht="12" customHeight="1" x14ac:dyDescent="0.35">
      <c r="B148" s="84"/>
      <c r="C148" s="88"/>
      <c r="D148" s="79"/>
      <c r="E148" s="79"/>
      <c r="F148" s="89" t="s">
        <v>421</v>
      </c>
      <c r="G148" s="101"/>
      <c r="H148" s="87" t="e">
        <f>SUM(H144:H147)</f>
        <v>#REF!</v>
      </c>
      <c r="I148" s="101"/>
      <c r="J148" s="87">
        <f>SUM(J144:J147)</f>
        <v>66776.399999999994</v>
      </c>
      <c r="K148" s="101"/>
      <c r="L148" s="87">
        <f>SUM(L144:L147)</f>
        <v>66776.399999999994</v>
      </c>
    </row>
    <row r="149" spans="1:12" ht="12" customHeight="1" x14ac:dyDescent="0.35">
      <c r="B149" s="84" t="s">
        <v>6</v>
      </c>
      <c r="C149" s="88" t="s">
        <v>422</v>
      </c>
      <c r="D149" s="79"/>
      <c r="E149" s="79"/>
      <c r="F149" s="90"/>
      <c r="G149" s="84"/>
      <c r="H149" s="87"/>
      <c r="I149" s="84"/>
      <c r="J149" s="87"/>
      <c r="K149" s="84"/>
      <c r="L149" s="87"/>
    </row>
    <row r="150" spans="1:12" ht="12" customHeight="1" x14ac:dyDescent="0.35">
      <c r="B150" s="84"/>
      <c r="C150" s="88"/>
      <c r="D150" s="79"/>
      <c r="E150" s="84"/>
      <c r="F150" s="102"/>
      <c r="G150" s="87"/>
      <c r="H150" s="87">
        <f>F150*G150</f>
        <v>0</v>
      </c>
      <c r="I150" s="87">
        <v>232500</v>
      </c>
      <c r="J150" s="87">
        <f>F150*I150</f>
        <v>0</v>
      </c>
      <c r="K150" s="87">
        <v>270000</v>
      </c>
      <c r="L150" s="87">
        <f>F150*K150</f>
        <v>0</v>
      </c>
    </row>
    <row r="151" spans="1:12" ht="12" customHeight="1" x14ac:dyDescent="0.35">
      <c r="B151" s="84"/>
      <c r="C151" s="88"/>
      <c r="D151" s="79"/>
      <c r="E151" s="84"/>
      <c r="F151" s="102"/>
      <c r="G151" s="87"/>
      <c r="H151" s="87">
        <f>F151*G151</f>
        <v>0</v>
      </c>
      <c r="I151" s="87">
        <v>1060</v>
      </c>
      <c r="J151" s="87">
        <f>F151*I151</f>
        <v>0</v>
      </c>
      <c r="K151" s="87">
        <v>1060</v>
      </c>
      <c r="L151" s="87">
        <f>F151*K151</f>
        <v>0</v>
      </c>
    </row>
    <row r="152" spans="1:12" ht="12" customHeight="1" x14ac:dyDescent="0.35">
      <c r="B152" s="84"/>
      <c r="C152" s="88"/>
      <c r="D152" s="79"/>
      <c r="E152" s="84"/>
      <c r="F152" s="102"/>
      <c r="G152" s="87"/>
      <c r="H152" s="87">
        <f>F152*G152</f>
        <v>0</v>
      </c>
      <c r="I152" s="87">
        <v>215000</v>
      </c>
      <c r="J152" s="87">
        <f>F152*I152</f>
        <v>0</v>
      </c>
      <c r="K152" s="87">
        <v>250000</v>
      </c>
      <c r="L152" s="87">
        <f>F152*K152</f>
        <v>0</v>
      </c>
    </row>
    <row r="153" spans="1:12" ht="12" customHeight="1" x14ac:dyDescent="0.35">
      <c r="B153" s="84"/>
      <c r="C153" s="88"/>
      <c r="D153" s="79"/>
      <c r="E153" s="79"/>
      <c r="F153" s="89" t="s">
        <v>423</v>
      </c>
      <c r="G153" s="101"/>
      <c r="H153" s="87">
        <f>SUM(H150:H152)</f>
        <v>0</v>
      </c>
      <c r="I153" s="101"/>
      <c r="J153" s="87">
        <f>SUM(J150:J152)</f>
        <v>0</v>
      </c>
      <c r="K153" s="101"/>
      <c r="L153" s="87">
        <f>SUM(L150:L152)</f>
        <v>0</v>
      </c>
    </row>
    <row r="154" spans="1:12" ht="12" customHeight="1" x14ac:dyDescent="0.35">
      <c r="B154" s="84" t="s">
        <v>7</v>
      </c>
      <c r="C154" s="88" t="s">
        <v>424</v>
      </c>
      <c r="D154" s="79"/>
      <c r="E154" s="79"/>
      <c r="F154" s="90"/>
      <c r="G154" s="84"/>
      <c r="H154" s="87"/>
      <c r="I154" s="84"/>
      <c r="J154" s="87"/>
      <c r="K154" s="84"/>
      <c r="L154" s="87"/>
    </row>
    <row r="155" spans="1:12" ht="12" customHeight="1" x14ac:dyDescent="0.35">
      <c r="A155" s="134">
        <v>31210000</v>
      </c>
      <c r="B155" s="84"/>
      <c r="C155" s="85" t="str">
        <f>VLOOKUP(A155,'DAFTAR HARGA'!A:D,3,FALSE)</f>
        <v>hari</v>
      </c>
      <c r="D155" s="84" t="s">
        <v>418</v>
      </c>
      <c r="E155" s="84">
        <f>VLOOKUP(A155,'DAFTAR HARGA'!A:D,4,FALSE)</f>
        <v>250000</v>
      </c>
      <c r="F155" s="86">
        <v>0.1109</v>
      </c>
      <c r="G155" s="87" t="e">
        <f>VLOOKUP(A155,'DAFTAR HARGA'!A:D,5,FALSE)</f>
        <v>#REF!</v>
      </c>
      <c r="H155" s="87" t="e">
        <f>F155*G155</f>
        <v>#REF!</v>
      </c>
      <c r="I155" s="87"/>
      <c r="J155" s="87" t="e">
        <f>H155*I155</f>
        <v>#REF!</v>
      </c>
      <c r="K155" s="87"/>
      <c r="L155" s="87" t="e">
        <f>J155*K155</f>
        <v>#REF!</v>
      </c>
    </row>
    <row r="156" spans="1:12" ht="12" customHeight="1" x14ac:dyDescent="0.35">
      <c r="B156" s="84"/>
      <c r="C156" s="88"/>
      <c r="D156" s="79"/>
      <c r="E156" s="79"/>
      <c r="F156" s="90"/>
      <c r="G156" s="87"/>
      <c r="H156" s="87"/>
      <c r="I156" s="87"/>
      <c r="J156" s="87"/>
      <c r="K156" s="87"/>
      <c r="L156" s="87"/>
    </row>
    <row r="157" spans="1:12" ht="12" customHeight="1" x14ac:dyDescent="0.35">
      <c r="B157" s="84"/>
      <c r="C157" s="88"/>
      <c r="D157" s="79"/>
      <c r="E157" s="79"/>
      <c r="F157" s="90"/>
      <c r="G157" s="87"/>
      <c r="H157" s="87">
        <f>F157*G157</f>
        <v>0</v>
      </c>
      <c r="I157" s="87"/>
      <c r="J157" s="87"/>
      <c r="K157" s="87"/>
      <c r="L157" s="87"/>
    </row>
    <row r="158" spans="1:12" ht="12" customHeight="1" x14ac:dyDescent="0.35">
      <c r="B158" s="84"/>
      <c r="C158" s="88"/>
      <c r="D158" s="79"/>
      <c r="E158" s="79"/>
      <c r="F158" s="89" t="s">
        <v>425</v>
      </c>
      <c r="G158" s="101"/>
      <c r="H158" s="87" t="e">
        <f>SUM(H155:H157)</f>
        <v>#REF!</v>
      </c>
      <c r="I158" s="101"/>
      <c r="J158" s="87" t="e">
        <f>SUM(J155)</f>
        <v>#REF!</v>
      </c>
      <c r="K158" s="101"/>
      <c r="L158" s="87" t="e">
        <f>SUM(L155)</f>
        <v>#REF!</v>
      </c>
    </row>
    <row r="159" spans="1:12" ht="12" customHeight="1" x14ac:dyDescent="0.35">
      <c r="B159" s="84" t="s">
        <v>8</v>
      </c>
      <c r="C159" s="103" t="s">
        <v>426</v>
      </c>
      <c r="D159" s="104"/>
      <c r="E159" s="104"/>
      <c r="F159" s="104"/>
      <c r="G159" s="105"/>
      <c r="H159" s="87" t="e">
        <f>H148+H153+H158</f>
        <v>#REF!</v>
      </c>
      <c r="I159" s="105"/>
      <c r="J159" s="87" t="e">
        <f>J148+J153+J158</f>
        <v>#REF!</v>
      </c>
      <c r="K159" s="105"/>
      <c r="L159" s="87" t="e">
        <f>L148+L153+L158</f>
        <v>#REF!</v>
      </c>
    </row>
    <row r="160" spans="1:12" ht="12" customHeight="1" x14ac:dyDescent="0.35">
      <c r="B160" s="84" t="s">
        <v>9</v>
      </c>
      <c r="C160" s="455" t="s">
        <v>427</v>
      </c>
      <c r="D160" s="455"/>
      <c r="E160" s="455"/>
      <c r="F160" s="95" t="str">
        <f>OP</f>
        <v>TANJUNG PALAS TENGAH</v>
      </c>
      <c r="G160" s="85" t="s">
        <v>428</v>
      </c>
      <c r="H160" s="87" t="e">
        <f>H159*F160</f>
        <v>#REF!</v>
      </c>
      <c r="I160" s="85" t="s">
        <v>428</v>
      </c>
      <c r="J160" s="87" t="e">
        <f>J159*F160</f>
        <v>#REF!</v>
      </c>
      <c r="K160" s="85" t="s">
        <v>428</v>
      </c>
      <c r="L160" s="87" t="e">
        <f>L159*F160</f>
        <v>#REF!</v>
      </c>
    </row>
    <row r="161" spans="1:12" ht="12" customHeight="1" x14ac:dyDescent="0.35">
      <c r="B161" s="84" t="s">
        <v>10</v>
      </c>
      <c r="C161" s="103" t="s">
        <v>429</v>
      </c>
      <c r="D161" s="104"/>
      <c r="E161" s="104"/>
      <c r="F161" s="104"/>
      <c r="G161" s="105"/>
      <c r="H161" s="96" t="e">
        <f>H159+H160</f>
        <v>#REF!</v>
      </c>
      <c r="I161" s="97"/>
      <c r="J161" s="96" t="e">
        <f>J159+J160</f>
        <v>#REF!</v>
      </c>
      <c r="K161" s="97"/>
      <c r="L161" s="96" t="e">
        <f>L159+L160</f>
        <v>#REF!</v>
      </c>
    </row>
    <row r="163" spans="1:12" ht="29" customHeight="1" x14ac:dyDescent="0.35">
      <c r="B163" s="76" t="s">
        <v>476</v>
      </c>
      <c r="C163" s="458" t="s">
        <v>477</v>
      </c>
      <c r="D163" s="459"/>
      <c r="E163" s="459"/>
      <c r="F163" s="459"/>
      <c r="G163" s="456"/>
      <c r="H163" s="457"/>
      <c r="I163" s="455" t="s">
        <v>3</v>
      </c>
      <c r="J163" s="455"/>
      <c r="K163" s="455" t="s">
        <v>4</v>
      </c>
      <c r="L163" s="455"/>
    </row>
    <row r="164" spans="1:12" ht="12" customHeight="1" x14ac:dyDescent="0.35">
      <c r="B164" s="451" t="s">
        <v>409</v>
      </c>
      <c r="C164" s="451" t="s">
        <v>410</v>
      </c>
      <c r="D164" s="452" t="s">
        <v>411</v>
      </c>
      <c r="E164" s="451" t="s">
        <v>412</v>
      </c>
      <c r="F164" s="451" t="s">
        <v>413</v>
      </c>
      <c r="G164" s="77" t="s">
        <v>414</v>
      </c>
      <c r="H164" s="77" t="s">
        <v>415</v>
      </c>
      <c r="I164" s="78" t="s">
        <v>414</v>
      </c>
      <c r="J164" s="79" t="s">
        <v>415</v>
      </c>
      <c r="K164" s="79" t="s">
        <v>414</v>
      </c>
      <c r="L164" s="79" t="s">
        <v>415</v>
      </c>
    </row>
    <row r="165" spans="1:12" ht="12" customHeight="1" x14ac:dyDescent="0.35">
      <c r="B165" s="451"/>
      <c r="C165" s="451"/>
      <c r="D165" s="453"/>
      <c r="E165" s="451"/>
      <c r="F165" s="451"/>
      <c r="G165" s="77" t="s">
        <v>17</v>
      </c>
      <c r="H165" s="77" t="s">
        <v>416</v>
      </c>
      <c r="I165" s="78" t="s">
        <v>17</v>
      </c>
      <c r="J165" s="79" t="s">
        <v>416</v>
      </c>
      <c r="K165" s="79" t="s">
        <v>17</v>
      </c>
      <c r="L165" s="79" t="s">
        <v>416</v>
      </c>
    </row>
    <row r="166" spans="1:12" ht="12" customHeight="1" x14ac:dyDescent="0.35">
      <c r="B166" s="451"/>
      <c r="C166" s="451"/>
      <c r="D166" s="454"/>
      <c r="E166" s="451"/>
      <c r="F166" s="451"/>
      <c r="G166" s="106"/>
      <c r="H166" s="77" t="s">
        <v>17</v>
      </c>
      <c r="I166" s="94"/>
      <c r="J166" s="79" t="s">
        <v>17</v>
      </c>
      <c r="K166" s="85"/>
      <c r="L166" s="79" t="s">
        <v>17</v>
      </c>
    </row>
    <row r="167" spans="1:12" ht="12" customHeight="1" x14ac:dyDescent="0.35">
      <c r="B167" s="80" t="s">
        <v>5</v>
      </c>
      <c r="C167" s="81" t="s">
        <v>417</v>
      </c>
      <c r="D167" s="82"/>
      <c r="E167" s="82"/>
      <c r="F167" s="82"/>
      <c r="G167" s="82"/>
      <c r="H167" s="82"/>
      <c r="I167" s="83"/>
      <c r="J167" s="83"/>
      <c r="K167" s="83"/>
      <c r="L167" s="83"/>
    </row>
    <row r="168" spans="1:12" ht="12" customHeight="1" x14ac:dyDescent="0.35">
      <c r="A168" s="134">
        <v>10110000</v>
      </c>
      <c r="B168" s="84"/>
      <c r="C168" s="85" t="str">
        <f>VLOOKUP(A168,'DAFTAR HARGA'!A:D,3,FALSE)</f>
        <v>OH</v>
      </c>
      <c r="D168" s="84" t="s">
        <v>418</v>
      </c>
      <c r="E168" s="84">
        <f>VLOOKUP(A168,'DAFTAR HARGA'!A:D,4,FALSE)</f>
        <v>150000</v>
      </c>
      <c r="F168" s="86">
        <v>8.2600000000000007E-2</v>
      </c>
      <c r="G168" s="87" t="e">
        <f>VLOOKUP(A168,'DAFTAR HARGA'!A:D,5,FALSE)</f>
        <v>#REF!</v>
      </c>
      <c r="H168" s="87" t="e">
        <f>F168*G168</f>
        <v>#REF!</v>
      </c>
      <c r="I168" s="87">
        <v>78600</v>
      </c>
      <c r="J168" s="87">
        <f>F168*I168</f>
        <v>6492.3600000000006</v>
      </c>
      <c r="K168" s="87">
        <v>78600</v>
      </c>
      <c r="L168" s="87">
        <f>F168*K168</f>
        <v>6492.3600000000006</v>
      </c>
    </row>
    <row r="169" spans="1:12" ht="12" customHeight="1" x14ac:dyDescent="0.35">
      <c r="A169" s="134">
        <v>10120000</v>
      </c>
      <c r="B169" s="84"/>
      <c r="C169" s="85" t="str">
        <f>VLOOKUP(A169,'DAFTAR HARGA'!A:D,3,FALSE)</f>
        <v>OH</v>
      </c>
      <c r="D169" s="84" t="s">
        <v>419</v>
      </c>
      <c r="E169" s="84">
        <f>VLOOKUP(A169,'DAFTAR HARGA'!A:D,4,FALSE)</f>
        <v>130000</v>
      </c>
      <c r="F169" s="86"/>
      <c r="G169" s="87" t="e">
        <f>VLOOKUP(A169,'DAFTAR HARGA'!A:D,5,FALSE)</f>
        <v>#REF!</v>
      </c>
      <c r="H169" s="87" t="e">
        <f>F169*G169</f>
        <v>#REF!</v>
      </c>
      <c r="I169" s="87">
        <v>91500</v>
      </c>
      <c r="J169" s="87">
        <f>F169*I169</f>
        <v>0</v>
      </c>
      <c r="K169" s="87">
        <v>91500</v>
      </c>
      <c r="L169" s="87">
        <f>F169*K169</f>
        <v>0</v>
      </c>
    </row>
    <row r="170" spans="1:12" ht="12" customHeight="1" x14ac:dyDescent="0.35">
      <c r="A170" s="134">
        <v>10130000</v>
      </c>
      <c r="B170" s="84"/>
      <c r="C170" s="85" t="str">
        <f>VLOOKUP(A170,'DAFTAR HARGA'!A:D,3,FALSE)</f>
        <v>OH</v>
      </c>
      <c r="D170" s="84" t="s">
        <v>420</v>
      </c>
      <c r="E170" s="84">
        <f>VLOOKUP(A170,'DAFTAR HARGA'!A:D,4,FALSE)</f>
        <v>115000</v>
      </c>
      <c r="F170" s="86">
        <v>0.82599999999999996</v>
      </c>
      <c r="G170" s="87" t="e">
        <f>VLOOKUP(A170,'DAFTAR HARGA'!A:D,5,FALSE)</f>
        <v>#REF!</v>
      </c>
      <c r="H170" s="87" t="e">
        <f>F170*G170</f>
        <v>#REF!</v>
      </c>
      <c r="I170" s="87">
        <v>92500</v>
      </c>
      <c r="J170" s="87">
        <f>F170*I170</f>
        <v>76405</v>
      </c>
      <c r="K170" s="87">
        <v>92500</v>
      </c>
      <c r="L170" s="87">
        <f>F170*K170</f>
        <v>76405</v>
      </c>
    </row>
    <row r="171" spans="1:12" ht="12" customHeight="1" x14ac:dyDescent="0.35">
      <c r="B171" s="84"/>
      <c r="C171" s="85"/>
      <c r="D171" s="84"/>
      <c r="E171" s="84"/>
      <c r="F171" s="86"/>
      <c r="G171" s="87"/>
      <c r="H171" s="87"/>
      <c r="I171" s="87"/>
      <c r="J171" s="87"/>
      <c r="K171" s="87"/>
      <c r="L171" s="87"/>
    </row>
    <row r="172" spans="1:12" ht="12" customHeight="1" x14ac:dyDescent="0.35">
      <c r="B172" s="84"/>
      <c r="C172" s="88"/>
      <c r="D172" s="79"/>
      <c r="E172" s="79"/>
      <c r="F172" s="89" t="s">
        <v>421</v>
      </c>
      <c r="G172" s="101"/>
      <c r="H172" s="87" t="e">
        <f>SUM(H168:H171)</f>
        <v>#REF!</v>
      </c>
      <c r="I172" s="101"/>
      <c r="J172" s="87">
        <f>SUM(J168:J171)</f>
        <v>82897.36</v>
      </c>
      <c r="K172" s="101"/>
      <c r="L172" s="87">
        <f>SUM(L168:L171)</f>
        <v>82897.36</v>
      </c>
    </row>
    <row r="173" spans="1:12" ht="12" customHeight="1" x14ac:dyDescent="0.35">
      <c r="B173" s="84" t="s">
        <v>6</v>
      </c>
      <c r="C173" s="88" t="s">
        <v>422</v>
      </c>
      <c r="D173" s="79"/>
      <c r="E173" s="79"/>
      <c r="F173" s="90"/>
      <c r="G173" s="84"/>
      <c r="H173" s="87"/>
      <c r="I173" s="84"/>
      <c r="J173" s="87"/>
      <c r="K173" s="84"/>
      <c r="L173" s="87"/>
    </row>
    <row r="174" spans="1:12" ht="12" customHeight="1" x14ac:dyDescent="0.35">
      <c r="B174" s="84"/>
      <c r="C174" s="88"/>
      <c r="D174" s="79"/>
      <c r="E174" s="84"/>
      <c r="F174" s="102"/>
      <c r="G174" s="87"/>
      <c r="H174" s="87">
        <f>F174*G174</f>
        <v>0</v>
      </c>
      <c r="I174" s="87">
        <v>232500</v>
      </c>
      <c r="J174" s="87">
        <f>F174*I174</f>
        <v>0</v>
      </c>
      <c r="K174" s="87">
        <v>270000</v>
      </c>
      <c r="L174" s="87">
        <f>F174*K174</f>
        <v>0</v>
      </c>
    </row>
    <row r="175" spans="1:12" ht="12" customHeight="1" x14ac:dyDescent="0.35">
      <c r="B175" s="84"/>
      <c r="C175" s="88"/>
      <c r="D175" s="79"/>
      <c r="E175" s="84"/>
      <c r="F175" s="102"/>
      <c r="G175" s="87"/>
      <c r="H175" s="87">
        <f>F175*G175</f>
        <v>0</v>
      </c>
      <c r="I175" s="87">
        <v>1060</v>
      </c>
      <c r="J175" s="87">
        <f>F175*I175</f>
        <v>0</v>
      </c>
      <c r="K175" s="87">
        <v>1060</v>
      </c>
      <c r="L175" s="87">
        <f>F175*K175</f>
        <v>0</v>
      </c>
    </row>
    <row r="176" spans="1:12" ht="12" customHeight="1" x14ac:dyDescent="0.35">
      <c r="B176" s="84"/>
      <c r="C176" s="88"/>
      <c r="D176" s="79"/>
      <c r="E176" s="84"/>
      <c r="F176" s="102"/>
      <c r="G176" s="87"/>
      <c r="H176" s="87">
        <f>F176*G176</f>
        <v>0</v>
      </c>
      <c r="I176" s="87">
        <v>215000</v>
      </c>
      <c r="J176" s="87">
        <f>F176*I176</f>
        <v>0</v>
      </c>
      <c r="K176" s="87">
        <v>250000</v>
      </c>
      <c r="L176" s="87">
        <f>F176*K176</f>
        <v>0</v>
      </c>
    </row>
    <row r="177" spans="1:12" ht="12" customHeight="1" x14ac:dyDescent="0.35">
      <c r="B177" s="84"/>
      <c r="C177" s="88"/>
      <c r="D177" s="79"/>
      <c r="E177" s="79"/>
      <c r="F177" s="89" t="s">
        <v>423</v>
      </c>
      <c r="G177" s="101"/>
      <c r="H177" s="87">
        <f>SUM(H174:H176)</f>
        <v>0</v>
      </c>
      <c r="I177" s="101"/>
      <c r="J177" s="87">
        <f>SUM(J174:J176)</f>
        <v>0</v>
      </c>
      <c r="K177" s="101"/>
      <c r="L177" s="87">
        <f>SUM(L174:L176)</f>
        <v>0</v>
      </c>
    </row>
    <row r="178" spans="1:12" ht="12" customHeight="1" x14ac:dyDescent="0.35">
      <c r="B178" s="84" t="s">
        <v>7</v>
      </c>
      <c r="C178" s="88" t="s">
        <v>424</v>
      </c>
      <c r="D178" s="79"/>
      <c r="E178" s="79"/>
      <c r="F178" s="90"/>
      <c r="G178" s="84"/>
      <c r="H178" s="87"/>
      <c r="I178" s="84"/>
      <c r="J178" s="87"/>
      <c r="K178" s="84"/>
      <c r="L178" s="87"/>
    </row>
    <row r="179" spans="1:12" ht="12" customHeight="1" x14ac:dyDescent="0.35">
      <c r="A179" s="134">
        <v>31210000</v>
      </c>
      <c r="B179" s="84"/>
      <c r="C179" s="85" t="str">
        <f>VLOOKUP(A179,'DAFTAR HARGA'!A:D,3,FALSE)</f>
        <v>hari</v>
      </c>
      <c r="D179" s="84" t="s">
        <v>418</v>
      </c>
      <c r="E179" s="84">
        <f>VLOOKUP(A179,'DAFTAR HARGA'!A:D,4,FALSE)</f>
        <v>250000</v>
      </c>
      <c r="F179" s="86">
        <v>0.11799999999999999</v>
      </c>
      <c r="G179" s="87" t="e">
        <f>VLOOKUP(A179,'DAFTAR HARGA'!A:D,5,FALSE)</f>
        <v>#REF!</v>
      </c>
      <c r="H179" s="87" t="e">
        <f>F179*G179</f>
        <v>#REF!</v>
      </c>
      <c r="I179" s="87"/>
      <c r="J179" s="87" t="e">
        <f>H179*I179</f>
        <v>#REF!</v>
      </c>
      <c r="K179" s="87"/>
      <c r="L179" s="87" t="e">
        <f>J179*K179</f>
        <v>#REF!</v>
      </c>
    </row>
    <row r="180" spans="1:12" ht="12" customHeight="1" x14ac:dyDescent="0.35">
      <c r="B180" s="84"/>
      <c r="C180" s="88"/>
      <c r="D180" s="79"/>
      <c r="E180" s="79"/>
      <c r="F180" s="90"/>
      <c r="G180" s="87"/>
      <c r="H180" s="87"/>
      <c r="I180" s="87"/>
      <c r="J180" s="87"/>
      <c r="K180" s="87"/>
      <c r="L180" s="87"/>
    </row>
    <row r="181" spans="1:12" ht="12" customHeight="1" x14ac:dyDescent="0.35">
      <c r="B181" s="84"/>
      <c r="C181" s="88"/>
      <c r="D181" s="79"/>
      <c r="E181" s="79"/>
      <c r="F181" s="90"/>
      <c r="G181" s="87"/>
      <c r="H181" s="87">
        <f>F181*G181</f>
        <v>0</v>
      </c>
      <c r="I181" s="87"/>
      <c r="J181" s="87"/>
      <c r="K181" s="87"/>
      <c r="L181" s="87"/>
    </row>
    <row r="182" spans="1:12" ht="12" customHeight="1" x14ac:dyDescent="0.35">
      <c r="B182" s="84"/>
      <c r="C182" s="88"/>
      <c r="D182" s="79"/>
      <c r="E182" s="79"/>
      <c r="F182" s="89" t="s">
        <v>425</v>
      </c>
      <c r="G182" s="101"/>
      <c r="H182" s="87" t="e">
        <f>SUM(H179:H181)</f>
        <v>#REF!</v>
      </c>
      <c r="I182" s="101"/>
      <c r="J182" s="87" t="e">
        <f>SUM(J179)</f>
        <v>#REF!</v>
      </c>
      <c r="K182" s="101"/>
      <c r="L182" s="87" t="e">
        <f>SUM(L179)</f>
        <v>#REF!</v>
      </c>
    </row>
    <row r="183" spans="1:12" ht="12" customHeight="1" x14ac:dyDescent="0.35">
      <c r="B183" s="84" t="s">
        <v>8</v>
      </c>
      <c r="C183" s="103" t="s">
        <v>426</v>
      </c>
      <c r="D183" s="104"/>
      <c r="E183" s="104"/>
      <c r="F183" s="104"/>
      <c r="G183" s="105"/>
      <c r="H183" s="87" t="e">
        <f>H172+H177+H182</f>
        <v>#REF!</v>
      </c>
      <c r="I183" s="105"/>
      <c r="J183" s="87" t="e">
        <f>J172+J177+J182</f>
        <v>#REF!</v>
      </c>
      <c r="K183" s="105"/>
      <c r="L183" s="87" t="e">
        <f>L172+L177+L182</f>
        <v>#REF!</v>
      </c>
    </row>
    <row r="184" spans="1:12" ht="12" customHeight="1" x14ac:dyDescent="0.35">
      <c r="B184" s="84" t="s">
        <v>9</v>
      </c>
      <c r="C184" s="455" t="s">
        <v>427</v>
      </c>
      <c r="D184" s="455"/>
      <c r="E184" s="455"/>
      <c r="F184" s="95" t="str">
        <f>OP</f>
        <v>TANJUNG PALAS TENGAH</v>
      </c>
      <c r="G184" s="85" t="s">
        <v>428</v>
      </c>
      <c r="H184" s="87" t="e">
        <f>H183*F184</f>
        <v>#REF!</v>
      </c>
      <c r="I184" s="85" t="s">
        <v>428</v>
      </c>
      <c r="J184" s="87" t="e">
        <f>J183*F184</f>
        <v>#REF!</v>
      </c>
      <c r="K184" s="85" t="s">
        <v>428</v>
      </c>
      <c r="L184" s="87" t="e">
        <f>L183*F184</f>
        <v>#REF!</v>
      </c>
    </row>
    <row r="185" spans="1:12" ht="12" customHeight="1" x14ac:dyDescent="0.35">
      <c r="B185" s="84" t="s">
        <v>10</v>
      </c>
      <c r="C185" s="103" t="s">
        <v>429</v>
      </c>
      <c r="D185" s="104"/>
      <c r="E185" s="104"/>
      <c r="F185" s="104"/>
      <c r="G185" s="105"/>
      <c r="H185" s="96" t="e">
        <f>H183+H184</f>
        <v>#REF!</v>
      </c>
      <c r="I185" s="97"/>
      <c r="J185" s="96" t="e">
        <f>J183+J184</f>
        <v>#REF!</v>
      </c>
      <c r="K185" s="97"/>
      <c r="L185" s="96" t="e">
        <f>L183+L184</f>
        <v>#REF!</v>
      </c>
    </row>
    <row r="187" spans="1:12" ht="29" customHeight="1" x14ac:dyDescent="0.35">
      <c r="B187" s="76" t="s">
        <v>480</v>
      </c>
      <c r="C187" s="458" t="s">
        <v>478</v>
      </c>
      <c r="D187" s="459"/>
      <c r="E187" s="459"/>
      <c r="F187" s="459"/>
      <c r="G187" s="456"/>
      <c r="H187" s="457"/>
      <c r="I187" s="455" t="s">
        <v>3</v>
      </c>
      <c r="J187" s="455"/>
      <c r="K187" s="455" t="s">
        <v>4</v>
      </c>
      <c r="L187" s="455"/>
    </row>
    <row r="188" spans="1:12" ht="12" customHeight="1" x14ac:dyDescent="0.35">
      <c r="B188" s="451" t="s">
        <v>409</v>
      </c>
      <c r="C188" s="451" t="s">
        <v>410</v>
      </c>
      <c r="D188" s="452" t="s">
        <v>411</v>
      </c>
      <c r="E188" s="451" t="s">
        <v>412</v>
      </c>
      <c r="F188" s="451" t="s">
        <v>413</v>
      </c>
      <c r="G188" s="77" t="s">
        <v>414</v>
      </c>
      <c r="H188" s="77" t="s">
        <v>415</v>
      </c>
      <c r="I188" s="78" t="s">
        <v>414</v>
      </c>
      <c r="J188" s="79" t="s">
        <v>415</v>
      </c>
      <c r="K188" s="79" t="s">
        <v>414</v>
      </c>
      <c r="L188" s="79" t="s">
        <v>415</v>
      </c>
    </row>
    <row r="189" spans="1:12" ht="12" customHeight="1" x14ac:dyDescent="0.35">
      <c r="B189" s="451"/>
      <c r="C189" s="451"/>
      <c r="D189" s="453"/>
      <c r="E189" s="451"/>
      <c r="F189" s="451"/>
      <c r="G189" s="77" t="s">
        <v>17</v>
      </c>
      <c r="H189" s="77" t="s">
        <v>416</v>
      </c>
      <c r="I189" s="78" t="s">
        <v>17</v>
      </c>
      <c r="J189" s="79" t="s">
        <v>416</v>
      </c>
      <c r="K189" s="79" t="s">
        <v>17</v>
      </c>
      <c r="L189" s="79" t="s">
        <v>416</v>
      </c>
    </row>
    <row r="190" spans="1:12" ht="12" customHeight="1" x14ac:dyDescent="0.35">
      <c r="B190" s="451"/>
      <c r="C190" s="451"/>
      <c r="D190" s="454"/>
      <c r="E190" s="451"/>
      <c r="F190" s="451"/>
      <c r="G190" s="106"/>
      <c r="H190" s="77" t="s">
        <v>17</v>
      </c>
      <c r="I190" s="94"/>
      <c r="J190" s="79" t="s">
        <v>17</v>
      </c>
      <c r="K190" s="85"/>
      <c r="L190" s="79" t="s">
        <v>17</v>
      </c>
    </row>
    <row r="191" spans="1:12" ht="12" customHeight="1" x14ac:dyDescent="0.35">
      <c r="B191" s="80" t="s">
        <v>5</v>
      </c>
      <c r="C191" s="81" t="s">
        <v>417</v>
      </c>
      <c r="D191" s="82"/>
      <c r="E191" s="82"/>
      <c r="F191" s="82"/>
      <c r="G191" s="82"/>
      <c r="H191" s="82"/>
      <c r="I191" s="83"/>
      <c r="J191" s="83"/>
      <c r="K191" s="83"/>
      <c r="L191" s="83"/>
    </row>
    <row r="192" spans="1:12" ht="12" customHeight="1" x14ac:dyDescent="0.35">
      <c r="A192" s="134">
        <v>10110000</v>
      </c>
      <c r="B192" s="84"/>
      <c r="C192" s="85" t="str">
        <f>VLOOKUP(A192,'DAFTAR HARGA'!A:D,3,FALSE)</f>
        <v>OH</v>
      </c>
      <c r="D192" s="84" t="s">
        <v>418</v>
      </c>
      <c r="E192" s="84">
        <f>VLOOKUP(A192,'DAFTAR HARGA'!A:D,4,FALSE)</f>
        <v>150000</v>
      </c>
      <c r="F192" s="86">
        <v>0.04</v>
      </c>
      <c r="G192" s="87" t="e">
        <f>VLOOKUP(A192,'DAFTAR HARGA'!A:D,5,FALSE)</f>
        <v>#REF!</v>
      </c>
      <c r="H192" s="87" t="e">
        <f>F192*G192</f>
        <v>#REF!</v>
      </c>
      <c r="I192" s="87">
        <v>78600</v>
      </c>
      <c r="J192" s="87">
        <f>F192*I192</f>
        <v>3144</v>
      </c>
      <c r="K192" s="87">
        <v>78600</v>
      </c>
      <c r="L192" s="87">
        <f>F192*K192</f>
        <v>3144</v>
      </c>
    </row>
    <row r="193" spans="1:12" ht="12" customHeight="1" x14ac:dyDescent="0.35">
      <c r="A193" s="134">
        <v>10130000</v>
      </c>
      <c r="B193" s="84"/>
      <c r="C193" s="85" t="str">
        <f>VLOOKUP(A193,'DAFTAR HARGA'!A:D,3,FALSE)</f>
        <v>OH</v>
      </c>
      <c r="D193" s="84" t="s">
        <v>419</v>
      </c>
      <c r="E193" s="84">
        <f>VLOOKUP(A193,'DAFTAR HARGA'!A:D,4,FALSE)</f>
        <v>115000</v>
      </c>
      <c r="F193" s="86">
        <v>0.4</v>
      </c>
      <c r="G193" s="87" t="e">
        <f>VLOOKUP(A193,'DAFTAR HARGA'!A:D,5,FALSE)</f>
        <v>#REF!</v>
      </c>
      <c r="H193" s="87" t="e">
        <f>F193*G193</f>
        <v>#REF!</v>
      </c>
      <c r="I193" s="87">
        <v>91500</v>
      </c>
      <c r="J193" s="87">
        <f>F193*I193</f>
        <v>36600</v>
      </c>
      <c r="K193" s="87">
        <v>91500</v>
      </c>
      <c r="L193" s="87">
        <f>F193*K193</f>
        <v>36600</v>
      </c>
    </row>
    <row r="194" spans="1:12" ht="12" customHeight="1" x14ac:dyDescent="0.35">
      <c r="A194" s="134">
        <v>10143000</v>
      </c>
      <c r="B194" s="84"/>
      <c r="C194" s="85" t="str">
        <f>VLOOKUP(A194,'DAFTAR HARGA'!A:D,3,FALSE)</f>
        <v>OH</v>
      </c>
      <c r="D194" s="84" t="s">
        <v>420</v>
      </c>
      <c r="E194" s="84">
        <f>VLOOKUP(A194,'DAFTAR HARGA'!A:D,4,FALSE)</f>
        <v>236600</v>
      </c>
      <c r="F194" s="86">
        <v>0.2</v>
      </c>
      <c r="G194" s="87" t="e">
        <f>VLOOKUP(A194,'DAFTAR HARGA'!A:D,5,FALSE)</f>
        <v>#REF!</v>
      </c>
      <c r="H194" s="87" t="e">
        <f>F194*G194</f>
        <v>#REF!</v>
      </c>
      <c r="I194" s="87">
        <v>92500</v>
      </c>
      <c r="J194" s="87">
        <f>F194*I194</f>
        <v>18500</v>
      </c>
      <c r="K194" s="87">
        <v>92500</v>
      </c>
      <c r="L194" s="87">
        <f>F194*K194</f>
        <v>18500</v>
      </c>
    </row>
    <row r="195" spans="1:12" ht="12" customHeight="1" x14ac:dyDescent="0.35">
      <c r="B195" s="84"/>
      <c r="C195" s="85"/>
      <c r="D195" s="84"/>
      <c r="E195" s="84"/>
      <c r="F195" s="86"/>
      <c r="G195" s="87"/>
      <c r="H195" s="87"/>
      <c r="I195" s="87"/>
      <c r="J195" s="87"/>
      <c r="K195" s="87"/>
      <c r="L195" s="87"/>
    </row>
    <row r="196" spans="1:12" ht="12" customHeight="1" x14ac:dyDescent="0.35">
      <c r="B196" s="84"/>
      <c r="C196" s="88"/>
      <c r="D196" s="79"/>
      <c r="E196" s="79"/>
      <c r="F196" s="89" t="s">
        <v>421</v>
      </c>
      <c r="G196" s="101"/>
      <c r="H196" s="87" t="e">
        <f>SUM(H192:H195)</f>
        <v>#REF!</v>
      </c>
      <c r="I196" s="101"/>
      <c r="J196" s="87">
        <f>SUM(J192:J195)</f>
        <v>58244</v>
      </c>
      <c r="K196" s="101"/>
      <c r="L196" s="87">
        <f>SUM(L192:L195)</f>
        <v>58244</v>
      </c>
    </row>
    <row r="197" spans="1:12" ht="12" customHeight="1" x14ac:dyDescent="0.35">
      <c r="B197" s="84" t="s">
        <v>6</v>
      </c>
      <c r="C197" s="88" t="s">
        <v>422</v>
      </c>
      <c r="D197" s="79"/>
      <c r="E197" s="79"/>
      <c r="F197" s="90"/>
      <c r="G197" s="84"/>
      <c r="H197" s="87"/>
      <c r="I197" s="84"/>
      <c r="J197" s="87"/>
      <c r="K197" s="84"/>
      <c r="L197" s="87"/>
    </row>
    <row r="198" spans="1:12" ht="12" customHeight="1" x14ac:dyDescent="0.35">
      <c r="B198" s="84"/>
      <c r="C198" s="88"/>
      <c r="D198" s="79"/>
      <c r="E198" s="84"/>
      <c r="F198" s="102"/>
      <c r="G198" s="87"/>
      <c r="H198" s="87">
        <f>F198*G198</f>
        <v>0</v>
      </c>
      <c r="I198" s="87">
        <v>232500</v>
      </c>
      <c r="J198" s="87">
        <f>F198*I198</f>
        <v>0</v>
      </c>
      <c r="K198" s="87">
        <v>270000</v>
      </c>
      <c r="L198" s="87">
        <f>F198*K198</f>
        <v>0</v>
      </c>
    </row>
    <row r="199" spans="1:12" ht="12" customHeight="1" x14ac:dyDescent="0.35">
      <c r="B199" s="84"/>
      <c r="C199" s="88"/>
      <c r="D199" s="79"/>
      <c r="E199" s="84"/>
      <c r="F199" s="102"/>
      <c r="G199" s="87"/>
      <c r="H199" s="87">
        <f>F199*G199</f>
        <v>0</v>
      </c>
      <c r="I199" s="87">
        <v>1060</v>
      </c>
      <c r="J199" s="87">
        <f>F199*I199</f>
        <v>0</v>
      </c>
      <c r="K199" s="87">
        <v>1060</v>
      </c>
      <c r="L199" s="87">
        <f>F199*K199</f>
        <v>0</v>
      </c>
    </row>
    <row r="200" spans="1:12" ht="12" customHeight="1" x14ac:dyDescent="0.35">
      <c r="B200" s="84"/>
      <c r="C200" s="88"/>
      <c r="D200" s="79"/>
      <c r="E200" s="84"/>
      <c r="F200" s="102"/>
      <c r="G200" s="87"/>
      <c r="H200" s="87">
        <f>F200*G200</f>
        <v>0</v>
      </c>
      <c r="I200" s="87">
        <v>215000</v>
      </c>
      <c r="J200" s="87">
        <f>F200*I200</f>
        <v>0</v>
      </c>
      <c r="K200" s="87">
        <v>250000</v>
      </c>
      <c r="L200" s="87">
        <f>F200*K200</f>
        <v>0</v>
      </c>
    </row>
    <row r="201" spans="1:12" ht="12" customHeight="1" x14ac:dyDescent="0.35">
      <c r="B201" s="84"/>
      <c r="C201" s="88"/>
      <c r="D201" s="79"/>
      <c r="E201" s="79"/>
      <c r="F201" s="89" t="s">
        <v>423</v>
      </c>
      <c r="G201" s="101"/>
      <c r="H201" s="87">
        <f>SUM(H198:H200)</f>
        <v>0</v>
      </c>
      <c r="I201" s="101"/>
      <c r="J201" s="87">
        <f>SUM(J198:J200)</f>
        <v>0</v>
      </c>
      <c r="K201" s="101"/>
      <c r="L201" s="87">
        <f>SUM(L198:L200)</f>
        <v>0</v>
      </c>
    </row>
    <row r="202" spans="1:12" ht="12" customHeight="1" x14ac:dyDescent="0.35">
      <c r="B202" s="84" t="s">
        <v>7</v>
      </c>
      <c r="C202" s="88" t="s">
        <v>424</v>
      </c>
      <c r="D202" s="79"/>
      <c r="E202" s="79"/>
      <c r="F202" s="90"/>
      <c r="G202" s="84"/>
      <c r="H202" s="87"/>
      <c r="I202" s="84"/>
      <c r="J202" s="87"/>
      <c r="K202" s="84"/>
      <c r="L202" s="87"/>
    </row>
    <row r="203" spans="1:12" ht="12" customHeight="1" x14ac:dyDescent="0.35">
      <c r="B203" s="84"/>
      <c r="C203" s="85"/>
      <c r="D203" s="84"/>
      <c r="E203" s="84"/>
      <c r="F203" s="86"/>
      <c r="G203" s="87"/>
      <c r="H203" s="87">
        <f>F203*G203</f>
        <v>0</v>
      </c>
      <c r="I203" s="87"/>
      <c r="J203" s="87">
        <f>H203*I203</f>
        <v>0</v>
      </c>
      <c r="K203" s="87"/>
      <c r="L203" s="87">
        <f>J203*K203</f>
        <v>0</v>
      </c>
    </row>
    <row r="204" spans="1:12" ht="12" customHeight="1" x14ac:dyDescent="0.35">
      <c r="B204" s="84"/>
      <c r="C204" s="88"/>
      <c r="D204" s="79"/>
      <c r="E204" s="79"/>
      <c r="F204" s="90"/>
      <c r="G204" s="87"/>
      <c r="H204" s="87"/>
      <c r="I204" s="87"/>
      <c r="J204" s="87"/>
      <c r="K204" s="87"/>
      <c r="L204" s="87"/>
    </row>
    <row r="205" spans="1:12" ht="12" customHeight="1" x14ac:dyDescent="0.35">
      <c r="B205" s="84"/>
      <c r="C205" s="88"/>
      <c r="D205" s="79"/>
      <c r="E205" s="79"/>
      <c r="F205" s="90"/>
      <c r="G205" s="87"/>
      <c r="H205" s="87">
        <f>F205*G205</f>
        <v>0</v>
      </c>
      <c r="I205" s="87"/>
      <c r="J205" s="87"/>
      <c r="K205" s="87"/>
      <c r="L205" s="87"/>
    </row>
    <row r="206" spans="1:12" ht="12" customHeight="1" x14ac:dyDescent="0.35">
      <c r="B206" s="84"/>
      <c r="C206" s="88"/>
      <c r="D206" s="79"/>
      <c r="E206" s="79"/>
      <c r="F206" s="89" t="s">
        <v>425</v>
      </c>
      <c r="G206" s="101"/>
      <c r="H206" s="87">
        <f>SUM(H203:H205)</f>
        <v>0</v>
      </c>
      <c r="I206" s="101"/>
      <c r="J206" s="87">
        <f>SUM(J203)</f>
        <v>0</v>
      </c>
      <c r="K206" s="101"/>
      <c r="L206" s="87">
        <f>SUM(L203)</f>
        <v>0</v>
      </c>
    </row>
    <row r="207" spans="1:12" ht="12" customHeight="1" x14ac:dyDescent="0.35">
      <c r="B207" s="84" t="s">
        <v>8</v>
      </c>
      <c r="C207" s="103" t="s">
        <v>426</v>
      </c>
      <c r="D207" s="104"/>
      <c r="E207" s="104"/>
      <c r="F207" s="104"/>
      <c r="G207" s="105"/>
      <c r="H207" s="87" t="e">
        <f>H196+H201+H206</f>
        <v>#REF!</v>
      </c>
      <c r="I207" s="105"/>
      <c r="J207" s="87">
        <f>J196+J201+J206</f>
        <v>58244</v>
      </c>
      <c r="K207" s="105"/>
      <c r="L207" s="87">
        <f>L196+L201+L206</f>
        <v>58244</v>
      </c>
    </row>
    <row r="208" spans="1:12" ht="12" customHeight="1" x14ac:dyDescent="0.35">
      <c r="B208" s="84" t="s">
        <v>9</v>
      </c>
      <c r="C208" s="455" t="s">
        <v>427</v>
      </c>
      <c r="D208" s="455"/>
      <c r="E208" s="455"/>
      <c r="F208" s="95" t="str">
        <f>OP</f>
        <v>TANJUNG PALAS TENGAH</v>
      </c>
      <c r="G208" s="85" t="s">
        <v>428</v>
      </c>
      <c r="H208" s="87" t="e">
        <f>H207*F208</f>
        <v>#REF!</v>
      </c>
      <c r="I208" s="85" t="s">
        <v>428</v>
      </c>
      <c r="J208" s="87" t="e">
        <f>J207*F208</f>
        <v>#VALUE!</v>
      </c>
      <c r="K208" s="85" t="s">
        <v>428</v>
      </c>
      <c r="L208" s="87" t="e">
        <f>L207*F208</f>
        <v>#VALUE!</v>
      </c>
    </row>
    <row r="209" spans="1:12" ht="12" customHeight="1" x14ac:dyDescent="0.35">
      <c r="B209" s="84" t="s">
        <v>10</v>
      </c>
      <c r="C209" s="103" t="s">
        <v>429</v>
      </c>
      <c r="D209" s="104"/>
      <c r="E209" s="104"/>
      <c r="F209" s="104"/>
      <c r="G209" s="105"/>
      <c r="H209" s="96" t="e">
        <f>H207+H208</f>
        <v>#REF!</v>
      </c>
      <c r="I209" s="97"/>
      <c r="J209" s="96" t="e">
        <f>J207+J208</f>
        <v>#VALUE!</v>
      </c>
      <c r="K209" s="97"/>
      <c r="L209" s="96" t="e">
        <f>L207+L208</f>
        <v>#VALUE!</v>
      </c>
    </row>
    <row r="211" spans="1:12" ht="29" customHeight="1" x14ac:dyDescent="0.35">
      <c r="B211" s="76" t="s">
        <v>479</v>
      </c>
      <c r="C211" s="458" t="s">
        <v>481</v>
      </c>
      <c r="D211" s="459"/>
      <c r="E211" s="459"/>
      <c r="F211" s="459"/>
      <c r="G211" s="456"/>
      <c r="H211" s="457"/>
      <c r="I211" s="455" t="s">
        <v>3</v>
      </c>
      <c r="J211" s="455"/>
      <c r="K211" s="455" t="s">
        <v>4</v>
      </c>
      <c r="L211" s="455"/>
    </row>
    <row r="212" spans="1:12" ht="12" customHeight="1" x14ac:dyDescent="0.35">
      <c r="B212" s="451" t="s">
        <v>409</v>
      </c>
      <c r="C212" s="451" t="s">
        <v>410</v>
      </c>
      <c r="D212" s="452" t="s">
        <v>411</v>
      </c>
      <c r="E212" s="451" t="s">
        <v>412</v>
      </c>
      <c r="F212" s="451" t="s">
        <v>413</v>
      </c>
      <c r="G212" s="77" t="s">
        <v>414</v>
      </c>
      <c r="H212" s="77" t="s">
        <v>415</v>
      </c>
      <c r="I212" s="78" t="s">
        <v>414</v>
      </c>
      <c r="J212" s="79" t="s">
        <v>415</v>
      </c>
      <c r="K212" s="79" t="s">
        <v>414</v>
      </c>
      <c r="L212" s="79" t="s">
        <v>415</v>
      </c>
    </row>
    <row r="213" spans="1:12" ht="12" customHeight="1" x14ac:dyDescent="0.35">
      <c r="B213" s="451"/>
      <c r="C213" s="451"/>
      <c r="D213" s="453"/>
      <c r="E213" s="451"/>
      <c r="F213" s="451"/>
      <c r="G213" s="77" t="s">
        <v>17</v>
      </c>
      <c r="H213" s="77" t="s">
        <v>416</v>
      </c>
      <c r="I213" s="78" t="s">
        <v>17</v>
      </c>
      <c r="J213" s="79" t="s">
        <v>416</v>
      </c>
      <c r="K213" s="79" t="s">
        <v>17</v>
      </c>
      <c r="L213" s="79" t="s">
        <v>416</v>
      </c>
    </row>
    <row r="214" spans="1:12" ht="12" customHeight="1" x14ac:dyDescent="0.35">
      <c r="B214" s="451"/>
      <c r="C214" s="451"/>
      <c r="D214" s="454"/>
      <c r="E214" s="451"/>
      <c r="F214" s="451"/>
      <c r="G214" s="106"/>
      <c r="H214" s="77" t="s">
        <v>17</v>
      </c>
      <c r="I214" s="94"/>
      <c r="J214" s="79" t="s">
        <v>17</v>
      </c>
      <c r="K214" s="85"/>
      <c r="L214" s="79" t="s">
        <v>17</v>
      </c>
    </row>
    <row r="215" spans="1:12" ht="12" customHeight="1" x14ac:dyDescent="0.35">
      <c r="B215" s="80" t="s">
        <v>5</v>
      </c>
      <c r="C215" s="81" t="s">
        <v>417</v>
      </c>
      <c r="D215" s="82"/>
      <c r="E215" s="82"/>
      <c r="F215" s="82"/>
      <c r="G215" s="82"/>
      <c r="H215" s="82"/>
      <c r="I215" s="83"/>
      <c r="J215" s="83"/>
      <c r="K215" s="83"/>
      <c r="L215" s="83"/>
    </row>
    <row r="216" spans="1:12" ht="12" customHeight="1" x14ac:dyDescent="0.35">
      <c r="A216" s="134">
        <v>10110000</v>
      </c>
      <c r="B216" s="84"/>
      <c r="C216" s="85" t="str">
        <f>VLOOKUP(A216,'DAFTAR HARGA'!A:D,3,FALSE)</f>
        <v>OH</v>
      </c>
      <c r="D216" s="84" t="s">
        <v>418</v>
      </c>
      <c r="E216" s="84">
        <f>VLOOKUP(A216,'DAFTAR HARGA'!A:D,4,FALSE)</f>
        <v>150000</v>
      </c>
      <c r="F216" s="86">
        <v>2.3999999999999998E-3</v>
      </c>
      <c r="G216" s="87" t="e">
        <f>VLOOKUP(A216,'DAFTAR HARGA'!A:D,5,FALSE)</f>
        <v>#REF!</v>
      </c>
      <c r="H216" s="87" t="e">
        <f>F216*G216</f>
        <v>#REF!</v>
      </c>
      <c r="I216" s="87">
        <v>78600</v>
      </c>
      <c r="J216" s="87">
        <f>F216*I216</f>
        <v>188.64</v>
      </c>
      <c r="K216" s="87">
        <v>78600</v>
      </c>
      <c r="L216" s="87">
        <f>F216*K216</f>
        <v>188.64</v>
      </c>
    </row>
    <row r="217" spans="1:12" ht="12" customHeight="1" x14ac:dyDescent="0.35">
      <c r="A217" s="134">
        <v>10130000</v>
      </c>
      <c r="B217" s="84"/>
      <c r="C217" s="85" t="str">
        <f>VLOOKUP(A217,'DAFTAR HARGA'!A:D,3,FALSE)</f>
        <v>OH</v>
      </c>
      <c r="D217" s="84" t="s">
        <v>419</v>
      </c>
      <c r="E217" s="84">
        <f>VLOOKUP(A217,'DAFTAR HARGA'!A:D,4,FALSE)</f>
        <v>115000</v>
      </c>
      <c r="F217" s="86">
        <f>F216*10</f>
        <v>2.3999999999999997E-2</v>
      </c>
      <c r="G217" s="87" t="e">
        <f>VLOOKUP(A217,'DAFTAR HARGA'!A:D,5,FALSE)</f>
        <v>#REF!</v>
      </c>
      <c r="H217" s="87" t="e">
        <f>F217*G217</f>
        <v>#REF!</v>
      </c>
      <c r="I217" s="87">
        <v>91500</v>
      </c>
      <c r="J217" s="87">
        <f>F217*I217</f>
        <v>2195.9999999999995</v>
      </c>
      <c r="K217" s="87">
        <v>91500</v>
      </c>
      <c r="L217" s="87">
        <f>F217*K217</f>
        <v>2195.9999999999995</v>
      </c>
    </row>
    <row r="218" spans="1:12" ht="12" customHeight="1" x14ac:dyDescent="0.35">
      <c r="A218" s="134">
        <v>10143000</v>
      </c>
      <c r="B218" s="84"/>
      <c r="C218" s="85" t="str">
        <f>VLOOKUP(A218,'DAFTAR HARGA'!A:D,3,FALSE)</f>
        <v>OH</v>
      </c>
      <c r="D218" s="84" t="s">
        <v>420</v>
      </c>
      <c r="E218" s="84">
        <f>VLOOKUP(A218,'DAFTAR HARGA'!A:D,4,FALSE)</f>
        <v>236600</v>
      </c>
      <c r="F218" s="86">
        <v>2.4E-2</v>
      </c>
      <c r="G218" s="87" t="e">
        <f>VLOOKUP(A218,'DAFTAR HARGA'!A:D,5,FALSE)</f>
        <v>#REF!</v>
      </c>
      <c r="H218" s="87" t="e">
        <f>F218*G218</f>
        <v>#REF!</v>
      </c>
      <c r="I218" s="87">
        <v>92500</v>
      </c>
      <c r="J218" s="87">
        <f>F218*I218</f>
        <v>2220</v>
      </c>
      <c r="K218" s="87">
        <v>92500</v>
      </c>
      <c r="L218" s="87">
        <f>F218*K218</f>
        <v>2220</v>
      </c>
    </row>
    <row r="219" spans="1:12" ht="12" customHeight="1" x14ac:dyDescent="0.35">
      <c r="B219" s="84"/>
      <c r="C219" s="85"/>
      <c r="D219" s="84"/>
      <c r="E219" s="84"/>
      <c r="F219" s="86"/>
      <c r="G219" s="87"/>
      <c r="H219" s="87"/>
      <c r="I219" s="87"/>
      <c r="J219" s="87"/>
      <c r="K219" s="87"/>
      <c r="L219" s="87"/>
    </row>
    <row r="220" spans="1:12" ht="12" customHeight="1" x14ac:dyDescent="0.35">
      <c r="B220" s="84"/>
      <c r="C220" s="88"/>
      <c r="D220" s="79"/>
      <c r="E220" s="79"/>
      <c r="F220" s="89" t="s">
        <v>421</v>
      </c>
      <c r="G220" s="101"/>
      <c r="H220" s="87" t="e">
        <f>SUM(H216:H219)</f>
        <v>#REF!</v>
      </c>
      <c r="I220" s="101"/>
      <c r="J220" s="87">
        <f>SUM(J216:J219)</f>
        <v>4604.6399999999994</v>
      </c>
      <c r="K220" s="101"/>
      <c r="L220" s="87">
        <f>SUM(L216:L219)</f>
        <v>4604.6399999999994</v>
      </c>
    </row>
    <row r="221" spans="1:12" ht="12" customHeight="1" x14ac:dyDescent="0.35">
      <c r="B221" s="84" t="s">
        <v>6</v>
      </c>
      <c r="C221" s="88" t="s">
        <v>422</v>
      </c>
      <c r="D221" s="79"/>
      <c r="E221" s="79"/>
      <c r="F221" s="90"/>
      <c r="G221" s="84"/>
      <c r="H221" s="87"/>
      <c r="I221" s="84"/>
      <c r="J221" s="87"/>
      <c r="K221" s="84"/>
      <c r="L221" s="87"/>
    </row>
    <row r="222" spans="1:12" ht="12" customHeight="1" x14ac:dyDescent="0.35">
      <c r="B222" s="84"/>
      <c r="C222" s="85"/>
      <c r="D222" s="84"/>
      <c r="E222" s="84"/>
      <c r="F222" s="86"/>
      <c r="G222" s="87"/>
      <c r="H222" s="87">
        <f>F222*G222</f>
        <v>0</v>
      </c>
      <c r="I222" s="87">
        <v>232500</v>
      </c>
      <c r="J222" s="87">
        <f>F222*I222</f>
        <v>0</v>
      </c>
      <c r="K222" s="87">
        <v>270000</v>
      </c>
      <c r="L222" s="87">
        <f>F222*K222</f>
        <v>0</v>
      </c>
    </row>
    <row r="223" spans="1:12" ht="12" customHeight="1" x14ac:dyDescent="0.35">
      <c r="B223" s="84"/>
      <c r="C223" s="88"/>
      <c r="D223" s="79"/>
      <c r="E223" s="84"/>
      <c r="F223" s="102"/>
      <c r="G223" s="87"/>
      <c r="H223" s="87">
        <f>F223*G223</f>
        <v>0</v>
      </c>
      <c r="I223" s="87">
        <v>1060</v>
      </c>
      <c r="J223" s="87">
        <f>F223*I223</f>
        <v>0</v>
      </c>
      <c r="K223" s="87">
        <v>1060</v>
      </c>
      <c r="L223" s="87">
        <f>F223*K223</f>
        <v>0</v>
      </c>
    </row>
    <row r="224" spans="1:12" ht="12" customHeight="1" x14ac:dyDescent="0.35">
      <c r="B224" s="84"/>
      <c r="C224" s="88"/>
      <c r="D224" s="79"/>
      <c r="E224" s="84"/>
      <c r="F224" s="102"/>
      <c r="G224" s="87"/>
      <c r="H224" s="87">
        <f>F224*G224</f>
        <v>0</v>
      </c>
      <c r="I224" s="87">
        <v>215000</v>
      </c>
      <c r="J224" s="87">
        <f>F224*I224</f>
        <v>0</v>
      </c>
      <c r="K224" s="87">
        <v>250000</v>
      </c>
      <c r="L224" s="87">
        <f>F224*K224</f>
        <v>0</v>
      </c>
    </row>
    <row r="225" spans="1:12" ht="12" customHeight="1" x14ac:dyDescent="0.35">
      <c r="B225" s="84"/>
      <c r="C225" s="88"/>
      <c r="D225" s="79"/>
      <c r="E225" s="79"/>
      <c r="F225" s="89" t="s">
        <v>423</v>
      </c>
      <c r="G225" s="101"/>
      <c r="H225" s="87">
        <f>SUM(H222:H224)</f>
        <v>0</v>
      </c>
      <c r="I225" s="101"/>
      <c r="J225" s="87">
        <f>SUM(J222:J224)</f>
        <v>0</v>
      </c>
      <c r="K225" s="101"/>
      <c r="L225" s="87">
        <f>SUM(L222:L224)</f>
        <v>0</v>
      </c>
    </row>
    <row r="226" spans="1:12" ht="12" customHeight="1" x14ac:dyDescent="0.35">
      <c r="B226" s="84" t="s">
        <v>7</v>
      </c>
      <c r="C226" s="88" t="s">
        <v>424</v>
      </c>
      <c r="D226" s="79"/>
      <c r="E226" s="79"/>
      <c r="F226" s="90"/>
      <c r="G226" s="84"/>
      <c r="H226" s="87"/>
      <c r="I226" s="84"/>
      <c r="J226" s="87"/>
      <c r="K226" s="84"/>
      <c r="L226" s="87"/>
    </row>
    <row r="227" spans="1:12" ht="12" customHeight="1" x14ac:dyDescent="0.35">
      <c r="A227" s="134" t="s">
        <v>511</v>
      </c>
      <c r="B227" s="84"/>
      <c r="C227" s="85" t="str">
        <f>VLOOKUP(A227,'DAFTAR HARGA'!A:D,3,FALSE)</f>
        <v>hari</v>
      </c>
      <c r="D227" s="84" t="s">
        <v>420</v>
      </c>
      <c r="E227" s="84">
        <f>VLOOKUP(A227,'DAFTAR HARGA'!A:D,4,FALSE)</f>
        <v>3224000</v>
      </c>
      <c r="F227" s="86">
        <v>2.4E-2</v>
      </c>
      <c r="G227" s="87" t="e">
        <f>VLOOKUP(A227,'DAFTAR HARGA'!A:D,5,FALSE)</f>
        <v>#REF!</v>
      </c>
      <c r="H227" s="87" t="e">
        <f>F227*G227</f>
        <v>#REF!</v>
      </c>
      <c r="I227" s="87"/>
      <c r="J227" s="87" t="e">
        <f>H227*I227</f>
        <v>#REF!</v>
      </c>
      <c r="K227" s="87"/>
      <c r="L227" s="87" t="e">
        <f>J227*K227</f>
        <v>#REF!</v>
      </c>
    </row>
    <row r="228" spans="1:12" ht="12" customHeight="1" x14ac:dyDescent="0.35">
      <c r="B228" s="84"/>
      <c r="C228" s="88"/>
      <c r="D228" s="79"/>
      <c r="E228" s="79"/>
      <c r="F228" s="90"/>
      <c r="G228" s="87"/>
      <c r="H228" s="87"/>
      <c r="I228" s="87"/>
      <c r="J228" s="87"/>
      <c r="K228" s="87"/>
      <c r="L228" s="87"/>
    </row>
    <row r="229" spans="1:12" ht="12" customHeight="1" x14ac:dyDescent="0.35">
      <c r="B229" s="84"/>
      <c r="C229" s="88"/>
      <c r="D229" s="79"/>
      <c r="E229" s="79"/>
      <c r="F229" s="90"/>
      <c r="G229" s="87"/>
      <c r="H229" s="87">
        <f>F229*G229</f>
        <v>0</v>
      </c>
      <c r="I229" s="87"/>
      <c r="J229" s="87"/>
      <c r="K229" s="87"/>
      <c r="L229" s="87"/>
    </row>
    <row r="230" spans="1:12" ht="12" customHeight="1" x14ac:dyDescent="0.35">
      <c r="B230" s="84"/>
      <c r="C230" s="88"/>
      <c r="D230" s="79"/>
      <c r="E230" s="79"/>
      <c r="F230" s="89" t="s">
        <v>425</v>
      </c>
      <c r="G230" s="101"/>
      <c r="H230" s="87" t="e">
        <f>SUM(H227:H229)</f>
        <v>#REF!</v>
      </c>
      <c r="I230" s="101"/>
      <c r="J230" s="87" t="e">
        <f>SUM(J227)</f>
        <v>#REF!</v>
      </c>
      <c r="K230" s="101"/>
      <c r="L230" s="87" t="e">
        <f>SUM(L227)</f>
        <v>#REF!</v>
      </c>
    </row>
    <row r="231" spans="1:12" ht="12" customHeight="1" x14ac:dyDescent="0.35">
      <c r="B231" s="84" t="s">
        <v>8</v>
      </c>
      <c r="C231" s="103" t="s">
        <v>426</v>
      </c>
      <c r="D231" s="104"/>
      <c r="E231" s="104"/>
      <c r="F231" s="104"/>
      <c r="G231" s="105"/>
      <c r="H231" s="87" t="e">
        <f>H220+H225+H230</f>
        <v>#REF!</v>
      </c>
      <c r="I231" s="105"/>
      <c r="J231" s="87" t="e">
        <f>J220+J225+J230</f>
        <v>#REF!</v>
      </c>
      <c r="K231" s="105"/>
      <c r="L231" s="87" t="e">
        <f>L220+L225+L230</f>
        <v>#REF!</v>
      </c>
    </row>
    <row r="232" spans="1:12" ht="12" customHeight="1" x14ac:dyDescent="0.35">
      <c r="B232" s="84" t="s">
        <v>9</v>
      </c>
      <c r="C232" s="455" t="s">
        <v>427</v>
      </c>
      <c r="D232" s="455"/>
      <c r="E232" s="455"/>
      <c r="F232" s="95" t="str">
        <f>OP</f>
        <v>TANJUNG PALAS TENGAH</v>
      </c>
      <c r="G232" s="85" t="s">
        <v>428</v>
      </c>
      <c r="H232" s="87" t="e">
        <f>H231*F232</f>
        <v>#REF!</v>
      </c>
      <c r="I232" s="85" t="s">
        <v>428</v>
      </c>
      <c r="J232" s="87" t="e">
        <f>J231*F232</f>
        <v>#REF!</v>
      </c>
      <c r="K232" s="85" t="s">
        <v>428</v>
      </c>
      <c r="L232" s="87" t="e">
        <f>L231*F232</f>
        <v>#REF!</v>
      </c>
    </row>
    <row r="233" spans="1:12" ht="12" customHeight="1" x14ac:dyDescent="0.35">
      <c r="B233" s="84" t="s">
        <v>10</v>
      </c>
      <c r="C233" s="103" t="s">
        <v>429</v>
      </c>
      <c r="D233" s="104"/>
      <c r="E233" s="104"/>
      <c r="F233" s="104"/>
      <c r="G233" s="105"/>
      <c r="H233" s="96" t="e">
        <f>H231+H232</f>
        <v>#REF!</v>
      </c>
      <c r="I233" s="97"/>
      <c r="J233" s="96" t="e">
        <f>J231+J232</f>
        <v>#REF!</v>
      </c>
      <c r="K233" s="97"/>
      <c r="L233" s="96" t="e">
        <f>L231+L232</f>
        <v>#REF!</v>
      </c>
    </row>
    <row r="235" spans="1:12" ht="29" customHeight="1" x14ac:dyDescent="0.35">
      <c r="B235" s="76" t="s">
        <v>512</v>
      </c>
      <c r="C235" s="458" t="s">
        <v>516</v>
      </c>
      <c r="D235" s="459"/>
      <c r="E235" s="459"/>
      <c r="F235" s="459"/>
      <c r="G235" s="456"/>
      <c r="H235" s="457"/>
      <c r="I235" s="455" t="s">
        <v>3</v>
      </c>
      <c r="J235" s="455"/>
      <c r="K235" s="455" t="s">
        <v>4</v>
      </c>
      <c r="L235" s="455"/>
    </row>
    <row r="236" spans="1:12" ht="12" customHeight="1" x14ac:dyDescent="0.35">
      <c r="B236" s="451" t="s">
        <v>409</v>
      </c>
      <c r="C236" s="451" t="s">
        <v>410</v>
      </c>
      <c r="D236" s="452" t="s">
        <v>411</v>
      </c>
      <c r="E236" s="451" t="s">
        <v>412</v>
      </c>
      <c r="F236" s="451" t="s">
        <v>413</v>
      </c>
      <c r="G236" s="77" t="s">
        <v>414</v>
      </c>
      <c r="H236" s="77" t="s">
        <v>415</v>
      </c>
      <c r="I236" s="78" t="s">
        <v>414</v>
      </c>
      <c r="J236" s="79" t="s">
        <v>415</v>
      </c>
      <c r="K236" s="79" t="s">
        <v>414</v>
      </c>
      <c r="L236" s="79" t="s">
        <v>415</v>
      </c>
    </row>
    <row r="237" spans="1:12" ht="12" customHeight="1" x14ac:dyDescent="0.35">
      <c r="B237" s="451"/>
      <c r="C237" s="451"/>
      <c r="D237" s="453"/>
      <c r="E237" s="451"/>
      <c r="F237" s="451"/>
      <c r="G237" s="77" t="s">
        <v>17</v>
      </c>
      <c r="H237" s="77" t="s">
        <v>416</v>
      </c>
      <c r="I237" s="78" t="s">
        <v>17</v>
      </c>
      <c r="J237" s="79" t="s">
        <v>416</v>
      </c>
      <c r="K237" s="79" t="s">
        <v>17</v>
      </c>
      <c r="L237" s="79" t="s">
        <v>416</v>
      </c>
    </row>
    <row r="238" spans="1:12" ht="12" customHeight="1" x14ac:dyDescent="0.35">
      <c r="B238" s="451"/>
      <c r="C238" s="451"/>
      <c r="D238" s="454"/>
      <c r="E238" s="451"/>
      <c r="F238" s="451"/>
      <c r="G238" s="106"/>
      <c r="H238" s="77" t="s">
        <v>17</v>
      </c>
      <c r="I238" s="94"/>
      <c r="J238" s="79" t="s">
        <v>17</v>
      </c>
      <c r="K238" s="85"/>
      <c r="L238" s="79" t="s">
        <v>17</v>
      </c>
    </row>
    <row r="239" spans="1:12" ht="12" customHeight="1" x14ac:dyDescent="0.35">
      <c r="B239" s="80" t="s">
        <v>5</v>
      </c>
      <c r="C239" s="81" t="s">
        <v>417</v>
      </c>
      <c r="D239" s="82"/>
      <c r="E239" s="82"/>
      <c r="F239" s="82"/>
      <c r="G239" s="82"/>
      <c r="H239" s="82"/>
      <c r="I239" s="83"/>
      <c r="J239" s="83"/>
      <c r="K239" s="83"/>
      <c r="L239" s="83"/>
    </row>
    <row r="240" spans="1:12" ht="12" customHeight="1" x14ac:dyDescent="0.35">
      <c r="A240" s="134">
        <v>10111000</v>
      </c>
      <c r="B240" s="84"/>
      <c r="C240" s="85" t="str">
        <f>VLOOKUP(A240,'DAFTAR HARGA'!A:D,3,FALSE)</f>
        <v>OJ</v>
      </c>
      <c r="D240" s="84" t="s">
        <v>418</v>
      </c>
      <c r="E240" s="84">
        <f>VLOOKUP(A240,'DAFTAR HARGA'!A:D,4,FALSE)</f>
        <v>18750</v>
      </c>
      <c r="F240" s="86">
        <v>1.6999999999999999E-3</v>
      </c>
      <c r="G240" s="87" t="e">
        <f>VLOOKUP(A240,'DAFTAR HARGA'!A:D,5,FALSE)</f>
        <v>#REF!</v>
      </c>
      <c r="H240" s="87" t="e">
        <f>F240*G240</f>
        <v>#REF!</v>
      </c>
      <c r="I240" s="87">
        <v>78600</v>
      </c>
      <c r="J240" s="87">
        <f>F240*I240</f>
        <v>133.62</v>
      </c>
      <c r="K240" s="87">
        <v>78600</v>
      </c>
      <c r="L240" s="87">
        <f>F240*K240</f>
        <v>133.62</v>
      </c>
    </row>
    <row r="241" spans="1:12" ht="12" customHeight="1" x14ac:dyDescent="0.35">
      <c r="A241" s="134">
        <v>10121110</v>
      </c>
      <c r="B241" s="84"/>
      <c r="C241" s="85" t="str">
        <f>VLOOKUP(A241,'DAFTAR HARGA'!A:D,3,FALSE)</f>
        <v>OJ</v>
      </c>
      <c r="D241" s="84" t="s">
        <v>419</v>
      </c>
      <c r="E241" s="84">
        <f>VLOOKUP(A241,'DAFTAR HARGA'!A:D,4,FALSE)</f>
        <v>12500</v>
      </c>
      <c r="F241" s="86">
        <f>F240*10</f>
        <v>1.6999999999999998E-2</v>
      </c>
      <c r="G241" s="87" t="e">
        <f>VLOOKUP(A241,'DAFTAR HARGA'!A:D,5,FALSE)</f>
        <v>#REF!</v>
      </c>
      <c r="H241" s="87" t="e">
        <f>F241*G241</f>
        <v>#REF!</v>
      </c>
      <c r="I241" s="87">
        <v>91500</v>
      </c>
      <c r="J241" s="87">
        <f>F241*I241</f>
        <v>1555.4999999999998</v>
      </c>
      <c r="K241" s="87">
        <v>91500</v>
      </c>
      <c r="L241" s="87">
        <f>F241*K241</f>
        <v>1555.4999999999998</v>
      </c>
    </row>
    <row r="242" spans="1:12" ht="12" customHeight="1" x14ac:dyDescent="0.35">
      <c r="A242" s="134">
        <v>10131000</v>
      </c>
      <c r="B242" s="84"/>
      <c r="C242" s="85" t="str">
        <f>VLOOKUP(A242,'DAFTAR HARGA'!A:D,3,FALSE)</f>
        <v>OJ</v>
      </c>
      <c r="D242" s="84" t="s">
        <v>420</v>
      </c>
      <c r="E242" s="84">
        <f>VLOOKUP(A242,'DAFTAR HARGA'!A:D,4,FALSE)</f>
        <v>14375</v>
      </c>
      <c r="F242" s="86">
        <v>8.8999999999999999E-3</v>
      </c>
      <c r="G242" s="87" t="e">
        <f>VLOOKUP(A242,'DAFTAR HARGA'!A:D,5,FALSE)</f>
        <v>#REF!</v>
      </c>
      <c r="H242" s="87" t="e">
        <f>F242*G242</f>
        <v>#REF!</v>
      </c>
      <c r="I242" s="87">
        <v>92500</v>
      </c>
      <c r="J242" s="87">
        <f>F242*I242</f>
        <v>823.25</v>
      </c>
      <c r="K242" s="87">
        <v>92500</v>
      </c>
      <c r="L242" s="87">
        <f>F242*K242</f>
        <v>823.25</v>
      </c>
    </row>
    <row r="243" spans="1:12" ht="12" customHeight="1" x14ac:dyDescent="0.35">
      <c r="B243" s="84"/>
      <c r="C243" s="85"/>
      <c r="D243" s="84"/>
      <c r="E243" s="84"/>
      <c r="F243" s="86"/>
      <c r="G243" s="87"/>
      <c r="H243" s="87"/>
      <c r="I243" s="87"/>
      <c r="J243" s="87"/>
      <c r="K243" s="87"/>
      <c r="L243" s="87"/>
    </row>
    <row r="244" spans="1:12" ht="12" customHeight="1" x14ac:dyDescent="0.35">
      <c r="B244" s="84"/>
      <c r="C244" s="88"/>
      <c r="D244" s="79"/>
      <c r="E244" s="79"/>
      <c r="F244" s="89" t="s">
        <v>421</v>
      </c>
      <c r="G244" s="101"/>
      <c r="H244" s="87" t="e">
        <f>SUM(H240:H243)</f>
        <v>#REF!</v>
      </c>
      <c r="I244" s="101"/>
      <c r="J244" s="87">
        <f>SUM(J240:J243)</f>
        <v>2512.37</v>
      </c>
      <c r="K244" s="101"/>
      <c r="L244" s="87">
        <f>SUM(L240:L243)</f>
        <v>2512.37</v>
      </c>
    </row>
    <row r="245" spans="1:12" ht="12" customHeight="1" x14ac:dyDescent="0.35">
      <c r="B245" s="84" t="s">
        <v>6</v>
      </c>
      <c r="C245" s="88" t="s">
        <v>422</v>
      </c>
      <c r="D245" s="79"/>
      <c r="E245" s="79"/>
      <c r="F245" s="90"/>
      <c r="G245" s="84"/>
      <c r="H245" s="87"/>
      <c r="I245" s="84"/>
      <c r="J245" s="87"/>
      <c r="K245" s="84"/>
      <c r="L245" s="87"/>
    </row>
    <row r="246" spans="1:12" ht="12" customHeight="1" x14ac:dyDescent="0.35">
      <c r="B246" s="84"/>
      <c r="C246" s="85"/>
      <c r="D246" s="84"/>
      <c r="E246" s="84"/>
      <c r="F246" s="86"/>
      <c r="G246" s="87"/>
      <c r="H246" s="87">
        <f>F246*G246</f>
        <v>0</v>
      </c>
      <c r="I246" s="87">
        <v>232500</v>
      </c>
      <c r="J246" s="87">
        <f>F246*I246</f>
        <v>0</v>
      </c>
      <c r="K246" s="87">
        <v>270000</v>
      </c>
      <c r="L246" s="87">
        <f>F246*K246</f>
        <v>0</v>
      </c>
    </row>
    <row r="247" spans="1:12" ht="12" customHeight="1" x14ac:dyDescent="0.35">
      <c r="B247" s="84"/>
      <c r="C247" s="88"/>
      <c r="D247" s="79"/>
      <c r="E247" s="84"/>
      <c r="F247" s="102"/>
      <c r="G247" s="87"/>
      <c r="H247" s="87">
        <f>F247*G247</f>
        <v>0</v>
      </c>
      <c r="I247" s="87">
        <v>1060</v>
      </c>
      <c r="J247" s="87">
        <f>F247*I247</f>
        <v>0</v>
      </c>
      <c r="K247" s="87">
        <v>1060</v>
      </c>
      <c r="L247" s="87">
        <f>F247*K247</f>
        <v>0</v>
      </c>
    </row>
    <row r="248" spans="1:12" ht="12" customHeight="1" x14ac:dyDescent="0.35">
      <c r="B248" s="84"/>
      <c r="C248" s="88"/>
      <c r="D248" s="79"/>
      <c r="E248" s="84"/>
      <c r="F248" s="102"/>
      <c r="G248" s="87"/>
      <c r="H248" s="87">
        <f>F248*G248</f>
        <v>0</v>
      </c>
      <c r="I248" s="87">
        <v>215000</v>
      </c>
      <c r="J248" s="87">
        <f>F248*I248</f>
        <v>0</v>
      </c>
      <c r="K248" s="87">
        <v>250000</v>
      </c>
      <c r="L248" s="87">
        <f>F248*K248</f>
        <v>0</v>
      </c>
    </row>
    <row r="249" spans="1:12" ht="12" customHeight="1" x14ac:dyDescent="0.35">
      <c r="B249" s="84"/>
      <c r="C249" s="88"/>
      <c r="D249" s="79"/>
      <c r="E249" s="79"/>
      <c r="F249" s="89" t="s">
        <v>423</v>
      </c>
      <c r="G249" s="101"/>
      <c r="H249" s="87">
        <f>SUM(H246:H248)</f>
        <v>0</v>
      </c>
      <c r="I249" s="101"/>
      <c r="J249" s="87">
        <f>SUM(J246:J248)</f>
        <v>0</v>
      </c>
      <c r="K249" s="101"/>
      <c r="L249" s="87">
        <f>SUM(L246:L248)</f>
        <v>0</v>
      </c>
    </row>
    <row r="250" spans="1:12" ht="12" customHeight="1" x14ac:dyDescent="0.35">
      <c r="B250" s="84" t="s">
        <v>7</v>
      </c>
      <c r="C250" s="88" t="s">
        <v>424</v>
      </c>
      <c r="D250" s="79"/>
      <c r="E250" s="79"/>
      <c r="F250" s="90"/>
      <c r="G250" s="84"/>
      <c r="H250" s="87"/>
      <c r="I250" s="84"/>
      <c r="J250" s="87"/>
      <c r="K250" s="84"/>
      <c r="L250" s="87"/>
    </row>
    <row r="251" spans="1:12" ht="12" customHeight="1" x14ac:dyDescent="0.35">
      <c r="A251" s="134">
        <v>31100008</v>
      </c>
      <c r="B251" s="84"/>
      <c r="C251" s="85" t="str">
        <f>VLOOKUP(A251,'DAFTAR HARGA'!A:D,3,FALSE)</f>
        <v>jam</v>
      </c>
      <c r="D251" s="84" t="s">
        <v>418</v>
      </c>
      <c r="E251" s="84">
        <f>VLOOKUP(A251,'DAFTAR HARGA'!A:D,4,FALSE)</f>
        <v>449000</v>
      </c>
      <c r="F251" s="86">
        <v>8.8999999999999999E-3</v>
      </c>
      <c r="G251" s="87" t="e">
        <f>VLOOKUP(A251,'DAFTAR HARGA'!A:D,5,FALSE)</f>
        <v>#REF!</v>
      </c>
      <c r="H251" s="87" t="e">
        <f>F251*G251</f>
        <v>#REF!</v>
      </c>
      <c r="I251" s="87"/>
      <c r="J251" s="87" t="e">
        <f>H251*I251</f>
        <v>#REF!</v>
      </c>
      <c r="K251" s="87"/>
      <c r="L251" s="87" t="e">
        <f>J251*K251</f>
        <v>#REF!</v>
      </c>
    </row>
    <row r="252" spans="1:12" ht="12" customHeight="1" x14ac:dyDescent="0.35">
      <c r="B252" s="84"/>
      <c r="C252" s="88"/>
      <c r="D252" s="79"/>
      <c r="E252" s="79"/>
      <c r="F252" s="90"/>
      <c r="G252" s="87"/>
      <c r="H252" s="87"/>
      <c r="I252" s="87"/>
      <c r="J252" s="87"/>
      <c r="K252" s="87"/>
      <c r="L252" s="87"/>
    </row>
    <row r="253" spans="1:12" ht="12" customHeight="1" x14ac:dyDescent="0.35">
      <c r="B253" s="84"/>
      <c r="C253" s="88"/>
      <c r="D253" s="79"/>
      <c r="E253" s="79"/>
      <c r="F253" s="90"/>
      <c r="G253" s="87"/>
      <c r="H253" s="87">
        <f>F253*G253</f>
        <v>0</v>
      </c>
      <c r="I253" s="87"/>
      <c r="J253" s="87"/>
      <c r="K253" s="87"/>
      <c r="L253" s="87"/>
    </row>
    <row r="254" spans="1:12" ht="12" customHeight="1" x14ac:dyDescent="0.35">
      <c r="B254" s="84"/>
      <c r="C254" s="88"/>
      <c r="D254" s="79"/>
      <c r="E254" s="79"/>
      <c r="F254" s="89" t="s">
        <v>425</v>
      </c>
      <c r="G254" s="101"/>
      <c r="H254" s="87" t="e">
        <f>SUM(H251:H253)</f>
        <v>#REF!</v>
      </c>
      <c r="I254" s="101"/>
      <c r="J254" s="87" t="e">
        <f>SUM(J251)</f>
        <v>#REF!</v>
      </c>
      <c r="K254" s="101"/>
      <c r="L254" s="87" t="e">
        <f>SUM(L251)</f>
        <v>#REF!</v>
      </c>
    </row>
    <row r="255" spans="1:12" ht="12" customHeight="1" x14ac:dyDescent="0.35">
      <c r="B255" s="84" t="s">
        <v>8</v>
      </c>
      <c r="C255" s="103" t="s">
        <v>426</v>
      </c>
      <c r="D255" s="104"/>
      <c r="E255" s="104"/>
      <c r="F255" s="104"/>
      <c r="G255" s="105"/>
      <c r="H255" s="87" t="e">
        <f>H244+H249+H254</f>
        <v>#REF!</v>
      </c>
      <c r="I255" s="105"/>
      <c r="J255" s="87" t="e">
        <f>J244+J249+J254</f>
        <v>#REF!</v>
      </c>
      <c r="K255" s="105"/>
      <c r="L255" s="87" t="e">
        <f>L244+L249+L254</f>
        <v>#REF!</v>
      </c>
    </row>
    <row r="256" spans="1:12" ht="12" customHeight="1" x14ac:dyDescent="0.35">
      <c r="B256" s="84" t="s">
        <v>9</v>
      </c>
      <c r="C256" s="455" t="s">
        <v>427</v>
      </c>
      <c r="D256" s="455"/>
      <c r="E256" s="455"/>
      <c r="F256" s="95" t="str">
        <f>OP</f>
        <v>TANJUNG PALAS TENGAH</v>
      </c>
      <c r="G256" s="85" t="s">
        <v>428</v>
      </c>
      <c r="H256" s="87" t="e">
        <f>H255*F256</f>
        <v>#REF!</v>
      </c>
      <c r="I256" s="85" t="s">
        <v>428</v>
      </c>
      <c r="J256" s="87" t="e">
        <f>J255*F256</f>
        <v>#REF!</v>
      </c>
      <c r="K256" s="85" t="s">
        <v>428</v>
      </c>
      <c r="L256" s="87" t="e">
        <f>L255*F256</f>
        <v>#REF!</v>
      </c>
    </row>
    <row r="257" spans="1:12" ht="12" customHeight="1" x14ac:dyDescent="0.35">
      <c r="B257" s="84" t="s">
        <v>10</v>
      </c>
      <c r="C257" s="103" t="s">
        <v>429</v>
      </c>
      <c r="D257" s="104"/>
      <c r="E257" s="104"/>
      <c r="F257" s="104"/>
      <c r="G257" s="105"/>
      <c r="H257" s="96" t="e">
        <f>H255+H256</f>
        <v>#REF!</v>
      </c>
      <c r="I257" s="97"/>
      <c r="J257" s="96" t="e">
        <f>J255+J256</f>
        <v>#REF!</v>
      </c>
      <c r="K257" s="97"/>
      <c r="L257" s="96" t="e">
        <f>L255+L256</f>
        <v>#REF!</v>
      </c>
    </row>
    <row r="259" spans="1:12" ht="29" customHeight="1" x14ac:dyDescent="0.35">
      <c r="B259" s="76" t="s">
        <v>513</v>
      </c>
      <c r="C259" s="458" t="s">
        <v>517</v>
      </c>
      <c r="D259" s="459"/>
      <c r="E259" s="459"/>
      <c r="F259" s="459"/>
      <c r="G259" s="456"/>
      <c r="H259" s="457"/>
      <c r="I259" s="455" t="s">
        <v>3</v>
      </c>
      <c r="J259" s="455"/>
      <c r="K259" s="455" t="s">
        <v>4</v>
      </c>
      <c r="L259" s="455"/>
    </row>
    <row r="260" spans="1:12" ht="12" customHeight="1" x14ac:dyDescent="0.35">
      <c r="B260" s="451" t="s">
        <v>409</v>
      </c>
      <c r="C260" s="451" t="s">
        <v>410</v>
      </c>
      <c r="D260" s="452" t="s">
        <v>411</v>
      </c>
      <c r="E260" s="451" t="s">
        <v>412</v>
      </c>
      <c r="F260" s="451" t="s">
        <v>413</v>
      </c>
      <c r="G260" s="77" t="s">
        <v>414</v>
      </c>
      <c r="H260" s="77" t="s">
        <v>415</v>
      </c>
      <c r="I260" s="78" t="s">
        <v>414</v>
      </c>
      <c r="J260" s="79" t="s">
        <v>415</v>
      </c>
      <c r="K260" s="79" t="s">
        <v>414</v>
      </c>
      <c r="L260" s="79" t="s">
        <v>415</v>
      </c>
    </row>
    <row r="261" spans="1:12" ht="12" customHeight="1" x14ac:dyDescent="0.35">
      <c r="B261" s="451"/>
      <c r="C261" s="451"/>
      <c r="D261" s="453"/>
      <c r="E261" s="451"/>
      <c r="F261" s="451"/>
      <c r="G261" s="77" t="s">
        <v>17</v>
      </c>
      <c r="H261" s="77" t="s">
        <v>416</v>
      </c>
      <c r="I261" s="78" t="s">
        <v>17</v>
      </c>
      <c r="J261" s="79" t="s">
        <v>416</v>
      </c>
      <c r="K261" s="79" t="s">
        <v>17</v>
      </c>
      <c r="L261" s="79" t="s">
        <v>416</v>
      </c>
    </row>
    <row r="262" spans="1:12" ht="12" customHeight="1" x14ac:dyDescent="0.35">
      <c r="B262" s="451"/>
      <c r="C262" s="451"/>
      <c r="D262" s="454"/>
      <c r="E262" s="451"/>
      <c r="F262" s="451"/>
      <c r="G262" s="106"/>
      <c r="H262" s="77" t="s">
        <v>17</v>
      </c>
      <c r="I262" s="94"/>
      <c r="J262" s="79" t="s">
        <v>17</v>
      </c>
      <c r="K262" s="85"/>
      <c r="L262" s="79" t="s">
        <v>17</v>
      </c>
    </row>
    <row r="263" spans="1:12" ht="12" customHeight="1" x14ac:dyDescent="0.35">
      <c r="B263" s="80" t="s">
        <v>5</v>
      </c>
      <c r="C263" s="81" t="s">
        <v>417</v>
      </c>
      <c r="D263" s="82"/>
      <c r="E263" s="82"/>
      <c r="F263" s="82"/>
      <c r="G263" s="82"/>
      <c r="H263" s="82"/>
      <c r="I263" s="83"/>
      <c r="J263" s="83"/>
      <c r="K263" s="83"/>
      <c r="L263" s="83"/>
    </row>
    <row r="264" spans="1:12" ht="12" customHeight="1" x14ac:dyDescent="0.35">
      <c r="A264" s="134">
        <v>10111000</v>
      </c>
      <c r="B264" s="84"/>
      <c r="C264" s="85" t="str">
        <f>VLOOKUP(A264,'DAFTAR HARGA'!A:D,3,FALSE)</f>
        <v>OJ</v>
      </c>
      <c r="D264" s="84" t="s">
        <v>418</v>
      </c>
      <c r="E264" s="84">
        <f>VLOOKUP(A264,'DAFTAR HARGA'!A:D,4,FALSE)</f>
        <v>18750</v>
      </c>
      <c r="F264" s="86">
        <v>1.6999999999999999E-3</v>
      </c>
      <c r="G264" s="87" t="e">
        <f>VLOOKUP(A264,'DAFTAR HARGA'!A:D,5,FALSE)</f>
        <v>#REF!</v>
      </c>
      <c r="H264" s="87" t="e">
        <f>F264*G264</f>
        <v>#REF!</v>
      </c>
      <c r="I264" s="87">
        <v>78600</v>
      </c>
      <c r="J264" s="87">
        <f>F264*I264</f>
        <v>133.62</v>
      </c>
      <c r="K264" s="87">
        <v>78600</v>
      </c>
      <c r="L264" s="87">
        <f>F264*K264</f>
        <v>133.62</v>
      </c>
    </row>
    <row r="265" spans="1:12" ht="12" customHeight="1" x14ac:dyDescent="0.35">
      <c r="A265" s="134">
        <v>10121110</v>
      </c>
      <c r="B265" s="84"/>
      <c r="C265" s="85" t="str">
        <f>VLOOKUP(A265,'DAFTAR HARGA'!A:D,3,FALSE)</f>
        <v>OJ</v>
      </c>
      <c r="D265" s="84" t="s">
        <v>419</v>
      </c>
      <c r="E265" s="84">
        <f>VLOOKUP(A265,'DAFTAR HARGA'!A:D,4,FALSE)</f>
        <v>12500</v>
      </c>
      <c r="F265" s="86">
        <v>1.7299999999999999E-2</v>
      </c>
      <c r="G265" s="87" t="e">
        <f>VLOOKUP(A265,'DAFTAR HARGA'!A:D,5,FALSE)</f>
        <v>#REF!</v>
      </c>
      <c r="H265" s="87" t="e">
        <f>F265*G265</f>
        <v>#REF!</v>
      </c>
      <c r="I265" s="87">
        <v>91500</v>
      </c>
      <c r="J265" s="87">
        <f>F265*I265</f>
        <v>1582.95</v>
      </c>
      <c r="K265" s="87">
        <v>91500</v>
      </c>
      <c r="L265" s="87">
        <f>F265*K265</f>
        <v>1582.95</v>
      </c>
    </row>
    <row r="266" spans="1:12" ht="12" customHeight="1" x14ac:dyDescent="0.35">
      <c r="A266" s="134">
        <v>10131000</v>
      </c>
      <c r="B266" s="84"/>
      <c r="C266" s="85" t="str">
        <f>VLOOKUP(A266,'DAFTAR HARGA'!A:D,3,FALSE)</f>
        <v>OJ</v>
      </c>
      <c r="D266" s="84" t="s">
        <v>420</v>
      </c>
      <c r="E266" s="84">
        <f>VLOOKUP(A266,'DAFTAR HARGA'!A:D,4,FALSE)</f>
        <v>14375</v>
      </c>
      <c r="F266" s="86">
        <v>8.6999999999999994E-3</v>
      </c>
      <c r="G266" s="87" t="e">
        <f>VLOOKUP(A266,'DAFTAR HARGA'!A:D,5,FALSE)</f>
        <v>#REF!</v>
      </c>
      <c r="H266" s="87" t="e">
        <f>F266*G266</f>
        <v>#REF!</v>
      </c>
      <c r="I266" s="87">
        <v>92500</v>
      </c>
      <c r="J266" s="87">
        <f>F266*I266</f>
        <v>804.75</v>
      </c>
      <c r="K266" s="87">
        <v>92500</v>
      </c>
      <c r="L266" s="87">
        <f>F266*K266</f>
        <v>804.75</v>
      </c>
    </row>
    <row r="267" spans="1:12" ht="12" customHeight="1" x14ac:dyDescent="0.35">
      <c r="B267" s="84"/>
      <c r="C267" s="85"/>
      <c r="D267" s="84"/>
      <c r="E267" s="84"/>
      <c r="F267" s="86"/>
      <c r="G267" s="87"/>
      <c r="H267" s="87"/>
      <c r="I267" s="87"/>
      <c r="J267" s="87"/>
      <c r="K267" s="87"/>
      <c r="L267" s="87"/>
    </row>
    <row r="268" spans="1:12" ht="12" customHeight="1" x14ac:dyDescent="0.35">
      <c r="B268" s="84"/>
      <c r="C268" s="88"/>
      <c r="D268" s="79"/>
      <c r="E268" s="79"/>
      <c r="F268" s="89" t="s">
        <v>421</v>
      </c>
      <c r="G268" s="101"/>
      <c r="H268" s="87" t="e">
        <f>SUM(H264:H267)</f>
        <v>#REF!</v>
      </c>
      <c r="I268" s="101"/>
      <c r="J268" s="87">
        <f>SUM(J264:J267)</f>
        <v>2521.3200000000002</v>
      </c>
      <c r="K268" s="101"/>
      <c r="L268" s="87">
        <f>SUM(L264:L267)</f>
        <v>2521.3200000000002</v>
      </c>
    </row>
    <row r="269" spans="1:12" ht="12" customHeight="1" x14ac:dyDescent="0.35">
      <c r="B269" s="84" t="s">
        <v>6</v>
      </c>
      <c r="C269" s="88" t="s">
        <v>422</v>
      </c>
      <c r="D269" s="79"/>
      <c r="E269" s="79"/>
      <c r="F269" s="90"/>
      <c r="G269" s="84"/>
      <c r="H269" s="87"/>
      <c r="I269" s="84"/>
      <c r="J269" s="87"/>
      <c r="K269" s="84"/>
      <c r="L269" s="87"/>
    </row>
    <row r="270" spans="1:12" ht="12" customHeight="1" x14ac:dyDescent="0.35">
      <c r="B270" s="84"/>
      <c r="C270" s="85"/>
      <c r="D270" s="84"/>
      <c r="E270" s="84"/>
      <c r="F270" s="86"/>
      <c r="G270" s="87"/>
      <c r="H270" s="87">
        <f>F270*G270</f>
        <v>0</v>
      </c>
      <c r="I270" s="87">
        <v>232500</v>
      </c>
      <c r="J270" s="87">
        <f>F270*I270</f>
        <v>0</v>
      </c>
      <c r="K270" s="87">
        <v>270000</v>
      </c>
      <c r="L270" s="87">
        <f>F270*K270</f>
        <v>0</v>
      </c>
    </row>
    <row r="271" spans="1:12" ht="12" customHeight="1" x14ac:dyDescent="0.35">
      <c r="B271" s="84"/>
      <c r="C271" s="88"/>
      <c r="D271" s="79"/>
      <c r="E271" s="84"/>
      <c r="F271" s="102"/>
      <c r="G271" s="87"/>
      <c r="H271" s="87">
        <f>F271*G271</f>
        <v>0</v>
      </c>
      <c r="I271" s="87">
        <v>1060</v>
      </c>
      <c r="J271" s="87">
        <f>F271*I271</f>
        <v>0</v>
      </c>
      <c r="K271" s="87">
        <v>1060</v>
      </c>
      <c r="L271" s="87">
        <f>F271*K271</f>
        <v>0</v>
      </c>
    </row>
    <row r="272" spans="1:12" ht="12" customHeight="1" x14ac:dyDescent="0.35">
      <c r="B272" s="84"/>
      <c r="C272" s="88"/>
      <c r="D272" s="79"/>
      <c r="E272" s="84"/>
      <c r="F272" s="102"/>
      <c r="G272" s="87"/>
      <c r="H272" s="87">
        <f>F272*G272</f>
        <v>0</v>
      </c>
      <c r="I272" s="87">
        <v>215000</v>
      </c>
      <c r="J272" s="87">
        <f>F272*I272</f>
        <v>0</v>
      </c>
      <c r="K272" s="87">
        <v>250000</v>
      </c>
      <c r="L272" s="87">
        <f>F272*K272</f>
        <v>0</v>
      </c>
    </row>
    <row r="273" spans="1:12" ht="12" customHeight="1" x14ac:dyDescent="0.35">
      <c r="B273" s="84"/>
      <c r="C273" s="88"/>
      <c r="D273" s="79"/>
      <c r="E273" s="79"/>
      <c r="F273" s="89" t="s">
        <v>423</v>
      </c>
      <c r="G273" s="101"/>
      <c r="H273" s="87">
        <f>SUM(H270:H272)</f>
        <v>0</v>
      </c>
      <c r="I273" s="101"/>
      <c r="J273" s="87">
        <f>SUM(J270:J272)</f>
        <v>0</v>
      </c>
      <c r="K273" s="101"/>
      <c r="L273" s="87">
        <f>SUM(L270:L272)</f>
        <v>0</v>
      </c>
    </row>
    <row r="274" spans="1:12" ht="12" customHeight="1" x14ac:dyDescent="0.35">
      <c r="B274" s="84" t="s">
        <v>7</v>
      </c>
      <c r="C274" s="88" t="s">
        <v>424</v>
      </c>
      <c r="D274" s="79"/>
      <c r="E274" s="79"/>
      <c r="F274" s="90"/>
      <c r="G274" s="84"/>
      <c r="H274" s="87"/>
      <c r="I274" s="84"/>
      <c r="J274" s="87"/>
      <c r="K274" s="84"/>
      <c r="L274" s="87"/>
    </row>
    <row r="275" spans="1:12" ht="12" customHeight="1" x14ac:dyDescent="0.35">
      <c r="A275" s="134">
        <v>31100008</v>
      </c>
      <c r="B275" s="84"/>
      <c r="C275" s="85" t="str">
        <f>VLOOKUP(A275,'DAFTAR HARGA'!A:D,3,FALSE)</f>
        <v>jam</v>
      </c>
      <c r="D275" s="84" t="s">
        <v>418</v>
      </c>
      <c r="E275" s="84">
        <f>VLOOKUP(A275,'DAFTAR HARGA'!A:D,4,FALSE)</f>
        <v>449000</v>
      </c>
      <c r="F275" s="86">
        <v>8.6999999999999994E-3</v>
      </c>
      <c r="G275" s="87" t="e">
        <f>VLOOKUP(A275,'DAFTAR HARGA'!A:D,5,FALSE)</f>
        <v>#REF!</v>
      </c>
      <c r="H275" s="87" t="e">
        <f>F275*G275</f>
        <v>#REF!</v>
      </c>
      <c r="I275" s="87"/>
      <c r="J275" s="87" t="e">
        <f>H275*I275</f>
        <v>#REF!</v>
      </c>
      <c r="K275" s="87"/>
      <c r="L275" s="87" t="e">
        <f>J275*K275</f>
        <v>#REF!</v>
      </c>
    </row>
    <row r="276" spans="1:12" ht="12" customHeight="1" x14ac:dyDescent="0.35">
      <c r="B276" s="84"/>
      <c r="C276" s="88"/>
      <c r="D276" s="79"/>
      <c r="E276" s="79"/>
      <c r="F276" s="90"/>
      <c r="G276" s="87"/>
      <c r="H276" s="87"/>
      <c r="I276" s="87"/>
      <c r="J276" s="87"/>
      <c r="K276" s="87"/>
      <c r="L276" s="87"/>
    </row>
    <row r="277" spans="1:12" ht="12" customHeight="1" x14ac:dyDescent="0.35">
      <c r="B277" s="84"/>
      <c r="C277" s="88"/>
      <c r="D277" s="79"/>
      <c r="E277" s="79"/>
      <c r="F277" s="90"/>
      <c r="G277" s="87"/>
      <c r="H277" s="87">
        <f>F277*G277</f>
        <v>0</v>
      </c>
      <c r="I277" s="87"/>
      <c r="J277" s="87"/>
      <c r="K277" s="87"/>
      <c r="L277" s="87"/>
    </row>
    <row r="278" spans="1:12" ht="12" customHeight="1" x14ac:dyDescent="0.35">
      <c r="B278" s="84"/>
      <c r="C278" s="88"/>
      <c r="D278" s="79"/>
      <c r="E278" s="79"/>
      <c r="F278" s="89" t="s">
        <v>425</v>
      </c>
      <c r="G278" s="101"/>
      <c r="H278" s="87" t="e">
        <f>SUM(H275:H277)</f>
        <v>#REF!</v>
      </c>
      <c r="I278" s="101"/>
      <c r="J278" s="87" t="e">
        <f>SUM(J275)</f>
        <v>#REF!</v>
      </c>
      <c r="K278" s="101"/>
      <c r="L278" s="87" t="e">
        <f>SUM(L275)</f>
        <v>#REF!</v>
      </c>
    </row>
    <row r="279" spans="1:12" ht="12" customHeight="1" x14ac:dyDescent="0.35">
      <c r="B279" s="84" t="s">
        <v>8</v>
      </c>
      <c r="C279" s="103" t="s">
        <v>426</v>
      </c>
      <c r="D279" s="104"/>
      <c r="E279" s="104"/>
      <c r="F279" s="104"/>
      <c r="G279" s="105"/>
      <c r="H279" s="87" t="e">
        <f>H268+H273+H278</f>
        <v>#REF!</v>
      </c>
      <c r="I279" s="105"/>
      <c r="J279" s="87" t="e">
        <f>J268+J273+J278</f>
        <v>#REF!</v>
      </c>
      <c r="K279" s="105"/>
      <c r="L279" s="87" t="e">
        <f>L268+L273+L278</f>
        <v>#REF!</v>
      </c>
    </row>
    <row r="280" spans="1:12" ht="12" customHeight="1" x14ac:dyDescent="0.35">
      <c r="B280" s="84" t="s">
        <v>9</v>
      </c>
      <c r="C280" s="455" t="s">
        <v>427</v>
      </c>
      <c r="D280" s="455"/>
      <c r="E280" s="455"/>
      <c r="F280" s="95" t="str">
        <f>OP</f>
        <v>TANJUNG PALAS TENGAH</v>
      </c>
      <c r="G280" s="85" t="s">
        <v>428</v>
      </c>
      <c r="H280" s="87" t="e">
        <f>H279*F280</f>
        <v>#REF!</v>
      </c>
      <c r="I280" s="85" t="s">
        <v>428</v>
      </c>
      <c r="J280" s="87" t="e">
        <f>J279*F280</f>
        <v>#REF!</v>
      </c>
      <c r="K280" s="85" t="s">
        <v>428</v>
      </c>
      <c r="L280" s="87" t="e">
        <f>L279*F280</f>
        <v>#REF!</v>
      </c>
    </row>
    <row r="281" spans="1:12" ht="12" customHeight="1" x14ac:dyDescent="0.35">
      <c r="B281" s="84" t="s">
        <v>10</v>
      </c>
      <c r="C281" s="103" t="s">
        <v>429</v>
      </c>
      <c r="D281" s="104"/>
      <c r="E281" s="104"/>
      <c r="F281" s="104"/>
      <c r="G281" s="105"/>
      <c r="H281" s="96" t="e">
        <f>H279+H280</f>
        <v>#REF!</v>
      </c>
      <c r="I281" s="97"/>
      <c r="J281" s="96" t="e">
        <f>J279+J280</f>
        <v>#REF!</v>
      </c>
      <c r="K281" s="97"/>
      <c r="L281" s="96" t="e">
        <f>L279+L280</f>
        <v>#REF!</v>
      </c>
    </row>
    <row r="283" spans="1:12" ht="29" customHeight="1" x14ac:dyDescent="0.35">
      <c r="B283" s="76" t="s">
        <v>514</v>
      </c>
      <c r="C283" s="458" t="s">
        <v>518</v>
      </c>
      <c r="D283" s="459"/>
      <c r="E283" s="459"/>
      <c r="F283" s="459"/>
      <c r="G283" s="456"/>
      <c r="H283" s="457"/>
      <c r="I283" s="455" t="s">
        <v>3</v>
      </c>
      <c r="J283" s="455"/>
      <c r="K283" s="455" t="s">
        <v>4</v>
      </c>
      <c r="L283" s="455"/>
    </row>
    <row r="284" spans="1:12" ht="12" customHeight="1" x14ac:dyDescent="0.35">
      <c r="B284" s="451" t="s">
        <v>409</v>
      </c>
      <c r="C284" s="451" t="s">
        <v>410</v>
      </c>
      <c r="D284" s="452" t="s">
        <v>411</v>
      </c>
      <c r="E284" s="451" t="s">
        <v>412</v>
      </c>
      <c r="F284" s="451" t="s">
        <v>413</v>
      </c>
      <c r="G284" s="77" t="s">
        <v>414</v>
      </c>
      <c r="H284" s="77" t="s">
        <v>415</v>
      </c>
      <c r="I284" s="78" t="s">
        <v>414</v>
      </c>
      <c r="J284" s="79" t="s">
        <v>415</v>
      </c>
      <c r="K284" s="79" t="s">
        <v>414</v>
      </c>
      <c r="L284" s="79" t="s">
        <v>415</v>
      </c>
    </row>
    <row r="285" spans="1:12" ht="12" customHeight="1" x14ac:dyDescent="0.35">
      <c r="B285" s="451"/>
      <c r="C285" s="451"/>
      <c r="D285" s="453"/>
      <c r="E285" s="451"/>
      <c r="F285" s="451"/>
      <c r="G285" s="77" t="s">
        <v>17</v>
      </c>
      <c r="H285" s="77" t="s">
        <v>416</v>
      </c>
      <c r="I285" s="78" t="s">
        <v>17</v>
      </c>
      <c r="J285" s="79" t="s">
        <v>416</v>
      </c>
      <c r="K285" s="79" t="s">
        <v>17</v>
      </c>
      <c r="L285" s="79" t="s">
        <v>416</v>
      </c>
    </row>
    <row r="286" spans="1:12" ht="12" customHeight="1" x14ac:dyDescent="0.35">
      <c r="B286" s="451"/>
      <c r="C286" s="451"/>
      <c r="D286" s="454"/>
      <c r="E286" s="451"/>
      <c r="F286" s="451"/>
      <c r="G286" s="106"/>
      <c r="H286" s="77" t="s">
        <v>17</v>
      </c>
      <c r="I286" s="94"/>
      <c r="J286" s="79" t="s">
        <v>17</v>
      </c>
      <c r="K286" s="85"/>
      <c r="L286" s="79" t="s">
        <v>17</v>
      </c>
    </row>
    <row r="287" spans="1:12" ht="12" customHeight="1" x14ac:dyDescent="0.35">
      <c r="B287" s="80" t="s">
        <v>5</v>
      </c>
      <c r="C287" s="81" t="s">
        <v>417</v>
      </c>
      <c r="D287" s="82"/>
      <c r="E287" s="82"/>
      <c r="F287" s="82"/>
      <c r="G287" s="82"/>
      <c r="H287" s="82"/>
      <c r="I287" s="83"/>
      <c r="J287" s="83"/>
      <c r="K287" s="83"/>
      <c r="L287" s="83"/>
    </row>
    <row r="288" spans="1:12" ht="12" customHeight="1" x14ac:dyDescent="0.35">
      <c r="A288" s="134">
        <v>10111000</v>
      </c>
      <c r="B288" s="84"/>
      <c r="C288" s="85" t="str">
        <f>VLOOKUP(A288,'DAFTAR HARGA'!A:D,3,FALSE)</f>
        <v>OJ</v>
      </c>
      <c r="D288" s="84" t="s">
        <v>418</v>
      </c>
      <c r="E288" s="84">
        <f>VLOOKUP(A288,'DAFTAR HARGA'!A:D,4,FALSE)</f>
        <v>18750</v>
      </c>
      <c r="F288" s="86">
        <v>2.3999999999999998E-3</v>
      </c>
      <c r="G288" s="87" t="e">
        <f>VLOOKUP(A288,'DAFTAR HARGA'!A:D,5,FALSE)</f>
        <v>#REF!</v>
      </c>
      <c r="H288" s="87" t="e">
        <f>F288*G288</f>
        <v>#REF!</v>
      </c>
      <c r="I288" s="87">
        <v>78600</v>
      </c>
      <c r="J288" s="87">
        <f>F288*I288</f>
        <v>188.64</v>
      </c>
      <c r="K288" s="87">
        <v>78600</v>
      </c>
      <c r="L288" s="87">
        <f>F288*K288</f>
        <v>188.64</v>
      </c>
    </row>
    <row r="289" spans="1:12" ht="12" customHeight="1" x14ac:dyDescent="0.35">
      <c r="A289" s="134">
        <v>10121110</v>
      </c>
      <c r="B289" s="84"/>
      <c r="C289" s="85" t="str">
        <f>VLOOKUP(A289,'DAFTAR HARGA'!A:D,3,FALSE)</f>
        <v>OJ</v>
      </c>
      <c r="D289" s="84" t="s">
        <v>419</v>
      </c>
      <c r="E289" s="84">
        <f>VLOOKUP(A289,'DAFTAR HARGA'!A:D,4,FALSE)</f>
        <v>12500</v>
      </c>
      <c r="F289" s="86">
        <v>1.24E-2</v>
      </c>
      <c r="G289" s="87" t="e">
        <f>VLOOKUP(A289,'DAFTAR HARGA'!A:D,5,FALSE)</f>
        <v>#REF!</v>
      </c>
      <c r="H289" s="87" t="e">
        <f>F289*G289</f>
        <v>#REF!</v>
      </c>
      <c r="I289" s="87">
        <v>91500</v>
      </c>
      <c r="J289" s="87">
        <f>F289*I289</f>
        <v>1134.5999999999999</v>
      </c>
      <c r="K289" s="87">
        <v>91500</v>
      </c>
      <c r="L289" s="87">
        <f>F289*K289</f>
        <v>1134.5999999999999</v>
      </c>
    </row>
    <row r="290" spans="1:12" ht="12" customHeight="1" x14ac:dyDescent="0.35">
      <c r="A290" s="134">
        <v>10131000</v>
      </c>
      <c r="B290" s="84"/>
      <c r="C290" s="85" t="str">
        <f>VLOOKUP(A290,'DAFTAR HARGA'!A:D,3,FALSE)</f>
        <v>OJ</v>
      </c>
      <c r="D290" s="84" t="s">
        <v>420</v>
      </c>
      <c r="E290" s="84">
        <f>VLOOKUP(A290,'DAFTAR HARGA'!A:D,4,FALSE)</f>
        <v>14375</v>
      </c>
      <c r="F290" s="86">
        <v>2.4799999999999999E-2</v>
      </c>
      <c r="G290" s="87" t="e">
        <f>VLOOKUP(A290,'DAFTAR HARGA'!A:D,5,FALSE)</f>
        <v>#REF!</v>
      </c>
      <c r="H290" s="87" t="e">
        <f>F290*G290</f>
        <v>#REF!</v>
      </c>
      <c r="I290" s="87">
        <v>92500</v>
      </c>
      <c r="J290" s="87">
        <f>F290*I290</f>
        <v>2294</v>
      </c>
      <c r="K290" s="87">
        <v>92500</v>
      </c>
      <c r="L290" s="87">
        <f>F290*K290</f>
        <v>2294</v>
      </c>
    </row>
    <row r="291" spans="1:12" ht="12" customHeight="1" x14ac:dyDescent="0.35">
      <c r="B291" s="84"/>
      <c r="C291" s="85"/>
      <c r="D291" s="84"/>
      <c r="E291" s="84"/>
      <c r="F291" s="86"/>
      <c r="G291" s="87"/>
      <c r="H291" s="87"/>
      <c r="I291" s="87"/>
      <c r="J291" s="87"/>
      <c r="K291" s="87"/>
      <c r="L291" s="87"/>
    </row>
    <row r="292" spans="1:12" ht="12" customHeight="1" x14ac:dyDescent="0.35">
      <c r="B292" s="84"/>
      <c r="C292" s="88"/>
      <c r="D292" s="79"/>
      <c r="E292" s="79"/>
      <c r="F292" s="89" t="s">
        <v>421</v>
      </c>
      <c r="G292" s="101"/>
      <c r="H292" s="87" t="e">
        <f>SUM(H288:H291)</f>
        <v>#REF!</v>
      </c>
      <c r="I292" s="101"/>
      <c r="J292" s="87">
        <f>SUM(J288:J291)</f>
        <v>3617.24</v>
      </c>
      <c r="K292" s="101"/>
      <c r="L292" s="87">
        <f>SUM(L288:L291)</f>
        <v>3617.24</v>
      </c>
    </row>
    <row r="293" spans="1:12" ht="12" customHeight="1" x14ac:dyDescent="0.35">
      <c r="B293" s="84" t="s">
        <v>6</v>
      </c>
      <c r="C293" s="88" t="s">
        <v>422</v>
      </c>
      <c r="D293" s="79"/>
      <c r="E293" s="79"/>
      <c r="F293" s="90"/>
      <c r="G293" s="84"/>
      <c r="H293" s="87"/>
      <c r="I293" s="84"/>
      <c r="J293" s="87"/>
      <c r="K293" s="84"/>
      <c r="L293" s="87"/>
    </row>
    <row r="294" spans="1:12" ht="12" customHeight="1" x14ac:dyDescent="0.35">
      <c r="B294" s="84"/>
      <c r="C294" s="85"/>
      <c r="D294" s="84"/>
      <c r="E294" s="84"/>
      <c r="F294" s="86"/>
      <c r="G294" s="87"/>
      <c r="H294" s="87">
        <f>F294*G294</f>
        <v>0</v>
      </c>
      <c r="I294" s="87">
        <v>232500</v>
      </c>
      <c r="J294" s="87">
        <f>F294*I294</f>
        <v>0</v>
      </c>
      <c r="K294" s="87">
        <v>270000</v>
      </c>
      <c r="L294" s="87">
        <f>F294*K294</f>
        <v>0</v>
      </c>
    </row>
    <row r="295" spans="1:12" ht="12" customHeight="1" x14ac:dyDescent="0.35">
      <c r="B295" s="84"/>
      <c r="C295" s="88"/>
      <c r="D295" s="79"/>
      <c r="E295" s="84"/>
      <c r="F295" s="102"/>
      <c r="G295" s="87"/>
      <c r="H295" s="87">
        <f>F295*G295</f>
        <v>0</v>
      </c>
      <c r="I295" s="87">
        <v>1060</v>
      </c>
      <c r="J295" s="87">
        <f>F295*I295</f>
        <v>0</v>
      </c>
      <c r="K295" s="87">
        <v>1060</v>
      </c>
      <c r="L295" s="87">
        <f>F295*K295</f>
        <v>0</v>
      </c>
    </row>
    <row r="296" spans="1:12" ht="12" customHeight="1" x14ac:dyDescent="0.35">
      <c r="B296" s="84"/>
      <c r="C296" s="88"/>
      <c r="D296" s="79"/>
      <c r="E296" s="84"/>
      <c r="F296" s="102"/>
      <c r="G296" s="87"/>
      <c r="H296" s="87">
        <f>F296*G296</f>
        <v>0</v>
      </c>
      <c r="I296" s="87">
        <v>215000</v>
      </c>
      <c r="J296" s="87">
        <f>F296*I296</f>
        <v>0</v>
      </c>
      <c r="K296" s="87">
        <v>250000</v>
      </c>
      <c r="L296" s="87">
        <f>F296*K296</f>
        <v>0</v>
      </c>
    </row>
    <row r="297" spans="1:12" ht="12" customHeight="1" x14ac:dyDescent="0.35">
      <c r="B297" s="84"/>
      <c r="C297" s="88"/>
      <c r="D297" s="79"/>
      <c r="E297" s="79"/>
      <c r="F297" s="89"/>
      <c r="G297" s="101"/>
      <c r="H297" s="87">
        <f>SUM(H294:H296)</f>
        <v>0</v>
      </c>
      <c r="I297" s="101"/>
      <c r="J297" s="87">
        <f>SUM(J294:J296)</f>
        <v>0</v>
      </c>
      <c r="K297" s="101"/>
      <c r="L297" s="87">
        <f>SUM(L294:L296)</f>
        <v>0</v>
      </c>
    </row>
    <row r="298" spans="1:12" ht="12" customHeight="1" x14ac:dyDescent="0.35">
      <c r="B298" s="84" t="s">
        <v>7</v>
      </c>
      <c r="C298" s="88" t="s">
        <v>424</v>
      </c>
      <c r="D298" s="79"/>
      <c r="E298" s="79"/>
      <c r="F298" s="90"/>
      <c r="G298" s="84"/>
      <c r="H298" s="87"/>
      <c r="I298" s="84"/>
      <c r="J298" s="87"/>
      <c r="K298" s="84"/>
      <c r="L298" s="87"/>
    </row>
    <row r="299" spans="1:12" ht="12" customHeight="1" x14ac:dyDescent="0.35">
      <c r="A299" s="134">
        <v>31100008</v>
      </c>
      <c r="B299" s="84"/>
      <c r="C299" s="85" t="str">
        <f>VLOOKUP(A299,'DAFTAR HARGA'!A:D,3,FALSE)</f>
        <v>jam</v>
      </c>
      <c r="D299" s="84" t="s">
        <v>418</v>
      </c>
      <c r="E299" s="84">
        <f>VLOOKUP(A299,'DAFTAR HARGA'!A:D,4,FALSE)</f>
        <v>449000</v>
      </c>
      <c r="F299" s="127">
        <v>1.24E-2</v>
      </c>
      <c r="G299" s="87" t="e">
        <f>VLOOKUP(A299,'DAFTAR HARGA'!A:D,5,FALSE)</f>
        <v>#REF!</v>
      </c>
      <c r="H299" s="87" t="e">
        <f>F299*G299</f>
        <v>#REF!</v>
      </c>
      <c r="I299" s="87"/>
      <c r="J299" s="87" t="e">
        <f>H299*I299</f>
        <v>#REF!</v>
      </c>
      <c r="K299" s="87"/>
      <c r="L299" s="87" t="e">
        <f>J299*K299</f>
        <v>#REF!</v>
      </c>
    </row>
    <row r="300" spans="1:12" ht="12" customHeight="1" x14ac:dyDescent="0.35">
      <c r="B300" s="84"/>
      <c r="C300" s="88"/>
      <c r="D300" s="79"/>
      <c r="E300" s="79"/>
      <c r="F300" s="90"/>
      <c r="G300" s="87"/>
      <c r="H300" s="87"/>
      <c r="I300" s="87"/>
      <c r="J300" s="87"/>
      <c r="K300" s="87"/>
      <c r="L300" s="87"/>
    </row>
    <row r="301" spans="1:12" ht="12" customHeight="1" x14ac:dyDescent="0.35">
      <c r="B301" s="84"/>
      <c r="C301" s="88"/>
      <c r="D301" s="79"/>
      <c r="E301" s="79"/>
      <c r="F301" s="90"/>
      <c r="G301" s="87"/>
      <c r="H301" s="87">
        <f>F301*G301</f>
        <v>0</v>
      </c>
      <c r="I301" s="87"/>
      <c r="J301" s="87"/>
      <c r="K301" s="87"/>
      <c r="L301" s="87"/>
    </row>
    <row r="302" spans="1:12" ht="12" customHeight="1" x14ac:dyDescent="0.35">
      <c r="B302" s="84"/>
      <c r="C302" s="88"/>
      <c r="D302" s="79"/>
      <c r="E302" s="79"/>
      <c r="F302" s="89" t="s">
        <v>425</v>
      </c>
      <c r="G302" s="101"/>
      <c r="H302" s="87" t="e">
        <f>SUM(H299:H301)</f>
        <v>#REF!</v>
      </c>
      <c r="I302" s="101"/>
      <c r="J302" s="87" t="e">
        <f>SUM(J299)</f>
        <v>#REF!</v>
      </c>
      <c r="K302" s="101"/>
      <c r="L302" s="87" t="e">
        <f>SUM(L299)</f>
        <v>#REF!</v>
      </c>
    </row>
    <row r="303" spans="1:12" ht="12" customHeight="1" x14ac:dyDescent="0.35">
      <c r="B303" s="84" t="s">
        <v>8</v>
      </c>
      <c r="C303" s="103" t="s">
        <v>426</v>
      </c>
      <c r="D303" s="104"/>
      <c r="E303" s="104"/>
      <c r="F303" s="104"/>
      <c r="G303" s="105"/>
      <c r="H303" s="87" t="e">
        <f>H292+H297+H302</f>
        <v>#REF!</v>
      </c>
      <c r="I303" s="105"/>
      <c r="J303" s="87" t="e">
        <f>J292+J297+J302</f>
        <v>#REF!</v>
      </c>
      <c r="K303" s="105"/>
      <c r="L303" s="87" t="e">
        <f>L292+L297+L302</f>
        <v>#REF!</v>
      </c>
    </row>
    <row r="304" spans="1:12" ht="12" customHeight="1" x14ac:dyDescent="0.35">
      <c r="B304" s="84" t="s">
        <v>9</v>
      </c>
      <c r="C304" s="455" t="s">
        <v>427</v>
      </c>
      <c r="D304" s="455"/>
      <c r="E304" s="455"/>
      <c r="F304" s="95" t="str">
        <f>OP</f>
        <v>TANJUNG PALAS TENGAH</v>
      </c>
      <c r="G304" s="85" t="s">
        <v>428</v>
      </c>
      <c r="H304" s="87" t="e">
        <f>H303*F304</f>
        <v>#REF!</v>
      </c>
      <c r="I304" s="85" t="s">
        <v>428</v>
      </c>
      <c r="J304" s="87" t="e">
        <f>J303*F304</f>
        <v>#REF!</v>
      </c>
      <c r="K304" s="85" t="s">
        <v>428</v>
      </c>
      <c r="L304" s="87" t="e">
        <f>L303*F304</f>
        <v>#REF!</v>
      </c>
    </row>
    <row r="305" spans="1:12" ht="12" customHeight="1" x14ac:dyDescent="0.35">
      <c r="B305" s="84" t="s">
        <v>10</v>
      </c>
      <c r="C305" s="103" t="s">
        <v>429</v>
      </c>
      <c r="D305" s="104"/>
      <c r="E305" s="104"/>
      <c r="F305" s="104"/>
      <c r="G305" s="105"/>
      <c r="H305" s="96" t="e">
        <f>H303+H304</f>
        <v>#REF!</v>
      </c>
      <c r="I305" s="97"/>
      <c r="J305" s="96" t="e">
        <f>J303+J304</f>
        <v>#REF!</v>
      </c>
      <c r="K305" s="97"/>
      <c r="L305" s="96" t="e">
        <f>L303+L304</f>
        <v>#REF!</v>
      </c>
    </row>
    <row r="307" spans="1:12" ht="29" customHeight="1" x14ac:dyDescent="0.35">
      <c r="B307" s="76" t="s">
        <v>520</v>
      </c>
      <c r="C307" s="458" t="s">
        <v>519</v>
      </c>
      <c r="D307" s="459"/>
      <c r="E307" s="459"/>
      <c r="F307" s="459"/>
      <c r="G307" s="456"/>
      <c r="H307" s="457"/>
      <c r="I307" s="455" t="s">
        <v>3</v>
      </c>
      <c r="J307" s="455"/>
      <c r="K307" s="455" t="s">
        <v>4</v>
      </c>
      <c r="L307" s="455"/>
    </row>
    <row r="308" spans="1:12" ht="12" customHeight="1" x14ac:dyDescent="0.35">
      <c r="B308" s="451" t="s">
        <v>409</v>
      </c>
      <c r="C308" s="451" t="s">
        <v>410</v>
      </c>
      <c r="D308" s="452" t="s">
        <v>411</v>
      </c>
      <c r="E308" s="451" t="s">
        <v>412</v>
      </c>
      <c r="F308" s="451" t="s">
        <v>413</v>
      </c>
      <c r="G308" s="77" t="s">
        <v>414</v>
      </c>
      <c r="H308" s="77" t="s">
        <v>415</v>
      </c>
      <c r="I308" s="78" t="s">
        <v>414</v>
      </c>
      <c r="J308" s="79" t="s">
        <v>415</v>
      </c>
      <c r="K308" s="79" t="s">
        <v>414</v>
      </c>
      <c r="L308" s="79" t="s">
        <v>415</v>
      </c>
    </row>
    <row r="309" spans="1:12" ht="12" customHeight="1" x14ac:dyDescent="0.35">
      <c r="B309" s="451"/>
      <c r="C309" s="451"/>
      <c r="D309" s="453"/>
      <c r="E309" s="451"/>
      <c r="F309" s="451"/>
      <c r="G309" s="77" t="s">
        <v>17</v>
      </c>
      <c r="H309" s="77" t="s">
        <v>416</v>
      </c>
      <c r="I309" s="78" t="s">
        <v>17</v>
      </c>
      <c r="J309" s="79" t="s">
        <v>416</v>
      </c>
      <c r="K309" s="79" t="s">
        <v>17</v>
      </c>
      <c r="L309" s="79" t="s">
        <v>416</v>
      </c>
    </row>
    <row r="310" spans="1:12" ht="12" customHeight="1" x14ac:dyDescent="0.35">
      <c r="B310" s="451"/>
      <c r="C310" s="451"/>
      <c r="D310" s="454"/>
      <c r="E310" s="451"/>
      <c r="F310" s="451"/>
      <c r="G310" s="106"/>
      <c r="H310" s="77" t="s">
        <v>17</v>
      </c>
      <c r="I310" s="94"/>
      <c r="J310" s="79" t="s">
        <v>17</v>
      </c>
      <c r="K310" s="85"/>
      <c r="L310" s="79" t="s">
        <v>17</v>
      </c>
    </row>
    <row r="311" spans="1:12" ht="12" customHeight="1" x14ac:dyDescent="0.35">
      <c r="B311" s="80" t="s">
        <v>5</v>
      </c>
      <c r="C311" s="81" t="s">
        <v>417</v>
      </c>
      <c r="D311" s="82"/>
      <c r="E311" s="82"/>
      <c r="F311" s="82"/>
      <c r="G311" s="82"/>
      <c r="H311" s="82"/>
      <c r="I311" s="83"/>
      <c r="J311" s="83"/>
      <c r="K311" s="83"/>
      <c r="L311" s="83"/>
    </row>
    <row r="312" spans="1:12" ht="12" customHeight="1" x14ac:dyDescent="0.35">
      <c r="A312" s="134">
        <v>10111000</v>
      </c>
      <c r="B312" s="84"/>
      <c r="C312" s="85" t="str">
        <f>VLOOKUP(A312,'DAFTAR HARGA'!A:D,3,FALSE)</f>
        <v>OJ</v>
      </c>
      <c r="D312" s="84" t="s">
        <v>418</v>
      </c>
      <c r="E312" s="84">
        <f>VLOOKUP(A312,'DAFTAR HARGA'!A:D,4,FALSE)</f>
        <v>18750</v>
      </c>
      <c r="F312" s="86">
        <v>2.7000000000000001E-3</v>
      </c>
      <c r="G312" s="87" t="e">
        <f>VLOOKUP(A312,'DAFTAR HARGA'!A:D,5,FALSE)</f>
        <v>#REF!</v>
      </c>
      <c r="H312" s="87" t="e">
        <f>F312*G312</f>
        <v>#REF!</v>
      </c>
      <c r="I312" s="87">
        <v>78600</v>
      </c>
      <c r="J312" s="87">
        <f>F312*I312</f>
        <v>212.22</v>
      </c>
      <c r="K312" s="87">
        <v>78600</v>
      </c>
      <c r="L312" s="87">
        <f>F312*K312</f>
        <v>212.22</v>
      </c>
    </row>
    <row r="313" spans="1:12" ht="12" customHeight="1" x14ac:dyDescent="0.35">
      <c r="A313" s="134">
        <v>10121110</v>
      </c>
      <c r="B313" s="84"/>
      <c r="C313" s="85" t="str">
        <f>VLOOKUP(A313,'DAFTAR HARGA'!A:D,3,FALSE)</f>
        <v>OJ</v>
      </c>
      <c r="D313" s="84" t="s">
        <v>419</v>
      </c>
      <c r="E313" s="84">
        <f>VLOOKUP(A313,'DAFTAR HARGA'!A:D,4,FALSE)</f>
        <v>12500</v>
      </c>
      <c r="F313" s="86">
        <v>1.37E-2</v>
      </c>
      <c r="G313" s="87" t="e">
        <f>VLOOKUP(A313,'DAFTAR HARGA'!A:D,5,FALSE)</f>
        <v>#REF!</v>
      </c>
      <c r="H313" s="87" t="e">
        <f>F313*G313</f>
        <v>#REF!</v>
      </c>
      <c r="I313" s="87">
        <v>91500</v>
      </c>
      <c r="J313" s="87">
        <f>F313*I313</f>
        <v>1253.55</v>
      </c>
      <c r="K313" s="87">
        <v>91500</v>
      </c>
      <c r="L313" s="87">
        <f>F313*K313</f>
        <v>1253.55</v>
      </c>
    </row>
    <row r="314" spans="1:12" ht="12" customHeight="1" x14ac:dyDescent="0.35">
      <c r="A314" s="134">
        <v>10131000</v>
      </c>
      <c r="B314" s="84"/>
      <c r="C314" s="85" t="str">
        <f>VLOOKUP(A314,'DAFTAR HARGA'!A:D,3,FALSE)</f>
        <v>OJ</v>
      </c>
      <c r="D314" s="84" t="s">
        <v>420</v>
      </c>
      <c r="E314" s="84">
        <f>VLOOKUP(A314,'DAFTAR HARGA'!A:D,4,FALSE)</f>
        <v>14375</v>
      </c>
      <c r="F314" s="86">
        <v>2.7300000000000001E-2</v>
      </c>
      <c r="G314" s="87" t="e">
        <f>VLOOKUP(A314,'DAFTAR HARGA'!A:D,5,FALSE)</f>
        <v>#REF!</v>
      </c>
      <c r="H314" s="87" t="e">
        <f>F314*G314</f>
        <v>#REF!</v>
      </c>
      <c r="I314" s="87">
        <v>92500</v>
      </c>
      <c r="J314" s="87">
        <f>F314*I314</f>
        <v>2525.25</v>
      </c>
      <c r="K314" s="87">
        <v>92500</v>
      </c>
      <c r="L314" s="87">
        <f>F314*K314</f>
        <v>2525.25</v>
      </c>
    </row>
    <row r="315" spans="1:12" ht="12" customHeight="1" x14ac:dyDescent="0.35">
      <c r="B315" s="84"/>
      <c r="C315" s="85"/>
      <c r="D315" s="84"/>
      <c r="E315" s="84"/>
      <c r="F315" s="86"/>
      <c r="G315" s="87"/>
      <c r="H315" s="87"/>
      <c r="I315" s="87"/>
      <c r="J315" s="87"/>
      <c r="K315" s="87"/>
      <c r="L315" s="87"/>
    </row>
    <row r="316" spans="1:12" ht="12" customHeight="1" x14ac:dyDescent="0.35">
      <c r="B316" s="84"/>
      <c r="C316" s="88"/>
      <c r="D316" s="79"/>
      <c r="E316" s="79"/>
      <c r="F316" s="89" t="s">
        <v>421</v>
      </c>
      <c r="G316" s="101"/>
      <c r="H316" s="87" t="e">
        <f>SUM(H312:H315)</f>
        <v>#REF!</v>
      </c>
      <c r="I316" s="101"/>
      <c r="J316" s="87">
        <f>SUM(J312:J315)</f>
        <v>3991.02</v>
      </c>
      <c r="K316" s="101"/>
      <c r="L316" s="87">
        <f>SUM(L312:L315)</f>
        <v>3991.02</v>
      </c>
    </row>
    <row r="317" spans="1:12" ht="12" customHeight="1" x14ac:dyDescent="0.35">
      <c r="B317" s="84" t="s">
        <v>6</v>
      </c>
      <c r="C317" s="88" t="s">
        <v>422</v>
      </c>
      <c r="D317" s="79"/>
      <c r="E317" s="79"/>
      <c r="F317" s="90"/>
      <c r="G317" s="84"/>
      <c r="H317" s="87"/>
      <c r="I317" s="84"/>
      <c r="J317" s="87"/>
      <c r="K317" s="84"/>
      <c r="L317" s="87"/>
    </row>
    <row r="318" spans="1:12" ht="12" customHeight="1" x14ac:dyDescent="0.35">
      <c r="B318" s="84"/>
      <c r="C318" s="85"/>
      <c r="D318" s="84"/>
      <c r="E318" s="84"/>
      <c r="F318" s="86"/>
      <c r="G318" s="87"/>
      <c r="H318" s="87">
        <f>F318*G318</f>
        <v>0</v>
      </c>
      <c r="I318" s="87">
        <v>232500</v>
      </c>
      <c r="J318" s="87">
        <f>F318*I318</f>
        <v>0</v>
      </c>
      <c r="K318" s="87">
        <v>270000</v>
      </c>
      <c r="L318" s="87">
        <f>F318*K318</f>
        <v>0</v>
      </c>
    </row>
    <row r="319" spans="1:12" ht="12" customHeight="1" x14ac:dyDescent="0.35">
      <c r="B319" s="84"/>
      <c r="C319" s="88"/>
      <c r="D319" s="79"/>
      <c r="E319" s="84"/>
      <c r="F319" s="102"/>
      <c r="G319" s="87"/>
      <c r="H319" s="87">
        <f>F319*G319</f>
        <v>0</v>
      </c>
      <c r="I319" s="87">
        <v>1060</v>
      </c>
      <c r="J319" s="87">
        <f>F319*I319</f>
        <v>0</v>
      </c>
      <c r="K319" s="87">
        <v>1060</v>
      </c>
      <c r="L319" s="87">
        <f>F319*K319</f>
        <v>0</v>
      </c>
    </row>
    <row r="320" spans="1:12" ht="12" customHeight="1" x14ac:dyDescent="0.35">
      <c r="B320" s="84"/>
      <c r="C320" s="88"/>
      <c r="D320" s="79"/>
      <c r="E320" s="84"/>
      <c r="F320" s="102"/>
      <c r="G320" s="87"/>
      <c r="H320" s="87">
        <f>F320*G320</f>
        <v>0</v>
      </c>
      <c r="I320" s="87">
        <v>215000</v>
      </c>
      <c r="J320" s="87">
        <f>F320*I320</f>
        <v>0</v>
      </c>
      <c r="K320" s="87">
        <v>250000</v>
      </c>
      <c r="L320" s="87">
        <f>F320*K320</f>
        <v>0</v>
      </c>
    </row>
    <row r="321" spans="1:12" ht="12" customHeight="1" x14ac:dyDescent="0.35">
      <c r="B321" s="84"/>
      <c r="C321" s="88"/>
      <c r="D321" s="79"/>
      <c r="E321" s="79"/>
      <c r="F321" s="89"/>
      <c r="G321" s="101"/>
      <c r="H321" s="87">
        <f>SUM(H318:H320)</f>
        <v>0</v>
      </c>
      <c r="I321" s="101"/>
      <c r="J321" s="87">
        <f>SUM(J318:J320)</f>
        <v>0</v>
      </c>
      <c r="K321" s="101"/>
      <c r="L321" s="87">
        <f>SUM(L318:L320)</f>
        <v>0</v>
      </c>
    </row>
    <row r="322" spans="1:12" ht="12" customHeight="1" x14ac:dyDescent="0.35">
      <c r="B322" s="84" t="s">
        <v>7</v>
      </c>
      <c r="C322" s="88" t="s">
        <v>424</v>
      </c>
      <c r="D322" s="79"/>
      <c r="E322" s="79"/>
      <c r="F322" s="90"/>
      <c r="G322" s="84"/>
      <c r="H322" s="87"/>
      <c r="I322" s="84"/>
      <c r="J322" s="87"/>
      <c r="K322" s="84"/>
      <c r="L322" s="87"/>
    </row>
    <row r="323" spans="1:12" ht="12" customHeight="1" x14ac:dyDescent="0.35">
      <c r="A323" s="134">
        <v>31100008</v>
      </c>
      <c r="B323" s="84"/>
      <c r="C323" s="85" t="str">
        <f>VLOOKUP(A323,'DAFTAR HARGA'!A:D,3,FALSE)</f>
        <v>jam</v>
      </c>
      <c r="D323" s="84" t="s">
        <v>418</v>
      </c>
      <c r="E323" s="84">
        <f>VLOOKUP(A323,'DAFTAR HARGA'!A:D,4,FALSE)</f>
        <v>449000</v>
      </c>
      <c r="F323" s="127">
        <v>1.37E-2</v>
      </c>
      <c r="G323" s="87" t="e">
        <f>VLOOKUP(A323,'DAFTAR HARGA'!A:D,5,FALSE)</f>
        <v>#REF!</v>
      </c>
      <c r="H323" s="87" t="e">
        <f>F323*G323</f>
        <v>#REF!</v>
      </c>
      <c r="I323" s="87"/>
      <c r="J323" s="87" t="e">
        <f>H323*I323</f>
        <v>#REF!</v>
      </c>
      <c r="K323" s="87"/>
      <c r="L323" s="87" t="e">
        <f>J323*K323</f>
        <v>#REF!</v>
      </c>
    </row>
    <row r="324" spans="1:12" ht="12" customHeight="1" x14ac:dyDescent="0.35">
      <c r="B324" s="84"/>
      <c r="C324" s="88"/>
      <c r="D324" s="79"/>
      <c r="E324" s="79"/>
      <c r="F324" s="90"/>
      <c r="G324" s="87"/>
      <c r="H324" s="87"/>
      <c r="I324" s="87"/>
      <c r="J324" s="87"/>
      <c r="K324" s="87"/>
      <c r="L324" s="87"/>
    </row>
    <row r="325" spans="1:12" ht="12" customHeight="1" x14ac:dyDescent="0.35">
      <c r="B325" s="84"/>
      <c r="C325" s="88"/>
      <c r="D325" s="79"/>
      <c r="E325" s="79"/>
      <c r="F325" s="90"/>
      <c r="G325" s="87"/>
      <c r="H325" s="87">
        <f>F325*G325</f>
        <v>0</v>
      </c>
      <c r="I325" s="87"/>
      <c r="J325" s="87"/>
      <c r="K325" s="87"/>
      <c r="L325" s="87"/>
    </row>
    <row r="326" spans="1:12" ht="12" customHeight="1" x14ac:dyDescent="0.35">
      <c r="B326" s="84"/>
      <c r="C326" s="88"/>
      <c r="D326" s="79"/>
      <c r="E326" s="79"/>
      <c r="F326" s="89" t="s">
        <v>425</v>
      </c>
      <c r="G326" s="101"/>
      <c r="H326" s="87" t="e">
        <f>SUM(H323:H325)</f>
        <v>#REF!</v>
      </c>
      <c r="I326" s="101"/>
      <c r="J326" s="87" t="e">
        <f>SUM(J323)</f>
        <v>#REF!</v>
      </c>
      <c r="K326" s="101"/>
      <c r="L326" s="87" t="e">
        <f>SUM(L323)</f>
        <v>#REF!</v>
      </c>
    </row>
    <row r="327" spans="1:12" ht="12" customHeight="1" x14ac:dyDescent="0.35">
      <c r="B327" s="84" t="s">
        <v>8</v>
      </c>
      <c r="C327" s="103" t="s">
        <v>426</v>
      </c>
      <c r="D327" s="104"/>
      <c r="E327" s="104"/>
      <c r="F327" s="104"/>
      <c r="G327" s="105"/>
      <c r="H327" s="87" t="e">
        <f>H316+H321+H326</f>
        <v>#REF!</v>
      </c>
      <c r="I327" s="105"/>
      <c r="J327" s="87" t="e">
        <f>J316+J321+J326</f>
        <v>#REF!</v>
      </c>
      <c r="K327" s="105"/>
      <c r="L327" s="87" t="e">
        <f>L316+L321+L326</f>
        <v>#REF!</v>
      </c>
    </row>
    <row r="328" spans="1:12" ht="12" customHeight="1" x14ac:dyDescent="0.35">
      <c r="B328" s="84" t="s">
        <v>9</v>
      </c>
      <c r="C328" s="455" t="s">
        <v>427</v>
      </c>
      <c r="D328" s="455"/>
      <c r="E328" s="455"/>
      <c r="F328" s="95" t="str">
        <f>OP</f>
        <v>TANJUNG PALAS TENGAH</v>
      </c>
      <c r="G328" s="85" t="s">
        <v>428</v>
      </c>
      <c r="H328" s="87" t="e">
        <f>H327*F328</f>
        <v>#REF!</v>
      </c>
      <c r="I328" s="85" t="s">
        <v>428</v>
      </c>
      <c r="J328" s="87" t="e">
        <f>J327*F328</f>
        <v>#REF!</v>
      </c>
      <c r="K328" s="85" t="s">
        <v>428</v>
      </c>
      <c r="L328" s="87" t="e">
        <f>L327*F328</f>
        <v>#REF!</v>
      </c>
    </row>
    <row r="329" spans="1:12" ht="12" customHeight="1" x14ac:dyDescent="0.35">
      <c r="B329" s="84" t="s">
        <v>10</v>
      </c>
      <c r="C329" s="103" t="s">
        <v>429</v>
      </c>
      <c r="D329" s="104"/>
      <c r="E329" s="104"/>
      <c r="F329" s="104"/>
      <c r="G329" s="105"/>
      <c r="H329" s="96" t="e">
        <f>H327+H328</f>
        <v>#REF!</v>
      </c>
      <c r="I329" s="97"/>
      <c r="J329" s="96" t="e">
        <f>J327+J328</f>
        <v>#REF!</v>
      </c>
      <c r="K329" s="97"/>
      <c r="L329" s="96" t="e">
        <f>L327+L328</f>
        <v>#REF!</v>
      </c>
    </row>
    <row r="331" spans="1:12" ht="29" customHeight="1" x14ac:dyDescent="0.35">
      <c r="B331" s="76" t="s">
        <v>521</v>
      </c>
      <c r="C331" s="458" t="s">
        <v>522</v>
      </c>
      <c r="D331" s="459"/>
      <c r="E331" s="459"/>
      <c r="F331" s="459"/>
      <c r="G331" s="456"/>
      <c r="H331" s="457"/>
      <c r="I331" s="455" t="s">
        <v>3</v>
      </c>
      <c r="J331" s="455"/>
      <c r="K331" s="455" t="s">
        <v>4</v>
      </c>
      <c r="L331" s="455"/>
    </row>
    <row r="332" spans="1:12" ht="12" customHeight="1" x14ac:dyDescent="0.35">
      <c r="B332" s="451" t="s">
        <v>409</v>
      </c>
      <c r="C332" s="451" t="s">
        <v>410</v>
      </c>
      <c r="D332" s="452" t="s">
        <v>411</v>
      </c>
      <c r="E332" s="451" t="s">
        <v>412</v>
      </c>
      <c r="F332" s="451" t="s">
        <v>413</v>
      </c>
      <c r="G332" s="77" t="s">
        <v>414</v>
      </c>
      <c r="H332" s="77" t="s">
        <v>415</v>
      </c>
      <c r="I332" s="78" t="s">
        <v>414</v>
      </c>
      <c r="J332" s="79" t="s">
        <v>415</v>
      </c>
      <c r="K332" s="79" t="s">
        <v>414</v>
      </c>
      <c r="L332" s="79" t="s">
        <v>415</v>
      </c>
    </row>
    <row r="333" spans="1:12" ht="12" customHeight="1" x14ac:dyDescent="0.35">
      <c r="B333" s="451"/>
      <c r="C333" s="451"/>
      <c r="D333" s="453"/>
      <c r="E333" s="451"/>
      <c r="F333" s="451"/>
      <c r="G333" s="77" t="s">
        <v>17</v>
      </c>
      <c r="H333" s="77" t="s">
        <v>416</v>
      </c>
      <c r="I333" s="78" t="s">
        <v>17</v>
      </c>
      <c r="J333" s="79" t="s">
        <v>416</v>
      </c>
      <c r="K333" s="79" t="s">
        <v>17</v>
      </c>
      <c r="L333" s="79" t="s">
        <v>416</v>
      </c>
    </row>
    <row r="334" spans="1:12" ht="12" customHeight="1" x14ac:dyDescent="0.35">
      <c r="B334" s="451"/>
      <c r="C334" s="451"/>
      <c r="D334" s="454"/>
      <c r="E334" s="451"/>
      <c r="F334" s="451"/>
      <c r="G334" s="106"/>
      <c r="H334" s="77" t="s">
        <v>17</v>
      </c>
      <c r="I334" s="94"/>
      <c r="J334" s="79" t="s">
        <v>17</v>
      </c>
      <c r="K334" s="85"/>
      <c r="L334" s="79" t="s">
        <v>17</v>
      </c>
    </row>
    <row r="335" spans="1:12" ht="12" customHeight="1" x14ac:dyDescent="0.35">
      <c r="B335" s="80" t="s">
        <v>5</v>
      </c>
      <c r="C335" s="81" t="s">
        <v>417</v>
      </c>
      <c r="D335" s="82"/>
      <c r="E335" s="82"/>
      <c r="F335" s="82"/>
      <c r="G335" s="82"/>
      <c r="H335" s="82"/>
      <c r="I335" s="83"/>
      <c r="J335" s="83"/>
      <c r="K335" s="83"/>
      <c r="L335" s="83"/>
    </row>
    <row r="336" spans="1:12" ht="12" customHeight="1" x14ac:dyDescent="0.35">
      <c r="A336" s="134">
        <v>10111000</v>
      </c>
      <c r="B336" s="84"/>
      <c r="C336" s="85" t="str">
        <f>VLOOKUP(A336,'DAFTAR HARGA'!A:D,3,FALSE)</f>
        <v>OJ</v>
      </c>
      <c r="D336" s="84" t="s">
        <v>418</v>
      </c>
      <c r="E336" s="84">
        <f>VLOOKUP(A336,'DAFTAR HARGA'!A:D,4,FALSE)</f>
        <v>18750</v>
      </c>
      <c r="F336" s="86">
        <v>3.8E-3</v>
      </c>
      <c r="G336" s="87" t="e">
        <f>VLOOKUP(A336,'DAFTAR HARGA'!A:D,5,FALSE)</f>
        <v>#REF!</v>
      </c>
      <c r="H336" s="87" t="e">
        <f>F336*G336</f>
        <v>#REF!</v>
      </c>
      <c r="I336" s="87">
        <v>78600</v>
      </c>
      <c r="J336" s="87">
        <f>F336*I336</f>
        <v>298.68</v>
      </c>
      <c r="K336" s="87">
        <v>78600</v>
      </c>
      <c r="L336" s="87">
        <f>F336*K336</f>
        <v>298.68</v>
      </c>
    </row>
    <row r="337" spans="1:12" ht="12" customHeight="1" x14ac:dyDescent="0.35">
      <c r="A337" s="134">
        <v>10121110</v>
      </c>
      <c r="B337" s="84"/>
      <c r="C337" s="85" t="str">
        <f>VLOOKUP(A337,'DAFTAR HARGA'!A:D,3,FALSE)</f>
        <v>OJ</v>
      </c>
      <c r="D337" s="84" t="s">
        <v>419</v>
      </c>
      <c r="E337" s="84">
        <f>VLOOKUP(A337,'DAFTAR HARGA'!A:D,4,FALSE)</f>
        <v>12500</v>
      </c>
      <c r="F337" s="86">
        <v>1.9400000000000001E-2</v>
      </c>
      <c r="G337" s="87" t="e">
        <f>VLOOKUP(A337,'DAFTAR HARGA'!A:D,5,FALSE)</f>
        <v>#REF!</v>
      </c>
      <c r="H337" s="87" t="e">
        <f>F337*G337</f>
        <v>#REF!</v>
      </c>
      <c r="I337" s="87">
        <v>91500</v>
      </c>
      <c r="J337" s="87">
        <f>F337*I337</f>
        <v>1775.1000000000001</v>
      </c>
      <c r="K337" s="87">
        <v>91500</v>
      </c>
      <c r="L337" s="87">
        <f>F337*K337</f>
        <v>1775.1000000000001</v>
      </c>
    </row>
    <row r="338" spans="1:12" ht="12" customHeight="1" x14ac:dyDescent="0.35">
      <c r="A338" s="134">
        <v>10131000</v>
      </c>
      <c r="B338" s="84"/>
      <c r="C338" s="85" t="str">
        <f>VLOOKUP(A338,'DAFTAR HARGA'!A:D,3,FALSE)</f>
        <v>OJ</v>
      </c>
      <c r="D338" s="84" t="s">
        <v>420</v>
      </c>
      <c r="E338" s="84">
        <f>VLOOKUP(A338,'DAFTAR HARGA'!A:D,4,FALSE)</f>
        <v>14375</v>
      </c>
      <c r="F338" s="86">
        <v>3.8800000000000001E-2</v>
      </c>
      <c r="G338" s="87" t="e">
        <f>VLOOKUP(A338,'DAFTAR HARGA'!A:D,5,FALSE)</f>
        <v>#REF!</v>
      </c>
      <c r="H338" s="87" t="e">
        <f>F338*G338</f>
        <v>#REF!</v>
      </c>
      <c r="I338" s="87">
        <v>92500</v>
      </c>
      <c r="J338" s="87">
        <f>F338*I338</f>
        <v>3589</v>
      </c>
      <c r="K338" s="87">
        <v>92500</v>
      </c>
      <c r="L338" s="87">
        <f>F338*K338</f>
        <v>3589</v>
      </c>
    </row>
    <row r="339" spans="1:12" ht="12" customHeight="1" x14ac:dyDescent="0.35">
      <c r="B339" s="84"/>
      <c r="C339" s="85"/>
      <c r="D339" s="84"/>
      <c r="E339" s="84"/>
      <c r="F339" s="86"/>
      <c r="G339" s="87"/>
      <c r="H339" s="87"/>
      <c r="I339" s="87"/>
      <c r="J339" s="87"/>
      <c r="K339" s="87"/>
      <c r="L339" s="87"/>
    </row>
    <row r="340" spans="1:12" ht="12" customHeight="1" x14ac:dyDescent="0.35">
      <c r="B340" s="84"/>
      <c r="C340" s="88"/>
      <c r="D340" s="79"/>
      <c r="E340" s="79"/>
      <c r="F340" s="89" t="s">
        <v>421</v>
      </c>
      <c r="G340" s="101"/>
      <c r="H340" s="87" t="e">
        <f>SUM(H336:H339)</f>
        <v>#REF!</v>
      </c>
      <c r="I340" s="101"/>
      <c r="J340" s="87">
        <f>SUM(J336:J339)</f>
        <v>5662.7800000000007</v>
      </c>
      <c r="K340" s="101"/>
      <c r="L340" s="87">
        <f>SUM(L336:L339)</f>
        <v>5662.7800000000007</v>
      </c>
    </row>
    <row r="341" spans="1:12" ht="12" customHeight="1" x14ac:dyDescent="0.35">
      <c r="B341" s="84" t="s">
        <v>6</v>
      </c>
      <c r="C341" s="88" t="s">
        <v>422</v>
      </c>
      <c r="D341" s="79"/>
      <c r="E341" s="79"/>
      <c r="F341" s="90"/>
      <c r="G341" s="84"/>
      <c r="H341" s="87"/>
      <c r="I341" s="84"/>
      <c r="J341" s="87"/>
      <c r="K341" s="84"/>
      <c r="L341" s="87"/>
    </row>
    <row r="342" spans="1:12" ht="12" customHeight="1" x14ac:dyDescent="0.35">
      <c r="B342" s="84"/>
      <c r="C342" s="85"/>
      <c r="D342" s="84"/>
      <c r="E342" s="84"/>
      <c r="F342" s="86"/>
      <c r="G342" s="87"/>
      <c r="H342" s="87">
        <f>F342*G342</f>
        <v>0</v>
      </c>
      <c r="I342" s="87">
        <v>232500</v>
      </c>
      <c r="J342" s="87">
        <f>F342*I342</f>
        <v>0</v>
      </c>
      <c r="K342" s="87">
        <v>270000</v>
      </c>
      <c r="L342" s="87">
        <f>F342*K342</f>
        <v>0</v>
      </c>
    </row>
    <row r="343" spans="1:12" ht="12" customHeight="1" x14ac:dyDescent="0.35">
      <c r="B343" s="84"/>
      <c r="C343" s="88"/>
      <c r="D343" s="79"/>
      <c r="E343" s="84"/>
      <c r="F343" s="102"/>
      <c r="G343" s="87"/>
      <c r="H343" s="87">
        <f>F343*G343</f>
        <v>0</v>
      </c>
      <c r="I343" s="87">
        <v>1060</v>
      </c>
      <c r="J343" s="87">
        <f>F343*I343</f>
        <v>0</v>
      </c>
      <c r="K343" s="87">
        <v>1060</v>
      </c>
      <c r="L343" s="87">
        <f>F343*K343</f>
        <v>0</v>
      </c>
    </row>
    <row r="344" spans="1:12" ht="12" customHeight="1" x14ac:dyDescent="0.35">
      <c r="B344" s="84"/>
      <c r="C344" s="88"/>
      <c r="D344" s="79"/>
      <c r="E344" s="84"/>
      <c r="F344" s="102"/>
      <c r="G344" s="87"/>
      <c r="H344" s="87">
        <f>F344*G344</f>
        <v>0</v>
      </c>
      <c r="I344" s="87">
        <v>215000</v>
      </c>
      <c r="J344" s="87">
        <f>F344*I344</f>
        <v>0</v>
      </c>
      <c r="K344" s="87">
        <v>250000</v>
      </c>
      <c r="L344" s="87">
        <f>F344*K344</f>
        <v>0</v>
      </c>
    </row>
    <row r="345" spans="1:12" ht="12" customHeight="1" x14ac:dyDescent="0.35">
      <c r="B345" s="84"/>
      <c r="C345" s="88"/>
      <c r="D345" s="79"/>
      <c r="E345" s="79"/>
      <c r="F345" s="89"/>
      <c r="G345" s="101"/>
      <c r="H345" s="87">
        <f>SUM(H342:H344)</f>
        <v>0</v>
      </c>
      <c r="I345" s="101"/>
      <c r="J345" s="87">
        <f>SUM(J342:J344)</f>
        <v>0</v>
      </c>
      <c r="K345" s="101"/>
      <c r="L345" s="87">
        <f>SUM(L342:L344)</f>
        <v>0</v>
      </c>
    </row>
    <row r="346" spans="1:12" ht="12" customHeight="1" x14ac:dyDescent="0.35">
      <c r="B346" s="84" t="s">
        <v>7</v>
      </c>
      <c r="C346" s="88" t="s">
        <v>424</v>
      </c>
      <c r="D346" s="79"/>
      <c r="E346" s="79"/>
      <c r="F346" s="90"/>
      <c r="G346" s="84"/>
      <c r="H346" s="87"/>
      <c r="I346" s="84"/>
      <c r="J346" s="87"/>
      <c r="K346" s="84"/>
      <c r="L346" s="87"/>
    </row>
    <row r="347" spans="1:12" ht="12" customHeight="1" x14ac:dyDescent="0.35">
      <c r="A347" s="134">
        <v>31100008</v>
      </c>
      <c r="B347" s="84"/>
      <c r="C347" s="85" t="str">
        <f>VLOOKUP(A347,'DAFTAR HARGA'!A:D,3,FALSE)</f>
        <v>jam</v>
      </c>
      <c r="D347" s="84" t="s">
        <v>418</v>
      </c>
      <c r="E347" s="84">
        <f>VLOOKUP(A347,'DAFTAR HARGA'!A:D,4,FALSE)</f>
        <v>449000</v>
      </c>
      <c r="F347" s="128">
        <f>F337</f>
        <v>1.9400000000000001E-2</v>
      </c>
      <c r="G347" s="87" t="e">
        <f>VLOOKUP(A347,'DAFTAR HARGA'!A:D,5,FALSE)</f>
        <v>#REF!</v>
      </c>
      <c r="H347" s="87" t="e">
        <f>F347*G347</f>
        <v>#REF!</v>
      </c>
      <c r="I347" s="87"/>
      <c r="J347" s="87" t="e">
        <f>H347*I347</f>
        <v>#REF!</v>
      </c>
      <c r="K347" s="87"/>
      <c r="L347" s="87" t="e">
        <f>J347*K347</f>
        <v>#REF!</v>
      </c>
    </row>
    <row r="348" spans="1:12" ht="12" customHeight="1" x14ac:dyDescent="0.35">
      <c r="B348" s="84"/>
      <c r="C348" s="88"/>
      <c r="D348" s="79"/>
      <c r="E348" s="79"/>
      <c r="F348" s="90"/>
      <c r="G348" s="87"/>
      <c r="H348" s="87"/>
      <c r="I348" s="87"/>
      <c r="J348" s="87"/>
      <c r="K348" s="87"/>
      <c r="L348" s="87"/>
    </row>
    <row r="349" spans="1:12" ht="12" customHeight="1" x14ac:dyDescent="0.35">
      <c r="B349" s="84"/>
      <c r="C349" s="88"/>
      <c r="D349" s="79"/>
      <c r="E349" s="79"/>
      <c r="F349" s="90"/>
      <c r="G349" s="87"/>
      <c r="H349" s="87">
        <f>F349*G349</f>
        <v>0</v>
      </c>
      <c r="I349" s="87"/>
      <c r="J349" s="87"/>
      <c r="K349" s="87"/>
      <c r="L349" s="87"/>
    </row>
    <row r="350" spans="1:12" ht="12" customHeight="1" x14ac:dyDescent="0.35">
      <c r="B350" s="84"/>
      <c r="C350" s="88"/>
      <c r="D350" s="79"/>
      <c r="E350" s="79"/>
      <c r="F350" s="89" t="s">
        <v>425</v>
      </c>
      <c r="G350" s="101"/>
      <c r="H350" s="87" t="e">
        <f>SUM(H347:H349)</f>
        <v>#REF!</v>
      </c>
      <c r="I350" s="101"/>
      <c r="J350" s="87" t="e">
        <f>SUM(J347)</f>
        <v>#REF!</v>
      </c>
      <c r="K350" s="101"/>
      <c r="L350" s="87" t="e">
        <f>SUM(L347)</f>
        <v>#REF!</v>
      </c>
    </row>
    <row r="351" spans="1:12" ht="12" customHeight="1" x14ac:dyDescent="0.35">
      <c r="B351" s="84" t="s">
        <v>8</v>
      </c>
      <c r="C351" s="103" t="s">
        <v>426</v>
      </c>
      <c r="D351" s="104"/>
      <c r="E351" s="104"/>
      <c r="F351" s="104"/>
      <c r="G351" s="105"/>
      <c r="H351" s="87" t="e">
        <f>H340+H345+H350</f>
        <v>#REF!</v>
      </c>
      <c r="I351" s="105"/>
      <c r="J351" s="87" t="e">
        <f>J340+J345+J350</f>
        <v>#REF!</v>
      </c>
      <c r="K351" s="105"/>
      <c r="L351" s="87" t="e">
        <f>L340+L345+L350</f>
        <v>#REF!</v>
      </c>
    </row>
    <row r="352" spans="1:12" ht="12" customHeight="1" x14ac:dyDescent="0.35">
      <c r="B352" s="84" t="s">
        <v>9</v>
      </c>
      <c r="C352" s="455" t="s">
        <v>427</v>
      </c>
      <c r="D352" s="455"/>
      <c r="E352" s="455"/>
      <c r="F352" s="95" t="str">
        <f>OP</f>
        <v>TANJUNG PALAS TENGAH</v>
      </c>
      <c r="G352" s="85" t="s">
        <v>428</v>
      </c>
      <c r="H352" s="87" t="e">
        <f>H351*F352</f>
        <v>#REF!</v>
      </c>
      <c r="I352" s="85" t="s">
        <v>428</v>
      </c>
      <c r="J352" s="87" t="e">
        <f>J351*F352</f>
        <v>#REF!</v>
      </c>
      <c r="K352" s="85" t="s">
        <v>428</v>
      </c>
      <c r="L352" s="87" t="e">
        <f>L351*F352</f>
        <v>#REF!</v>
      </c>
    </row>
    <row r="353" spans="1:12" ht="12" customHeight="1" x14ac:dyDescent="0.35">
      <c r="B353" s="84" t="s">
        <v>10</v>
      </c>
      <c r="C353" s="103" t="s">
        <v>429</v>
      </c>
      <c r="D353" s="104"/>
      <c r="E353" s="104"/>
      <c r="F353" s="104"/>
      <c r="G353" s="105"/>
      <c r="H353" s="96" t="e">
        <f>H351+H352</f>
        <v>#REF!</v>
      </c>
      <c r="I353" s="97"/>
      <c r="J353" s="96" t="e">
        <f>J351+J352</f>
        <v>#REF!</v>
      </c>
      <c r="K353" s="97"/>
      <c r="L353" s="96" t="e">
        <f>L351+L352</f>
        <v>#REF!</v>
      </c>
    </row>
    <row r="355" spans="1:12" ht="29" customHeight="1" x14ac:dyDescent="0.35">
      <c r="B355" s="76" t="s">
        <v>523</v>
      </c>
      <c r="C355" s="458" t="s">
        <v>524</v>
      </c>
      <c r="D355" s="459"/>
      <c r="E355" s="459"/>
      <c r="F355" s="459"/>
      <c r="G355" s="456"/>
      <c r="H355" s="457"/>
      <c r="I355" s="455" t="s">
        <v>3</v>
      </c>
      <c r="J355" s="455"/>
      <c r="K355" s="455" t="s">
        <v>4</v>
      </c>
      <c r="L355" s="455"/>
    </row>
    <row r="356" spans="1:12" ht="12" customHeight="1" x14ac:dyDescent="0.35">
      <c r="B356" s="451" t="s">
        <v>409</v>
      </c>
      <c r="C356" s="451" t="s">
        <v>410</v>
      </c>
      <c r="D356" s="452" t="s">
        <v>411</v>
      </c>
      <c r="E356" s="451" t="s">
        <v>412</v>
      </c>
      <c r="F356" s="451" t="s">
        <v>413</v>
      </c>
      <c r="G356" s="77" t="s">
        <v>414</v>
      </c>
      <c r="H356" s="77" t="s">
        <v>415</v>
      </c>
      <c r="I356" s="78" t="s">
        <v>414</v>
      </c>
      <c r="J356" s="79" t="s">
        <v>415</v>
      </c>
      <c r="K356" s="79" t="s">
        <v>414</v>
      </c>
      <c r="L356" s="79" t="s">
        <v>415</v>
      </c>
    </row>
    <row r="357" spans="1:12" ht="12" customHeight="1" x14ac:dyDescent="0.35">
      <c r="B357" s="451"/>
      <c r="C357" s="451"/>
      <c r="D357" s="453"/>
      <c r="E357" s="451"/>
      <c r="F357" s="451"/>
      <c r="G357" s="77" t="s">
        <v>17</v>
      </c>
      <c r="H357" s="77" t="s">
        <v>416</v>
      </c>
      <c r="I357" s="78" t="s">
        <v>17</v>
      </c>
      <c r="J357" s="79" t="s">
        <v>416</v>
      </c>
      <c r="K357" s="79" t="s">
        <v>17</v>
      </c>
      <c r="L357" s="79" t="s">
        <v>416</v>
      </c>
    </row>
    <row r="358" spans="1:12" ht="12" customHeight="1" x14ac:dyDescent="0.35">
      <c r="B358" s="451"/>
      <c r="C358" s="451"/>
      <c r="D358" s="454"/>
      <c r="E358" s="451"/>
      <c r="F358" s="451"/>
      <c r="G358" s="106"/>
      <c r="H358" s="77" t="s">
        <v>17</v>
      </c>
      <c r="I358" s="94"/>
      <c r="J358" s="79" t="s">
        <v>17</v>
      </c>
      <c r="K358" s="85"/>
      <c r="L358" s="79" t="s">
        <v>17</v>
      </c>
    </row>
    <row r="359" spans="1:12" ht="12" customHeight="1" x14ac:dyDescent="0.35">
      <c r="B359" s="80" t="s">
        <v>5</v>
      </c>
      <c r="C359" s="81" t="s">
        <v>417</v>
      </c>
      <c r="D359" s="82"/>
      <c r="E359" s="82"/>
      <c r="F359" s="82"/>
      <c r="G359" s="82"/>
      <c r="H359" s="82"/>
      <c r="I359" s="83"/>
      <c r="J359" s="83"/>
      <c r="K359" s="83"/>
      <c r="L359" s="83"/>
    </row>
    <row r="360" spans="1:12" ht="12" customHeight="1" x14ac:dyDescent="0.35">
      <c r="A360" s="134">
        <v>10111000</v>
      </c>
      <c r="B360" s="84"/>
      <c r="C360" s="85" t="str">
        <f>VLOOKUP(A360,'DAFTAR HARGA'!A:D,3,FALSE)</f>
        <v>OJ</v>
      </c>
      <c r="D360" s="84" t="s">
        <v>418</v>
      </c>
      <c r="E360" s="84">
        <f>VLOOKUP(A360,'DAFTAR HARGA'!A:D,4,FALSE)</f>
        <v>18750</v>
      </c>
      <c r="F360" s="86">
        <v>2.3E-3</v>
      </c>
      <c r="G360" s="87" t="e">
        <f>VLOOKUP(A360,'DAFTAR HARGA'!A:D,5,FALSE)</f>
        <v>#REF!</v>
      </c>
      <c r="H360" s="87" t="e">
        <f>F360*G360</f>
        <v>#REF!</v>
      </c>
      <c r="I360" s="87">
        <v>78600</v>
      </c>
      <c r="J360" s="87">
        <f>F360*I360</f>
        <v>180.78</v>
      </c>
      <c r="K360" s="87">
        <v>78600</v>
      </c>
      <c r="L360" s="87">
        <f>F360*K360</f>
        <v>180.78</v>
      </c>
    </row>
    <row r="361" spans="1:12" ht="12" customHeight="1" x14ac:dyDescent="0.35">
      <c r="A361" s="134">
        <v>10121110</v>
      </c>
      <c r="B361" s="84"/>
      <c r="C361" s="85" t="str">
        <f>VLOOKUP(A361,'DAFTAR HARGA'!A:D,3,FALSE)</f>
        <v>OJ</v>
      </c>
      <c r="D361" s="84" t="s">
        <v>419</v>
      </c>
      <c r="E361" s="84">
        <f>VLOOKUP(A361,'DAFTAR HARGA'!A:D,4,FALSE)</f>
        <v>12500</v>
      </c>
      <c r="F361" s="86">
        <v>1.17E-2</v>
      </c>
      <c r="G361" s="87" t="e">
        <f>VLOOKUP(A361,'DAFTAR HARGA'!A:D,5,FALSE)</f>
        <v>#REF!</v>
      </c>
      <c r="H361" s="87" t="e">
        <f>F361*G361</f>
        <v>#REF!</v>
      </c>
      <c r="I361" s="87">
        <v>91500</v>
      </c>
      <c r="J361" s="87">
        <f>F361*I361</f>
        <v>1070.55</v>
      </c>
      <c r="K361" s="87">
        <v>91500</v>
      </c>
      <c r="L361" s="87">
        <f>F361*K361</f>
        <v>1070.55</v>
      </c>
    </row>
    <row r="362" spans="1:12" ht="12" customHeight="1" x14ac:dyDescent="0.35">
      <c r="A362" s="134">
        <v>10131000</v>
      </c>
      <c r="B362" s="84"/>
      <c r="C362" s="85" t="str">
        <f>VLOOKUP(A362,'DAFTAR HARGA'!A:D,3,FALSE)</f>
        <v>OJ</v>
      </c>
      <c r="D362" s="84" t="s">
        <v>420</v>
      </c>
      <c r="E362" s="84">
        <f>VLOOKUP(A362,'DAFTAR HARGA'!A:D,4,FALSE)</f>
        <v>14375</v>
      </c>
      <c r="F362" s="86">
        <v>2.3400000000000001E-2</v>
      </c>
      <c r="G362" s="87" t="e">
        <f>VLOOKUP(A362,'DAFTAR HARGA'!A:D,5,FALSE)</f>
        <v>#REF!</v>
      </c>
      <c r="H362" s="87" t="e">
        <f>F362*G362</f>
        <v>#REF!</v>
      </c>
      <c r="I362" s="87">
        <v>92500</v>
      </c>
      <c r="J362" s="87">
        <f>F362*I362</f>
        <v>2164.5</v>
      </c>
      <c r="K362" s="87">
        <v>92500</v>
      </c>
      <c r="L362" s="87">
        <f>F362*K362</f>
        <v>2164.5</v>
      </c>
    </row>
    <row r="363" spans="1:12" ht="12" customHeight="1" x14ac:dyDescent="0.35">
      <c r="B363" s="84"/>
      <c r="C363" s="85"/>
      <c r="D363" s="84"/>
      <c r="E363" s="84"/>
      <c r="F363" s="86"/>
      <c r="G363" s="87"/>
      <c r="H363" s="87"/>
      <c r="I363" s="87"/>
      <c r="J363" s="87"/>
      <c r="K363" s="87"/>
      <c r="L363" s="87"/>
    </row>
    <row r="364" spans="1:12" ht="12" customHeight="1" x14ac:dyDescent="0.35">
      <c r="B364" s="84"/>
      <c r="C364" s="88"/>
      <c r="D364" s="79"/>
      <c r="E364" s="79"/>
      <c r="F364" s="89" t="s">
        <v>421</v>
      </c>
      <c r="G364" s="101"/>
      <c r="H364" s="87" t="e">
        <f>SUM(H360:H363)</f>
        <v>#REF!</v>
      </c>
      <c r="I364" s="101"/>
      <c r="J364" s="87">
        <f>SUM(J360:J363)</f>
        <v>3415.83</v>
      </c>
      <c r="K364" s="101"/>
      <c r="L364" s="87">
        <f>SUM(L360:L363)</f>
        <v>3415.83</v>
      </c>
    </row>
    <row r="365" spans="1:12" ht="12" customHeight="1" x14ac:dyDescent="0.35">
      <c r="B365" s="84" t="s">
        <v>6</v>
      </c>
      <c r="C365" s="88" t="s">
        <v>422</v>
      </c>
      <c r="D365" s="79"/>
      <c r="E365" s="79"/>
      <c r="F365" s="90"/>
      <c r="G365" s="84"/>
      <c r="H365" s="87"/>
      <c r="I365" s="84"/>
      <c r="J365" s="87"/>
      <c r="K365" s="84"/>
      <c r="L365" s="87"/>
    </row>
    <row r="366" spans="1:12" ht="12" customHeight="1" x14ac:dyDescent="0.35">
      <c r="B366" s="84"/>
      <c r="C366" s="85"/>
      <c r="D366" s="84"/>
      <c r="E366" s="84"/>
      <c r="F366" s="86"/>
      <c r="G366" s="87"/>
      <c r="H366" s="87">
        <f>F366*G366</f>
        <v>0</v>
      </c>
      <c r="I366" s="87">
        <v>232500</v>
      </c>
      <c r="J366" s="87">
        <f>F366*I366</f>
        <v>0</v>
      </c>
      <c r="K366" s="87">
        <v>270000</v>
      </c>
      <c r="L366" s="87">
        <f>F366*K366</f>
        <v>0</v>
      </c>
    </row>
    <row r="367" spans="1:12" ht="12" customHeight="1" x14ac:dyDescent="0.35">
      <c r="B367" s="84"/>
      <c r="C367" s="88"/>
      <c r="D367" s="79"/>
      <c r="E367" s="84"/>
      <c r="F367" s="102"/>
      <c r="G367" s="87"/>
      <c r="H367" s="87">
        <f>F367*G367</f>
        <v>0</v>
      </c>
      <c r="I367" s="87">
        <v>1060</v>
      </c>
      <c r="J367" s="87">
        <f>F367*I367</f>
        <v>0</v>
      </c>
      <c r="K367" s="87">
        <v>1060</v>
      </c>
      <c r="L367" s="87">
        <f>F367*K367</f>
        <v>0</v>
      </c>
    </row>
    <row r="368" spans="1:12" ht="12" customHeight="1" x14ac:dyDescent="0.35">
      <c r="B368" s="84"/>
      <c r="C368" s="88"/>
      <c r="D368" s="79"/>
      <c r="E368" s="84"/>
      <c r="F368" s="102"/>
      <c r="G368" s="87"/>
      <c r="H368" s="87">
        <f>F368*G368</f>
        <v>0</v>
      </c>
      <c r="I368" s="87">
        <v>215000</v>
      </c>
      <c r="J368" s="87">
        <f>F368*I368</f>
        <v>0</v>
      </c>
      <c r="K368" s="87">
        <v>250000</v>
      </c>
      <c r="L368" s="87">
        <f>F368*K368</f>
        <v>0</v>
      </c>
    </row>
    <row r="369" spans="1:12" ht="12" customHeight="1" x14ac:dyDescent="0.35">
      <c r="B369" s="84"/>
      <c r="C369" s="88"/>
      <c r="D369" s="79"/>
      <c r="E369" s="79"/>
      <c r="F369" s="89"/>
      <c r="G369" s="101"/>
      <c r="H369" s="87">
        <f>SUM(H366:H368)</f>
        <v>0</v>
      </c>
      <c r="I369" s="101"/>
      <c r="J369" s="87">
        <f>SUM(J366:J368)</f>
        <v>0</v>
      </c>
      <c r="K369" s="101"/>
      <c r="L369" s="87">
        <f>SUM(L366:L368)</f>
        <v>0</v>
      </c>
    </row>
    <row r="370" spans="1:12" ht="12" customHeight="1" x14ac:dyDescent="0.35">
      <c r="B370" s="84" t="s">
        <v>7</v>
      </c>
      <c r="C370" s="88" t="s">
        <v>424</v>
      </c>
      <c r="D370" s="79"/>
      <c r="E370" s="79"/>
      <c r="F370" s="90"/>
      <c r="G370" s="84"/>
      <c r="H370" s="87"/>
      <c r="I370" s="84"/>
      <c r="J370" s="87"/>
      <c r="K370" s="84"/>
      <c r="L370" s="87"/>
    </row>
    <row r="371" spans="1:12" ht="12" customHeight="1" x14ac:dyDescent="0.35">
      <c r="A371" s="134">
        <v>31100008</v>
      </c>
      <c r="B371" s="84"/>
      <c r="C371" s="85" t="str">
        <f>VLOOKUP(A371,'DAFTAR HARGA'!A:D,3,FALSE)</f>
        <v>jam</v>
      </c>
      <c r="D371" s="84" t="s">
        <v>418</v>
      </c>
      <c r="E371" s="84">
        <f>VLOOKUP(A371,'DAFTAR HARGA'!A:D,4,FALSE)</f>
        <v>449000</v>
      </c>
      <c r="F371" s="128">
        <f>F361</f>
        <v>1.17E-2</v>
      </c>
      <c r="G371" s="87" t="e">
        <f>VLOOKUP(A371,'DAFTAR HARGA'!A:D,5,FALSE)</f>
        <v>#REF!</v>
      </c>
      <c r="H371" s="87" t="e">
        <f>F371*G371</f>
        <v>#REF!</v>
      </c>
      <c r="I371" s="87"/>
      <c r="J371" s="87" t="e">
        <f>H371*I371</f>
        <v>#REF!</v>
      </c>
      <c r="K371" s="87"/>
      <c r="L371" s="87" t="e">
        <f>J371*K371</f>
        <v>#REF!</v>
      </c>
    </row>
    <row r="372" spans="1:12" ht="12" customHeight="1" x14ac:dyDescent="0.35">
      <c r="B372" s="84"/>
      <c r="C372" s="88"/>
      <c r="D372" s="79"/>
      <c r="E372" s="79"/>
      <c r="F372" s="90"/>
      <c r="G372" s="87"/>
      <c r="H372" s="87"/>
      <c r="I372" s="87"/>
      <c r="J372" s="87"/>
      <c r="K372" s="87"/>
      <c r="L372" s="87"/>
    </row>
    <row r="373" spans="1:12" ht="12" customHeight="1" x14ac:dyDescent="0.35">
      <c r="B373" s="84"/>
      <c r="C373" s="88"/>
      <c r="D373" s="79"/>
      <c r="E373" s="79"/>
      <c r="F373" s="90"/>
      <c r="G373" s="87"/>
      <c r="H373" s="87">
        <f>F373*G373</f>
        <v>0</v>
      </c>
      <c r="I373" s="87"/>
      <c r="J373" s="87"/>
      <c r="K373" s="87"/>
      <c r="L373" s="87"/>
    </row>
    <row r="374" spans="1:12" ht="12" customHeight="1" x14ac:dyDescent="0.35">
      <c r="B374" s="84"/>
      <c r="C374" s="88"/>
      <c r="D374" s="79"/>
      <c r="E374" s="79"/>
      <c r="F374" s="89" t="s">
        <v>425</v>
      </c>
      <c r="G374" s="101"/>
      <c r="H374" s="87" t="e">
        <f>SUM(H371:H373)</f>
        <v>#REF!</v>
      </c>
      <c r="I374" s="101"/>
      <c r="J374" s="87" t="e">
        <f>SUM(J371)</f>
        <v>#REF!</v>
      </c>
      <c r="K374" s="101"/>
      <c r="L374" s="87" t="e">
        <f>SUM(L371)</f>
        <v>#REF!</v>
      </c>
    </row>
    <row r="375" spans="1:12" ht="12" customHeight="1" x14ac:dyDescent="0.35">
      <c r="B375" s="84" t="s">
        <v>8</v>
      </c>
      <c r="C375" s="103" t="s">
        <v>426</v>
      </c>
      <c r="D375" s="104"/>
      <c r="E375" s="104"/>
      <c r="F375" s="104"/>
      <c r="G375" s="105"/>
      <c r="H375" s="87" t="e">
        <f>H364+H369+H374</f>
        <v>#REF!</v>
      </c>
      <c r="I375" s="105"/>
      <c r="J375" s="87" t="e">
        <f>J364+J369+J374</f>
        <v>#REF!</v>
      </c>
      <c r="K375" s="105"/>
      <c r="L375" s="87" t="e">
        <f>L364+L369+L374</f>
        <v>#REF!</v>
      </c>
    </row>
    <row r="376" spans="1:12" ht="12" customHeight="1" x14ac:dyDescent="0.35">
      <c r="B376" s="84" t="s">
        <v>9</v>
      </c>
      <c r="C376" s="455" t="s">
        <v>427</v>
      </c>
      <c r="D376" s="455"/>
      <c r="E376" s="455"/>
      <c r="F376" s="95" t="str">
        <f>OP</f>
        <v>TANJUNG PALAS TENGAH</v>
      </c>
      <c r="G376" s="85" t="s">
        <v>428</v>
      </c>
      <c r="H376" s="87" t="e">
        <f>H375*F376</f>
        <v>#REF!</v>
      </c>
      <c r="I376" s="85" t="s">
        <v>428</v>
      </c>
      <c r="J376" s="87" t="e">
        <f>J375*F376</f>
        <v>#REF!</v>
      </c>
      <c r="K376" s="85" t="s">
        <v>428</v>
      </c>
      <c r="L376" s="87" t="e">
        <f>L375*F376</f>
        <v>#REF!</v>
      </c>
    </row>
    <row r="377" spans="1:12" ht="12" customHeight="1" x14ac:dyDescent="0.35">
      <c r="B377" s="84" t="s">
        <v>10</v>
      </c>
      <c r="C377" s="103" t="s">
        <v>429</v>
      </c>
      <c r="D377" s="104"/>
      <c r="E377" s="104"/>
      <c r="F377" s="104"/>
      <c r="G377" s="105"/>
      <c r="H377" s="96" t="e">
        <f>H375+H376</f>
        <v>#REF!</v>
      </c>
      <c r="I377" s="97"/>
      <c r="J377" s="96" t="e">
        <f>J375+J376</f>
        <v>#REF!</v>
      </c>
      <c r="K377" s="97"/>
      <c r="L377" s="96" t="e">
        <f>L375+L376</f>
        <v>#REF!</v>
      </c>
    </row>
    <row r="379" spans="1:12" ht="29" customHeight="1" x14ac:dyDescent="0.35">
      <c r="B379" s="76" t="s">
        <v>525</v>
      </c>
      <c r="C379" s="458" t="s">
        <v>526</v>
      </c>
      <c r="D379" s="459"/>
      <c r="E379" s="459"/>
      <c r="F379" s="459"/>
      <c r="G379" s="456"/>
      <c r="H379" s="457"/>
      <c r="I379" s="455" t="s">
        <v>3</v>
      </c>
      <c r="J379" s="455"/>
      <c r="K379" s="455" t="s">
        <v>4</v>
      </c>
      <c r="L379" s="455"/>
    </row>
    <row r="380" spans="1:12" ht="12" customHeight="1" x14ac:dyDescent="0.35">
      <c r="B380" s="451" t="s">
        <v>409</v>
      </c>
      <c r="C380" s="451" t="s">
        <v>410</v>
      </c>
      <c r="D380" s="452" t="s">
        <v>411</v>
      </c>
      <c r="E380" s="451" t="s">
        <v>412</v>
      </c>
      <c r="F380" s="451" t="s">
        <v>413</v>
      </c>
      <c r="G380" s="77" t="s">
        <v>414</v>
      </c>
      <c r="H380" s="77" t="s">
        <v>415</v>
      </c>
      <c r="I380" s="78" t="s">
        <v>414</v>
      </c>
      <c r="J380" s="79" t="s">
        <v>415</v>
      </c>
      <c r="K380" s="79" t="s">
        <v>414</v>
      </c>
      <c r="L380" s="79" t="s">
        <v>415</v>
      </c>
    </row>
    <row r="381" spans="1:12" ht="12" customHeight="1" x14ac:dyDescent="0.35">
      <c r="B381" s="451"/>
      <c r="C381" s="451"/>
      <c r="D381" s="453"/>
      <c r="E381" s="451"/>
      <c r="F381" s="451"/>
      <c r="G381" s="77" t="s">
        <v>17</v>
      </c>
      <c r="H381" s="77" t="s">
        <v>416</v>
      </c>
      <c r="I381" s="78" t="s">
        <v>17</v>
      </c>
      <c r="J381" s="79" t="s">
        <v>416</v>
      </c>
      <c r="K381" s="79" t="s">
        <v>17</v>
      </c>
      <c r="L381" s="79" t="s">
        <v>416</v>
      </c>
    </row>
    <row r="382" spans="1:12" ht="12" customHeight="1" x14ac:dyDescent="0.35">
      <c r="B382" s="451"/>
      <c r="C382" s="451"/>
      <c r="D382" s="454"/>
      <c r="E382" s="451"/>
      <c r="F382" s="451"/>
      <c r="G382" s="106"/>
      <c r="H382" s="77" t="s">
        <v>17</v>
      </c>
      <c r="I382" s="94"/>
      <c r="J382" s="79" t="s">
        <v>17</v>
      </c>
      <c r="K382" s="85"/>
      <c r="L382" s="79" t="s">
        <v>17</v>
      </c>
    </row>
    <row r="383" spans="1:12" ht="12" customHeight="1" x14ac:dyDescent="0.35">
      <c r="B383" s="80" t="s">
        <v>5</v>
      </c>
      <c r="C383" s="81" t="s">
        <v>417</v>
      </c>
      <c r="D383" s="82"/>
      <c r="E383" s="82"/>
      <c r="F383" s="82"/>
      <c r="G383" s="82"/>
      <c r="H383" s="82"/>
      <c r="I383" s="83"/>
      <c r="J383" s="83"/>
      <c r="K383" s="83"/>
      <c r="L383" s="83"/>
    </row>
    <row r="384" spans="1:12" ht="12" customHeight="1" x14ac:dyDescent="0.35">
      <c r="A384" s="134">
        <v>10111000</v>
      </c>
      <c r="B384" s="84"/>
      <c r="C384" s="85" t="str">
        <f>VLOOKUP(A384,'DAFTAR HARGA'!A:D,3,FALSE)</f>
        <v>OJ</v>
      </c>
      <c r="D384" s="84" t="s">
        <v>418</v>
      </c>
      <c r="E384" s="84">
        <f>VLOOKUP(A384,'DAFTAR HARGA'!A:D,4,FALSE)</f>
        <v>18750</v>
      </c>
      <c r="F384" s="86">
        <v>4.7000000000000002E-3</v>
      </c>
      <c r="G384" s="87" t="e">
        <f>VLOOKUP(A384,'DAFTAR HARGA'!A:D,5,FALSE)</f>
        <v>#REF!</v>
      </c>
      <c r="H384" s="87" t="e">
        <f>F384*G384</f>
        <v>#REF!</v>
      </c>
      <c r="I384" s="87">
        <v>78600</v>
      </c>
      <c r="J384" s="87">
        <f>F384*I384</f>
        <v>369.42</v>
      </c>
      <c r="K384" s="87">
        <v>78600</v>
      </c>
      <c r="L384" s="87">
        <f>F384*K384</f>
        <v>369.42</v>
      </c>
    </row>
    <row r="385" spans="1:12" ht="12" customHeight="1" x14ac:dyDescent="0.35">
      <c r="A385" s="134">
        <v>10121110</v>
      </c>
      <c r="B385" s="84"/>
      <c r="C385" s="85" t="str">
        <f>VLOOKUP(A385,'DAFTAR HARGA'!A:D,3,FALSE)</f>
        <v>OJ</v>
      </c>
      <c r="D385" s="84" t="s">
        <v>419</v>
      </c>
      <c r="E385" s="84">
        <f>VLOOKUP(A385,'DAFTAR HARGA'!A:D,4,FALSE)</f>
        <v>12500</v>
      </c>
      <c r="F385" s="86">
        <v>2.3699999999999999E-2</v>
      </c>
      <c r="G385" s="87" t="e">
        <f>VLOOKUP(A385,'DAFTAR HARGA'!A:D,5,FALSE)</f>
        <v>#REF!</v>
      </c>
      <c r="H385" s="87" t="e">
        <f>F385*G385</f>
        <v>#REF!</v>
      </c>
      <c r="I385" s="87">
        <v>91500</v>
      </c>
      <c r="J385" s="87">
        <f>F385*I385</f>
        <v>2168.5499999999997</v>
      </c>
      <c r="K385" s="87">
        <v>91500</v>
      </c>
      <c r="L385" s="87">
        <f>F385*K385</f>
        <v>2168.5499999999997</v>
      </c>
    </row>
    <row r="386" spans="1:12" ht="12" customHeight="1" x14ac:dyDescent="0.35">
      <c r="A386" s="134">
        <v>10131000</v>
      </c>
      <c r="B386" s="84"/>
      <c r="C386" s="85" t="str">
        <f>VLOOKUP(A386,'DAFTAR HARGA'!A:D,3,FALSE)</f>
        <v>OJ</v>
      </c>
      <c r="D386" s="84" t="s">
        <v>420</v>
      </c>
      <c r="E386" s="84">
        <f>VLOOKUP(A386,'DAFTAR HARGA'!A:D,4,FALSE)</f>
        <v>14375</v>
      </c>
      <c r="F386" s="86">
        <v>4.7300000000000002E-2</v>
      </c>
      <c r="G386" s="87" t="e">
        <f>VLOOKUP(A386,'DAFTAR HARGA'!A:D,5,FALSE)</f>
        <v>#REF!</v>
      </c>
      <c r="H386" s="87" t="e">
        <f>F386*G386</f>
        <v>#REF!</v>
      </c>
      <c r="I386" s="87">
        <v>92500</v>
      </c>
      <c r="J386" s="87">
        <f>F386*I386</f>
        <v>4375.25</v>
      </c>
      <c r="K386" s="87">
        <v>92500</v>
      </c>
      <c r="L386" s="87">
        <f>F386*K386</f>
        <v>4375.25</v>
      </c>
    </row>
    <row r="387" spans="1:12" ht="12" customHeight="1" x14ac:dyDescent="0.35">
      <c r="B387" s="84"/>
      <c r="C387" s="85"/>
      <c r="D387" s="84"/>
      <c r="E387" s="84"/>
      <c r="F387" s="86"/>
      <c r="G387" s="87"/>
      <c r="H387" s="87"/>
      <c r="I387" s="87"/>
      <c r="J387" s="87"/>
      <c r="K387" s="87"/>
      <c r="L387" s="87"/>
    </row>
    <row r="388" spans="1:12" ht="12" customHeight="1" x14ac:dyDescent="0.35">
      <c r="B388" s="84"/>
      <c r="C388" s="88"/>
      <c r="D388" s="79"/>
      <c r="E388" s="79"/>
      <c r="F388" s="89" t="s">
        <v>421</v>
      </c>
      <c r="G388" s="101"/>
      <c r="H388" s="87" t="e">
        <f>SUM(H384:H387)</f>
        <v>#REF!</v>
      </c>
      <c r="I388" s="101"/>
      <c r="J388" s="87">
        <f>SUM(J384:J387)</f>
        <v>6913.2199999999993</v>
      </c>
      <c r="K388" s="101"/>
      <c r="L388" s="87">
        <f>SUM(L384:L387)</f>
        <v>6913.2199999999993</v>
      </c>
    </row>
    <row r="389" spans="1:12" ht="12" customHeight="1" x14ac:dyDescent="0.35">
      <c r="B389" s="84" t="s">
        <v>6</v>
      </c>
      <c r="C389" s="88" t="s">
        <v>422</v>
      </c>
      <c r="D389" s="79"/>
      <c r="E389" s="79"/>
      <c r="F389" s="90"/>
      <c r="G389" s="84"/>
      <c r="H389" s="87"/>
      <c r="I389" s="84"/>
      <c r="J389" s="87"/>
      <c r="K389" s="84"/>
      <c r="L389" s="87"/>
    </row>
    <row r="390" spans="1:12" ht="12" customHeight="1" x14ac:dyDescent="0.35">
      <c r="B390" s="84"/>
      <c r="C390" s="85"/>
      <c r="D390" s="84"/>
      <c r="E390" s="84"/>
      <c r="F390" s="86"/>
      <c r="G390" s="87"/>
      <c r="H390" s="87">
        <f>F390*G390</f>
        <v>0</v>
      </c>
      <c r="I390" s="87">
        <v>232500</v>
      </c>
      <c r="J390" s="87">
        <f>F390*I390</f>
        <v>0</v>
      </c>
      <c r="K390" s="87">
        <v>270000</v>
      </c>
      <c r="L390" s="87">
        <f>F390*K390</f>
        <v>0</v>
      </c>
    </row>
    <row r="391" spans="1:12" ht="12" customHeight="1" x14ac:dyDescent="0.35">
      <c r="B391" s="84"/>
      <c r="C391" s="88"/>
      <c r="D391" s="79"/>
      <c r="E391" s="84"/>
      <c r="F391" s="102"/>
      <c r="G391" s="87"/>
      <c r="H391" s="87">
        <f>F391*G391</f>
        <v>0</v>
      </c>
      <c r="I391" s="87">
        <v>1060</v>
      </c>
      <c r="J391" s="87">
        <f>F391*I391</f>
        <v>0</v>
      </c>
      <c r="K391" s="87">
        <v>1060</v>
      </c>
      <c r="L391" s="87">
        <f>F391*K391</f>
        <v>0</v>
      </c>
    </row>
    <row r="392" spans="1:12" ht="12" customHeight="1" x14ac:dyDescent="0.35">
      <c r="B392" s="84"/>
      <c r="C392" s="88"/>
      <c r="D392" s="79"/>
      <c r="E392" s="84"/>
      <c r="F392" s="102"/>
      <c r="G392" s="87"/>
      <c r="H392" s="87">
        <f>F392*G392</f>
        <v>0</v>
      </c>
      <c r="I392" s="87">
        <v>215000</v>
      </c>
      <c r="J392" s="87">
        <f>F392*I392</f>
        <v>0</v>
      </c>
      <c r="K392" s="87">
        <v>250000</v>
      </c>
      <c r="L392" s="87">
        <f>F392*K392</f>
        <v>0</v>
      </c>
    </row>
    <row r="393" spans="1:12" ht="12" customHeight="1" x14ac:dyDescent="0.35">
      <c r="B393" s="84"/>
      <c r="C393" s="88"/>
      <c r="D393" s="79"/>
      <c r="E393" s="79"/>
      <c r="F393" s="89"/>
      <c r="G393" s="101"/>
      <c r="H393" s="87">
        <f>SUM(H390:H392)</f>
        <v>0</v>
      </c>
      <c r="I393" s="101"/>
      <c r="J393" s="87">
        <f>SUM(J390:J392)</f>
        <v>0</v>
      </c>
      <c r="K393" s="101"/>
      <c r="L393" s="87">
        <f>SUM(L390:L392)</f>
        <v>0</v>
      </c>
    </row>
    <row r="394" spans="1:12" ht="12" customHeight="1" x14ac:dyDescent="0.35">
      <c r="B394" s="84" t="s">
        <v>7</v>
      </c>
      <c r="C394" s="88" t="s">
        <v>424</v>
      </c>
      <c r="D394" s="79"/>
      <c r="E394" s="79"/>
      <c r="F394" s="90"/>
      <c r="G394" s="84"/>
      <c r="H394" s="87"/>
      <c r="I394" s="84"/>
      <c r="J394" s="87"/>
      <c r="K394" s="84"/>
      <c r="L394" s="87"/>
    </row>
    <row r="395" spans="1:12" ht="12" customHeight="1" x14ac:dyDescent="0.35">
      <c r="A395" s="134">
        <v>31100008</v>
      </c>
      <c r="B395" s="84"/>
      <c r="C395" s="85" t="str">
        <f>VLOOKUP(A395,'DAFTAR HARGA'!A:D,3,FALSE)</f>
        <v>jam</v>
      </c>
      <c r="D395" s="84" t="s">
        <v>418</v>
      </c>
      <c r="E395" s="84">
        <f>VLOOKUP(A395,'DAFTAR HARGA'!A:D,4,FALSE)</f>
        <v>449000</v>
      </c>
      <c r="F395" s="128">
        <f>F385</f>
        <v>2.3699999999999999E-2</v>
      </c>
      <c r="G395" s="87" t="e">
        <f>VLOOKUP(A395,'DAFTAR HARGA'!A:D,5,FALSE)</f>
        <v>#REF!</v>
      </c>
      <c r="H395" s="87" t="e">
        <f>F395*G395</f>
        <v>#REF!</v>
      </c>
      <c r="I395" s="87"/>
      <c r="J395" s="87" t="e">
        <f>H395*I395</f>
        <v>#REF!</v>
      </c>
      <c r="K395" s="87"/>
      <c r="L395" s="87" t="e">
        <f>J395*K395</f>
        <v>#REF!</v>
      </c>
    </row>
    <row r="396" spans="1:12" ht="12" customHeight="1" x14ac:dyDescent="0.35">
      <c r="B396" s="84"/>
      <c r="C396" s="88"/>
      <c r="D396" s="79"/>
      <c r="E396" s="79"/>
      <c r="F396" s="90"/>
      <c r="G396" s="87"/>
      <c r="H396" s="87"/>
      <c r="I396" s="87"/>
      <c r="J396" s="87"/>
      <c r="K396" s="87"/>
      <c r="L396" s="87"/>
    </row>
    <row r="397" spans="1:12" ht="12" customHeight="1" x14ac:dyDescent="0.35">
      <c r="B397" s="84"/>
      <c r="C397" s="88"/>
      <c r="D397" s="79"/>
      <c r="E397" s="79"/>
      <c r="F397" s="90"/>
      <c r="G397" s="87"/>
      <c r="H397" s="87">
        <f>F397*G397</f>
        <v>0</v>
      </c>
      <c r="I397" s="87"/>
      <c r="J397" s="87"/>
      <c r="K397" s="87"/>
      <c r="L397" s="87"/>
    </row>
    <row r="398" spans="1:12" ht="12" customHeight="1" x14ac:dyDescent="0.35">
      <c r="B398" s="84"/>
      <c r="C398" s="88"/>
      <c r="D398" s="79"/>
      <c r="E398" s="79"/>
      <c r="F398" s="89" t="s">
        <v>425</v>
      </c>
      <c r="G398" s="101"/>
      <c r="H398" s="87" t="e">
        <f>SUM(H395:H397)</f>
        <v>#REF!</v>
      </c>
      <c r="I398" s="101"/>
      <c r="J398" s="87" t="e">
        <f>SUM(J395)</f>
        <v>#REF!</v>
      </c>
      <c r="K398" s="101"/>
      <c r="L398" s="87" t="e">
        <f>SUM(L395)</f>
        <v>#REF!</v>
      </c>
    </row>
    <row r="399" spans="1:12" ht="12" customHeight="1" x14ac:dyDescent="0.35">
      <c r="B399" s="84" t="s">
        <v>8</v>
      </c>
      <c r="C399" s="103" t="s">
        <v>426</v>
      </c>
      <c r="D399" s="104"/>
      <c r="E399" s="104"/>
      <c r="F399" s="104"/>
      <c r="G399" s="105"/>
      <c r="H399" s="87" t="e">
        <f>H388+H393+H398</f>
        <v>#REF!</v>
      </c>
      <c r="I399" s="105"/>
      <c r="J399" s="87" t="e">
        <f>J388+J393+J398</f>
        <v>#REF!</v>
      </c>
      <c r="K399" s="105"/>
      <c r="L399" s="87" t="e">
        <f>L388+L393+L398</f>
        <v>#REF!</v>
      </c>
    </row>
    <row r="400" spans="1:12" ht="12" customHeight="1" x14ac:dyDescent="0.35">
      <c r="B400" s="84" t="s">
        <v>9</v>
      </c>
      <c r="C400" s="455" t="s">
        <v>427</v>
      </c>
      <c r="D400" s="455"/>
      <c r="E400" s="455"/>
      <c r="F400" s="95" t="str">
        <f>OP</f>
        <v>TANJUNG PALAS TENGAH</v>
      </c>
      <c r="G400" s="85" t="s">
        <v>428</v>
      </c>
      <c r="H400" s="87" t="e">
        <f>H399*F400</f>
        <v>#REF!</v>
      </c>
      <c r="I400" s="85" t="s">
        <v>428</v>
      </c>
      <c r="J400" s="87" t="e">
        <f>J399*F400</f>
        <v>#REF!</v>
      </c>
      <c r="K400" s="85" t="s">
        <v>428</v>
      </c>
      <c r="L400" s="87" t="e">
        <f>L399*F400</f>
        <v>#REF!</v>
      </c>
    </row>
    <row r="401" spans="1:12" ht="12" customHeight="1" x14ac:dyDescent="0.35">
      <c r="B401" s="84" t="s">
        <v>10</v>
      </c>
      <c r="C401" s="103" t="s">
        <v>429</v>
      </c>
      <c r="D401" s="104"/>
      <c r="E401" s="104"/>
      <c r="F401" s="104"/>
      <c r="G401" s="105"/>
      <c r="H401" s="96" t="e">
        <f>H399+H400</f>
        <v>#REF!</v>
      </c>
      <c r="I401" s="97"/>
      <c r="J401" s="96" t="e">
        <f>J399+J400</f>
        <v>#REF!</v>
      </c>
      <c r="K401" s="97"/>
      <c r="L401" s="96" t="e">
        <f>L399+L400</f>
        <v>#REF!</v>
      </c>
    </row>
    <row r="403" spans="1:12" ht="29" customHeight="1" x14ac:dyDescent="0.35">
      <c r="B403" s="76" t="s">
        <v>527</v>
      </c>
      <c r="C403" s="458" t="s">
        <v>528</v>
      </c>
      <c r="D403" s="459"/>
      <c r="E403" s="459"/>
      <c r="F403" s="459"/>
      <c r="G403" s="456"/>
      <c r="H403" s="457"/>
      <c r="I403" s="455" t="s">
        <v>3</v>
      </c>
      <c r="J403" s="455"/>
      <c r="K403" s="455" t="s">
        <v>4</v>
      </c>
      <c r="L403" s="455"/>
    </row>
    <row r="404" spans="1:12" ht="12" customHeight="1" x14ac:dyDescent="0.35">
      <c r="B404" s="451" t="s">
        <v>409</v>
      </c>
      <c r="C404" s="451" t="s">
        <v>410</v>
      </c>
      <c r="D404" s="452" t="s">
        <v>411</v>
      </c>
      <c r="E404" s="451" t="s">
        <v>412</v>
      </c>
      <c r="F404" s="451" t="s">
        <v>413</v>
      </c>
      <c r="G404" s="77" t="s">
        <v>414</v>
      </c>
      <c r="H404" s="77" t="s">
        <v>415</v>
      </c>
      <c r="I404" s="78" t="s">
        <v>414</v>
      </c>
      <c r="J404" s="79" t="s">
        <v>415</v>
      </c>
      <c r="K404" s="79" t="s">
        <v>414</v>
      </c>
      <c r="L404" s="79" t="s">
        <v>415</v>
      </c>
    </row>
    <row r="405" spans="1:12" ht="12" customHeight="1" x14ac:dyDescent="0.35">
      <c r="B405" s="451"/>
      <c r="C405" s="451"/>
      <c r="D405" s="453"/>
      <c r="E405" s="451"/>
      <c r="F405" s="451"/>
      <c r="G405" s="77" t="s">
        <v>17</v>
      </c>
      <c r="H405" s="77" t="s">
        <v>416</v>
      </c>
      <c r="I405" s="78" t="s">
        <v>17</v>
      </c>
      <c r="J405" s="79" t="s">
        <v>416</v>
      </c>
      <c r="K405" s="79" t="s">
        <v>17</v>
      </c>
      <c r="L405" s="79" t="s">
        <v>416</v>
      </c>
    </row>
    <row r="406" spans="1:12" ht="12" customHeight="1" x14ac:dyDescent="0.35">
      <c r="B406" s="451"/>
      <c r="C406" s="451"/>
      <c r="D406" s="454"/>
      <c r="E406" s="451"/>
      <c r="F406" s="451"/>
      <c r="G406" s="106"/>
      <c r="H406" s="77" t="s">
        <v>17</v>
      </c>
      <c r="I406" s="94"/>
      <c r="J406" s="79" t="s">
        <v>17</v>
      </c>
      <c r="K406" s="85"/>
      <c r="L406" s="79" t="s">
        <v>17</v>
      </c>
    </row>
    <row r="407" spans="1:12" ht="12" customHeight="1" x14ac:dyDescent="0.35">
      <c r="B407" s="80" t="s">
        <v>5</v>
      </c>
      <c r="C407" s="81" t="s">
        <v>417</v>
      </c>
      <c r="D407" s="82"/>
      <c r="E407" s="82"/>
      <c r="F407" s="82"/>
      <c r="G407" s="82"/>
      <c r="H407" s="82"/>
      <c r="I407" s="83"/>
      <c r="J407" s="83"/>
      <c r="K407" s="83"/>
      <c r="L407" s="83"/>
    </row>
    <row r="408" spans="1:12" ht="12" customHeight="1" x14ac:dyDescent="0.35">
      <c r="A408" s="134">
        <v>10111000</v>
      </c>
      <c r="B408" s="84"/>
      <c r="C408" s="85" t="str">
        <f>VLOOKUP(A408,'DAFTAR HARGA'!A:D,3,FALSE)</f>
        <v>OJ</v>
      </c>
      <c r="D408" s="84" t="s">
        <v>418</v>
      </c>
      <c r="E408" s="84">
        <f>VLOOKUP(A408,'DAFTAR HARGA'!A:D,4,FALSE)</f>
        <v>18750</v>
      </c>
      <c r="F408" s="86">
        <v>1.9E-3</v>
      </c>
      <c r="G408" s="87" t="e">
        <f>VLOOKUP(A408,'DAFTAR HARGA'!A:D,5,FALSE)</f>
        <v>#REF!</v>
      </c>
      <c r="H408" s="87" t="e">
        <f>F408*G408</f>
        <v>#REF!</v>
      </c>
      <c r="I408" s="87">
        <v>78600</v>
      </c>
      <c r="J408" s="87">
        <f>F408*I408</f>
        <v>149.34</v>
      </c>
      <c r="K408" s="87">
        <v>78600</v>
      </c>
      <c r="L408" s="87">
        <f>F408*K408</f>
        <v>149.34</v>
      </c>
    </row>
    <row r="409" spans="1:12" ht="12" customHeight="1" x14ac:dyDescent="0.35">
      <c r="A409" s="134">
        <v>10121110</v>
      </c>
      <c r="B409" s="84"/>
      <c r="C409" s="85" t="str">
        <f>VLOOKUP(A409,'DAFTAR HARGA'!A:D,3,FALSE)</f>
        <v>OJ</v>
      </c>
      <c r="D409" s="84" t="s">
        <v>419</v>
      </c>
      <c r="E409" s="84">
        <f>VLOOKUP(A409,'DAFTAR HARGA'!A:D,4,FALSE)</f>
        <v>12500</v>
      </c>
      <c r="F409" s="86">
        <v>9.7000000000000003E-3</v>
      </c>
      <c r="G409" s="87" t="e">
        <f>VLOOKUP(A409,'DAFTAR HARGA'!A:D,5,FALSE)</f>
        <v>#REF!</v>
      </c>
      <c r="H409" s="87" t="e">
        <f>F409*G409</f>
        <v>#REF!</v>
      </c>
      <c r="I409" s="87">
        <v>91500</v>
      </c>
      <c r="J409" s="87">
        <f>F409*I409</f>
        <v>887.55000000000007</v>
      </c>
      <c r="K409" s="87">
        <v>91500</v>
      </c>
      <c r="L409" s="87">
        <f>F409*K409</f>
        <v>887.55000000000007</v>
      </c>
    </row>
    <row r="410" spans="1:12" ht="12" customHeight="1" x14ac:dyDescent="0.35">
      <c r="A410" s="134">
        <v>10131000</v>
      </c>
      <c r="B410" s="84"/>
      <c r="C410" s="85" t="str">
        <f>VLOOKUP(A410,'DAFTAR HARGA'!A:D,3,FALSE)</f>
        <v>OJ</v>
      </c>
      <c r="D410" s="84" t="s">
        <v>420</v>
      </c>
      <c r="E410" s="84">
        <f>VLOOKUP(A410,'DAFTAR HARGA'!A:D,4,FALSE)</f>
        <v>14375</v>
      </c>
      <c r="F410" s="86">
        <v>1.95E-2</v>
      </c>
      <c r="G410" s="87" t="e">
        <f>VLOOKUP(A410,'DAFTAR HARGA'!A:D,5,FALSE)</f>
        <v>#REF!</v>
      </c>
      <c r="H410" s="87" t="e">
        <f>F410*G410</f>
        <v>#REF!</v>
      </c>
      <c r="I410" s="87">
        <v>92500</v>
      </c>
      <c r="J410" s="87">
        <f>F410*I410</f>
        <v>1803.75</v>
      </c>
      <c r="K410" s="87">
        <v>92500</v>
      </c>
      <c r="L410" s="87">
        <f>F410*K410</f>
        <v>1803.75</v>
      </c>
    </row>
    <row r="411" spans="1:12" ht="12" customHeight="1" x14ac:dyDescent="0.35">
      <c r="B411" s="84"/>
      <c r="C411" s="85"/>
      <c r="D411" s="84"/>
      <c r="E411" s="84"/>
      <c r="F411" s="86"/>
      <c r="G411" s="87"/>
      <c r="H411" s="87"/>
      <c r="I411" s="87"/>
      <c r="J411" s="87"/>
      <c r="K411" s="87"/>
      <c r="L411" s="87"/>
    </row>
    <row r="412" spans="1:12" ht="12" customHeight="1" x14ac:dyDescent="0.35">
      <c r="B412" s="84"/>
      <c r="C412" s="88"/>
      <c r="D412" s="79"/>
      <c r="E412" s="79"/>
      <c r="F412" s="89" t="s">
        <v>421</v>
      </c>
      <c r="G412" s="101"/>
      <c r="H412" s="87" t="e">
        <f>SUM(H408:H411)</f>
        <v>#REF!</v>
      </c>
      <c r="I412" s="101"/>
      <c r="J412" s="87">
        <f>SUM(J408:J411)</f>
        <v>2840.6400000000003</v>
      </c>
      <c r="K412" s="101"/>
      <c r="L412" s="87">
        <f>SUM(L408:L411)</f>
        <v>2840.6400000000003</v>
      </c>
    </row>
    <row r="413" spans="1:12" ht="12" customHeight="1" x14ac:dyDescent="0.35">
      <c r="B413" s="84" t="s">
        <v>6</v>
      </c>
      <c r="C413" s="88" t="s">
        <v>422</v>
      </c>
      <c r="D413" s="79"/>
      <c r="E413" s="79"/>
      <c r="F413" s="90"/>
      <c r="G413" s="84"/>
      <c r="H413" s="87"/>
      <c r="I413" s="84"/>
      <c r="J413" s="87"/>
      <c r="K413" s="84"/>
      <c r="L413" s="87"/>
    </row>
    <row r="414" spans="1:12" ht="12" customHeight="1" x14ac:dyDescent="0.35">
      <c r="B414" s="84"/>
      <c r="C414" s="85"/>
      <c r="D414" s="84"/>
      <c r="E414" s="84"/>
      <c r="F414" s="86"/>
      <c r="G414" s="87"/>
      <c r="H414" s="87">
        <f>F414*G414</f>
        <v>0</v>
      </c>
      <c r="I414" s="87">
        <v>232500</v>
      </c>
      <c r="J414" s="87">
        <f>F414*I414</f>
        <v>0</v>
      </c>
      <c r="K414" s="87">
        <v>270000</v>
      </c>
      <c r="L414" s="87">
        <f>F414*K414</f>
        <v>0</v>
      </c>
    </row>
    <row r="415" spans="1:12" ht="12" customHeight="1" x14ac:dyDescent="0.35">
      <c r="B415" s="84"/>
      <c r="C415" s="88"/>
      <c r="D415" s="79"/>
      <c r="E415" s="84"/>
      <c r="F415" s="102"/>
      <c r="G415" s="87"/>
      <c r="H415" s="87">
        <f>F415*G415</f>
        <v>0</v>
      </c>
      <c r="I415" s="87">
        <v>1060</v>
      </c>
      <c r="J415" s="87">
        <f>F415*I415</f>
        <v>0</v>
      </c>
      <c r="K415" s="87">
        <v>1060</v>
      </c>
      <c r="L415" s="87">
        <f>F415*K415</f>
        <v>0</v>
      </c>
    </row>
    <row r="416" spans="1:12" ht="12" customHeight="1" x14ac:dyDescent="0.35">
      <c r="B416" s="84"/>
      <c r="C416" s="88"/>
      <c r="D416" s="79"/>
      <c r="E416" s="84"/>
      <c r="F416" s="102"/>
      <c r="G416" s="87"/>
      <c r="H416" s="87">
        <f>F416*G416</f>
        <v>0</v>
      </c>
      <c r="I416" s="87">
        <v>215000</v>
      </c>
      <c r="J416" s="87">
        <f>F416*I416</f>
        <v>0</v>
      </c>
      <c r="K416" s="87">
        <v>250000</v>
      </c>
      <c r="L416" s="87">
        <f>F416*K416</f>
        <v>0</v>
      </c>
    </row>
    <row r="417" spans="1:12" ht="12" customHeight="1" x14ac:dyDescent="0.35">
      <c r="B417" s="84"/>
      <c r="C417" s="88"/>
      <c r="D417" s="79"/>
      <c r="E417" s="79"/>
      <c r="F417" s="89"/>
      <c r="G417" s="101"/>
      <c r="H417" s="87">
        <f>SUM(H414:H416)</f>
        <v>0</v>
      </c>
      <c r="I417" s="101"/>
      <c r="J417" s="87">
        <f>SUM(J414:J416)</f>
        <v>0</v>
      </c>
      <c r="K417" s="101"/>
      <c r="L417" s="87">
        <f>SUM(L414:L416)</f>
        <v>0</v>
      </c>
    </row>
    <row r="418" spans="1:12" ht="12" customHeight="1" x14ac:dyDescent="0.35">
      <c r="B418" s="84" t="s">
        <v>7</v>
      </c>
      <c r="C418" s="88" t="s">
        <v>424</v>
      </c>
      <c r="D418" s="79"/>
      <c r="E418" s="79"/>
      <c r="F418" s="90"/>
      <c r="G418" s="84"/>
      <c r="H418" s="87"/>
      <c r="I418" s="84"/>
      <c r="J418" s="87"/>
      <c r="K418" s="84"/>
      <c r="L418" s="87"/>
    </row>
    <row r="419" spans="1:12" ht="12" customHeight="1" x14ac:dyDescent="0.35">
      <c r="A419" s="134">
        <v>31100008</v>
      </c>
      <c r="B419" s="84"/>
      <c r="C419" s="85" t="str">
        <f>VLOOKUP(A419,'DAFTAR HARGA'!A:D,3,FALSE)</f>
        <v>jam</v>
      </c>
      <c r="D419" s="84" t="s">
        <v>418</v>
      </c>
      <c r="E419" s="84">
        <f>VLOOKUP(A419,'DAFTAR HARGA'!A:D,4,FALSE)</f>
        <v>449000</v>
      </c>
      <c r="F419" s="128">
        <v>9.7000000000000003E-3</v>
      </c>
      <c r="G419" s="87" t="e">
        <f>VLOOKUP(A419,'DAFTAR HARGA'!A:D,5,FALSE)</f>
        <v>#REF!</v>
      </c>
      <c r="H419" s="87" t="e">
        <f>F419*G419</f>
        <v>#REF!</v>
      </c>
      <c r="I419" s="87"/>
      <c r="J419" s="87" t="e">
        <f>H419*I419</f>
        <v>#REF!</v>
      </c>
      <c r="K419" s="87"/>
      <c r="L419" s="87" t="e">
        <f>J419*K419</f>
        <v>#REF!</v>
      </c>
    </row>
    <row r="420" spans="1:12" ht="12" customHeight="1" x14ac:dyDescent="0.35">
      <c r="B420" s="84"/>
      <c r="C420" s="88"/>
      <c r="D420" s="79"/>
      <c r="E420" s="79"/>
      <c r="F420" s="90"/>
      <c r="G420" s="87"/>
      <c r="H420" s="87"/>
      <c r="I420" s="87"/>
      <c r="J420" s="87"/>
      <c r="K420" s="87"/>
      <c r="L420" s="87"/>
    </row>
    <row r="421" spans="1:12" ht="12" customHeight="1" x14ac:dyDescent="0.35">
      <c r="B421" s="84"/>
      <c r="C421" s="88"/>
      <c r="D421" s="79"/>
      <c r="E421" s="79"/>
      <c r="F421" s="90"/>
      <c r="G421" s="87"/>
      <c r="H421" s="87">
        <f>F421*G421</f>
        <v>0</v>
      </c>
      <c r="I421" s="87"/>
      <c r="J421" s="87"/>
      <c r="K421" s="87"/>
      <c r="L421" s="87"/>
    </row>
    <row r="422" spans="1:12" ht="12" customHeight="1" x14ac:dyDescent="0.35">
      <c r="B422" s="84"/>
      <c r="C422" s="88"/>
      <c r="D422" s="79"/>
      <c r="E422" s="79"/>
      <c r="F422" s="89" t="s">
        <v>425</v>
      </c>
      <c r="G422" s="101"/>
      <c r="H422" s="87" t="e">
        <f>SUM(H419:H421)</f>
        <v>#REF!</v>
      </c>
      <c r="I422" s="101"/>
      <c r="J422" s="87" t="e">
        <f>SUM(J419)</f>
        <v>#REF!</v>
      </c>
      <c r="K422" s="101"/>
      <c r="L422" s="87" t="e">
        <f>SUM(L419)</f>
        <v>#REF!</v>
      </c>
    </row>
    <row r="423" spans="1:12" ht="12" customHeight="1" x14ac:dyDescent="0.35">
      <c r="B423" s="84" t="s">
        <v>8</v>
      </c>
      <c r="C423" s="103" t="s">
        <v>426</v>
      </c>
      <c r="D423" s="104"/>
      <c r="E423" s="104"/>
      <c r="F423" s="104"/>
      <c r="G423" s="105"/>
      <c r="H423" s="87" t="e">
        <f>H412+H417+H422</f>
        <v>#REF!</v>
      </c>
      <c r="I423" s="105"/>
      <c r="J423" s="87" t="e">
        <f>J412+J417+J422</f>
        <v>#REF!</v>
      </c>
      <c r="K423" s="105"/>
      <c r="L423" s="87" t="e">
        <f>L412+L417+L422</f>
        <v>#REF!</v>
      </c>
    </row>
    <row r="424" spans="1:12" ht="12" customHeight="1" x14ac:dyDescent="0.35">
      <c r="B424" s="84" t="s">
        <v>9</v>
      </c>
      <c r="C424" s="455" t="s">
        <v>427</v>
      </c>
      <c r="D424" s="455"/>
      <c r="E424" s="455"/>
      <c r="F424" s="95" t="str">
        <f>OP</f>
        <v>TANJUNG PALAS TENGAH</v>
      </c>
      <c r="G424" s="85" t="s">
        <v>428</v>
      </c>
      <c r="H424" s="87" t="e">
        <f>H423*F424</f>
        <v>#REF!</v>
      </c>
      <c r="I424" s="85" t="s">
        <v>428</v>
      </c>
      <c r="J424" s="87" t="e">
        <f>J423*F424</f>
        <v>#REF!</v>
      </c>
      <c r="K424" s="85" t="s">
        <v>428</v>
      </c>
      <c r="L424" s="87" t="e">
        <f>L423*F424</f>
        <v>#REF!</v>
      </c>
    </row>
    <row r="425" spans="1:12" ht="12" customHeight="1" x14ac:dyDescent="0.35">
      <c r="B425" s="84" t="s">
        <v>10</v>
      </c>
      <c r="C425" s="103" t="s">
        <v>429</v>
      </c>
      <c r="D425" s="104"/>
      <c r="E425" s="104"/>
      <c r="F425" s="104"/>
      <c r="G425" s="105"/>
      <c r="H425" s="96" t="e">
        <f>H423+H424</f>
        <v>#REF!</v>
      </c>
      <c r="I425" s="97"/>
      <c r="J425" s="96" t="e">
        <f>J423+J424</f>
        <v>#REF!</v>
      </c>
      <c r="K425" s="97"/>
      <c r="L425" s="96" t="e">
        <f>L423+L424</f>
        <v>#REF!</v>
      </c>
    </row>
    <row r="427" spans="1:12" ht="29" customHeight="1" x14ac:dyDescent="0.35">
      <c r="B427" s="76" t="s">
        <v>529</v>
      </c>
      <c r="C427" s="458" t="s">
        <v>530</v>
      </c>
      <c r="D427" s="459"/>
      <c r="E427" s="459"/>
      <c r="F427" s="459"/>
      <c r="G427" s="456"/>
      <c r="H427" s="457"/>
      <c r="I427" s="455" t="s">
        <v>3</v>
      </c>
      <c r="J427" s="455"/>
      <c r="K427" s="455" t="s">
        <v>4</v>
      </c>
      <c r="L427" s="455"/>
    </row>
    <row r="428" spans="1:12" ht="12" customHeight="1" x14ac:dyDescent="0.35">
      <c r="B428" s="451" t="s">
        <v>409</v>
      </c>
      <c r="C428" s="451" t="s">
        <v>410</v>
      </c>
      <c r="D428" s="452" t="s">
        <v>411</v>
      </c>
      <c r="E428" s="451" t="s">
        <v>412</v>
      </c>
      <c r="F428" s="451" t="s">
        <v>413</v>
      </c>
      <c r="G428" s="77" t="s">
        <v>414</v>
      </c>
      <c r="H428" s="77" t="s">
        <v>415</v>
      </c>
      <c r="I428" s="78" t="s">
        <v>414</v>
      </c>
      <c r="J428" s="79" t="s">
        <v>415</v>
      </c>
      <c r="K428" s="79" t="s">
        <v>414</v>
      </c>
      <c r="L428" s="79" t="s">
        <v>415</v>
      </c>
    </row>
    <row r="429" spans="1:12" ht="12" customHeight="1" x14ac:dyDescent="0.35">
      <c r="B429" s="451"/>
      <c r="C429" s="451"/>
      <c r="D429" s="453"/>
      <c r="E429" s="451"/>
      <c r="F429" s="451"/>
      <c r="G429" s="77" t="s">
        <v>17</v>
      </c>
      <c r="H429" s="77" t="s">
        <v>416</v>
      </c>
      <c r="I429" s="78" t="s">
        <v>17</v>
      </c>
      <c r="J429" s="79" t="s">
        <v>416</v>
      </c>
      <c r="K429" s="79" t="s">
        <v>17</v>
      </c>
      <c r="L429" s="79" t="s">
        <v>416</v>
      </c>
    </row>
    <row r="430" spans="1:12" ht="12" customHeight="1" x14ac:dyDescent="0.35">
      <c r="B430" s="451"/>
      <c r="C430" s="451"/>
      <c r="D430" s="454"/>
      <c r="E430" s="451"/>
      <c r="F430" s="451"/>
      <c r="G430" s="106"/>
      <c r="H430" s="77" t="s">
        <v>17</v>
      </c>
      <c r="I430" s="94"/>
      <c r="J430" s="79" t="s">
        <v>17</v>
      </c>
      <c r="K430" s="85"/>
      <c r="L430" s="79" t="s">
        <v>17</v>
      </c>
    </row>
    <row r="431" spans="1:12" ht="12" customHeight="1" x14ac:dyDescent="0.35">
      <c r="B431" s="80" t="s">
        <v>5</v>
      </c>
      <c r="C431" s="81" t="s">
        <v>417</v>
      </c>
      <c r="D431" s="82"/>
      <c r="E431" s="82"/>
      <c r="F431" s="82"/>
      <c r="G431" s="82"/>
      <c r="H431" s="82"/>
      <c r="I431" s="83"/>
      <c r="J431" s="83"/>
      <c r="K431" s="83"/>
      <c r="L431" s="83"/>
    </row>
    <row r="432" spans="1:12" ht="12" customHeight="1" x14ac:dyDescent="0.35">
      <c r="A432" s="134">
        <v>10111000</v>
      </c>
      <c r="B432" s="84"/>
      <c r="C432" s="85" t="str">
        <f>VLOOKUP(A432,'DAFTAR HARGA'!A:D,3,FALSE)</f>
        <v>OJ</v>
      </c>
      <c r="D432" s="84" t="s">
        <v>418</v>
      </c>
      <c r="E432" s="84">
        <f>VLOOKUP(A432,'DAFTAR HARGA'!A:D,4,FALSE)</f>
        <v>18750</v>
      </c>
      <c r="F432" s="86">
        <v>2.0999999999999999E-3</v>
      </c>
      <c r="G432" s="87" t="e">
        <f>VLOOKUP(A432,'DAFTAR HARGA'!A:D,5,FALSE)</f>
        <v>#REF!</v>
      </c>
      <c r="H432" s="87" t="e">
        <f>F432*G432</f>
        <v>#REF!</v>
      </c>
      <c r="I432" s="87">
        <v>78600</v>
      </c>
      <c r="J432" s="87">
        <f>F432*I432</f>
        <v>165.06</v>
      </c>
      <c r="K432" s="87">
        <v>78600</v>
      </c>
      <c r="L432" s="87">
        <f>F432*K432</f>
        <v>165.06</v>
      </c>
    </row>
    <row r="433" spans="1:12" ht="12" customHeight="1" x14ac:dyDescent="0.35">
      <c r="A433" s="134">
        <v>10121110</v>
      </c>
      <c r="B433" s="84"/>
      <c r="C433" s="85" t="str">
        <f>VLOOKUP(A433,'DAFTAR HARGA'!A:D,3,FALSE)</f>
        <v>OJ</v>
      </c>
      <c r="D433" s="84" t="s">
        <v>419</v>
      </c>
      <c r="E433" s="84">
        <f>VLOOKUP(A433,'DAFTAR HARGA'!A:D,4,FALSE)</f>
        <v>12500</v>
      </c>
      <c r="F433" s="86">
        <v>1.0800000000000001E-2</v>
      </c>
      <c r="G433" s="87" t="e">
        <f>VLOOKUP(A433,'DAFTAR HARGA'!A:D,5,FALSE)</f>
        <v>#REF!</v>
      </c>
      <c r="H433" s="87" t="e">
        <f>F433*G433</f>
        <v>#REF!</v>
      </c>
      <c r="I433" s="87">
        <v>91500</v>
      </c>
      <c r="J433" s="87">
        <f>F433*I433</f>
        <v>988.2</v>
      </c>
      <c r="K433" s="87">
        <v>91500</v>
      </c>
      <c r="L433" s="87">
        <f>F433*K433</f>
        <v>988.2</v>
      </c>
    </row>
    <row r="434" spans="1:12" ht="12" customHeight="1" x14ac:dyDescent="0.35">
      <c r="A434" s="134">
        <v>10131000</v>
      </c>
      <c r="B434" s="84"/>
      <c r="C434" s="85" t="str">
        <f>VLOOKUP(A434,'DAFTAR HARGA'!A:D,3,FALSE)</f>
        <v>OJ</v>
      </c>
      <c r="D434" s="84" t="s">
        <v>420</v>
      </c>
      <c r="E434" s="84">
        <f>VLOOKUP(A434,'DAFTAR HARGA'!A:D,4,FALSE)</f>
        <v>14375</v>
      </c>
      <c r="F434" s="86">
        <v>2.1700000000000001E-2</v>
      </c>
      <c r="G434" s="87" t="e">
        <f>VLOOKUP(A434,'DAFTAR HARGA'!A:D,5,FALSE)</f>
        <v>#REF!</v>
      </c>
      <c r="H434" s="87" t="e">
        <f>F434*G434</f>
        <v>#REF!</v>
      </c>
      <c r="I434" s="87">
        <v>92500</v>
      </c>
      <c r="J434" s="87">
        <f>F434*I434</f>
        <v>2007.25</v>
      </c>
      <c r="K434" s="87">
        <v>92500</v>
      </c>
      <c r="L434" s="87">
        <f>F434*K434</f>
        <v>2007.25</v>
      </c>
    </row>
    <row r="435" spans="1:12" ht="12" customHeight="1" x14ac:dyDescent="0.35">
      <c r="B435" s="84"/>
      <c r="C435" s="85"/>
      <c r="D435" s="84"/>
      <c r="E435" s="84"/>
      <c r="F435" s="86"/>
      <c r="G435" s="87"/>
      <c r="H435" s="87"/>
      <c r="I435" s="87"/>
      <c r="J435" s="87"/>
      <c r="K435" s="87"/>
      <c r="L435" s="87"/>
    </row>
    <row r="436" spans="1:12" ht="12" customHeight="1" x14ac:dyDescent="0.35">
      <c r="B436" s="84"/>
      <c r="C436" s="88"/>
      <c r="D436" s="79"/>
      <c r="E436" s="79"/>
      <c r="F436" s="89" t="s">
        <v>421</v>
      </c>
      <c r="G436" s="101"/>
      <c r="H436" s="87" t="e">
        <f>SUM(H432:H435)</f>
        <v>#REF!</v>
      </c>
      <c r="I436" s="101"/>
      <c r="J436" s="87">
        <f>SUM(J432:J435)</f>
        <v>3160.51</v>
      </c>
      <c r="K436" s="101"/>
      <c r="L436" s="87">
        <f>SUM(L432:L435)</f>
        <v>3160.51</v>
      </c>
    </row>
    <row r="437" spans="1:12" ht="12" customHeight="1" x14ac:dyDescent="0.35">
      <c r="B437" s="84" t="s">
        <v>6</v>
      </c>
      <c r="C437" s="88" t="s">
        <v>422</v>
      </c>
      <c r="D437" s="79"/>
      <c r="E437" s="79"/>
      <c r="F437" s="90"/>
      <c r="G437" s="84"/>
      <c r="H437" s="87"/>
      <c r="I437" s="84"/>
      <c r="J437" s="87"/>
      <c r="K437" s="84"/>
      <c r="L437" s="87"/>
    </row>
    <row r="438" spans="1:12" ht="12" customHeight="1" x14ac:dyDescent="0.35">
      <c r="B438" s="84"/>
      <c r="C438" s="85"/>
      <c r="D438" s="84"/>
      <c r="E438" s="84"/>
      <c r="F438" s="86"/>
      <c r="G438" s="87"/>
      <c r="H438" s="87">
        <f>F438*G438</f>
        <v>0</v>
      </c>
      <c r="I438" s="87">
        <v>232500</v>
      </c>
      <c r="J438" s="87">
        <f>F438*I438</f>
        <v>0</v>
      </c>
      <c r="K438" s="87">
        <v>270000</v>
      </c>
      <c r="L438" s="87">
        <f>F438*K438</f>
        <v>0</v>
      </c>
    </row>
    <row r="439" spans="1:12" ht="12" customHeight="1" x14ac:dyDescent="0.35">
      <c r="B439" s="84"/>
      <c r="C439" s="88"/>
      <c r="D439" s="79"/>
      <c r="E439" s="84"/>
      <c r="F439" s="102"/>
      <c r="G439" s="87"/>
      <c r="H439" s="87">
        <f>F439*G439</f>
        <v>0</v>
      </c>
      <c r="I439" s="87">
        <v>1060</v>
      </c>
      <c r="J439" s="87">
        <f>F439*I439</f>
        <v>0</v>
      </c>
      <c r="K439" s="87">
        <v>1060</v>
      </c>
      <c r="L439" s="87">
        <f>F439*K439</f>
        <v>0</v>
      </c>
    </row>
    <row r="440" spans="1:12" ht="12" customHeight="1" x14ac:dyDescent="0.35">
      <c r="B440" s="84"/>
      <c r="C440" s="88"/>
      <c r="D440" s="79"/>
      <c r="E440" s="84"/>
      <c r="F440" s="102"/>
      <c r="G440" s="87"/>
      <c r="H440" s="87">
        <f>F440*G440</f>
        <v>0</v>
      </c>
      <c r="I440" s="87">
        <v>215000</v>
      </c>
      <c r="J440" s="87">
        <f>F440*I440</f>
        <v>0</v>
      </c>
      <c r="K440" s="87">
        <v>250000</v>
      </c>
      <c r="L440" s="87">
        <f>F440*K440</f>
        <v>0</v>
      </c>
    </row>
    <row r="441" spans="1:12" ht="12" customHeight="1" x14ac:dyDescent="0.35">
      <c r="B441" s="84"/>
      <c r="C441" s="88"/>
      <c r="D441" s="79"/>
      <c r="E441" s="79"/>
      <c r="F441" s="89"/>
      <c r="G441" s="101"/>
      <c r="H441" s="87">
        <f>SUM(H438:H440)</f>
        <v>0</v>
      </c>
      <c r="I441" s="101"/>
      <c r="J441" s="87">
        <f>SUM(J438:J440)</f>
        <v>0</v>
      </c>
      <c r="K441" s="101"/>
      <c r="L441" s="87">
        <f>SUM(L438:L440)</f>
        <v>0</v>
      </c>
    </row>
    <row r="442" spans="1:12" ht="12" customHeight="1" x14ac:dyDescent="0.35">
      <c r="B442" s="84" t="s">
        <v>7</v>
      </c>
      <c r="C442" s="88" t="s">
        <v>424</v>
      </c>
      <c r="D442" s="79"/>
      <c r="E442" s="79"/>
      <c r="F442" s="90"/>
      <c r="G442" s="84"/>
      <c r="H442" s="87"/>
      <c r="I442" s="84"/>
      <c r="J442" s="87"/>
      <c r="K442" s="84"/>
      <c r="L442" s="87"/>
    </row>
    <row r="443" spans="1:12" ht="12" customHeight="1" x14ac:dyDescent="0.35">
      <c r="A443" s="134">
        <v>31100008</v>
      </c>
      <c r="B443" s="84"/>
      <c r="C443" s="85" t="str">
        <f>VLOOKUP(A443,'DAFTAR HARGA'!A:D,3,FALSE)</f>
        <v>jam</v>
      </c>
      <c r="D443" s="84" t="s">
        <v>418</v>
      </c>
      <c r="E443" s="84">
        <f>VLOOKUP(A443,'DAFTAR HARGA'!A:D,4,FALSE)</f>
        <v>449000</v>
      </c>
      <c r="F443" s="128">
        <v>1.0800000000000001E-2</v>
      </c>
      <c r="G443" s="87" t="e">
        <f>VLOOKUP(A443,'DAFTAR HARGA'!A:D,5,FALSE)</f>
        <v>#REF!</v>
      </c>
      <c r="H443" s="87" t="e">
        <f>F443*G443</f>
        <v>#REF!</v>
      </c>
      <c r="I443" s="87"/>
      <c r="J443" s="87" t="e">
        <f>H443*I443</f>
        <v>#REF!</v>
      </c>
      <c r="K443" s="87"/>
      <c r="L443" s="87" t="e">
        <f>J443*K443</f>
        <v>#REF!</v>
      </c>
    </row>
    <row r="444" spans="1:12" ht="12" customHeight="1" x14ac:dyDescent="0.35">
      <c r="B444" s="84"/>
      <c r="C444" s="88"/>
      <c r="D444" s="79"/>
      <c r="E444" s="79"/>
      <c r="F444" s="90"/>
      <c r="G444" s="87"/>
      <c r="H444" s="87"/>
      <c r="I444" s="87"/>
      <c r="J444" s="87"/>
      <c r="K444" s="87"/>
      <c r="L444" s="87"/>
    </row>
    <row r="445" spans="1:12" ht="12" customHeight="1" x14ac:dyDescent="0.35">
      <c r="B445" s="84"/>
      <c r="C445" s="88"/>
      <c r="D445" s="79"/>
      <c r="E445" s="79"/>
      <c r="F445" s="90"/>
      <c r="G445" s="87"/>
      <c r="H445" s="87">
        <f>F445*G445</f>
        <v>0</v>
      </c>
      <c r="I445" s="87"/>
      <c r="J445" s="87"/>
      <c r="K445" s="87"/>
      <c r="L445" s="87"/>
    </row>
    <row r="446" spans="1:12" ht="12" customHeight="1" x14ac:dyDescent="0.35">
      <c r="B446" s="84"/>
      <c r="C446" s="88"/>
      <c r="D446" s="79"/>
      <c r="E446" s="79"/>
      <c r="F446" s="89" t="s">
        <v>425</v>
      </c>
      <c r="G446" s="101"/>
      <c r="H446" s="87" t="e">
        <f>SUM(H443:H445)</f>
        <v>#REF!</v>
      </c>
      <c r="I446" s="101"/>
      <c r="J446" s="87" t="e">
        <f>SUM(J443)</f>
        <v>#REF!</v>
      </c>
      <c r="K446" s="101"/>
      <c r="L446" s="87" t="e">
        <f>SUM(L443)</f>
        <v>#REF!</v>
      </c>
    </row>
    <row r="447" spans="1:12" ht="12" customHeight="1" x14ac:dyDescent="0.35">
      <c r="B447" s="84" t="s">
        <v>8</v>
      </c>
      <c r="C447" s="103" t="s">
        <v>426</v>
      </c>
      <c r="D447" s="104"/>
      <c r="E447" s="104"/>
      <c r="F447" s="104"/>
      <c r="G447" s="105"/>
      <c r="H447" s="87" t="e">
        <f>H436+H441+H446</f>
        <v>#REF!</v>
      </c>
      <c r="I447" s="105"/>
      <c r="J447" s="87" t="e">
        <f>J436+J441+J446</f>
        <v>#REF!</v>
      </c>
      <c r="K447" s="105"/>
      <c r="L447" s="87" t="e">
        <f>L436+L441+L446</f>
        <v>#REF!</v>
      </c>
    </row>
    <row r="448" spans="1:12" ht="12" customHeight="1" x14ac:dyDescent="0.35">
      <c r="B448" s="84" t="s">
        <v>9</v>
      </c>
      <c r="C448" s="455" t="s">
        <v>427</v>
      </c>
      <c r="D448" s="455"/>
      <c r="E448" s="455"/>
      <c r="F448" s="95" t="str">
        <f>OP</f>
        <v>TANJUNG PALAS TENGAH</v>
      </c>
      <c r="G448" s="85" t="s">
        <v>428</v>
      </c>
      <c r="H448" s="87" t="e">
        <f>H447*F448</f>
        <v>#REF!</v>
      </c>
      <c r="I448" s="85" t="s">
        <v>428</v>
      </c>
      <c r="J448" s="87" t="e">
        <f>J447*F448</f>
        <v>#REF!</v>
      </c>
      <c r="K448" s="85" t="s">
        <v>428</v>
      </c>
      <c r="L448" s="87" t="e">
        <f>L447*F448</f>
        <v>#REF!</v>
      </c>
    </row>
    <row r="449" spans="1:12" ht="12" customHeight="1" x14ac:dyDescent="0.35">
      <c r="B449" s="84" t="s">
        <v>10</v>
      </c>
      <c r="C449" s="103" t="s">
        <v>429</v>
      </c>
      <c r="D449" s="104"/>
      <c r="E449" s="104"/>
      <c r="F449" s="104"/>
      <c r="G449" s="105"/>
      <c r="H449" s="96" t="e">
        <f>H447+H448</f>
        <v>#REF!</v>
      </c>
      <c r="I449" s="97"/>
      <c r="J449" s="96" t="e">
        <f>J447+J448</f>
        <v>#REF!</v>
      </c>
      <c r="K449" s="97"/>
      <c r="L449" s="96" t="e">
        <f>L447+L448</f>
        <v>#REF!</v>
      </c>
    </row>
    <row r="451" spans="1:12" ht="29" customHeight="1" x14ac:dyDescent="0.35">
      <c r="B451" s="76" t="s">
        <v>531</v>
      </c>
      <c r="C451" s="458" t="s">
        <v>533</v>
      </c>
      <c r="D451" s="459"/>
      <c r="E451" s="459"/>
      <c r="F451" s="459"/>
      <c r="G451" s="456"/>
      <c r="H451" s="457"/>
      <c r="I451" s="455" t="s">
        <v>3</v>
      </c>
      <c r="J451" s="455"/>
      <c r="K451" s="455" t="s">
        <v>4</v>
      </c>
      <c r="L451" s="455"/>
    </row>
    <row r="452" spans="1:12" ht="12" customHeight="1" x14ac:dyDescent="0.35">
      <c r="B452" s="451" t="s">
        <v>409</v>
      </c>
      <c r="C452" s="451" t="s">
        <v>410</v>
      </c>
      <c r="D452" s="452" t="s">
        <v>411</v>
      </c>
      <c r="E452" s="451" t="s">
        <v>412</v>
      </c>
      <c r="F452" s="451" t="s">
        <v>413</v>
      </c>
      <c r="G452" s="77" t="s">
        <v>414</v>
      </c>
      <c r="H452" s="77" t="s">
        <v>415</v>
      </c>
      <c r="I452" s="78" t="s">
        <v>414</v>
      </c>
      <c r="J452" s="79" t="s">
        <v>415</v>
      </c>
      <c r="K452" s="79" t="s">
        <v>414</v>
      </c>
      <c r="L452" s="79" t="s">
        <v>415</v>
      </c>
    </row>
    <row r="453" spans="1:12" ht="12" customHeight="1" x14ac:dyDescent="0.35">
      <c r="B453" s="451"/>
      <c r="C453" s="451"/>
      <c r="D453" s="453"/>
      <c r="E453" s="451"/>
      <c r="F453" s="451"/>
      <c r="G453" s="77" t="s">
        <v>17</v>
      </c>
      <c r="H453" s="77" t="s">
        <v>416</v>
      </c>
      <c r="I453" s="78" t="s">
        <v>17</v>
      </c>
      <c r="J453" s="79" t="s">
        <v>416</v>
      </c>
      <c r="K453" s="79" t="s">
        <v>17</v>
      </c>
      <c r="L453" s="79" t="s">
        <v>416</v>
      </c>
    </row>
    <row r="454" spans="1:12" ht="12" customHeight="1" x14ac:dyDescent="0.35">
      <c r="B454" s="451"/>
      <c r="C454" s="451"/>
      <c r="D454" s="454"/>
      <c r="E454" s="451"/>
      <c r="F454" s="451"/>
      <c r="G454" s="106"/>
      <c r="H454" s="77" t="s">
        <v>17</v>
      </c>
      <c r="I454" s="94"/>
      <c r="J454" s="79" t="s">
        <v>17</v>
      </c>
      <c r="K454" s="85"/>
      <c r="L454" s="79" t="s">
        <v>17</v>
      </c>
    </row>
    <row r="455" spans="1:12" ht="12" customHeight="1" x14ac:dyDescent="0.35">
      <c r="B455" s="80" t="s">
        <v>5</v>
      </c>
      <c r="C455" s="81" t="s">
        <v>417</v>
      </c>
      <c r="D455" s="82"/>
      <c r="E455" s="82"/>
      <c r="F455" s="82"/>
      <c r="G455" s="82"/>
      <c r="H455" s="82"/>
      <c r="I455" s="83"/>
      <c r="J455" s="83"/>
      <c r="K455" s="83"/>
      <c r="L455" s="83"/>
    </row>
    <row r="456" spans="1:12" ht="12" customHeight="1" x14ac:dyDescent="0.35">
      <c r="A456" s="134">
        <v>10111000</v>
      </c>
      <c r="B456" s="84"/>
      <c r="C456" s="85" t="str">
        <f>VLOOKUP(A456,'DAFTAR HARGA'!A:D,3,FALSE)</f>
        <v>OJ</v>
      </c>
      <c r="D456" s="84" t="s">
        <v>418</v>
      </c>
      <c r="E456" s="84">
        <f>VLOOKUP(A456,'DAFTAR HARGA'!A:D,4,FALSE)</f>
        <v>18750</v>
      </c>
      <c r="F456" s="86">
        <v>2.3E-3</v>
      </c>
      <c r="G456" s="87" t="e">
        <f>VLOOKUP(A456,'DAFTAR HARGA'!A:D,5,FALSE)</f>
        <v>#REF!</v>
      </c>
      <c r="H456" s="87" t="e">
        <f>F456*G456</f>
        <v>#REF!</v>
      </c>
      <c r="I456" s="87">
        <v>78600</v>
      </c>
      <c r="J456" s="87">
        <f>F456*I456</f>
        <v>180.78</v>
      </c>
      <c r="K456" s="87">
        <v>78600</v>
      </c>
      <c r="L456" s="87">
        <f>F456*K456</f>
        <v>180.78</v>
      </c>
    </row>
    <row r="457" spans="1:12" ht="12" customHeight="1" x14ac:dyDescent="0.35">
      <c r="A457" s="134">
        <v>10121110</v>
      </c>
      <c r="B457" s="84"/>
      <c r="C457" s="85" t="str">
        <f>VLOOKUP(A457,'DAFTAR HARGA'!A:D,3,FALSE)</f>
        <v>OJ</v>
      </c>
      <c r="D457" s="84" t="s">
        <v>419</v>
      </c>
      <c r="E457" s="84">
        <f>VLOOKUP(A457,'DAFTAR HARGA'!A:D,4,FALSE)</f>
        <v>12500</v>
      </c>
      <c r="F457" s="86">
        <v>1.1900000000000001E-2</v>
      </c>
      <c r="G457" s="87" t="e">
        <f>VLOOKUP(A457,'DAFTAR HARGA'!A:D,5,FALSE)</f>
        <v>#REF!</v>
      </c>
      <c r="H457" s="87" t="e">
        <f>F457*G457</f>
        <v>#REF!</v>
      </c>
      <c r="I457" s="87">
        <v>91500</v>
      </c>
      <c r="J457" s="87">
        <f>F457*I457</f>
        <v>1088.8500000000001</v>
      </c>
      <c r="K457" s="87">
        <v>91500</v>
      </c>
      <c r="L457" s="87">
        <f>F457*K457</f>
        <v>1088.8500000000001</v>
      </c>
    </row>
    <row r="458" spans="1:12" ht="12" customHeight="1" x14ac:dyDescent="0.35">
      <c r="A458" s="134">
        <v>10131000</v>
      </c>
      <c r="B458" s="84"/>
      <c r="C458" s="85" t="str">
        <f>VLOOKUP(A458,'DAFTAR HARGA'!A:D,3,FALSE)</f>
        <v>OJ</v>
      </c>
      <c r="D458" s="84" t="s">
        <v>420</v>
      </c>
      <c r="E458" s="84">
        <f>VLOOKUP(A458,'DAFTAR HARGA'!A:D,4,FALSE)</f>
        <v>14375</v>
      </c>
      <c r="F458" s="86">
        <v>2.3800000000000002E-2</v>
      </c>
      <c r="G458" s="87" t="e">
        <f>VLOOKUP(A458,'DAFTAR HARGA'!A:D,5,FALSE)</f>
        <v>#REF!</v>
      </c>
      <c r="H458" s="87" t="e">
        <f>F458*G458</f>
        <v>#REF!</v>
      </c>
      <c r="I458" s="87">
        <v>92500</v>
      </c>
      <c r="J458" s="87">
        <f>F458*I458</f>
        <v>2201.5</v>
      </c>
      <c r="K458" s="87">
        <v>92500</v>
      </c>
      <c r="L458" s="87">
        <f>F458*K458</f>
        <v>2201.5</v>
      </c>
    </row>
    <row r="459" spans="1:12" ht="12" customHeight="1" x14ac:dyDescent="0.35">
      <c r="B459" s="84"/>
      <c r="C459" s="85"/>
      <c r="D459" s="84"/>
      <c r="E459" s="84"/>
      <c r="F459" s="86"/>
      <c r="G459" s="87"/>
      <c r="H459" s="87"/>
      <c r="I459" s="87"/>
      <c r="J459" s="87"/>
      <c r="K459" s="87"/>
      <c r="L459" s="87"/>
    </row>
    <row r="460" spans="1:12" ht="12" customHeight="1" x14ac:dyDescent="0.35">
      <c r="B460" s="84"/>
      <c r="C460" s="88"/>
      <c r="D460" s="79"/>
      <c r="E460" s="79"/>
      <c r="F460" s="89" t="s">
        <v>421</v>
      </c>
      <c r="G460" s="101"/>
      <c r="H460" s="87" t="e">
        <f>SUM(H456:H459)</f>
        <v>#REF!</v>
      </c>
      <c r="I460" s="101"/>
      <c r="J460" s="87">
        <f>SUM(J456:J459)</f>
        <v>3471.13</v>
      </c>
      <c r="K460" s="101"/>
      <c r="L460" s="87">
        <f>SUM(L456:L459)</f>
        <v>3471.13</v>
      </c>
    </row>
    <row r="461" spans="1:12" ht="12" customHeight="1" x14ac:dyDescent="0.35">
      <c r="B461" s="84" t="s">
        <v>6</v>
      </c>
      <c r="C461" s="88" t="s">
        <v>422</v>
      </c>
      <c r="D461" s="79"/>
      <c r="E461" s="79"/>
      <c r="F461" s="90"/>
      <c r="G461" s="84"/>
      <c r="H461" s="87"/>
      <c r="I461" s="84"/>
      <c r="J461" s="87"/>
      <c r="K461" s="84"/>
      <c r="L461" s="87"/>
    </row>
    <row r="462" spans="1:12" ht="12" customHeight="1" x14ac:dyDescent="0.35">
      <c r="B462" s="84"/>
      <c r="C462" s="85"/>
      <c r="D462" s="84"/>
      <c r="E462" s="84"/>
      <c r="F462" s="86"/>
      <c r="G462" s="87"/>
      <c r="H462" s="87">
        <f>F462*G462</f>
        <v>0</v>
      </c>
      <c r="I462" s="87">
        <v>232500</v>
      </c>
      <c r="J462" s="87">
        <f>F462*I462</f>
        <v>0</v>
      </c>
      <c r="K462" s="87">
        <v>270000</v>
      </c>
      <c r="L462" s="87">
        <f>F462*K462</f>
        <v>0</v>
      </c>
    </row>
    <row r="463" spans="1:12" ht="12" customHeight="1" x14ac:dyDescent="0.35">
      <c r="B463" s="84"/>
      <c r="C463" s="88"/>
      <c r="D463" s="79"/>
      <c r="E463" s="84"/>
      <c r="F463" s="102"/>
      <c r="G463" s="87"/>
      <c r="H463" s="87">
        <f>F463*G463</f>
        <v>0</v>
      </c>
      <c r="I463" s="87">
        <v>1060</v>
      </c>
      <c r="J463" s="87">
        <f>F463*I463</f>
        <v>0</v>
      </c>
      <c r="K463" s="87">
        <v>1060</v>
      </c>
      <c r="L463" s="87">
        <f>F463*K463</f>
        <v>0</v>
      </c>
    </row>
    <row r="464" spans="1:12" ht="12" customHeight="1" x14ac:dyDescent="0.35">
      <c r="B464" s="84"/>
      <c r="C464" s="88"/>
      <c r="D464" s="79"/>
      <c r="E464" s="84"/>
      <c r="F464" s="102"/>
      <c r="G464" s="87"/>
      <c r="H464" s="87">
        <f>F464*G464</f>
        <v>0</v>
      </c>
      <c r="I464" s="87">
        <v>215000</v>
      </c>
      <c r="J464" s="87">
        <f>F464*I464</f>
        <v>0</v>
      </c>
      <c r="K464" s="87">
        <v>250000</v>
      </c>
      <c r="L464" s="87">
        <f>F464*K464</f>
        <v>0</v>
      </c>
    </row>
    <row r="465" spans="1:12" ht="12" customHeight="1" x14ac:dyDescent="0.35">
      <c r="B465" s="84"/>
      <c r="C465" s="88"/>
      <c r="D465" s="79"/>
      <c r="E465" s="79"/>
      <c r="F465" s="89"/>
      <c r="G465" s="101"/>
      <c r="H465" s="87">
        <f>SUM(H462:H464)</f>
        <v>0</v>
      </c>
      <c r="I465" s="101"/>
      <c r="J465" s="87">
        <f>SUM(J462:J464)</f>
        <v>0</v>
      </c>
      <c r="K465" s="101"/>
      <c r="L465" s="87">
        <f>SUM(L462:L464)</f>
        <v>0</v>
      </c>
    </row>
    <row r="466" spans="1:12" ht="12" customHeight="1" x14ac:dyDescent="0.35">
      <c r="B466" s="84" t="s">
        <v>7</v>
      </c>
      <c r="C466" s="88" t="s">
        <v>424</v>
      </c>
      <c r="D466" s="79"/>
      <c r="E466" s="79"/>
      <c r="F466" s="90"/>
      <c r="G466" s="84"/>
      <c r="H466" s="87"/>
      <c r="I466" s="84"/>
      <c r="J466" s="87"/>
      <c r="K466" s="84"/>
      <c r="L466" s="87"/>
    </row>
    <row r="467" spans="1:12" ht="12" customHeight="1" x14ac:dyDescent="0.35">
      <c r="A467" s="134">
        <v>31100008</v>
      </c>
      <c r="B467" s="84"/>
      <c r="C467" s="85" t="str">
        <f>VLOOKUP(A467,'DAFTAR HARGA'!A:D,3,FALSE)</f>
        <v>jam</v>
      </c>
      <c r="D467" s="84" t="s">
        <v>418</v>
      </c>
      <c r="E467" s="84">
        <f>VLOOKUP(A467,'DAFTAR HARGA'!A:D,4,FALSE)</f>
        <v>449000</v>
      </c>
      <c r="F467" s="128">
        <v>1.1900000000000001E-2</v>
      </c>
      <c r="G467" s="87" t="e">
        <f>VLOOKUP(A467,'DAFTAR HARGA'!A:D,5,FALSE)</f>
        <v>#REF!</v>
      </c>
      <c r="H467" s="87" t="e">
        <f>F467*G467</f>
        <v>#REF!</v>
      </c>
      <c r="I467" s="87"/>
      <c r="J467" s="87" t="e">
        <f>H467*I467</f>
        <v>#REF!</v>
      </c>
      <c r="K467" s="87"/>
      <c r="L467" s="87" t="e">
        <f>J467*K467</f>
        <v>#REF!</v>
      </c>
    </row>
    <row r="468" spans="1:12" ht="12" customHeight="1" x14ac:dyDescent="0.35">
      <c r="B468" s="84"/>
      <c r="C468" s="88"/>
      <c r="D468" s="79"/>
      <c r="E468" s="79"/>
      <c r="F468" s="90"/>
      <c r="G468" s="87"/>
      <c r="H468" s="87"/>
      <c r="I468" s="87"/>
      <c r="J468" s="87"/>
      <c r="K468" s="87"/>
      <c r="L468" s="87"/>
    </row>
    <row r="469" spans="1:12" ht="12" customHeight="1" x14ac:dyDescent="0.35">
      <c r="B469" s="84"/>
      <c r="C469" s="88"/>
      <c r="D469" s="79"/>
      <c r="E469" s="79"/>
      <c r="F469" s="90"/>
      <c r="G469" s="87"/>
      <c r="H469" s="87">
        <f>F469*G469</f>
        <v>0</v>
      </c>
      <c r="I469" s="87"/>
      <c r="J469" s="87"/>
      <c r="K469" s="87"/>
      <c r="L469" s="87"/>
    </row>
    <row r="470" spans="1:12" ht="12" customHeight="1" x14ac:dyDescent="0.35">
      <c r="B470" s="84"/>
      <c r="C470" s="88"/>
      <c r="D470" s="79"/>
      <c r="E470" s="79"/>
      <c r="F470" s="89" t="s">
        <v>425</v>
      </c>
      <c r="G470" s="101"/>
      <c r="H470" s="87" t="e">
        <f>SUM(H467:H469)</f>
        <v>#REF!</v>
      </c>
      <c r="I470" s="101"/>
      <c r="J470" s="87" t="e">
        <f>SUM(J467)</f>
        <v>#REF!</v>
      </c>
      <c r="K470" s="101"/>
      <c r="L470" s="87" t="e">
        <f>SUM(L467)</f>
        <v>#REF!</v>
      </c>
    </row>
    <row r="471" spans="1:12" ht="12" customHeight="1" x14ac:dyDescent="0.35">
      <c r="B471" s="84" t="s">
        <v>8</v>
      </c>
      <c r="C471" s="103" t="s">
        <v>426</v>
      </c>
      <c r="D471" s="104"/>
      <c r="E471" s="104"/>
      <c r="F471" s="104"/>
      <c r="G471" s="105"/>
      <c r="H471" s="87" t="e">
        <f>H460+H465+H470</f>
        <v>#REF!</v>
      </c>
      <c r="I471" s="105"/>
      <c r="J471" s="87" t="e">
        <f>J460+J465+J470</f>
        <v>#REF!</v>
      </c>
      <c r="K471" s="105"/>
      <c r="L471" s="87" t="e">
        <f>L460+L465+L470</f>
        <v>#REF!</v>
      </c>
    </row>
    <row r="472" spans="1:12" ht="12" customHeight="1" x14ac:dyDescent="0.35">
      <c r="B472" s="84" t="s">
        <v>9</v>
      </c>
      <c r="C472" s="455" t="s">
        <v>427</v>
      </c>
      <c r="D472" s="455"/>
      <c r="E472" s="455"/>
      <c r="F472" s="95" t="str">
        <f>OP</f>
        <v>TANJUNG PALAS TENGAH</v>
      </c>
      <c r="G472" s="85" t="s">
        <v>428</v>
      </c>
      <c r="H472" s="87" t="e">
        <f>H471*F472</f>
        <v>#REF!</v>
      </c>
      <c r="I472" s="85" t="s">
        <v>428</v>
      </c>
      <c r="J472" s="87" t="e">
        <f>J471*F472</f>
        <v>#REF!</v>
      </c>
      <c r="K472" s="85" t="s">
        <v>428</v>
      </c>
      <c r="L472" s="87" t="e">
        <f>L471*F472</f>
        <v>#REF!</v>
      </c>
    </row>
    <row r="473" spans="1:12" ht="12" customHeight="1" x14ac:dyDescent="0.35">
      <c r="B473" s="84" t="s">
        <v>10</v>
      </c>
      <c r="C473" s="103" t="s">
        <v>429</v>
      </c>
      <c r="D473" s="104"/>
      <c r="E473" s="104"/>
      <c r="F473" s="104"/>
      <c r="G473" s="105"/>
      <c r="H473" s="96" t="e">
        <f>H471+H472</f>
        <v>#REF!</v>
      </c>
      <c r="I473" s="97"/>
      <c r="J473" s="96" t="e">
        <f>J471+J472</f>
        <v>#REF!</v>
      </c>
      <c r="K473" s="97"/>
      <c r="L473" s="96" t="e">
        <f>L471+L472</f>
        <v>#REF!</v>
      </c>
    </row>
    <row r="475" spans="1:12" ht="29" customHeight="1" x14ac:dyDescent="0.35">
      <c r="B475" s="76" t="s">
        <v>532</v>
      </c>
      <c r="C475" s="458" t="s">
        <v>534</v>
      </c>
      <c r="D475" s="459"/>
      <c r="E475" s="459"/>
      <c r="F475" s="459"/>
      <c r="G475" s="456"/>
      <c r="H475" s="457"/>
      <c r="I475" s="455" t="s">
        <v>3</v>
      </c>
      <c r="J475" s="455"/>
      <c r="K475" s="455" t="s">
        <v>4</v>
      </c>
      <c r="L475" s="455"/>
    </row>
    <row r="476" spans="1:12" ht="12" customHeight="1" x14ac:dyDescent="0.35">
      <c r="B476" s="451" t="s">
        <v>409</v>
      </c>
      <c r="C476" s="451" t="s">
        <v>410</v>
      </c>
      <c r="D476" s="452" t="s">
        <v>411</v>
      </c>
      <c r="E476" s="451" t="s">
        <v>412</v>
      </c>
      <c r="F476" s="451" t="s">
        <v>413</v>
      </c>
      <c r="G476" s="77" t="s">
        <v>414</v>
      </c>
      <c r="H476" s="77" t="s">
        <v>415</v>
      </c>
      <c r="I476" s="78" t="s">
        <v>414</v>
      </c>
      <c r="J476" s="79" t="s">
        <v>415</v>
      </c>
      <c r="K476" s="79" t="s">
        <v>414</v>
      </c>
      <c r="L476" s="79" t="s">
        <v>415</v>
      </c>
    </row>
    <row r="477" spans="1:12" ht="12" customHeight="1" x14ac:dyDescent="0.35">
      <c r="B477" s="451"/>
      <c r="C477" s="451"/>
      <c r="D477" s="453"/>
      <c r="E477" s="451"/>
      <c r="F477" s="451"/>
      <c r="G477" s="77" t="s">
        <v>17</v>
      </c>
      <c r="H477" s="77" t="s">
        <v>416</v>
      </c>
      <c r="I477" s="78" t="s">
        <v>17</v>
      </c>
      <c r="J477" s="79" t="s">
        <v>416</v>
      </c>
      <c r="K477" s="79" t="s">
        <v>17</v>
      </c>
      <c r="L477" s="79" t="s">
        <v>416</v>
      </c>
    </row>
    <row r="478" spans="1:12" ht="12" customHeight="1" x14ac:dyDescent="0.35">
      <c r="B478" s="451"/>
      <c r="C478" s="451"/>
      <c r="D478" s="454"/>
      <c r="E478" s="451"/>
      <c r="F478" s="451"/>
      <c r="G478" s="106"/>
      <c r="H478" s="77" t="s">
        <v>17</v>
      </c>
      <c r="I478" s="94"/>
      <c r="J478" s="79" t="s">
        <v>17</v>
      </c>
      <c r="K478" s="85"/>
      <c r="L478" s="79" t="s">
        <v>17</v>
      </c>
    </row>
    <row r="479" spans="1:12" ht="12" customHeight="1" x14ac:dyDescent="0.35">
      <c r="B479" s="80" t="s">
        <v>5</v>
      </c>
      <c r="C479" s="81" t="s">
        <v>417</v>
      </c>
      <c r="D479" s="82"/>
      <c r="E479" s="82"/>
      <c r="F479" s="82"/>
      <c r="G479" s="82"/>
      <c r="H479" s="82"/>
      <c r="I479" s="83"/>
      <c r="J479" s="83"/>
      <c r="K479" s="83"/>
      <c r="L479" s="83"/>
    </row>
    <row r="480" spans="1:12" ht="12" customHeight="1" x14ac:dyDescent="0.35">
      <c r="A480" s="134">
        <v>10111000</v>
      </c>
      <c r="B480" s="84"/>
      <c r="C480" s="85" t="str">
        <f>VLOOKUP(A480,'DAFTAR HARGA'!A:D,3,FALSE)</f>
        <v>OJ</v>
      </c>
      <c r="D480" s="84" t="s">
        <v>418</v>
      </c>
      <c r="E480" s="84">
        <f>VLOOKUP(A480,'DAFTAR HARGA'!A:D,4,FALSE)</f>
        <v>18750</v>
      </c>
      <c r="F480" s="86">
        <v>3.0999999999999999E-3</v>
      </c>
      <c r="G480" s="87" t="e">
        <f>VLOOKUP(A480,'DAFTAR HARGA'!A:D,5,FALSE)</f>
        <v>#REF!</v>
      </c>
      <c r="H480" s="87" t="e">
        <f>F480*G480</f>
        <v>#REF!</v>
      </c>
      <c r="I480" s="87">
        <v>78600</v>
      </c>
      <c r="J480" s="87">
        <f>F480*I480</f>
        <v>243.66</v>
      </c>
      <c r="K480" s="87">
        <v>78600</v>
      </c>
      <c r="L480" s="87">
        <f>F480*K480</f>
        <v>243.66</v>
      </c>
    </row>
    <row r="481" spans="1:12" ht="12" customHeight="1" x14ac:dyDescent="0.35">
      <c r="A481" s="134">
        <v>10121110</v>
      </c>
      <c r="B481" s="84"/>
      <c r="C481" s="85" t="str">
        <f>VLOOKUP(A481,'DAFTAR HARGA'!A:D,3,FALSE)</f>
        <v>OJ</v>
      </c>
      <c r="D481" s="84" t="s">
        <v>419</v>
      </c>
      <c r="E481" s="84">
        <f>VLOOKUP(A481,'DAFTAR HARGA'!A:D,4,FALSE)</f>
        <v>12500</v>
      </c>
      <c r="F481" s="86">
        <v>1.5800000000000002E-2</v>
      </c>
      <c r="G481" s="87" t="e">
        <f>VLOOKUP(A481,'DAFTAR HARGA'!A:D,5,FALSE)</f>
        <v>#REF!</v>
      </c>
      <c r="H481" s="87" t="e">
        <f>F481*G481</f>
        <v>#REF!</v>
      </c>
      <c r="I481" s="87">
        <v>91500</v>
      </c>
      <c r="J481" s="87">
        <f>F481*I481</f>
        <v>1445.7</v>
      </c>
      <c r="K481" s="87">
        <v>91500</v>
      </c>
      <c r="L481" s="87">
        <f>F481*K481</f>
        <v>1445.7</v>
      </c>
    </row>
    <row r="482" spans="1:12" ht="12" customHeight="1" x14ac:dyDescent="0.35">
      <c r="A482" s="134">
        <v>10131000</v>
      </c>
      <c r="B482" s="84"/>
      <c r="C482" s="85" t="str">
        <f>VLOOKUP(A482,'DAFTAR HARGA'!A:D,3,FALSE)</f>
        <v>OJ</v>
      </c>
      <c r="D482" s="84" t="s">
        <v>420</v>
      </c>
      <c r="E482" s="84">
        <f>VLOOKUP(A482,'DAFTAR HARGA'!A:D,4,FALSE)</f>
        <v>14375</v>
      </c>
      <c r="F482" s="86">
        <v>3.1600000000000003E-2</v>
      </c>
      <c r="G482" s="87" t="e">
        <f>VLOOKUP(A482,'DAFTAR HARGA'!A:D,5,FALSE)</f>
        <v>#REF!</v>
      </c>
      <c r="H482" s="87" t="e">
        <f>F482*G482</f>
        <v>#REF!</v>
      </c>
      <c r="I482" s="87">
        <v>92500</v>
      </c>
      <c r="J482" s="87">
        <f>F482*I482</f>
        <v>2923.0000000000005</v>
      </c>
      <c r="K482" s="87">
        <v>92500</v>
      </c>
      <c r="L482" s="87">
        <f>F482*K482</f>
        <v>2923.0000000000005</v>
      </c>
    </row>
    <row r="483" spans="1:12" ht="12" customHeight="1" x14ac:dyDescent="0.35">
      <c r="B483" s="84"/>
      <c r="C483" s="85"/>
      <c r="D483" s="84"/>
      <c r="E483" s="84"/>
      <c r="F483" s="86"/>
      <c r="G483" s="87"/>
      <c r="H483" s="87"/>
      <c r="I483" s="87"/>
      <c r="J483" s="87"/>
      <c r="K483" s="87"/>
      <c r="L483" s="87"/>
    </row>
    <row r="484" spans="1:12" ht="12" customHeight="1" x14ac:dyDescent="0.35">
      <c r="B484" s="84"/>
      <c r="C484" s="88"/>
      <c r="D484" s="79"/>
      <c r="E484" s="79"/>
      <c r="F484" s="89" t="s">
        <v>421</v>
      </c>
      <c r="G484" s="101"/>
      <c r="H484" s="87" t="e">
        <f>SUM(H480:H483)</f>
        <v>#REF!</v>
      </c>
      <c r="I484" s="101"/>
      <c r="J484" s="87">
        <f>SUM(J480:J483)</f>
        <v>4612.3600000000006</v>
      </c>
      <c r="K484" s="101"/>
      <c r="L484" s="87">
        <f>SUM(L480:L483)</f>
        <v>4612.3600000000006</v>
      </c>
    </row>
    <row r="485" spans="1:12" ht="12" customHeight="1" x14ac:dyDescent="0.35">
      <c r="B485" s="84" t="s">
        <v>6</v>
      </c>
      <c r="C485" s="88" t="s">
        <v>422</v>
      </c>
      <c r="D485" s="79"/>
      <c r="E485" s="79"/>
      <c r="F485" s="90"/>
      <c r="G485" s="84"/>
      <c r="H485" s="87"/>
      <c r="I485" s="84"/>
      <c r="J485" s="87"/>
      <c r="K485" s="84"/>
      <c r="L485" s="87"/>
    </row>
    <row r="486" spans="1:12" ht="12" customHeight="1" x14ac:dyDescent="0.35">
      <c r="B486" s="84"/>
      <c r="C486" s="85"/>
      <c r="D486" s="84"/>
      <c r="E486" s="84"/>
      <c r="F486" s="86"/>
      <c r="G486" s="87"/>
      <c r="H486" s="87">
        <f>F486*G486</f>
        <v>0</v>
      </c>
      <c r="I486" s="87">
        <v>232500</v>
      </c>
      <c r="J486" s="87">
        <f>F486*I486</f>
        <v>0</v>
      </c>
      <c r="K486" s="87">
        <v>270000</v>
      </c>
      <c r="L486" s="87">
        <f>F486*K486</f>
        <v>0</v>
      </c>
    </row>
    <row r="487" spans="1:12" ht="12" customHeight="1" x14ac:dyDescent="0.35">
      <c r="B487" s="84"/>
      <c r="C487" s="88"/>
      <c r="D487" s="79"/>
      <c r="E487" s="84"/>
      <c r="F487" s="102"/>
      <c r="G487" s="87"/>
      <c r="H487" s="87">
        <f>F487*G487</f>
        <v>0</v>
      </c>
      <c r="I487" s="87">
        <v>1060</v>
      </c>
      <c r="J487" s="87">
        <f>F487*I487</f>
        <v>0</v>
      </c>
      <c r="K487" s="87">
        <v>1060</v>
      </c>
      <c r="L487" s="87">
        <f>F487*K487</f>
        <v>0</v>
      </c>
    </row>
    <row r="488" spans="1:12" ht="12" customHeight="1" x14ac:dyDescent="0.35">
      <c r="B488" s="84"/>
      <c r="C488" s="88"/>
      <c r="D488" s="79"/>
      <c r="E488" s="84"/>
      <c r="F488" s="102"/>
      <c r="G488" s="87"/>
      <c r="H488" s="87">
        <f>F488*G488</f>
        <v>0</v>
      </c>
      <c r="I488" s="87">
        <v>215000</v>
      </c>
      <c r="J488" s="87">
        <f>F488*I488</f>
        <v>0</v>
      </c>
      <c r="K488" s="87">
        <v>250000</v>
      </c>
      <c r="L488" s="87">
        <f>F488*K488</f>
        <v>0</v>
      </c>
    </row>
    <row r="489" spans="1:12" ht="12" customHeight="1" x14ac:dyDescent="0.35">
      <c r="B489" s="84"/>
      <c r="C489" s="88"/>
      <c r="D489" s="79"/>
      <c r="E489" s="79"/>
      <c r="F489" s="89"/>
      <c r="G489" s="101"/>
      <c r="H489" s="87">
        <f>SUM(H486:H488)</f>
        <v>0</v>
      </c>
      <c r="I489" s="101"/>
      <c r="J489" s="87">
        <f>SUM(J486:J488)</f>
        <v>0</v>
      </c>
      <c r="K489" s="101"/>
      <c r="L489" s="87">
        <f>SUM(L486:L488)</f>
        <v>0</v>
      </c>
    </row>
    <row r="490" spans="1:12" ht="12" customHeight="1" x14ac:dyDescent="0.35">
      <c r="B490" s="84" t="s">
        <v>7</v>
      </c>
      <c r="C490" s="88" t="s">
        <v>424</v>
      </c>
      <c r="D490" s="79"/>
      <c r="E490" s="79"/>
      <c r="F490" s="90"/>
      <c r="G490" s="84"/>
      <c r="H490" s="87"/>
      <c r="I490" s="84"/>
      <c r="J490" s="87"/>
      <c r="K490" s="84"/>
      <c r="L490" s="87"/>
    </row>
    <row r="491" spans="1:12" ht="12" customHeight="1" x14ac:dyDescent="0.35">
      <c r="A491" s="134">
        <v>31100008</v>
      </c>
      <c r="B491" s="84"/>
      <c r="C491" s="85" t="str">
        <f>VLOOKUP(A491,'DAFTAR HARGA'!A:D,3,FALSE)</f>
        <v>jam</v>
      </c>
      <c r="D491" s="84" t="s">
        <v>418</v>
      </c>
      <c r="E491" s="84">
        <f>VLOOKUP(A491,'DAFTAR HARGA'!A:D,4,FALSE)</f>
        <v>449000</v>
      </c>
      <c r="F491" s="128">
        <v>1.5800000000000002E-2</v>
      </c>
      <c r="G491" s="87" t="e">
        <f>VLOOKUP(A491,'DAFTAR HARGA'!A:D,5,FALSE)*1.5</f>
        <v>#REF!</v>
      </c>
      <c r="H491" s="87" t="e">
        <f>F491*G491</f>
        <v>#REF!</v>
      </c>
      <c r="I491" s="87"/>
      <c r="J491" s="87" t="e">
        <f>H491*I491</f>
        <v>#REF!</v>
      </c>
      <c r="K491" s="87"/>
      <c r="L491" s="87" t="e">
        <f>J491*K491</f>
        <v>#REF!</v>
      </c>
    </row>
    <row r="492" spans="1:12" ht="12" customHeight="1" x14ac:dyDescent="0.35">
      <c r="B492" s="84"/>
      <c r="C492" s="88"/>
      <c r="D492" s="79"/>
      <c r="E492" s="79"/>
      <c r="F492" s="90"/>
      <c r="G492" s="87"/>
      <c r="H492" s="87"/>
      <c r="I492" s="87"/>
      <c r="J492" s="87"/>
      <c r="K492" s="87"/>
      <c r="L492" s="87"/>
    </row>
    <row r="493" spans="1:12" ht="12" customHeight="1" x14ac:dyDescent="0.35">
      <c r="B493" s="84"/>
      <c r="C493" s="88"/>
      <c r="D493" s="79"/>
      <c r="E493" s="79"/>
      <c r="F493" s="90"/>
      <c r="G493" s="87"/>
      <c r="H493" s="87">
        <f>F493*G493</f>
        <v>0</v>
      </c>
      <c r="I493" s="87"/>
      <c r="J493" s="87"/>
      <c r="K493" s="87"/>
      <c r="L493" s="87"/>
    </row>
    <row r="494" spans="1:12" ht="12" customHeight="1" x14ac:dyDescent="0.35">
      <c r="B494" s="84"/>
      <c r="C494" s="88"/>
      <c r="D494" s="79"/>
      <c r="E494" s="79"/>
      <c r="F494" s="89" t="s">
        <v>425</v>
      </c>
      <c r="G494" s="101"/>
      <c r="H494" s="87" t="e">
        <f>SUM(H491:H493)</f>
        <v>#REF!</v>
      </c>
      <c r="I494" s="101"/>
      <c r="J494" s="87" t="e">
        <f>SUM(J491)</f>
        <v>#REF!</v>
      </c>
      <c r="K494" s="101"/>
      <c r="L494" s="87" t="e">
        <f>SUM(L491)</f>
        <v>#REF!</v>
      </c>
    </row>
    <row r="495" spans="1:12" ht="12" customHeight="1" x14ac:dyDescent="0.35">
      <c r="B495" s="84" t="s">
        <v>8</v>
      </c>
      <c r="C495" s="103" t="s">
        <v>426</v>
      </c>
      <c r="D495" s="104"/>
      <c r="E495" s="104"/>
      <c r="F495" s="104"/>
      <c r="G495" s="105"/>
      <c r="H495" s="87" t="e">
        <f>H484+H489+H494</f>
        <v>#REF!</v>
      </c>
      <c r="I495" s="105"/>
      <c r="J495" s="87" t="e">
        <f>J484+J489+J494</f>
        <v>#REF!</v>
      </c>
      <c r="K495" s="105"/>
      <c r="L495" s="87" t="e">
        <f>L484+L489+L494</f>
        <v>#REF!</v>
      </c>
    </row>
    <row r="496" spans="1:12" ht="12" customHeight="1" x14ac:dyDescent="0.35">
      <c r="B496" s="84" t="s">
        <v>9</v>
      </c>
      <c r="C496" s="455" t="s">
        <v>427</v>
      </c>
      <c r="D496" s="455"/>
      <c r="E496" s="455"/>
      <c r="F496" s="95" t="str">
        <f>OP</f>
        <v>TANJUNG PALAS TENGAH</v>
      </c>
      <c r="G496" s="85" t="s">
        <v>428</v>
      </c>
      <c r="H496" s="87" t="e">
        <f>H495*F496</f>
        <v>#REF!</v>
      </c>
      <c r="I496" s="85" t="s">
        <v>428</v>
      </c>
      <c r="J496" s="87" t="e">
        <f>J495*F496</f>
        <v>#REF!</v>
      </c>
      <c r="K496" s="85" t="s">
        <v>428</v>
      </c>
      <c r="L496" s="87" t="e">
        <f>L495*F496</f>
        <v>#REF!</v>
      </c>
    </row>
    <row r="497" spans="1:12" ht="12" customHeight="1" x14ac:dyDescent="0.35">
      <c r="B497" s="84" t="s">
        <v>10</v>
      </c>
      <c r="C497" s="103" t="s">
        <v>429</v>
      </c>
      <c r="D497" s="104"/>
      <c r="E497" s="104"/>
      <c r="F497" s="104"/>
      <c r="G497" s="105"/>
      <c r="H497" s="96" t="e">
        <f>H495+H496</f>
        <v>#REF!</v>
      </c>
      <c r="I497" s="97"/>
      <c r="J497" s="96" t="e">
        <f>J495+J496</f>
        <v>#REF!</v>
      </c>
      <c r="K497" s="97"/>
      <c r="L497" s="96" t="e">
        <f>L495+L496</f>
        <v>#REF!</v>
      </c>
    </row>
    <row r="499" spans="1:12" ht="29" customHeight="1" x14ac:dyDescent="0.35">
      <c r="B499" s="76" t="s">
        <v>535</v>
      </c>
      <c r="C499" s="458" t="s">
        <v>536</v>
      </c>
      <c r="D499" s="459"/>
      <c r="E499" s="459"/>
      <c r="F499" s="459"/>
      <c r="G499" s="456"/>
      <c r="H499" s="457"/>
      <c r="I499" s="455" t="s">
        <v>3</v>
      </c>
      <c r="J499" s="455"/>
      <c r="K499" s="455" t="s">
        <v>4</v>
      </c>
      <c r="L499" s="455"/>
    </row>
    <row r="500" spans="1:12" ht="12" customHeight="1" x14ac:dyDescent="0.35">
      <c r="B500" s="451" t="s">
        <v>409</v>
      </c>
      <c r="C500" s="451" t="s">
        <v>410</v>
      </c>
      <c r="D500" s="452" t="s">
        <v>411</v>
      </c>
      <c r="E500" s="451" t="s">
        <v>412</v>
      </c>
      <c r="F500" s="451" t="s">
        <v>413</v>
      </c>
      <c r="G500" s="77" t="s">
        <v>414</v>
      </c>
      <c r="H500" s="77" t="s">
        <v>415</v>
      </c>
      <c r="I500" s="78" t="s">
        <v>414</v>
      </c>
      <c r="J500" s="79" t="s">
        <v>415</v>
      </c>
      <c r="K500" s="79" t="s">
        <v>414</v>
      </c>
      <c r="L500" s="79" t="s">
        <v>415</v>
      </c>
    </row>
    <row r="501" spans="1:12" ht="12" customHeight="1" x14ac:dyDescent="0.35">
      <c r="B501" s="451"/>
      <c r="C501" s="451"/>
      <c r="D501" s="453"/>
      <c r="E501" s="451"/>
      <c r="F501" s="451"/>
      <c r="G501" s="77" t="s">
        <v>17</v>
      </c>
      <c r="H501" s="77" t="s">
        <v>416</v>
      </c>
      <c r="I501" s="78" t="s">
        <v>17</v>
      </c>
      <c r="J501" s="79" t="s">
        <v>416</v>
      </c>
      <c r="K501" s="79" t="s">
        <v>17</v>
      </c>
      <c r="L501" s="79" t="s">
        <v>416</v>
      </c>
    </row>
    <row r="502" spans="1:12" ht="12" customHeight="1" x14ac:dyDescent="0.35">
      <c r="B502" s="451"/>
      <c r="C502" s="451"/>
      <c r="D502" s="454"/>
      <c r="E502" s="451"/>
      <c r="F502" s="451"/>
      <c r="G502" s="106"/>
      <c r="H502" s="77" t="s">
        <v>17</v>
      </c>
      <c r="I502" s="94"/>
      <c r="J502" s="79" t="s">
        <v>17</v>
      </c>
      <c r="K502" s="85"/>
      <c r="L502" s="79" t="s">
        <v>17</v>
      </c>
    </row>
    <row r="503" spans="1:12" ht="12" customHeight="1" x14ac:dyDescent="0.35">
      <c r="B503" s="80" t="s">
        <v>5</v>
      </c>
      <c r="C503" s="81" t="s">
        <v>417</v>
      </c>
      <c r="D503" s="82"/>
      <c r="E503" s="82"/>
      <c r="F503" s="82"/>
      <c r="G503" s="82"/>
      <c r="H503" s="82"/>
      <c r="I503" s="83"/>
      <c r="J503" s="83"/>
      <c r="K503" s="83"/>
      <c r="L503" s="83"/>
    </row>
    <row r="504" spans="1:12" ht="12" customHeight="1" x14ac:dyDescent="0.35">
      <c r="A504" s="134">
        <v>10111000</v>
      </c>
      <c r="B504" s="84"/>
      <c r="C504" s="85" t="str">
        <f>VLOOKUP(A504,'DAFTAR HARGA'!A:D,3,FALSE)</f>
        <v>OJ</v>
      </c>
      <c r="D504" s="84" t="s">
        <v>418</v>
      </c>
      <c r="E504" s="84">
        <f>VLOOKUP(A504,'DAFTAR HARGA'!A:D,4,FALSE)</f>
        <v>18750</v>
      </c>
      <c r="F504" s="86">
        <v>3.5000000000000001E-3</v>
      </c>
      <c r="G504" s="87" t="e">
        <f>VLOOKUP(A504,'DAFTAR HARGA'!A:D,5,FALSE)</f>
        <v>#REF!</v>
      </c>
      <c r="H504" s="87" t="e">
        <f>F504*G504</f>
        <v>#REF!</v>
      </c>
      <c r="I504" s="87">
        <v>78600</v>
      </c>
      <c r="J504" s="87">
        <f>F504*I504</f>
        <v>275.10000000000002</v>
      </c>
      <c r="K504" s="87">
        <v>78600</v>
      </c>
      <c r="L504" s="87">
        <f>F504*K504</f>
        <v>275.10000000000002</v>
      </c>
    </row>
    <row r="505" spans="1:12" ht="12" customHeight="1" x14ac:dyDescent="0.35">
      <c r="A505" s="134">
        <v>10121110</v>
      </c>
      <c r="B505" s="84"/>
      <c r="C505" s="85" t="str">
        <f>VLOOKUP(A505,'DAFTAR HARGA'!A:D,3,FALSE)</f>
        <v>OJ</v>
      </c>
      <c r="D505" s="84" t="s">
        <v>419</v>
      </c>
      <c r="E505" s="84">
        <f>VLOOKUP(A505,'DAFTAR HARGA'!A:D,4,FALSE)</f>
        <v>12500</v>
      </c>
      <c r="F505" s="86">
        <v>1.7600000000000001E-2</v>
      </c>
      <c r="G505" s="87" t="e">
        <f>VLOOKUP(A505,'DAFTAR HARGA'!A:D,5,FALSE)</f>
        <v>#REF!</v>
      </c>
      <c r="H505" s="87" t="e">
        <f>F505*G505</f>
        <v>#REF!</v>
      </c>
      <c r="I505" s="87">
        <v>91500</v>
      </c>
      <c r="J505" s="87">
        <f>F505*I505</f>
        <v>1610.4</v>
      </c>
      <c r="K505" s="87">
        <v>91500</v>
      </c>
      <c r="L505" s="87">
        <f>F505*K505</f>
        <v>1610.4</v>
      </c>
    </row>
    <row r="506" spans="1:12" ht="12" customHeight="1" x14ac:dyDescent="0.35">
      <c r="A506" s="134">
        <v>10131000</v>
      </c>
      <c r="B506" s="84"/>
      <c r="C506" s="85" t="str">
        <f>VLOOKUP(A506,'DAFTAR HARGA'!A:D,3,FALSE)</f>
        <v>OJ</v>
      </c>
      <c r="D506" s="84" t="s">
        <v>420</v>
      </c>
      <c r="E506" s="84">
        <f>VLOOKUP(A506,'DAFTAR HARGA'!A:D,4,FALSE)</f>
        <v>14375</v>
      </c>
      <c r="F506" s="86">
        <v>3.5200000000000002E-2</v>
      </c>
      <c r="G506" s="87" t="e">
        <f>VLOOKUP(A506,'DAFTAR HARGA'!A:D,5,FALSE)</f>
        <v>#REF!</v>
      </c>
      <c r="H506" s="87" t="e">
        <f>F506*G506</f>
        <v>#REF!</v>
      </c>
      <c r="I506" s="87">
        <v>92500</v>
      </c>
      <c r="J506" s="87">
        <f>F506*I506</f>
        <v>3256</v>
      </c>
      <c r="K506" s="87">
        <v>92500</v>
      </c>
      <c r="L506" s="87">
        <f>F506*K506</f>
        <v>3256</v>
      </c>
    </row>
    <row r="507" spans="1:12" ht="12" customHeight="1" x14ac:dyDescent="0.35">
      <c r="B507" s="84"/>
      <c r="C507" s="85"/>
      <c r="D507" s="84"/>
      <c r="E507" s="84"/>
      <c r="F507" s="86"/>
      <c r="G507" s="87"/>
      <c r="H507" s="87"/>
      <c r="I507" s="87"/>
      <c r="J507" s="87"/>
      <c r="K507" s="87"/>
      <c r="L507" s="87"/>
    </row>
    <row r="508" spans="1:12" ht="12" customHeight="1" x14ac:dyDescent="0.35">
      <c r="B508" s="84"/>
      <c r="C508" s="88"/>
      <c r="D508" s="79"/>
      <c r="E508" s="79"/>
      <c r="F508" s="89" t="s">
        <v>421</v>
      </c>
      <c r="G508" s="101"/>
      <c r="H508" s="87" t="e">
        <f>SUM(H504:H507)</f>
        <v>#REF!</v>
      </c>
      <c r="I508" s="101"/>
      <c r="J508" s="87">
        <f>SUM(J504:J507)</f>
        <v>5141.5</v>
      </c>
      <c r="K508" s="101"/>
      <c r="L508" s="87">
        <f>SUM(L504:L507)</f>
        <v>5141.5</v>
      </c>
    </row>
    <row r="509" spans="1:12" ht="12" customHeight="1" x14ac:dyDescent="0.35">
      <c r="B509" s="84" t="s">
        <v>6</v>
      </c>
      <c r="C509" s="88" t="s">
        <v>422</v>
      </c>
      <c r="D509" s="79"/>
      <c r="E509" s="79"/>
      <c r="F509" s="90"/>
      <c r="G509" s="84"/>
      <c r="H509" s="87"/>
      <c r="I509" s="84"/>
      <c r="J509" s="87"/>
      <c r="K509" s="84"/>
      <c r="L509" s="87"/>
    </row>
    <row r="510" spans="1:12" ht="12" customHeight="1" x14ac:dyDescent="0.35">
      <c r="B510" s="84"/>
      <c r="C510" s="85"/>
      <c r="D510" s="84"/>
      <c r="E510" s="84"/>
      <c r="F510" s="86"/>
      <c r="G510" s="87"/>
      <c r="H510" s="87">
        <f>F510*G510</f>
        <v>0</v>
      </c>
      <c r="I510" s="87">
        <v>232500</v>
      </c>
      <c r="J510" s="87">
        <f>F510*I510</f>
        <v>0</v>
      </c>
      <c r="K510" s="87">
        <v>270000</v>
      </c>
      <c r="L510" s="87">
        <f>F510*K510</f>
        <v>0</v>
      </c>
    </row>
    <row r="511" spans="1:12" ht="12" customHeight="1" x14ac:dyDescent="0.35">
      <c r="B511" s="84"/>
      <c r="C511" s="88"/>
      <c r="D511" s="79"/>
      <c r="E511" s="84"/>
      <c r="F511" s="102"/>
      <c r="G511" s="87"/>
      <c r="H511" s="87">
        <f>F511*G511</f>
        <v>0</v>
      </c>
      <c r="I511" s="87">
        <v>1060</v>
      </c>
      <c r="J511" s="87">
        <f>F511*I511</f>
        <v>0</v>
      </c>
      <c r="K511" s="87">
        <v>1060</v>
      </c>
      <c r="L511" s="87">
        <f>F511*K511</f>
        <v>0</v>
      </c>
    </row>
    <row r="512" spans="1:12" ht="12" customHeight="1" x14ac:dyDescent="0.35">
      <c r="B512" s="84"/>
      <c r="C512" s="88"/>
      <c r="D512" s="79"/>
      <c r="E512" s="84"/>
      <c r="F512" s="102"/>
      <c r="G512" s="87"/>
      <c r="H512" s="87">
        <f>F512*G512</f>
        <v>0</v>
      </c>
      <c r="I512" s="87">
        <v>215000</v>
      </c>
      <c r="J512" s="87">
        <f>F512*I512</f>
        <v>0</v>
      </c>
      <c r="K512" s="87">
        <v>250000</v>
      </c>
      <c r="L512" s="87">
        <f>F512*K512</f>
        <v>0</v>
      </c>
    </row>
    <row r="513" spans="1:12" ht="12" customHeight="1" x14ac:dyDescent="0.35">
      <c r="B513" s="84"/>
      <c r="C513" s="88"/>
      <c r="D513" s="79"/>
      <c r="E513" s="79"/>
      <c r="F513" s="89"/>
      <c r="G513" s="101"/>
      <c r="H513" s="87">
        <f>SUM(H510:H512)</f>
        <v>0</v>
      </c>
      <c r="I513" s="101"/>
      <c r="J513" s="87">
        <f>SUM(J510:J512)</f>
        <v>0</v>
      </c>
      <c r="K513" s="101"/>
      <c r="L513" s="87">
        <f>SUM(L510:L512)</f>
        <v>0</v>
      </c>
    </row>
    <row r="514" spans="1:12" ht="12" customHeight="1" x14ac:dyDescent="0.35">
      <c r="B514" s="84" t="s">
        <v>7</v>
      </c>
      <c r="C514" s="88" t="s">
        <v>424</v>
      </c>
      <c r="D514" s="79"/>
      <c r="E514" s="79"/>
      <c r="F514" s="90"/>
      <c r="G514" s="84"/>
      <c r="H514" s="87"/>
      <c r="I514" s="84"/>
      <c r="J514" s="87"/>
      <c r="K514" s="84"/>
      <c r="L514" s="87"/>
    </row>
    <row r="515" spans="1:12" ht="12" customHeight="1" x14ac:dyDescent="0.35">
      <c r="A515" s="134">
        <v>31100008</v>
      </c>
      <c r="B515" s="84"/>
      <c r="C515" s="85" t="str">
        <f>VLOOKUP(A515,'DAFTAR HARGA'!A:D,3,FALSE)</f>
        <v>jam</v>
      </c>
      <c r="D515" s="84" t="s">
        <v>418</v>
      </c>
      <c r="E515" s="84">
        <f>VLOOKUP(A515,'DAFTAR HARGA'!A:D,4,FALSE)</f>
        <v>449000</v>
      </c>
      <c r="F515" s="128">
        <v>1.7600000000000001E-2</v>
      </c>
      <c r="G515" s="87" t="e">
        <f>VLOOKUP(A515,'DAFTAR HARGA'!A:D,5,FALSE)*1.5</f>
        <v>#REF!</v>
      </c>
      <c r="H515" s="87" t="e">
        <f>F515*G515</f>
        <v>#REF!</v>
      </c>
      <c r="I515" s="87"/>
      <c r="J515" s="87" t="e">
        <f>H515*I515</f>
        <v>#REF!</v>
      </c>
      <c r="K515" s="87"/>
      <c r="L515" s="87" t="e">
        <f>J515*K515</f>
        <v>#REF!</v>
      </c>
    </row>
    <row r="516" spans="1:12" ht="12" customHeight="1" x14ac:dyDescent="0.35">
      <c r="B516" s="84"/>
      <c r="C516" s="88"/>
      <c r="D516" s="79"/>
      <c r="E516" s="79"/>
      <c r="F516" s="90"/>
      <c r="G516" s="87"/>
      <c r="H516" s="87"/>
      <c r="I516" s="87"/>
      <c r="J516" s="87"/>
      <c r="K516" s="87"/>
      <c r="L516" s="87"/>
    </row>
    <row r="517" spans="1:12" ht="12" customHeight="1" x14ac:dyDescent="0.35">
      <c r="B517" s="84"/>
      <c r="C517" s="88"/>
      <c r="D517" s="79"/>
      <c r="E517" s="79"/>
      <c r="F517" s="90"/>
      <c r="G517" s="87"/>
      <c r="H517" s="87">
        <f>F517*G517</f>
        <v>0</v>
      </c>
      <c r="I517" s="87"/>
      <c r="J517" s="87"/>
      <c r="K517" s="87"/>
      <c r="L517" s="87"/>
    </row>
    <row r="518" spans="1:12" ht="12" customHeight="1" x14ac:dyDescent="0.35">
      <c r="B518" s="84"/>
      <c r="C518" s="88"/>
      <c r="D518" s="79"/>
      <c r="E518" s="79"/>
      <c r="F518" s="89" t="s">
        <v>425</v>
      </c>
      <c r="G518" s="101"/>
      <c r="H518" s="87" t="e">
        <f>SUM(H515:H517)</f>
        <v>#REF!</v>
      </c>
      <c r="I518" s="101"/>
      <c r="J518" s="87" t="e">
        <f>SUM(J515)</f>
        <v>#REF!</v>
      </c>
      <c r="K518" s="101"/>
      <c r="L518" s="87" t="e">
        <f>SUM(L515)</f>
        <v>#REF!</v>
      </c>
    </row>
    <row r="519" spans="1:12" ht="12" customHeight="1" x14ac:dyDescent="0.35">
      <c r="B519" s="84" t="s">
        <v>8</v>
      </c>
      <c r="C519" s="103" t="s">
        <v>426</v>
      </c>
      <c r="D519" s="104"/>
      <c r="E519" s="104"/>
      <c r="F519" s="104"/>
      <c r="G519" s="105"/>
      <c r="H519" s="87" t="e">
        <f>H508+H513+H518</f>
        <v>#REF!</v>
      </c>
      <c r="I519" s="105"/>
      <c r="J519" s="87" t="e">
        <f>J508+J513+J518</f>
        <v>#REF!</v>
      </c>
      <c r="K519" s="105"/>
      <c r="L519" s="87" t="e">
        <f>L508+L513+L518</f>
        <v>#REF!</v>
      </c>
    </row>
    <row r="520" spans="1:12" ht="12" customHeight="1" x14ac:dyDescent="0.35">
      <c r="B520" s="84" t="s">
        <v>9</v>
      </c>
      <c r="C520" s="455" t="s">
        <v>427</v>
      </c>
      <c r="D520" s="455"/>
      <c r="E520" s="455"/>
      <c r="F520" s="95" t="str">
        <f>OP</f>
        <v>TANJUNG PALAS TENGAH</v>
      </c>
      <c r="G520" s="85" t="s">
        <v>428</v>
      </c>
      <c r="H520" s="87" t="e">
        <f>H519*F520</f>
        <v>#REF!</v>
      </c>
      <c r="I520" s="85" t="s">
        <v>428</v>
      </c>
      <c r="J520" s="87" t="e">
        <f>J519*F520</f>
        <v>#REF!</v>
      </c>
      <c r="K520" s="85" t="s">
        <v>428</v>
      </c>
      <c r="L520" s="87" t="e">
        <f>L519*F520</f>
        <v>#REF!</v>
      </c>
    </row>
    <row r="521" spans="1:12" ht="12" customHeight="1" x14ac:dyDescent="0.35">
      <c r="B521" s="84" t="s">
        <v>10</v>
      </c>
      <c r="C521" s="103" t="s">
        <v>429</v>
      </c>
      <c r="D521" s="104"/>
      <c r="E521" s="104"/>
      <c r="F521" s="104"/>
      <c r="G521" s="105"/>
      <c r="H521" s="96" t="e">
        <f>H519+H520</f>
        <v>#REF!</v>
      </c>
      <c r="I521" s="97"/>
      <c r="J521" s="96" t="e">
        <f>J519+J520</f>
        <v>#REF!</v>
      </c>
      <c r="K521" s="97"/>
      <c r="L521" s="96" t="e">
        <f>L519+L520</f>
        <v>#REF!</v>
      </c>
    </row>
    <row r="523" spans="1:12" ht="29" customHeight="1" x14ac:dyDescent="0.35">
      <c r="B523" s="76" t="s">
        <v>537</v>
      </c>
      <c r="C523" s="458" t="s">
        <v>538</v>
      </c>
      <c r="D523" s="459"/>
      <c r="E523" s="459"/>
      <c r="F523" s="459"/>
      <c r="G523" s="456"/>
      <c r="H523" s="457"/>
      <c r="I523" s="455" t="s">
        <v>3</v>
      </c>
      <c r="J523" s="455"/>
      <c r="K523" s="455" t="s">
        <v>4</v>
      </c>
      <c r="L523" s="455"/>
    </row>
    <row r="524" spans="1:12" ht="12" customHeight="1" x14ac:dyDescent="0.35">
      <c r="B524" s="451" t="s">
        <v>409</v>
      </c>
      <c r="C524" s="451" t="s">
        <v>410</v>
      </c>
      <c r="D524" s="452" t="s">
        <v>411</v>
      </c>
      <c r="E524" s="451" t="s">
        <v>412</v>
      </c>
      <c r="F524" s="451" t="s">
        <v>413</v>
      </c>
      <c r="G524" s="77" t="s">
        <v>414</v>
      </c>
      <c r="H524" s="77" t="s">
        <v>415</v>
      </c>
      <c r="I524" s="78" t="s">
        <v>414</v>
      </c>
      <c r="J524" s="79" t="s">
        <v>415</v>
      </c>
      <c r="K524" s="79" t="s">
        <v>414</v>
      </c>
      <c r="L524" s="79" t="s">
        <v>415</v>
      </c>
    </row>
    <row r="525" spans="1:12" ht="12" customHeight="1" x14ac:dyDescent="0.35">
      <c r="B525" s="451"/>
      <c r="C525" s="451"/>
      <c r="D525" s="453"/>
      <c r="E525" s="451"/>
      <c r="F525" s="451"/>
      <c r="G525" s="77" t="s">
        <v>17</v>
      </c>
      <c r="H525" s="77" t="s">
        <v>416</v>
      </c>
      <c r="I525" s="78" t="s">
        <v>17</v>
      </c>
      <c r="J525" s="79" t="s">
        <v>416</v>
      </c>
      <c r="K525" s="79" t="s">
        <v>17</v>
      </c>
      <c r="L525" s="79" t="s">
        <v>416</v>
      </c>
    </row>
    <row r="526" spans="1:12" ht="12" customHeight="1" x14ac:dyDescent="0.35">
      <c r="B526" s="451"/>
      <c r="C526" s="451"/>
      <c r="D526" s="454"/>
      <c r="E526" s="451"/>
      <c r="F526" s="451"/>
      <c r="G526" s="106"/>
      <c r="H526" s="77" t="s">
        <v>17</v>
      </c>
      <c r="I526" s="94"/>
      <c r="J526" s="79" t="s">
        <v>17</v>
      </c>
      <c r="K526" s="85"/>
      <c r="L526" s="79" t="s">
        <v>17</v>
      </c>
    </row>
    <row r="527" spans="1:12" ht="12" customHeight="1" x14ac:dyDescent="0.35">
      <c r="B527" s="80" t="s">
        <v>5</v>
      </c>
      <c r="C527" s="81" t="s">
        <v>417</v>
      </c>
      <c r="D527" s="82"/>
      <c r="E527" s="82"/>
      <c r="F527" s="82"/>
      <c r="G527" s="82"/>
      <c r="H527" s="82"/>
      <c r="I527" s="83"/>
      <c r="J527" s="83"/>
      <c r="K527" s="83"/>
      <c r="L527" s="83"/>
    </row>
    <row r="528" spans="1:12" ht="12" customHeight="1" x14ac:dyDescent="0.35">
      <c r="A528" s="134">
        <v>10111000</v>
      </c>
      <c r="B528" s="84"/>
      <c r="C528" s="85" t="str">
        <f>VLOOKUP(A528,'DAFTAR HARGA'!A:D,3,FALSE)</f>
        <v>OJ</v>
      </c>
      <c r="D528" s="84" t="s">
        <v>418</v>
      </c>
      <c r="E528" s="84">
        <f>VLOOKUP(A528,'DAFTAR HARGA'!A:D,4,FALSE)</f>
        <v>18750</v>
      </c>
      <c r="F528" s="86">
        <v>3.8E-3</v>
      </c>
      <c r="G528" s="87" t="e">
        <f>VLOOKUP(A528,'DAFTAR HARGA'!A:D,5,FALSE)</f>
        <v>#REF!</v>
      </c>
      <c r="H528" s="87" t="e">
        <f>F528*G528</f>
        <v>#REF!</v>
      </c>
      <c r="I528" s="87">
        <v>78600</v>
      </c>
      <c r="J528" s="87">
        <f>F528*I528</f>
        <v>298.68</v>
      </c>
      <c r="K528" s="87">
        <v>78600</v>
      </c>
      <c r="L528" s="87">
        <f>F528*K528</f>
        <v>298.68</v>
      </c>
    </row>
    <row r="529" spans="1:12" ht="12" customHeight="1" x14ac:dyDescent="0.35">
      <c r="A529" s="134">
        <v>10121110</v>
      </c>
      <c r="B529" s="84"/>
      <c r="C529" s="85" t="str">
        <f>VLOOKUP(A529,'DAFTAR HARGA'!A:D,3,FALSE)</f>
        <v>OJ</v>
      </c>
      <c r="D529" s="84" t="s">
        <v>419</v>
      </c>
      <c r="E529" s="84">
        <f>VLOOKUP(A529,'DAFTAR HARGA'!A:D,4,FALSE)</f>
        <v>12500</v>
      </c>
      <c r="F529" s="86">
        <v>1.9400000000000001E-2</v>
      </c>
      <c r="G529" s="87" t="e">
        <f>VLOOKUP(A529,'DAFTAR HARGA'!A:D,5,FALSE)</f>
        <v>#REF!</v>
      </c>
      <c r="H529" s="87" t="e">
        <f>F529*G529</f>
        <v>#REF!</v>
      </c>
      <c r="I529" s="87">
        <v>91500</v>
      </c>
      <c r="J529" s="87">
        <f>F529*I529</f>
        <v>1775.1000000000001</v>
      </c>
      <c r="K529" s="87">
        <v>91500</v>
      </c>
      <c r="L529" s="87">
        <f>F529*K529</f>
        <v>1775.1000000000001</v>
      </c>
    </row>
    <row r="530" spans="1:12" ht="12" customHeight="1" x14ac:dyDescent="0.35">
      <c r="A530" s="134">
        <v>10131000</v>
      </c>
      <c r="B530" s="84"/>
      <c r="C530" s="85" t="str">
        <f>VLOOKUP(A530,'DAFTAR HARGA'!A:D,3,FALSE)</f>
        <v>OJ</v>
      </c>
      <c r="D530" s="84" t="s">
        <v>420</v>
      </c>
      <c r="E530" s="84">
        <f>VLOOKUP(A530,'DAFTAR HARGA'!A:D,4,FALSE)</f>
        <v>14375</v>
      </c>
      <c r="F530" s="86">
        <v>3.8800000000000001E-2</v>
      </c>
      <c r="G530" s="87" t="e">
        <f>VLOOKUP(A530,'DAFTAR HARGA'!A:D,5,FALSE)</f>
        <v>#REF!</v>
      </c>
      <c r="H530" s="87" t="e">
        <f>F530*G530</f>
        <v>#REF!</v>
      </c>
      <c r="I530" s="87">
        <v>92500</v>
      </c>
      <c r="J530" s="87">
        <f>F530*I530</f>
        <v>3589</v>
      </c>
      <c r="K530" s="87">
        <v>92500</v>
      </c>
      <c r="L530" s="87">
        <f>F530*K530</f>
        <v>3589</v>
      </c>
    </row>
    <row r="531" spans="1:12" ht="12" customHeight="1" x14ac:dyDescent="0.35">
      <c r="B531" s="84"/>
      <c r="C531" s="85"/>
      <c r="D531" s="84"/>
      <c r="E531" s="84"/>
      <c r="F531" s="86"/>
      <c r="G531" s="87"/>
      <c r="H531" s="87"/>
      <c r="I531" s="87"/>
      <c r="J531" s="87"/>
      <c r="K531" s="87"/>
      <c r="L531" s="87"/>
    </row>
    <row r="532" spans="1:12" ht="12" customHeight="1" x14ac:dyDescent="0.35">
      <c r="B532" s="84"/>
      <c r="C532" s="88"/>
      <c r="D532" s="79"/>
      <c r="E532" s="79"/>
      <c r="F532" s="89" t="s">
        <v>421</v>
      </c>
      <c r="G532" s="101"/>
      <c r="H532" s="87" t="e">
        <f>SUM(H528:H531)</f>
        <v>#REF!</v>
      </c>
      <c r="I532" s="101"/>
      <c r="J532" s="87">
        <f>SUM(J528:J531)</f>
        <v>5662.7800000000007</v>
      </c>
      <c r="K532" s="101"/>
      <c r="L532" s="87">
        <f>SUM(L528:L531)</f>
        <v>5662.7800000000007</v>
      </c>
    </row>
    <row r="533" spans="1:12" ht="12" customHeight="1" x14ac:dyDescent="0.35">
      <c r="B533" s="84" t="s">
        <v>6</v>
      </c>
      <c r="C533" s="88" t="s">
        <v>422</v>
      </c>
      <c r="D533" s="79"/>
      <c r="E533" s="79"/>
      <c r="F533" s="90"/>
      <c r="G533" s="84"/>
      <c r="H533" s="87"/>
      <c r="I533" s="84"/>
      <c r="J533" s="87"/>
      <c r="K533" s="84"/>
      <c r="L533" s="87"/>
    </row>
    <row r="534" spans="1:12" ht="12" customHeight="1" x14ac:dyDescent="0.35">
      <c r="B534" s="84"/>
      <c r="C534" s="85"/>
      <c r="D534" s="84"/>
      <c r="E534" s="84"/>
      <c r="F534" s="86"/>
      <c r="G534" s="87"/>
      <c r="H534" s="87">
        <f>F534*G534</f>
        <v>0</v>
      </c>
      <c r="I534" s="87">
        <v>232500</v>
      </c>
      <c r="J534" s="87">
        <f>F534*I534</f>
        <v>0</v>
      </c>
      <c r="K534" s="87">
        <v>270000</v>
      </c>
      <c r="L534" s="87">
        <f>F534*K534</f>
        <v>0</v>
      </c>
    </row>
    <row r="535" spans="1:12" ht="12" customHeight="1" x14ac:dyDescent="0.35">
      <c r="B535" s="84"/>
      <c r="C535" s="88"/>
      <c r="D535" s="79"/>
      <c r="E535" s="84"/>
      <c r="F535" s="102"/>
      <c r="G535" s="87"/>
      <c r="H535" s="87">
        <f>F535*G535</f>
        <v>0</v>
      </c>
      <c r="I535" s="87">
        <v>1060</v>
      </c>
      <c r="J535" s="87">
        <f>F535*I535</f>
        <v>0</v>
      </c>
      <c r="K535" s="87">
        <v>1060</v>
      </c>
      <c r="L535" s="87">
        <f>F535*K535</f>
        <v>0</v>
      </c>
    </row>
    <row r="536" spans="1:12" ht="12" customHeight="1" x14ac:dyDescent="0.35">
      <c r="B536" s="84"/>
      <c r="C536" s="88"/>
      <c r="D536" s="79"/>
      <c r="E536" s="84"/>
      <c r="F536" s="102"/>
      <c r="G536" s="87"/>
      <c r="H536" s="87">
        <f>F536*G536</f>
        <v>0</v>
      </c>
      <c r="I536" s="87">
        <v>215000</v>
      </c>
      <c r="J536" s="87">
        <f>F536*I536</f>
        <v>0</v>
      </c>
      <c r="K536" s="87">
        <v>250000</v>
      </c>
      <c r="L536" s="87">
        <f>F536*K536</f>
        <v>0</v>
      </c>
    </row>
    <row r="537" spans="1:12" ht="12" customHeight="1" x14ac:dyDescent="0.35">
      <c r="B537" s="84"/>
      <c r="C537" s="88"/>
      <c r="D537" s="79"/>
      <c r="E537" s="79"/>
      <c r="F537" s="89"/>
      <c r="G537" s="101"/>
      <c r="H537" s="87">
        <f>SUM(H534:H536)</f>
        <v>0</v>
      </c>
      <c r="I537" s="101"/>
      <c r="J537" s="87">
        <f>SUM(J534:J536)</f>
        <v>0</v>
      </c>
      <c r="K537" s="101"/>
      <c r="L537" s="87">
        <f>SUM(L534:L536)</f>
        <v>0</v>
      </c>
    </row>
    <row r="538" spans="1:12" ht="12" customHeight="1" x14ac:dyDescent="0.35">
      <c r="B538" s="84" t="s">
        <v>7</v>
      </c>
      <c r="C538" s="88" t="s">
        <v>424</v>
      </c>
      <c r="D538" s="79"/>
      <c r="E538" s="79"/>
      <c r="F538" s="90"/>
      <c r="G538" s="84"/>
      <c r="H538" s="87"/>
      <c r="I538" s="84"/>
      <c r="J538" s="87"/>
      <c r="K538" s="84"/>
      <c r="L538" s="87"/>
    </row>
    <row r="539" spans="1:12" ht="12" customHeight="1" x14ac:dyDescent="0.35">
      <c r="A539" s="134">
        <v>31100008</v>
      </c>
      <c r="B539" s="84"/>
      <c r="C539" s="85" t="str">
        <f>VLOOKUP(A539,'DAFTAR HARGA'!A:D,3,FALSE)</f>
        <v>jam</v>
      </c>
      <c r="D539" s="84" t="s">
        <v>418</v>
      </c>
      <c r="E539" s="84">
        <f>VLOOKUP(A539,'DAFTAR HARGA'!A:D,4,FALSE)</f>
        <v>449000</v>
      </c>
      <c r="F539" s="128">
        <v>1.9400000000000001E-2</v>
      </c>
      <c r="G539" s="87" t="e">
        <f>VLOOKUP(A539,'DAFTAR HARGA'!A:D,5,FALSE)*1.5</f>
        <v>#REF!</v>
      </c>
      <c r="H539" s="87" t="e">
        <f>F539*G539</f>
        <v>#REF!</v>
      </c>
      <c r="I539" s="87"/>
      <c r="J539" s="87" t="e">
        <f>H539*I539</f>
        <v>#REF!</v>
      </c>
      <c r="K539" s="87"/>
      <c r="L539" s="87" t="e">
        <f>J539*K539</f>
        <v>#REF!</v>
      </c>
    </row>
    <row r="540" spans="1:12" ht="12" customHeight="1" x14ac:dyDescent="0.35">
      <c r="B540" s="84"/>
      <c r="C540" s="88"/>
      <c r="D540" s="79"/>
      <c r="E540" s="79"/>
      <c r="F540" s="90"/>
      <c r="G540" s="87"/>
      <c r="H540" s="87"/>
      <c r="I540" s="87"/>
      <c r="J540" s="87"/>
      <c r="K540" s="87"/>
      <c r="L540" s="87"/>
    </row>
    <row r="541" spans="1:12" ht="12" customHeight="1" x14ac:dyDescent="0.35">
      <c r="B541" s="84"/>
      <c r="C541" s="88"/>
      <c r="D541" s="79"/>
      <c r="E541" s="79"/>
      <c r="F541" s="90"/>
      <c r="G541" s="87"/>
      <c r="H541" s="87">
        <f>F541*G541</f>
        <v>0</v>
      </c>
      <c r="I541" s="87"/>
      <c r="J541" s="87"/>
      <c r="K541" s="87"/>
      <c r="L541" s="87"/>
    </row>
    <row r="542" spans="1:12" ht="12" customHeight="1" x14ac:dyDescent="0.35">
      <c r="B542" s="84"/>
      <c r="C542" s="88"/>
      <c r="D542" s="79"/>
      <c r="E542" s="79"/>
      <c r="F542" s="89" t="s">
        <v>425</v>
      </c>
      <c r="G542" s="101"/>
      <c r="H542" s="87" t="e">
        <f>SUM(H539:H541)</f>
        <v>#REF!</v>
      </c>
      <c r="I542" s="101"/>
      <c r="J542" s="87" t="e">
        <f>SUM(J539)</f>
        <v>#REF!</v>
      </c>
      <c r="K542" s="101"/>
      <c r="L542" s="87" t="e">
        <f>SUM(L539)</f>
        <v>#REF!</v>
      </c>
    </row>
    <row r="543" spans="1:12" ht="12" customHeight="1" x14ac:dyDescent="0.35">
      <c r="B543" s="84" t="s">
        <v>8</v>
      </c>
      <c r="C543" s="103" t="s">
        <v>426</v>
      </c>
      <c r="D543" s="104"/>
      <c r="E543" s="104"/>
      <c r="F543" s="104"/>
      <c r="G543" s="105"/>
      <c r="H543" s="87" t="e">
        <f>H532+H537+H542</f>
        <v>#REF!</v>
      </c>
      <c r="I543" s="105"/>
      <c r="J543" s="87" t="e">
        <f>J532+J537+J542</f>
        <v>#REF!</v>
      </c>
      <c r="K543" s="105"/>
      <c r="L543" s="87" t="e">
        <f>L532+L537+L542</f>
        <v>#REF!</v>
      </c>
    </row>
    <row r="544" spans="1:12" ht="12" customHeight="1" x14ac:dyDescent="0.35">
      <c r="B544" s="84" t="s">
        <v>9</v>
      </c>
      <c r="C544" s="455" t="s">
        <v>427</v>
      </c>
      <c r="D544" s="455"/>
      <c r="E544" s="455"/>
      <c r="F544" s="95" t="str">
        <f>OP</f>
        <v>TANJUNG PALAS TENGAH</v>
      </c>
      <c r="G544" s="85" t="s">
        <v>428</v>
      </c>
      <c r="H544" s="87" t="e">
        <f>H543*F544</f>
        <v>#REF!</v>
      </c>
      <c r="I544" s="85" t="s">
        <v>428</v>
      </c>
      <c r="J544" s="87" t="e">
        <f>J543*F544</f>
        <v>#REF!</v>
      </c>
      <c r="K544" s="85" t="s">
        <v>428</v>
      </c>
      <c r="L544" s="87" t="e">
        <f>L543*F544</f>
        <v>#REF!</v>
      </c>
    </row>
    <row r="545" spans="1:12" ht="12" customHeight="1" x14ac:dyDescent="0.35">
      <c r="B545" s="84" t="s">
        <v>10</v>
      </c>
      <c r="C545" s="103" t="s">
        <v>429</v>
      </c>
      <c r="D545" s="104"/>
      <c r="E545" s="104"/>
      <c r="F545" s="104"/>
      <c r="G545" s="105"/>
      <c r="H545" s="96" t="e">
        <f>H543+H544</f>
        <v>#REF!</v>
      </c>
      <c r="I545" s="97"/>
      <c r="J545" s="96" t="e">
        <f>J543+J544</f>
        <v>#REF!</v>
      </c>
      <c r="K545" s="97"/>
      <c r="L545" s="96" t="e">
        <f>L543+L544</f>
        <v>#REF!</v>
      </c>
    </row>
    <row r="547" spans="1:12" ht="29" customHeight="1" x14ac:dyDescent="0.35">
      <c r="B547" s="76" t="s">
        <v>539</v>
      </c>
      <c r="C547" s="458" t="s">
        <v>540</v>
      </c>
      <c r="D547" s="459"/>
      <c r="E547" s="459"/>
      <c r="F547" s="459"/>
      <c r="G547" s="456"/>
      <c r="H547" s="457"/>
      <c r="I547" s="455" t="s">
        <v>3</v>
      </c>
      <c r="J547" s="455"/>
      <c r="K547" s="455" t="s">
        <v>4</v>
      </c>
      <c r="L547" s="455"/>
    </row>
    <row r="548" spans="1:12" ht="12" customHeight="1" x14ac:dyDescent="0.35">
      <c r="B548" s="451" t="s">
        <v>409</v>
      </c>
      <c r="C548" s="451" t="s">
        <v>410</v>
      </c>
      <c r="D548" s="452" t="s">
        <v>411</v>
      </c>
      <c r="E548" s="451" t="s">
        <v>412</v>
      </c>
      <c r="F548" s="451" t="s">
        <v>413</v>
      </c>
      <c r="G548" s="77" t="s">
        <v>414</v>
      </c>
      <c r="H548" s="77" t="s">
        <v>415</v>
      </c>
      <c r="I548" s="78" t="s">
        <v>414</v>
      </c>
      <c r="J548" s="79" t="s">
        <v>415</v>
      </c>
      <c r="K548" s="79" t="s">
        <v>414</v>
      </c>
      <c r="L548" s="79" t="s">
        <v>415</v>
      </c>
    </row>
    <row r="549" spans="1:12" ht="12" customHeight="1" x14ac:dyDescent="0.35">
      <c r="B549" s="451"/>
      <c r="C549" s="451"/>
      <c r="D549" s="453"/>
      <c r="E549" s="451"/>
      <c r="F549" s="451"/>
      <c r="G549" s="77" t="s">
        <v>17</v>
      </c>
      <c r="H549" s="77" t="s">
        <v>416</v>
      </c>
      <c r="I549" s="78" t="s">
        <v>17</v>
      </c>
      <c r="J549" s="79" t="s">
        <v>416</v>
      </c>
      <c r="K549" s="79" t="s">
        <v>17</v>
      </c>
      <c r="L549" s="79" t="s">
        <v>416</v>
      </c>
    </row>
    <row r="550" spans="1:12" ht="12" customHeight="1" x14ac:dyDescent="0.35">
      <c r="B550" s="451"/>
      <c r="C550" s="451"/>
      <c r="D550" s="454"/>
      <c r="E550" s="451"/>
      <c r="F550" s="451"/>
      <c r="G550" s="106"/>
      <c r="H550" s="77" t="s">
        <v>17</v>
      </c>
      <c r="I550" s="94"/>
      <c r="J550" s="79" t="s">
        <v>17</v>
      </c>
      <c r="K550" s="85"/>
      <c r="L550" s="79" t="s">
        <v>17</v>
      </c>
    </row>
    <row r="551" spans="1:12" ht="12" customHeight="1" x14ac:dyDescent="0.35">
      <c r="B551" s="80" t="s">
        <v>5</v>
      </c>
      <c r="C551" s="81" t="s">
        <v>417</v>
      </c>
      <c r="D551" s="82"/>
      <c r="E551" s="82"/>
      <c r="F551" s="82"/>
      <c r="G551" s="82"/>
      <c r="H551" s="82"/>
      <c r="I551" s="83"/>
      <c r="J551" s="83"/>
      <c r="K551" s="83"/>
      <c r="L551" s="83"/>
    </row>
    <row r="552" spans="1:12" ht="12" customHeight="1" x14ac:dyDescent="0.35">
      <c r="A552" s="134">
        <v>10111000</v>
      </c>
      <c r="B552" s="84"/>
      <c r="C552" s="85" t="str">
        <f>VLOOKUP(A552,'DAFTAR HARGA'!A:D,3,FALSE)</f>
        <v>OJ</v>
      </c>
      <c r="D552" s="84" t="s">
        <v>418</v>
      </c>
      <c r="E552" s="84">
        <f>VLOOKUP(A552,'DAFTAR HARGA'!A:D,4,FALSE)</f>
        <v>18750</v>
      </c>
      <c r="F552" s="86">
        <v>1.2999999999999999E-3</v>
      </c>
      <c r="G552" s="87" t="e">
        <f>VLOOKUP(A552,'DAFTAR HARGA'!A:D,5,FALSE)</f>
        <v>#REF!</v>
      </c>
      <c r="H552" s="87" t="e">
        <f>F552*G552</f>
        <v>#REF!</v>
      </c>
      <c r="I552" s="87">
        <v>78600</v>
      </c>
      <c r="J552" s="87">
        <f>F552*I552</f>
        <v>102.17999999999999</v>
      </c>
      <c r="K552" s="87">
        <v>78600</v>
      </c>
      <c r="L552" s="87">
        <f>F552*K552</f>
        <v>102.17999999999999</v>
      </c>
    </row>
    <row r="553" spans="1:12" ht="12" customHeight="1" x14ac:dyDescent="0.35">
      <c r="A553" s="134">
        <v>10121110</v>
      </c>
      <c r="B553" s="84"/>
      <c r="C553" s="85" t="str">
        <f>VLOOKUP(A553,'DAFTAR HARGA'!A:D,3,FALSE)</f>
        <v>OJ</v>
      </c>
      <c r="D553" s="84" t="s">
        <v>419</v>
      </c>
      <c r="E553" s="84">
        <f>VLOOKUP(A553,'DAFTAR HARGA'!A:D,4,FALSE)</f>
        <v>12500</v>
      </c>
      <c r="F553" s="86">
        <v>6.7999999999999996E-3</v>
      </c>
      <c r="G553" s="87" t="e">
        <f>VLOOKUP(A553,'DAFTAR HARGA'!A:D,5,FALSE)</f>
        <v>#REF!</v>
      </c>
      <c r="H553" s="87" t="e">
        <f>F553*G553</f>
        <v>#REF!</v>
      </c>
      <c r="I553" s="87">
        <v>91500</v>
      </c>
      <c r="J553" s="87">
        <f>F553*I553</f>
        <v>622.19999999999993</v>
      </c>
      <c r="K553" s="87">
        <v>91500</v>
      </c>
      <c r="L553" s="87">
        <f>F553*K553</f>
        <v>622.19999999999993</v>
      </c>
    </row>
    <row r="554" spans="1:12" ht="12" customHeight="1" x14ac:dyDescent="0.35">
      <c r="A554" s="134">
        <v>10131000</v>
      </c>
      <c r="B554" s="84"/>
      <c r="C554" s="85" t="str">
        <f>VLOOKUP(A554,'DAFTAR HARGA'!A:D,3,FALSE)</f>
        <v>OJ</v>
      </c>
      <c r="D554" s="84" t="s">
        <v>420</v>
      </c>
      <c r="E554" s="84">
        <f>VLOOKUP(A554,'DAFTAR HARGA'!A:D,4,FALSE)</f>
        <v>14375</v>
      </c>
      <c r="F554" s="86">
        <v>1.35E-2</v>
      </c>
      <c r="G554" s="87" t="e">
        <f>VLOOKUP(A554,'DAFTAR HARGA'!A:D,5,FALSE)</f>
        <v>#REF!</v>
      </c>
      <c r="H554" s="87" t="e">
        <f>F554*G554</f>
        <v>#REF!</v>
      </c>
      <c r="I554" s="87">
        <v>92500</v>
      </c>
      <c r="J554" s="87">
        <f>F554*I554</f>
        <v>1248.75</v>
      </c>
      <c r="K554" s="87">
        <v>92500</v>
      </c>
      <c r="L554" s="87">
        <f>F554*K554</f>
        <v>1248.75</v>
      </c>
    </row>
    <row r="555" spans="1:12" ht="12" customHeight="1" x14ac:dyDescent="0.35">
      <c r="B555" s="84"/>
      <c r="C555" s="85"/>
      <c r="D555" s="84"/>
      <c r="E555" s="84"/>
      <c r="F555" s="86"/>
      <c r="G555" s="87"/>
      <c r="H555" s="87"/>
      <c r="I555" s="87"/>
      <c r="J555" s="87"/>
      <c r="K555" s="87"/>
      <c r="L555" s="87"/>
    </row>
    <row r="556" spans="1:12" ht="12" customHeight="1" x14ac:dyDescent="0.35">
      <c r="B556" s="84"/>
      <c r="C556" s="88"/>
      <c r="D556" s="79"/>
      <c r="E556" s="79"/>
      <c r="F556" s="89" t="s">
        <v>421</v>
      </c>
      <c r="G556" s="101"/>
      <c r="H556" s="87" t="e">
        <f>SUM(H552:H555)</f>
        <v>#REF!</v>
      </c>
      <c r="I556" s="101"/>
      <c r="J556" s="87">
        <f>SUM(J552:J555)</f>
        <v>1973.1299999999999</v>
      </c>
      <c r="K556" s="101"/>
      <c r="L556" s="87">
        <f>SUM(L552:L555)</f>
        <v>1973.1299999999999</v>
      </c>
    </row>
    <row r="557" spans="1:12" ht="12" customHeight="1" x14ac:dyDescent="0.35">
      <c r="B557" s="84" t="s">
        <v>6</v>
      </c>
      <c r="C557" s="88" t="s">
        <v>422</v>
      </c>
      <c r="D557" s="79"/>
      <c r="E557" s="79"/>
      <c r="F557" s="90"/>
      <c r="G557" s="84"/>
      <c r="H557" s="87"/>
      <c r="I557" s="84"/>
      <c r="J557" s="87"/>
      <c r="K557" s="84"/>
      <c r="L557" s="87"/>
    </row>
    <row r="558" spans="1:12" ht="12" customHeight="1" x14ac:dyDescent="0.35">
      <c r="B558" s="84"/>
      <c r="C558" s="85"/>
      <c r="D558" s="84"/>
      <c r="E558" s="84"/>
      <c r="F558" s="86"/>
      <c r="G558" s="87"/>
      <c r="H558" s="87">
        <f>F558*G558</f>
        <v>0</v>
      </c>
      <c r="I558" s="87">
        <v>232500</v>
      </c>
      <c r="J558" s="87">
        <f>F558*I558</f>
        <v>0</v>
      </c>
      <c r="K558" s="87">
        <v>270000</v>
      </c>
      <c r="L558" s="87">
        <f>F558*K558</f>
        <v>0</v>
      </c>
    </row>
    <row r="559" spans="1:12" ht="12" customHeight="1" x14ac:dyDescent="0.35">
      <c r="B559" s="84"/>
      <c r="C559" s="88"/>
      <c r="D559" s="79"/>
      <c r="E559" s="84"/>
      <c r="F559" s="102"/>
      <c r="G559" s="87"/>
      <c r="H559" s="87">
        <f>F559*G559</f>
        <v>0</v>
      </c>
      <c r="I559" s="87">
        <v>1060</v>
      </c>
      <c r="J559" s="87">
        <f>F559*I559</f>
        <v>0</v>
      </c>
      <c r="K559" s="87">
        <v>1060</v>
      </c>
      <c r="L559" s="87">
        <f>F559*K559</f>
        <v>0</v>
      </c>
    </row>
    <row r="560" spans="1:12" ht="12" customHeight="1" x14ac:dyDescent="0.35">
      <c r="B560" s="84"/>
      <c r="C560" s="88"/>
      <c r="D560" s="79"/>
      <c r="E560" s="84"/>
      <c r="F560" s="102"/>
      <c r="G560" s="87"/>
      <c r="H560" s="87">
        <f>F560*G560</f>
        <v>0</v>
      </c>
      <c r="I560" s="87">
        <v>215000</v>
      </c>
      <c r="J560" s="87">
        <f>F560*I560</f>
        <v>0</v>
      </c>
      <c r="K560" s="87">
        <v>250000</v>
      </c>
      <c r="L560" s="87">
        <f>F560*K560</f>
        <v>0</v>
      </c>
    </row>
    <row r="561" spans="1:12" ht="12" customHeight="1" x14ac:dyDescent="0.35">
      <c r="B561" s="84"/>
      <c r="C561" s="88"/>
      <c r="D561" s="79"/>
      <c r="E561" s="79"/>
      <c r="F561" s="89"/>
      <c r="G561" s="101"/>
      <c r="H561" s="87">
        <f>SUM(H558:H560)</f>
        <v>0</v>
      </c>
      <c r="I561" s="101"/>
      <c r="J561" s="87">
        <f>SUM(J558:J560)</f>
        <v>0</v>
      </c>
      <c r="K561" s="101"/>
      <c r="L561" s="87">
        <f>SUM(L558:L560)</f>
        <v>0</v>
      </c>
    </row>
    <row r="562" spans="1:12" ht="12" customHeight="1" x14ac:dyDescent="0.35">
      <c r="B562" s="84" t="s">
        <v>7</v>
      </c>
      <c r="C562" s="88" t="s">
        <v>424</v>
      </c>
      <c r="D562" s="79"/>
      <c r="E562" s="79"/>
      <c r="F562" s="90"/>
      <c r="G562" s="84"/>
      <c r="H562" s="87"/>
      <c r="I562" s="84"/>
      <c r="J562" s="87"/>
      <c r="K562" s="84"/>
      <c r="L562" s="87"/>
    </row>
    <row r="563" spans="1:12" ht="12" customHeight="1" x14ac:dyDescent="0.35">
      <c r="A563" s="134">
        <v>31100008</v>
      </c>
      <c r="B563" s="84"/>
      <c r="C563" s="85" t="str">
        <f>VLOOKUP(A563,'DAFTAR HARGA'!A:D,3,FALSE)</f>
        <v>jam</v>
      </c>
      <c r="D563" s="84" t="s">
        <v>418</v>
      </c>
      <c r="E563" s="84">
        <f>VLOOKUP(A563,'DAFTAR HARGA'!A:D,4,FALSE)</f>
        <v>449000</v>
      </c>
      <c r="F563" s="128">
        <v>6.7999999999999996E-3</v>
      </c>
      <c r="G563" s="87" t="e">
        <f>VLOOKUP(A563,'DAFTAR HARGA'!A:D,5,FALSE)</f>
        <v>#REF!</v>
      </c>
      <c r="H563" s="87" t="e">
        <f>F563*G563</f>
        <v>#REF!</v>
      </c>
      <c r="I563" s="87"/>
      <c r="J563" s="87" t="e">
        <f>H563*I563</f>
        <v>#REF!</v>
      </c>
      <c r="K563" s="87"/>
      <c r="L563" s="87" t="e">
        <f>J563*K563</f>
        <v>#REF!</v>
      </c>
    </row>
    <row r="564" spans="1:12" ht="12" customHeight="1" x14ac:dyDescent="0.35">
      <c r="B564" s="84"/>
      <c r="C564" s="88"/>
      <c r="D564" s="79"/>
      <c r="E564" s="79"/>
      <c r="F564" s="90"/>
      <c r="G564" s="87"/>
      <c r="H564" s="87"/>
      <c r="I564" s="87"/>
      <c r="J564" s="87"/>
      <c r="K564" s="87"/>
      <c r="L564" s="87"/>
    </row>
    <row r="565" spans="1:12" ht="12" customHeight="1" x14ac:dyDescent="0.35">
      <c r="B565" s="84"/>
      <c r="C565" s="88"/>
      <c r="D565" s="79"/>
      <c r="E565" s="79"/>
      <c r="F565" s="90"/>
      <c r="G565" s="87"/>
      <c r="H565" s="87">
        <f>F565*G565</f>
        <v>0</v>
      </c>
      <c r="I565" s="87"/>
      <c r="J565" s="87"/>
      <c r="K565" s="87"/>
      <c r="L565" s="87"/>
    </row>
    <row r="566" spans="1:12" ht="12" customHeight="1" x14ac:dyDescent="0.35">
      <c r="B566" s="84"/>
      <c r="C566" s="88"/>
      <c r="D566" s="79"/>
      <c r="E566" s="79"/>
      <c r="F566" s="89" t="s">
        <v>425</v>
      </c>
      <c r="G566" s="101"/>
      <c r="H566" s="87" t="e">
        <f>SUM(H563:H565)</f>
        <v>#REF!</v>
      </c>
      <c r="I566" s="101"/>
      <c r="J566" s="87" t="e">
        <f>SUM(J563)</f>
        <v>#REF!</v>
      </c>
      <c r="K566" s="101"/>
      <c r="L566" s="87" t="e">
        <f>SUM(L563)</f>
        <v>#REF!</v>
      </c>
    </row>
    <row r="567" spans="1:12" ht="12" customHeight="1" x14ac:dyDescent="0.35">
      <c r="B567" s="84" t="s">
        <v>8</v>
      </c>
      <c r="C567" s="103" t="s">
        <v>426</v>
      </c>
      <c r="D567" s="104"/>
      <c r="E567" s="104"/>
      <c r="F567" s="104"/>
      <c r="G567" s="105"/>
      <c r="H567" s="87" t="e">
        <f>H556+H561+H566</f>
        <v>#REF!</v>
      </c>
      <c r="I567" s="105"/>
      <c r="J567" s="87" t="e">
        <f>J556+J561+J566</f>
        <v>#REF!</v>
      </c>
      <c r="K567" s="105"/>
      <c r="L567" s="87" t="e">
        <f>L556+L561+L566</f>
        <v>#REF!</v>
      </c>
    </row>
    <row r="568" spans="1:12" ht="12" customHeight="1" x14ac:dyDescent="0.35">
      <c r="B568" s="84" t="s">
        <v>9</v>
      </c>
      <c r="C568" s="455" t="s">
        <v>427</v>
      </c>
      <c r="D568" s="455"/>
      <c r="E568" s="455"/>
      <c r="F568" s="95" t="str">
        <f>OP</f>
        <v>TANJUNG PALAS TENGAH</v>
      </c>
      <c r="G568" s="85" t="s">
        <v>428</v>
      </c>
      <c r="H568" s="87" t="e">
        <f>H567*F568</f>
        <v>#REF!</v>
      </c>
      <c r="I568" s="85" t="s">
        <v>428</v>
      </c>
      <c r="J568" s="87" t="e">
        <f>J567*F568</f>
        <v>#REF!</v>
      </c>
      <c r="K568" s="85" t="s">
        <v>428</v>
      </c>
      <c r="L568" s="87" t="e">
        <f>L567*F568</f>
        <v>#REF!</v>
      </c>
    </row>
    <row r="569" spans="1:12" ht="12" customHeight="1" x14ac:dyDescent="0.35">
      <c r="B569" s="84" t="s">
        <v>10</v>
      </c>
      <c r="C569" s="103" t="s">
        <v>429</v>
      </c>
      <c r="D569" s="104"/>
      <c r="E569" s="104"/>
      <c r="F569" s="104"/>
      <c r="G569" s="105"/>
      <c r="H569" s="96" t="e">
        <f>H567+H568</f>
        <v>#REF!</v>
      </c>
      <c r="I569" s="97"/>
      <c r="J569" s="96" t="e">
        <f>J567+J568</f>
        <v>#REF!</v>
      </c>
      <c r="K569" s="97"/>
      <c r="L569" s="96" t="e">
        <f>L567+L568</f>
        <v>#REF!</v>
      </c>
    </row>
    <row r="571" spans="1:12" ht="29" customHeight="1" x14ac:dyDescent="0.35">
      <c r="B571" s="76" t="s">
        <v>542</v>
      </c>
      <c r="C571" s="458" t="s">
        <v>541</v>
      </c>
      <c r="D571" s="459"/>
      <c r="E571" s="459"/>
      <c r="F571" s="459"/>
      <c r="G571" s="456"/>
      <c r="H571" s="457"/>
      <c r="I571" s="455" t="s">
        <v>3</v>
      </c>
      <c r="J571" s="455"/>
      <c r="K571" s="455" t="s">
        <v>4</v>
      </c>
      <c r="L571" s="455"/>
    </row>
    <row r="572" spans="1:12" ht="12" customHeight="1" x14ac:dyDescent="0.35">
      <c r="B572" s="451" t="s">
        <v>409</v>
      </c>
      <c r="C572" s="451" t="s">
        <v>410</v>
      </c>
      <c r="D572" s="452" t="s">
        <v>411</v>
      </c>
      <c r="E572" s="451" t="s">
        <v>412</v>
      </c>
      <c r="F572" s="451" t="s">
        <v>413</v>
      </c>
      <c r="G572" s="77" t="s">
        <v>414</v>
      </c>
      <c r="H572" s="77" t="s">
        <v>415</v>
      </c>
      <c r="I572" s="78" t="s">
        <v>414</v>
      </c>
      <c r="J572" s="79" t="s">
        <v>415</v>
      </c>
      <c r="K572" s="79" t="s">
        <v>414</v>
      </c>
      <c r="L572" s="79" t="s">
        <v>415</v>
      </c>
    </row>
    <row r="573" spans="1:12" ht="12" customHeight="1" x14ac:dyDescent="0.35">
      <c r="B573" s="451"/>
      <c r="C573" s="451"/>
      <c r="D573" s="453"/>
      <c r="E573" s="451"/>
      <c r="F573" s="451"/>
      <c r="G573" s="77" t="s">
        <v>17</v>
      </c>
      <c r="H573" s="77" t="s">
        <v>416</v>
      </c>
      <c r="I573" s="78" t="s">
        <v>17</v>
      </c>
      <c r="J573" s="79" t="s">
        <v>416</v>
      </c>
      <c r="K573" s="79" t="s">
        <v>17</v>
      </c>
      <c r="L573" s="79" t="s">
        <v>416</v>
      </c>
    </row>
    <row r="574" spans="1:12" ht="12" customHeight="1" x14ac:dyDescent="0.35">
      <c r="B574" s="451"/>
      <c r="C574" s="451"/>
      <c r="D574" s="454"/>
      <c r="E574" s="451"/>
      <c r="F574" s="451"/>
      <c r="G574" s="106"/>
      <c r="H574" s="77" t="s">
        <v>17</v>
      </c>
      <c r="I574" s="94"/>
      <c r="J574" s="79" t="s">
        <v>17</v>
      </c>
      <c r="K574" s="85"/>
      <c r="L574" s="79" t="s">
        <v>17</v>
      </c>
    </row>
    <row r="575" spans="1:12" ht="12" customHeight="1" x14ac:dyDescent="0.35">
      <c r="B575" s="80" t="s">
        <v>5</v>
      </c>
      <c r="C575" s="81" t="s">
        <v>417</v>
      </c>
      <c r="D575" s="82"/>
      <c r="E575" s="82"/>
      <c r="F575" s="82"/>
      <c r="G575" s="82"/>
      <c r="H575" s="82"/>
      <c r="I575" s="83"/>
      <c r="J575" s="83"/>
      <c r="K575" s="83"/>
      <c r="L575" s="83"/>
    </row>
    <row r="576" spans="1:12" ht="12" customHeight="1" x14ac:dyDescent="0.35">
      <c r="A576" s="134">
        <v>10111000</v>
      </c>
      <c r="B576" s="84"/>
      <c r="C576" s="85" t="str">
        <f>VLOOKUP(A576,'DAFTAR HARGA'!A:D,3,FALSE)</f>
        <v>OJ</v>
      </c>
      <c r="D576" s="84" t="s">
        <v>418</v>
      </c>
      <c r="E576" s="84">
        <f>VLOOKUP(A576,'DAFTAR HARGA'!A:D,4,FALSE)</f>
        <v>18750</v>
      </c>
      <c r="F576" s="86">
        <v>1.5E-3</v>
      </c>
      <c r="G576" s="87" t="e">
        <f>VLOOKUP(A576,'DAFTAR HARGA'!A:D,5,FALSE)</f>
        <v>#REF!</v>
      </c>
      <c r="H576" s="87" t="e">
        <f>F576*G576</f>
        <v>#REF!</v>
      </c>
      <c r="I576" s="87">
        <v>78600</v>
      </c>
      <c r="J576" s="87">
        <f>F576*I576</f>
        <v>117.9</v>
      </c>
      <c r="K576" s="87">
        <v>78600</v>
      </c>
      <c r="L576" s="87">
        <f>F576*K576</f>
        <v>117.9</v>
      </c>
    </row>
    <row r="577" spans="1:12" ht="12" customHeight="1" x14ac:dyDescent="0.35">
      <c r="A577" s="134">
        <v>10121110</v>
      </c>
      <c r="B577" s="84"/>
      <c r="C577" s="85" t="str">
        <f>VLOOKUP(A577,'DAFTAR HARGA'!A:D,3,FALSE)</f>
        <v>OJ</v>
      </c>
      <c r="D577" s="84" t="s">
        <v>419</v>
      </c>
      <c r="E577" s="84">
        <f>VLOOKUP(A577,'DAFTAR HARGA'!A:D,4,FALSE)</f>
        <v>12500</v>
      </c>
      <c r="F577" s="86">
        <v>7.4999999999999997E-3</v>
      </c>
      <c r="G577" s="87" t="e">
        <f>VLOOKUP(A577,'DAFTAR HARGA'!A:D,5,FALSE)</f>
        <v>#REF!</v>
      </c>
      <c r="H577" s="87" t="e">
        <f>F577*G577</f>
        <v>#REF!</v>
      </c>
      <c r="I577" s="87">
        <v>91500</v>
      </c>
      <c r="J577" s="87">
        <f>F577*I577</f>
        <v>686.25</v>
      </c>
      <c r="K577" s="87">
        <v>91500</v>
      </c>
      <c r="L577" s="87">
        <f>F577*K577</f>
        <v>686.25</v>
      </c>
    </row>
    <row r="578" spans="1:12" ht="12" customHeight="1" x14ac:dyDescent="0.35">
      <c r="A578" s="134">
        <v>10131000</v>
      </c>
      <c r="B578" s="84"/>
      <c r="C578" s="85" t="str">
        <f>VLOOKUP(A578,'DAFTAR HARGA'!A:D,3,FALSE)</f>
        <v>OJ</v>
      </c>
      <c r="D578" s="84" t="s">
        <v>420</v>
      </c>
      <c r="E578" s="84">
        <f>VLOOKUP(A578,'DAFTAR HARGA'!A:D,4,FALSE)</f>
        <v>14375</v>
      </c>
      <c r="F578" s="86">
        <v>1.4999999999999999E-2</v>
      </c>
      <c r="G578" s="87" t="e">
        <f>VLOOKUP(A578,'DAFTAR HARGA'!A:D,5,FALSE)</f>
        <v>#REF!</v>
      </c>
      <c r="H578" s="87" t="e">
        <f>F578*G578</f>
        <v>#REF!</v>
      </c>
      <c r="I578" s="87">
        <v>92500</v>
      </c>
      <c r="J578" s="87">
        <f>F578*I578</f>
        <v>1387.5</v>
      </c>
      <c r="K578" s="87">
        <v>92500</v>
      </c>
      <c r="L578" s="87">
        <f>F578*K578</f>
        <v>1387.5</v>
      </c>
    </row>
    <row r="579" spans="1:12" ht="12" customHeight="1" x14ac:dyDescent="0.35">
      <c r="B579" s="84"/>
      <c r="C579" s="85"/>
      <c r="D579" s="84"/>
      <c r="E579" s="84"/>
      <c r="F579" s="86"/>
      <c r="G579" s="87"/>
      <c r="H579" s="87"/>
      <c r="I579" s="87"/>
      <c r="J579" s="87"/>
      <c r="K579" s="87"/>
      <c r="L579" s="87"/>
    </row>
    <row r="580" spans="1:12" ht="12" customHeight="1" x14ac:dyDescent="0.35">
      <c r="B580" s="84"/>
      <c r="C580" s="88"/>
      <c r="D580" s="79"/>
      <c r="E580" s="79"/>
      <c r="F580" s="89" t="s">
        <v>421</v>
      </c>
      <c r="G580" s="101"/>
      <c r="H580" s="87" t="e">
        <f>SUM(H576:H579)</f>
        <v>#REF!</v>
      </c>
      <c r="I580" s="101"/>
      <c r="J580" s="87">
        <f>SUM(J576:J579)</f>
        <v>2191.65</v>
      </c>
      <c r="K580" s="101"/>
      <c r="L580" s="87">
        <f>SUM(L576:L579)</f>
        <v>2191.65</v>
      </c>
    </row>
    <row r="581" spans="1:12" ht="12" customHeight="1" x14ac:dyDescent="0.35">
      <c r="B581" s="84" t="s">
        <v>6</v>
      </c>
      <c r="C581" s="88" t="s">
        <v>422</v>
      </c>
      <c r="D581" s="79"/>
      <c r="E581" s="79"/>
      <c r="F581" s="90"/>
      <c r="G581" s="84"/>
      <c r="H581" s="87"/>
      <c r="I581" s="84"/>
      <c r="J581" s="87"/>
      <c r="K581" s="84"/>
      <c r="L581" s="87"/>
    </row>
    <row r="582" spans="1:12" ht="12" customHeight="1" x14ac:dyDescent="0.35">
      <c r="B582" s="84"/>
      <c r="C582" s="85"/>
      <c r="D582" s="84"/>
      <c r="E582" s="84"/>
      <c r="F582" s="86"/>
      <c r="G582" s="87"/>
      <c r="H582" s="87">
        <f>F582*G582</f>
        <v>0</v>
      </c>
      <c r="I582" s="87">
        <v>232500</v>
      </c>
      <c r="J582" s="87">
        <f>F582*I582</f>
        <v>0</v>
      </c>
      <c r="K582" s="87">
        <v>270000</v>
      </c>
      <c r="L582" s="87">
        <f>F582*K582</f>
        <v>0</v>
      </c>
    </row>
    <row r="583" spans="1:12" ht="12" customHeight="1" x14ac:dyDescent="0.35">
      <c r="B583" s="84"/>
      <c r="C583" s="88"/>
      <c r="D583" s="79"/>
      <c r="E583" s="84"/>
      <c r="F583" s="102"/>
      <c r="G583" s="87"/>
      <c r="H583" s="87">
        <f>F583*G583</f>
        <v>0</v>
      </c>
      <c r="I583" s="87">
        <v>1060</v>
      </c>
      <c r="J583" s="87">
        <f>F583*I583</f>
        <v>0</v>
      </c>
      <c r="K583" s="87">
        <v>1060</v>
      </c>
      <c r="L583" s="87">
        <f>F583*K583</f>
        <v>0</v>
      </c>
    </row>
    <row r="584" spans="1:12" ht="12" customHeight="1" x14ac:dyDescent="0.35">
      <c r="B584" s="84"/>
      <c r="C584" s="88"/>
      <c r="D584" s="79"/>
      <c r="E584" s="84"/>
      <c r="F584" s="102"/>
      <c r="G584" s="87"/>
      <c r="H584" s="87">
        <f>F584*G584</f>
        <v>0</v>
      </c>
      <c r="I584" s="87">
        <v>215000</v>
      </c>
      <c r="J584" s="87">
        <f>F584*I584</f>
        <v>0</v>
      </c>
      <c r="K584" s="87">
        <v>250000</v>
      </c>
      <c r="L584" s="87">
        <f>F584*K584</f>
        <v>0</v>
      </c>
    </row>
    <row r="585" spans="1:12" ht="12" customHeight="1" x14ac:dyDescent="0.35">
      <c r="B585" s="84"/>
      <c r="C585" s="88"/>
      <c r="D585" s="79"/>
      <c r="E585" s="79"/>
      <c r="F585" s="89"/>
      <c r="G585" s="101"/>
      <c r="H585" s="87">
        <f>SUM(H582:H584)</f>
        <v>0</v>
      </c>
      <c r="I585" s="101"/>
      <c r="J585" s="87">
        <f>SUM(J582:J584)</f>
        <v>0</v>
      </c>
      <c r="K585" s="101"/>
      <c r="L585" s="87">
        <f>SUM(L582:L584)</f>
        <v>0</v>
      </c>
    </row>
    <row r="586" spans="1:12" ht="12" customHeight="1" x14ac:dyDescent="0.35">
      <c r="B586" s="84" t="s">
        <v>7</v>
      </c>
      <c r="C586" s="88" t="s">
        <v>424</v>
      </c>
      <c r="D586" s="79"/>
      <c r="E586" s="79"/>
      <c r="F586" s="90"/>
      <c r="G586" s="84"/>
      <c r="H586" s="87"/>
      <c r="I586" s="84"/>
      <c r="J586" s="87"/>
      <c r="K586" s="84"/>
      <c r="L586" s="87"/>
    </row>
    <row r="587" spans="1:12" ht="12" customHeight="1" x14ac:dyDescent="0.35">
      <c r="A587" s="134">
        <v>31100008</v>
      </c>
      <c r="B587" s="84"/>
      <c r="C587" s="85" t="str">
        <f>VLOOKUP(A587,'DAFTAR HARGA'!A:D,3,FALSE)</f>
        <v>jam</v>
      </c>
      <c r="D587" s="84" t="s">
        <v>418</v>
      </c>
      <c r="E587" s="84">
        <f>VLOOKUP(A587,'DAFTAR HARGA'!A:D,4,FALSE)</f>
        <v>449000</v>
      </c>
      <c r="F587" s="128">
        <v>7.4999999999999997E-3</v>
      </c>
      <c r="G587" s="87" t="e">
        <f>VLOOKUP(A587,'DAFTAR HARGA'!A:D,5,FALSE)</f>
        <v>#REF!</v>
      </c>
      <c r="H587" s="87" t="e">
        <f>F587*G587</f>
        <v>#REF!</v>
      </c>
      <c r="I587" s="87"/>
      <c r="J587" s="87" t="e">
        <f>H587*I587</f>
        <v>#REF!</v>
      </c>
      <c r="K587" s="87"/>
      <c r="L587" s="87" t="e">
        <f>J587*K587</f>
        <v>#REF!</v>
      </c>
    </row>
    <row r="588" spans="1:12" ht="12" customHeight="1" x14ac:dyDescent="0.35">
      <c r="B588" s="84"/>
      <c r="C588" s="88"/>
      <c r="D588" s="79"/>
      <c r="E588" s="79"/>
      <c r="F588" s="90"/>
      <c r="G588" s="87"/>
      <c r="H588" s="87"/>
      <c r="I588" s="87"/>
      <c r="J588" s="87"/>
      <c r="K588" s="87"/>
      <c r="L588" s="87"/>
    </row>
    <row r="589" spans="1:12" ht="12" customHeight="1" x14ac:dyDescent="0.35">
      <c r="B589" s="84"/>
      <c r="C589" s="88"/>
      <c r="D589" s="79"/>
      <c r="E589" s="79"/>
      <c r="F589" s="90"/>
      <c r="G589" s="87"/>
      <c r="H589" s="87">
        <f>F589*G589</f>
        <v>0</v>
      </c>
      <c r="I589" s="87"/>
      <c r="J589" s="87"/>
      <c r="K589" s="87"/>
      <c r="L589" s="87"/>
    </row>
    <row r="590" spans="1:12" ht="12" customHeight="1" x14ac:dyDescent="0.35">
      <c r="B590" s="84"/>
      <c r="C590" s="88"/>
      <c r="D590" s="79"/>
      <c r="E590" s="79"/>
      <c r="F590" s="89" t="s">
        <v>425</v>
      </c>
      <c r="G590" s="101"/>
      <c r="H590" s="87" t="e">
        <f>SUM(H587:H589)</f>
        <v>#REF!</v>
      </c>
      <c r="I590" s="101"/>
      <c r="J590" s="87" t="e">
        <f>SUM(J587)</f>
        <v>#REF!</v>
      </c>
      <c r="K590" s="101"/>
      <c r="L590" s="87" t="e">
        <f>SUM(L587)</f>
        <v>#REF!</v>
      </c>
    </row>
    <row r="591" spans="1:12" ht="12" customHeight="1" x14ac:dyDescent="0.35">
      <c r="B591" s="84" t="s">
        <v>8</v>
      </c>
      <c r="C591" s="103" t="s">
        <v>426</v>
      </c>
      <c r="D591" s="104"/>
      <c r="E591" s="104"/>
      <c r="F591" s="104"/>
      <c r="G591" s="105"/>
      <c r="H591" s="87" t="e">
        <f>H580+H585+H590</f>
        <v>#REF!</v>
      </c>
      <c r="I591" s="105"/>
      <c r="J591" s="87" t="e">
        <f>J580+J585+J590</f>
        <v>#REF!</v>
      </c>
      <c r="K591" s="105"/>
      <c r="L591" s="87" t="e">
        <f>L580+L585+L590</f>
        <v>#REF!</v>
      </c>
    </row>
    <row r="592" spans="1:12" ht="12" customHeight="1" x14ac:dyDescent="0.35">
      <c r="B592" s="84" t="s">
        <v>9</v>
      </c>
      <c r="C592" s="455" t="s">
        <v>427</v>
      </c>
      <c r="D592" s="455"/>
      <c r="E592" s="455"/>
      <c r="F592" s="95" t="str">
        <f>OP</f>
        <v>TANJUNG PALAS TENGAH</v>
      </c>
      <c r="G592" s="85" t="s">
        <v>428</v>
      </c>
      <c r="H592" s="87" t="e">
        <f>H591*F592</f>
        <v>#REF!</v>
      </c>
      <c r="I592" s="85" t="s">
        <v>428</v>
      </c>
      <c r="J592" s="87" t="e">
        <f>J591*F592</f>
        <v>#REF!</v>
      </c>
      <c r="K592" s="85" t="s">
        <v>428</v>
      </c>
      <c r="L592" s="87" t="e">
        <f>L591*F592</f>
        <v>#REF!</v>
      </c>
    </row>
    <row r="593" spans="1:12" ht="12" customHeight="1" x14ac:dyDescent="0.35">
      <c r="B593" s="84" t="s">
        <v>10</v>
      </c>
      <c r="C593" s="103" t="s">
        <v>429</v>
      </c>
      <c r="D593" s="104"/>
      <c r="E593" s="104"/>
      <c r="F593" s="104"/>
      <c r="G593" s="105"/>
      <c r="H593" s="96" t="e">
        <f>H591+H592</f>
        <v>#REF!</v>
      </c>
      <c r="I593" s="97"/>
      <c r="J593" s="96" t="e">
        <f>J591+J592</f>
        <v>#REF!</v>
      </c>
      <c r="K593" s="97"/>
      <c r="L593" s="96" t="e">
        <f>L591+L592</f>
        <v>#REF!</v>
      </c>
    </row>
    <row r="595" spans="1:12" ht="29" customHeight="1" x14ac:dyDescent="0.35">
      <c r="B595" s="76" t="s">
        <v>543</v>
      </c>
      <c r="C595" s="458" t="s">
        <v>544</v>
      </c>
      <c r="D595" s="459"/>
      <c r="E595" s="459"/>
      <c r="F595" s="459"/>
      <c r="G595" s="456"/>
      <c r="H595" s="457"/>
      <c r="I595" s="455" t="s">
        <v>3</v>
      </c>
      <c r="J595" s="455"/>
      <c r="K595" s="455" t="s">
        <v>4</v>
      </c>
      <c r="L595" s="455"/>
    </row>
    <row r="596" spans="1:12" ht="12" customHeight="1" x14ac:dyDescent="0.35">
      <c r="B596" s="451" t="s">
        <v>409</v>
      </c>
      <c r="C596" s="451" t="s">
        <v>410</v>
      </c>
      <c r="D596" s="452" t="s">
        <v>411</v>
      </c>
      <c r="E596" s="451" t="s">
        <v>412</v>
      </c>
      <c r="F596" s="451" t="s">
        <v>413</v>
      </c>
      <c r="G596" s="77" t="s">
        <v>414</v>
      </c>
      <c r="H596" s="77" t="s">
        <v>415</v>
      </c>
      <c r="I596" s="78" t="s">
        <v>414</v>
      </c>
      <c r="J596" s="79" t="s">
        <v>415</v>
      </c>
      <c r="K596" s="79" t="s">
        <v>414</v>
      </c>
      <c r="L596" s="79" t="s">
        <v>415</v>
      </c>
    </row>
    <row r="597" spans="1:12" ht="12" customHeight="1" x14ac:dyDescent="0.35">
      <c r="B597" s="451"/>
      <c r="C597" s="451"/>
      <c r="D597" s="453"/>
      <c r="E597" s="451"/>
      <c r="F597" s="451"/>
      <c r="G597" s="77" t="s">
        <v>17</v>
      </c>
      <c r="H597" s="77" t="s">
        <v>416</v>
      </c>
      <c r="I597" s="78" t="s">
        <v>17</v>
      </c>
      <c r="J597" s="79" t="s">
        <v>416</v>
      </c>
      <c r="K597" s="79" t="s">
        <v>17</v>
      </c>
      <c r="L597" s="79" t="s">
        <v>416</v>
      </c>
    </row>
    <row r="598" spans="1:12" ht="12" customHeight="1" x14ac:dyDescent="0.35">
      <c r="B598" s="451"/>
      <c r="C598" s="451"/>
      <c r="D598" s="454"/>
      <c r="E598" s="451"/>
      <c r="F598" s="451"/>
      <c r="G598" s="106"/>
      <c r="H598" s="77" t="s">
        <v>17</v>
      </c>
      <c r="I598" s="94"/>
      <c r="J598" s="79" t="s">
        <v>17</v>
      </c>
      <c r="K598" s="85"/>
      <c r="L598" s="79" t="s">
        <v>17</v>
      </c>
    </row>
    <row r="599" spans="1:12" ht="12" customHeight="1" x14ac:dyDescent="0.35">
      <c r="B599" s="80" t="s">
        <v>5</v>
      </c>
      <c r="C599" s="81" t="s">
        <v>417</v>
      </c>
      <c r="D599" s="82"/>
      <c r="E599" s="82"/>
      <c r="F599" s="82"/>
      <c r="G599" s="82"/>
      <c r="H599" s="82"/>
      <c r="I599" s="83"/>
      <c r="J599" s="83"/>
      <c r="K599" s="83"/>
      <c r="L599" s="83"/>
    </row>
    <row r="600" spans="1:12" ht="12" customHeight="1" x14ac:dyDescent="0.35">
      <c r="A600" s="134">
        <v>10111000</v>
      </c>
      <c r="B600" s="84"/>
      <c r="C600" s="85" t="str">
        <f>VLOOKUP(A600,'DAFTAR HARGA'!A:D,3,FALSE)</f>
        <v>OJ</v>
      </c>
      <c r="D600" s="84" t="s">
        <v>418</v>
      </c>
      <c r="E600" s="84">
        <f>VLOOKUP(A600,'DAFTAR HARGA'!A:D,4,FALSE)</f>
        <v>18750</v>
      </c>
      <c r="F600" s="86">
        <v>1.6000000000000001E-3</v>
      </c>
      <c r="G600" s="87" t="e">
        <f>VLOOKUP(A600,'DAFTAR HARGA'!A:D,5,FALSE)</f>
        <v>#REF!</v>
      </c>
      <c r="H600" s="87" t="e">
        <f>F600*G600</f>
        <v>#REF!</v>
      </c>
      <c r="I600" s="87">
        <v>78600</v>
      </c>
      <c r="J600" s="87">
        <f>F600*I600</f>
        <v>125.76</v>
      </c>
      <c r="K600" s="87">
        <v>78600</v>
      </c>
      <c r="L600" s="87">
        <f>F600*K600</f>
        <v>125.76</v>
      </c>
    </row>
    <row r="601" spans="1:12" ht="12" customHeight="1" x14ac:dyDescent="0.35">
      <c r="A601" s="134">
        <v>10121110</v>
      </c>
      <c r="B601" s="84"/>
      <c r="C601" s="85" t="str">
        <f>VLOOKUP(A601,'DAFTAR HARGA'!A:D,3,FALSE)</f>
        <v>OJ</v>
      </c>
      <c r="D601" s="84" t="s">
        <v>419</v>
      </c>
      <c r="E601" s="84">
        <f>VLOOKUP(A601,'DAFTAR HARGA'!A:D,4,FALSE)</f>
        <v>12500</v>
      </c>
      <c r="F601" s="86">
        <v>8.2000000000000007E-3</v>
      </c>
      <c r="G601" s="87" t="e">
        <f>VLOOKUP(A601,'DAFTAR HARGA'!A:D,5,FALSE)</f>
        <v>#REF!</v>
      </c>
      <c r="H601" s="87" t="e">
        <f>F601*G601</f>
        <v>#REF!</v>
      </c>
      <c r="I601" s="87">
        <v>91500</v>
      </c>
      <c r="J601" s="87">
        <f>F601*I601</f>
        <v>750.30000000000007</v>
      </c>
      <c r="K601" s="87">
        <v>91500</v>
      </c>
      <c r="L601" s="87">
        <f>F601*K601</f>
        <v>750.30000000000007</v>
      </c>
    </row>
    <row r="602" spans="1:12" ht="12" customHeight="1" x14ac:dyDescent="0.35">
      <c r="A602" s="134">
        <v>10131000</v>
      </c>
      <c r="B602" s="84"/>
      <c r="C602" s="85" t="str">
        <f>VLOOKUP(A602,'DAFTAR HARGA'!A:D,3,FALSE)</f>
        <v>OJ</v>
      </c>
      <c r="D602" s="84" t="s">
        <v>420</v>
      </c>
      <c r="E602" s="84">
        <f>VLOOKUP(A602,'DAFTAR HARGA'!A:D,4,FALSE)</f>
        <v>14375</v>
      </c>
      <c r="F602" s="86">
        <v>1.6400000000000001E-2</v>
      </c>
      <c r="G602" s="87" t="e">
        <f>VLOOKUP(A602,'DAFTAR HARGA'!A:D,5,FALSE)</f>
        <v>#REF!</v>
      </c>
      <c r="H602" s="87" t="e">
        <f>F602*G602</f>
        <v>#REF!</v>
      </c>
      <c r="I602" s="87">
        <v>92500</v>
      </c>
      <c r="J602" s="87">
        <f>F602*I602</f>
        <v>1517.0000000000002</v>
      </c>
      <c r="K602" s="87">
        <v>92500</v>
      </c>
      <c r="L602" s="87">
        <f>F602*K602</f>
        <v>1517.0000000000002</v>
      </c>
    </row>
    <row r="603" spans="1:12" ht="12" customHeight="1" x14ac:dyDescent="0.35">
      <c r="B603" s="84"/>
      <c r="C603" s="85"/>
      <c r="D603" s="84"/>
      <c r="E603" s="84"/>
      <c r="F603" s="86"/>
      <c r="G603" s="87"/>
      <c r="H603" s="87"/>
      <c r="I603" s="87"/>
      <c r="J603" s="87"/>
      <c r="K603" s="87"/>
      <c r="L603" s="87"/>
    </row>
    <row r="604" spans="1:12" ht="12" customHeight="1" x14ac:dyDescent="0.35">
      <c r="B604" s="84"/>
      <c r="C604" s="88"/>
      <c r="D604" s="79"/>
      <c r="E604" s="79"/>
      <c r="F604" s="89" t="s">
        <v>421</v>
      </c>
      <c r="G604" s="101"/>
      <c r="H604" s="87" t="e">
        <f>SUM(H600:H603)</f>
        <v>#REF!</v>
      </c>
      <c r="I604" s="101"/>
      <c r="J604" s="87">
        <f>SUM(J600:J603)</f>
        <v>2393.0600000000004</v>
      </c>
      <c r="K604" s="101"/>
      <c r="L604" s="87">
        <f>SUM(L600:L603)</f>
        <v>2393.0600000000004</v>
      </c>
    </row>
    <row r="605" spans="1:12" ht="12" customHeight="1" x14ac:dyDescent="0.35">
      <c r="B605" s="84" t="s">
        <v>6</v>
      </c>
      <c r="C605" s="88" t="s">
        <v>422</v>
      </c>
      <c r="D605" s="79"/>
      <c r="E605" s="79"/>
      <c r="F605" s="90"/>
      <c r="G605" s="84"/>
      <c r="H605" s="87"/>
      <c r="I605" s="84"/>
      <c r="J605" s="87"/>
      <c r="K605" s="84"/>
      <c r="L605" s="87"/>
    </row>
    <row r="606" spans="1:12" ht="12" customHeight="1" x14ac:dyDescent="0.35">
      <c r="B606" s="84"/>
      <c r="C606" s="85"/>
      <c r="D606" s="84"/>
      <c r="E606" s="84"/>
      <c r="F606" s="86"/>
      <c r="G606" s="87"/>
      <c r="H606" s="87">
        <f>F606*G606</f>
        <v>0</v>
      </c>
      <c r="I606" s="87">
        <v>232500</v>
      </c>
      <c r="J606" s="87">
        <f>F606*I606</f>
        <v>0</v>
      </c>
      <c r="K606" s="87">
        <v>270000</v>
      </c>
      <c r="L606" s="87">
        <f>F606*K606</f>
        <v>0</v>
      </c>
    </row>
    <row r="607" spans="1:12" ht="12" customHeight="1" x14ac:dyDescent="0.35">
      <c r="B607" s="84"/>
      <c r="C607" s="88"/>
      <c r="D607" s="79"/>
      <c r="E607" s="84"/>
      <c r="F607" s="102"/>
      <c r="G607" s="87"/>
      <c r="H607" s="87">
        <f>F607*G607</f>
        <v>0</v>
      </c>
      <c r="I607" s="87">
        <v>1060</v>
      </c>
      <c r="J607" s="87">
        <f>F607*I607</f>
        <v>0</v>
      </c>
      <c r="K607" s="87">
        <v>1060</v>
      </c>
      <c r="L607" s="87">
        <f>F607*K607</f>
        <v>0</v>
      </c>
    </row>
    <row r="608" spans="1:12" ht="12" customHeight="1" x14ac:dyDescent="0.35">
      <c r="B608" s="84"/>
      <c r="C608" s="88"/>
      <c r="D608" s="79"/>
      <c r="E608" s="84"/>
      <c r="F608" s="102"/>
      <c r="G608" s="87"/>
      <c r="H608" s="87">
        <f>F608*G608</f>
        <v>0</v>
      </c>
      <c r="I608" s="87">
        <v>215000</v>
      </c>
      <c r="J608" s="87">
        <f>F608*I608</f>
        <v>0</v>
      </c>
      <c r="K608" s="87">
        <v>250000</v>
      </c>
      <c r="L608" s="87">
        <f>F608*K608</f>
        <v>0</v>
      </c>
    </row>
    <row r="609" spans="1:12" ht="12" customHeight="1" x14ac:dyDescent="0.35">
      <c r="B609" s="84"/>
      <c r="C609" s="88"/>
      <c r="D609" s="79"/>
      <c r="E609" s="79"/>
      <c r="F609" s="89"/>
      <c r="G609" s="101"/>
      <c r="H609" s="87">
        <f>SUM(H606:H608)</f>
        <v>0</v>
      </c>
      <c r="I609" s="101"/>
      <c r="J609" s="87">
        <f>SUM(J606:J608)</f>
        <v>0</v>
      </c>
      <c r="K609" s="101"/>
      <c r="L609" s="87">
        <f>SUM(L606:L608)</f>
        <v>0</v>
      </c>
    </row>
    <row r="610" spans="1:12" ht="12" customHeight="1" x14ac:dyDescent="0.35">
      <c r="B610" s="84" t="s">
        <v>7</v>
      </c>
      <c r="C610" s="88" t="s">
        <v>424</v>
      </c>
      <c r="D610" s="79"/>
      <c r="E610" s="79"/>
      <c r="F610" s="90"/>
      <c r="G610" s="84"/>
      <c r="H610" s="87"/>
      <c r="I610" s="84"/>
      <c r="J610" s="87"/>
      <c r="K610" s="84"/>
      <c r="L610" s="87"/>
    </row>
    <row r="611" spans="1:12" ht="12" customHeight="1" x14ac:dyDescent="0.35">
      <c r="A611" s="134">
        <v>31100008</v>
      </c>
      <c r="B611" s="84"/>
      <c r="C611" s="85" t="str">
        <f>VLOOKUP(A611,'DAFTAR HARGA'!A:D,3,FALSE)</f>
        <v>jam</v>
      </c>
      <c r="D611" s="84" t="s">
        <v>418</v>
      </c>
      <c r="E611" s="84">
        <f>VLOOKUP(A611,'DAFTAR HARGA'!A:D,4,FALSE)</f>
        <v>449000</v>
      </c>
      <c r="F611" s="128">
        <v>1.1900000000000001E-2</v>
      </c>
      <c r="G611" s="87" t="e">
        <f>VLOOKUP(A611,'DAFTAR HARGA'!A:D,5,FALSE)</f>
        <v>#REF!</v>
      </c>
      <c r="H611" s="87" t="e">
        <f>F611*G611</f>
        <v>#REF!</v>
      </c>
      <c r="I611" s="87"/>
      <c r="J611" s="87" t="e">
        <f>H611*I611</f>
        <v>#REF!</v>
      </c>
      <c r="K611" s="87"/>
      <c r="L611" s="87" t="e">
        <f>J611*K611</f>
        <v>#REF!</v>
      </c>
    </row>
    <row r="612" spans="1:12" ht="12" customHeight="1" x14ac:dyDescent="0.35">
      <c r="B612" s="84"/>
      <c r="C612" s="88"/>
      <c r="D612" s="79"/>
      <c r="E612" s="79"/>
      <c r="F612" s="90"/>
      <c r="G612" s="87"/>
      <c r="H612" s="87"/>
      <c r="I612" s="87"/>
      <c r="J612" s="87"/>
      <c r="K612" s="87"/>
      <c r="L612" s="87"/>
    </row>
    <row r="613" spans="1:12" ht="12" customHeight="1" x14ac:dyDescent="0.35">
      <c r="B613" s="84"/>
      <c r="C613" s="88"/>
      <c r="D613" s="79"/>
      <c r="E613" s="79"/>
      <c r="F613" s="90"/>
      <c r="G613" s="87"/>
      <c r="H613" s="87">
        <f>F613*G613</f>
        <v>0</v>
      </c>
      <c r="I613" s="87"/>
      <c r="J613" s="87"/>
      <c r="K613" s="87"/>
      <c r="L613" s="87"/>
    </row>
    <row r="614" spans="1:12" ht="12" customHeight="1" x14ac:dyDescent="0.35">
      <c r="B614" s="84"/>
      <c r="C614" s="88"/>
      <c r="D614" s="79"/>
      <c r="E614" s="79"/>
      <c r="F614" s="89" t="s">
        <v>425</v>
      </c>
      <c r="G614" s="101"/>
      <c r="H614" s="87" t="e">
        <f>SUM(H611:H613)</f>
        <v>#REF!</v>
      </c>
      <c r="I614" s="101"/>
      <c r="J614" s="87" t="e">
        <f>SUM(J611)</f>
        <v>#REF!</v>
      </c>
      <c r="K614" s="101"/>
      <c r="L614" s="87" t="e">
        <f>SUM(L611)</f>
        <v>#REF!</v>
      </c>
    </row>
    <row r="615" spans="1:12" ht="12" customHeight="1" x14ac:dyDescent="0.35">
      <c r="B615" s="84" t="s">
        <v>8</v>
      </c>
      <c r="C615" s="103" t="s">
        <v>426</v>
      </c>
      <c r="D615" s="104"/>
      <c r="E615" s="104"/>
      <c r="F615" s="104"/>
      <c r="G615" s="105"/>
      <c r="H615" s="87" t="e">
        <f>H604+H609+H614</f>
        <v>#REF!</v>
      </c>
      <c r="I615" s="105"/>
      <c r="J615" s="87" t="e">
        <f>J604+J609+J614</f>
        <v>#REF!</v>
      </c>
      <c r="K615" s="105"/>
      <c r="L615" s="87" t="e">
        <f>L604+L609+L614</f>
        <v>#REF!</v>
      </c>
    </row>
    <row r="616" spans="1:12" ht="12" customHeight="1" x14ac:dyDescent="0.35">
      <c r="B616" s="84" t="s">
        <v>9</v>
      </c>
      <c r="C616" s="455" t="s">
        <v>427</v>
      </c>
      <c r="D616" s="455"/>
      <c r="E616" s="455"/>
      <c r="F616" s="95" t="str">
        <f>OP</f>
        <v>TANJUNG PALAS TENGAH</v>
      </c>
      <c r="G616" s="85" t="s">
        <v>428</v>
      </c>
      <c r="H616" s="87" t="e">
        <f>H615*F616</f>
        <v>#REF!</v>
      </c>
      <c r="I616" s="85" t="s">
        <v>428</v>
      </c>
      <c r="J616" s="87" t="e">
        <f>J615*F616</f>
        <v>#REF!</v>
      </c>
      <c r="K616" s="85" t="s">
        <v>428</v>
      </c>
      <c r="L616" s="87" t="e">
        <f>L615*F616</f>
        <v>#REF!</v>
      </c>
    </row>
    <row r="617" spans="1:12" ht="12" customHeight="1" x14ac:dyDescent="0.35">
      <c r="B617" s="84" t="s">
        <v>10</v>
      </c>
      <c r="C617" s="103" t="s">
        <v>429</v>
      </c>
      <c r="D617" s="104"/>
      <c r="E617" s="104"/>
      <c r="F617" s="104"/>
      <c r="G617" s="105"/>
      <c r="H617" s="96" t="e">
        <f>H615+H616</f>
        <v>#REF!</v>
      </c>
      <c r="I617" s="97"/>
      <c r="J617" s="96" t="e">
        <f>J615+J616</f>
        <v>#REF!</v>
      </c>
      <c r="K617" s="97"/>
      <c r="L617" s="96" t="e">
        <f>L615+L616</f>
        <v>#REF!</v>
      </c>
    </row>
    <row r="619" spans="1:12" ht="29" customHeight="1" x14ac:dyDescent="0.35">
      <c r="B619" s="76" t="s">
        <v>546</v>
      </c>
      <c r="C619" s="458" t="s">
        <v>545</v>
      </c>
      <c r="D619" s="459"/>
      <c r="E619" s="459"/>
      <c r="F619" s="459"/>
      <c r="G619" s="456"/>
      <c r="H619" s="457"/>
      <c r="I619" s="455" t="s">
        <v>3</v>
      </c>
      <c r="J619" s="455"/>
      <c r="K619" s="455" t="s">
        <v>4</v>
      </c>
      <c r="L619" s="455"/>
    </row>
    <row r="620" spans="1:12" ht="12" customHeight="1" x14ac:dyDescent="0.35">
      <c r="B620" s="451" t="s">
        <v>409</v>
      </c>
      <c r="C620" s="451" t="s">
        <v>410</v>
      </c>
      <c r="D620" s="452" t="s">
        <v>411</v>
      </c>
      <c r="E620" s="451" t="s">
        <v>412</v>
      </c>
      <c r="F620" s="451" t="s">
        <v>413</v>
      </c>
      <c r="G620" s="77" t="s">
        <v>414</v>
      </c>
      <c r="H620" s="77" t="s">
        <v>415</v>
      </c>
      <c r="I620" s="78" t="s">
        <v>414</v>
      </c>
      <c r="J620" s="79" t="s">
        <v>415</v>
      </c>
      <c r="K620" s="79" t="s">
        <v>414</v>
      </c>
      <c r="L620" s="79" t="s">
        <v>415</v>
      </c>
    </row>
    <row r="621" spans="1:12" ht="12" customHeight="1" x14ac:dyDescent="0.35">
      <c r="B621" s="451"/>
      <c r="C621" s="451"/>
      <c r="D621" s="453"/>
      <c r="E621" s="451"/>
      <c r="F621" s="451"/>
      <c r="G621" s="77" t="s">
        <v>17</v>
      </c>
      <c r="H621" s="77" t="s">
        <v>416</v>
      </c>
      <c r="I621" s="78" t="s">
        <v>17</v>
      </c>
      <c r="J621" s="79" t="s">
        <v>416</v>
      </c>
      <c r="K621" s="79" t="s">
        <v>17</v>
      </c>
      <c r="L621" s="79" t="s">
        <v>416</v>
      </c>
    </row>
    <row r="622" spans="1:12" ht="12" customHeight="1" x14ac:dyDescent="0.35">
      <c r="B622" s="451"/>
      <c r="C622" s="451"/>
      <c r="D622" s="454"/>
      <c r="E622" s="451"/>
      <c r="F622" s="451"/>
      <c r="G622" s="106"/>
      <c r="H622" s="77" t="s">
        <v>17</v>
      </c>
      <c r="I622" s="94"/>
      <c r="J622" s="79" t="s">
        <v>17</v>
      </c>
      <c r="K622" s="85"/>
      <c r="L622" s="79" t="s">
        <v>17</v>
      </c>
    </row>
    <row r="623" spans="1:12" ht="12" customHeight="1" x14ac:dyDescent="0.35">
      <c r="B623" s="80" t="s">
        <v>5</v>
      </c>
      <c r="C623" s="81" t="s">
        <v>417</v>
      </c>
      <c r="D623" s="82"/>
      <c r="E623" s="82"/>
      <c r="F623" s="82"/>
      <c r="G623" s="82"/>
      <c r="H623" s="82"/>
      <c r="I623" s="83"/>
      <c r="J623" s="83"/>
      <c r="K623" s="83"/>
      <c r="L623" s="83"/>
    </row>
    <row r="624" spans="1:12" ht="12" customHeight="1" x14ac:dyDescent="0.35">
      <c r="A624" s="134">
        <v>10111000</v>
      </c>
      <c r="B624" s="84"/>
      <c r="C624" s="85" t="str">
        <f>VLOOKUP(A624,'DAFTAR HARGA'!A:D,3,FALSE)</f>
        <v>OJ</v>
      </c>
      <c r="D624" s="84" t="s">
        <v>418</v>
      </c>
      <c r="E624" s="84">
        <f>VLOOKUP(A624,'DAFTAR HARGA'!A:D,4,FALSE)</f>
        <v>18750</v>
      </c>
      <c r="F624" s="86">
        <v>1.6000000000000001E-3</v>
      </c>
      <c r="G624" s="87" t="e">
        <f>VLOOKUP(A624,'DAFTAR HARGA'!A:D,5,FALSE)</f>
        <v>#REF!</v>
      </c>
      <c r="H624" s="87" t="e">
        <f>F624*G624</f>
        <v>#REF!</v>
      </c>
      <c r="I624" s="87">
        <v>78600</v>
      </c>
      <c r="J624" s="87">
        <f>F624*I624</f>
        <v>125.76</v>
      </c>
      <c r="K624" s="87">
        <v>78600</v>
      </c>
      <c r="L624" s="87">
        <f>F624*K624</f>
        <v>125.76</v>
      </c>
    </row>
    <row r="625" spans="1:12" ht="12" customHeight="1" x14ac:dyDescent="0.35">
      <c r="A625" s="134">
        <v>10121110</v>
      </c>
      <c r="B625" s="84"/>
      <c r="C625" s="85" t="str">
        <f>VLOOKUP(A625,'DAFTAR HARGA'!A:D,3,FALSE)</f>
        <v>OJ</v>
      </c>
      <c r="D625" s="84" t="s">
        <v>419</v>
      </c>
      <c r="E625" s="84">
        <f>VLOOKUP(A625,'DAFTAR HARGA'!A:D,4,FALSE)</f>
        <v>12500</v>
      </c>
      <c r="F625" s="86">
        <v>8.0999999999999996E-3</v>
      </c>
      <c r="G625" s="87" t="e">
        <f>VLOOKUP(A625,'DAFTAR HARGA'!A:D,5,FALSE)</f>
        <v>#REF!</v>
      </c>
      <c r="H625" s="87" t="e">
        <f>F625*G625</f>
        <v>#REF!</v>
      </c>
      <c r="I625" s="87">
        <v>91500</v>
      </c>
      <c r="J625" s="87">
        <f>F625*I625</f>
        <v>741.15</v>
      </c>
      <c r="K625" s="87">
        <v>91500</v>
      </c>
      <c r="L625" s="87">
        <f>F625*K625</f>
        <v>741.15</v>
      </c>
    </row>
    <row r="626" spans="1:12" ht="12" customHeight="1" x14ac:dyDescent="0.35">
      <c r="A626" s="134">
        <v>10131000</v>
      </c>
      <c r="B626" s="84"/>
      <c r="C626" s="85" t="str">
        <f>VLOOKUP(A626,'DAFTAR HARGA'!A:D,3,FALSE)</f>
        <v>OJ</v>
      </c>
      <c r="D626" s="84" t="s">
        <v>420</v>
      </c>
      <c r="E626" s="84">
        <f>VLOOKUP(A626,'DAFTAR HARGA'!A:D,4,FALSE)</f>
        <v>14375</v>
      </c>
      <c r="F626" s="86">
        <v>1.6199999999999999E-2</v>
      </c>
      <c r="G626" s="87" t="e">
        <f>VLOOKUP(A626,'DAFTAR HARGA'!A:D,5,FALSE)</f>
        <v>#REF!</v>
      </c>
      <c r="H626" s="87" t="e">
        <f>F626*G626</f>
        <v>#REF!</v>
      </c>
      <c r="I626" s="87">
        <v>92500</v>
      </c>
      <c r="J626" s="87">
        <f>F626*I626</f>
        <v>1498.5</v>
      </c>
      <c r="K626" s="87">
        <v>92500</v>
      </c>
      <c r="L626" s="87">
        <f>F626*K626</f>
        <v>1498.5</v>
      </c>
    </row>
    <row r="627" spans="1:12" ht="12" customHeight="1" x14ac:dyDescent="0.35">
      <c r="B627" s="84"/>
      <c r="C627" s="85"/>
      <c r="D627" s="84"/>
      <c r="E627" s="84"/>
      <c r="F627" s="86"/>
      <c r="G627" s="87"/>
      <c r="H627" s="87"/>
      <c r="I627" s="87"/>
      <c r="J627" s="87"/>
      <c r="K627" s="87"/>
      <c r="L627" s="87"/>
    </row>
    <row r="628" spans="1:12" ht="12" customHeight="1" x14ac:dyDescent="0.35">
      <c r="B628" s="84"/>
      <c r="C628" s="88"/>
      <c r="D628" s="79"/>
      <c r="E628" s="79"/>
      <c r="F628" s="89" t="s">
        <v>421</v>
      </c>
      <c r="G628" s="101"/>
      <c r="H628" s="87" t="e">
        <f>SUM(H624:H627)</f>
        <v>#REF!</v>
      </c>
      <c r="I628" s="101"/>
      <c r="J628" s="87">
        <f>SUM(J624:J627)</f>
        <v>2365.41</v>
      </c>
      <c r="K628" s="101"/>
      <c r="L628" s="87">
        <f>SUM(L624:L627)</f>
        <v>2365.41</v>
      </c>
    </row>
    <row r="629" spans="1:12" ht="12" customHeight="1" x14ac:dyDescent="0.35">
      <c r="B629" s="84" t="s">
        <v>6</v>
      </c>
      <c r="C629" s="88" t="s">
        <v>422</v>
      </c>
      <c r="D629" s="79"/>
      <c r="E629" s="79"/>
      <c r="F629" s="90"/>
      <c r="G629" s="84"/>
      <c r="H629" s="87"/>
      <c r="I629" s="84"/>
      <c r="J629" s="87"/>
      <c r="K629" s="84"/>
      <c r="L629" s="87"/>
    </row>
    <row r="630" spans="1:12" ht="12" customHeight="1" x14ac:dyDescent="0.35">
      <c r="B630" s="84"/>
      <c r="C630" s="85"/>
      <c r="D630" s="84"/>
      <c r="E630" s="84"/>
      <c r="F630" s="86"/>
      <c r="G630" s="87"/>
      <c r="H630" s="87">
        <f>F630*G630</f>
        <v>0</v>
      </c>
      <c r="I630" s="87">
        <v>232500</v>
      </c>
      <c r="J630" s="87">
        <f>F630*I630</f>
        <v>0</v>
      </c>
      <c r="K630" s="87">
        <v>270000</v>
      </c>
      <c r="L630" s="87">
        <f>F630*K630</f>
        <v>0</v>
      </c>
    </row>
    <row r="631" spans="1:12" ht="12" customHeight="1" x14ac:dyDescent="0.35">
      <c r="B631" s="84"/>
      <c r="C631" s="88"/>
      <c r="D631" s="79"/>
      <c r="E631" s="84"/>
      <c r="F631" s="102"/>
      <c r="G631" s="87"/>
      <c r="H631" s="87">
        <f>F631*G631</f>
        <v>0</v>
      </c>
      <c r="I631" s="87">
        <v>1060</v>
      </c>
      <c r="J631" s="87">
        <f>F631*I631</f>
        <v>0</v>
      </c>
      <c r="K631" s="87">
        <v>1060</v>
      </c>
      <c r="L631" s="87">
        <f>F631*K631</f>
        <v>0</v>
      </c>
    </row>
    <row r="632" spans="1:12" ht="12" customHeight="1" x14ac:dyDescent="0.35">
      <c r="B632" s="84"/>
      <c r="C632" s="88"/>
      <c r="D632" s="79"/>
      <c r="E632" s="84"/>
      <c r="F632" s="102"/>
      <c r="G632" s="87"/>
      <c r="H632" s="87">
        <f>F632*G632</f>
        <v>0</v>
      </c>
      <c r="I632" s="87">
        <v>215000</v>
      </c>
      <c r="J632" s="87">
        <f>F632*I632</f>
        <v>0</v>
      </c>
      <c r="K632" s="87">
        <v>250000</v>
      </c>
      <c r="L632" s="87">
        <f>F632*K632</f>
        <v>0</v>
      </c>
    </row>
    <row r="633" spans="1:12" ht="12" customHeight="1" x14ac:dyDescent="0.35">
      <c r="B633" s="84"/>
      <c r="C633" s="88"/>
      <c r="D633" s="79"/>
      <c r="E633" s="79"/>
      <c r="F633" s="89"/>
      <c r="G633" s="101"/>
      <c r="H633" s="87">
        <f>SUM(H630:H632)</f>
        <v>0</v>
      </c>
      <c r="I633" s="101"/>
      <c r="J633" s="87">
        <f>SUM(J630:J632)</f>
        <v>0</v>
      </c>
      <c r="K633" s="101"/>
      <c r="L633" s="87">
        <f>SUM(L630:L632)</f>
        <v>0</v>
      </c>
    </row>
    <row r="634" spans="1:12" ht="12" customHeight="1" x14ac:dyDescent="0.35">
      <c r="B634" s="84" t="s">
        <v>7</v>
      </c>
      <c r="C634" s="88" t="s">
        <v>424</v>
      </c>
      <c r="D634" s="79"/>
      <c r="E634" s="79"/>
      <c r="F634" s="90"/>
      <c r="G634" s="84"/>
      <c r="H634" s="87"/>
      <c r="I634" s="84"/>
      <c r="J634" s="87"/>
      <c r="K634" s="84"/>
      <c r="L634" s="87"/>
    </row>
    <row r="635" spans="1:12" ht="12" customHeight="1" x14ac:dyDescent="0.35">
      <c r="A635" s="134">
        <v>31100008</v>
      </c>
      <c r="B635" s="84"/>
      <c r="C635" s="85" t="str">
        <f>VLOOKUP(A635,'DAFTAR HARGA'!A:D,3,FALSE)</f>
        <v>jam</v>
      </c>
      <c r="D635" s="84" t="s">
        <v>418</v>
      </c>
      <c r="E635" s="84">
        <f>VLOOKUP(A635,'DAFTAR HARGA'!A:D,4,FALSE)</f>
        <v>449000</v>
      </c>
      <c r="F635" s="128">
        <f>F625</f>
        <v>8.0999999999999996E-3</v>
      </c>
      <c r="G635" s="87" t="e">
        <f>VLOOKUP(A635,'DAFTAR HARGA'!A:D,5,FALSE)*1.5</f>
        <v>#REF!</v>
      </c>
      <c r="H635" s="87" t="e">
        <f>F635*G635</f>
        <v>#REF!</v>
      </c>
      <c r="I635" s="87"/>
      <c r="J635" s="87" t="e">
        <f>H635*I635</f>
        <v>#REF!</v>
      </c>
      <c r="K635" s="87"/>
      <c r="L635" s="87" t="e">
        <f>J635*K635</f>
        <v>#REF!</v>
      </c>
    </row>
    <row r="636" spans="1:12" ht="12" customHeight="1" x14ac:dyDescent="0.35">
      <c r="B636" s="84"/>
      <c r="C636" s="88"/>
      <c r="D636" s="79"/>
      <c r="E636" s="79"/>
      <c r="F636" s="90"/>
      <c r="G636" s="87"/>
      <c r="H636" s="87"/>
      <c r="I636" s="87"/>
      <c r="J636" s="87"/>
      <c r="K636" s="87"/>
      <c r="L636" s="87"/>
    </row>
    <row r="637" spans="1:12" ht="12" customHeight="1" x14ac:dyDescent="0.35">
      <c r="B637" s="84"/>
      <c r="C637" s="88"/>
      <c r="D637" s="79"/>
      <c r="E637" s="79"/>
      <c r="F637" s="90"/>
      <c r="G637" s="87"/>
      <c r="H637" s="87">
        <f>F637*G637</f>
        <v>0</v>
      </c>
      <c r="I637" s="87"/>
      <c r="J637" s="87"/>
      <c r="K637" s="87"/>
      <c r="L637" s="87"/>
    </row>
    <row r="638" spans="1:12" ht="12" customHeight="1" x14ac:dyDescent="0.35">
      <c r="B638" s="84"/>
      <c r="C638" s="88"/>
      <c r="D638" s="79"/>
      <c r="E638" s="79"/>
      <c r="F638" s="89" t="s">
        <v>425</v>
      </c>
      <c r="G638" s="101"/>
      <c r="H638" s="87" t="e">
        <f>SUM(H635:H637)</f>
        <v>#REF!</v>
      </c>
      <c r="I638" s="101"/>
      <c r="J638" s="87" t="e">
        <f>SUM(J635)</f>
        <v>#REF!</v>
      </c>
      <c r="K638" s="101"/>
      <c r="L638" s="87" t="e">
        <f>SUM(L635)</f>
        <v>#REF!</v>
      </c>
    </row>
    <row r="639" spans="1:12" ht="12" customHeight="1" x14ac:dyDescent="0.35">
      <c r="B639" s="84" t="s">
        <v>8</v>
      </c>
      <c r="C639" s="103" t="s">
        <v>426</v>
      </c>
      <c r="D639" s="104"/>
      <c r="E639" s="104"/>
      <c r="F639" s="104"/>
      <c r="G639" s="105"/>
      <c r="H639" s="87" t="e">
        <f>H628+H633+H638</f>
        <v>#REF!</v>
      </c>
      <c r="I639" s="105"/>
      <c r="J639" s="87" t="e">
        <f>J628+J633+J638</f>
        <v>#REF!</v>
      </c>
      <c r="K639" s="105"/>
      <c r="L639" s="87" t="e">
        <f>L628+L633+L638</f>
        <v>#REF!</v>
      </c>
    </row>
    <row r="640" spans="1:12" ht="12" customHeight="1" x14ac:dyDescent="0.35">
      <c r="B640" s="84" t="s">
        <v>9</v>
      </c>
      <c r="C640" s="455" t="s">
        <v>427</v>
      </c>
      <c r="D640" s="455"/>
      <c r="E640" s="455"/>
      <c r="F640" s="95" t="str">
        <f>OP</f>
        <v>TANJUNG PALAS TENGAH</v>
      </c>
      <c r="G640" s="85" t="s">
        <v>428</v>
      </c>
      <c r="H640" s="87" t="e">
        <f>H639*F640</f>
        <v>#REF!</v>
      </c>
      <c r="I640" s="85" t="s">
        <v>428</v>
      </c>
      <c r="J640" s="87" t="e">
        <f>J639*F640</f>
        <v>#REF!</v>
      </c>
      <c r="K640" s="85" t="s">
        <v>428</v>
      </c>
      <c r="L640" s="87" t="e">
        <f>L639*F640</f>
        <v>#REF!</v>
      </c>
    </row>
    <row r="641" spans="1:12" ht="12" customHeight="1" x14ac:dyDescent="0.35">
      <c r="B641" s="84" t="s">
        <v>10</v>
      </c>
      <c r="C641" s="103" t="s">
        <v>429</v>
      </c>
      <c r="D641" s="104"/>
      <c r="E641" s="104"/>
      <c r="F641" s="104"/>
      <c r="G641" s="105"/>
      <c r="H641" s="96" t="e">
        <f>H639+H640</f>
        <v>#REF!</v>
      </c>
      <c r="I641" s="97"/>
      <c r="J641" s="96" t="e">
        <f>J639+J640</f>
        <v>#REF!</v>
      </c>
      <c r="K641" s="97"/>
      <c r="L641" s="96" t="e">
        <f>L639+L640</f>
        <v>#REF!</v>
      </c>
    </row>
    <row r="643" spans="1:12" ht="29" customHeight="1" x14ac:dyDescent="0.35">
      <c r="B643" s="76" t="s">
        <v>547</v>
      </c>
      <c r="C643" s="458" t="s">
        <v>548</v>
      </c>
      <c r="D643" s="459"/>
      <c r="E643" s="459"/>
      <c r="F643" s="459"/>
      <c r="G643" s="456"/>
      <c r="H643" s="457"/>
      <c r="I643" s="455" t="s">
        <v>3</v>
      </c>
      <c r="J643" s="455"/>
      <c r="K643" s="455" t="s">
        <v>4</v>
      </c>
      <c r="L643" s="455"/>
    </row>
    <row r="644" spans="1:12" ht="12" customHeight="1" x14ac:dyDescent="0.35">
      <c r="B644" s="451" t="s">
        <v>409</v>
      </c>
      <c r="C644" s="451" t="s">
        <v>410</v>
      </c>
      <c r="D644" s="452" t="s">
        <v>411</v>
      </c>
      <c r="E644" s="451" t="s">
        <v>412</v>
      </c>
      <c r="F644" s="451" t="s">
        <v>413</v>
      </c>
      <c r="G644" s="77" t="s">
        <v>414</v>
      </c>
      <c r="H644" s="77" t="s">
        <v>415</v>
      </c>
      <c r="I644" s="78" t="s">
        <v>414</v>
      </c>
      <c r="J644" s="79" t="s">
        <v>415</v>
      </c>
      <c r="K644" s="79" t="s">
        <v>414</v>
      </c>
      <c r="L644" s="79" t="s">
        <v>415</v>
      </c>
    </row>
    <row r="645" spans="1:12" ht="12" customHeight="1" x14ac:dyDescent="0.35">
      <c r="B645" s="451"/>
      <c r="C645" s="451"/>
      <c r="D645" s="453"/>
      <c r="E645" s="451"/>
      <c r="F645" s="451"/>
      <c r="G645" s="77" t="s">
        <v>17</v>
      </c>
      <c r="H645" s="77" t="s">
        <v>416</v>
      </c>
      <c r="I645" s="78" t="s">
        <v>17</v>
      </c>
      <c r="J645" s="79" t="s">
        <v>416</v>
      </c>
      <c r="K645" s="79" t="s">
        <v>17</v>
      </c>
      <c r="L645" s="79" t="s">
        <v>416</v>
      </c>
    </row>
    <row r="646" spans="1:12" ht="12" customHeight="1" x14ac:dyDescent="0.35">
      <c r="B646" s="451"/>
      <c r="C646" s="451"/>
      <c r="D646" s="454"/>
      <c r="E646" s="451"/>
      <c r="F646" s="451"/>
      <c r="G646" s="106"/>
      <c r="H646" s="77" t="s">
        <v>17</v>
      </c>
      <c r="I646" s="94"/>
      <c r="J646" s="79" t="s">
        <v>17</v>
      </c>
      <c r="K646" s="85"/>
      <c r="L646" s="79" t="s">
        <v>17</v>
      </c>
    </row>
    <row r="647" spans="1:12" ht="12" customHeight="1" x14ac:dyDescent="0.35">
      <c r="B647" s="80" t="s">
        <v>5</v>
      </c>
      <c r="C647" s="81" t="s">
        <v>417</v>
      </c>
      <c r="D647" s="82"/>
      <c r="E647" s="82"/>
      <c r="F647" s="82"/>
      <c r="G647" s="82"/>
      <c r="H647" s="82"/>
      <c r="I647" s="83"/>
      <c r="J647" s="83"/>
      <c r="K647" s="83"/>
      <c r="L647" s="83"/>
    </row>
    <row r="648" spans="1:12" ht="12" customHeight="1" x14ac:dyDescent="0.35">
      <c r="A648" s="134">
        <v>10111000</v>
      </c>
      <c r="B648" s="84"/>
      <c r="C648" s="85" t="str">
        <f>VLOOKUP(A648,'DAFTAR HARGA'!A:D,3,FALSE)</f>
        <v>OJ</v>
      </c>
      <c r="D648" s="84" t="s">
        <v>418</v>
      </c>
      <c r="E648" s="84">
        <f>VLOOKUP(A648,'DAFTAR HARGA'!A:D,4,FALSE)</f>
        <v>18750</v>
      </c>
      <c r="F648" s="86">
        <v>1.8E-3</v>
      </c>
      <c r="G648" s="87" t="e">
        <f>VLOOKUP(A648,'DAFTAR HARGA'!A:D,5,FALSE)</f>
        <v>#REF!</v>
      </c>
      <c r="H648" s="87" t="e">
        <f>F648*G648</f>
        <v>#REF!</v>
      </c>
      <c r="I648" s="87">
        <v>78600</v>
      </c>
      <c r="J648" s="87">
        <f>F648*I648</f>
        <v>141.47999999999999</v>
      </c>
      <c r="K648" s="87">
        <v>78600</v>
      </c>
      <c r="L648" s="87">
        <f>F648*K648</f>
        <v>141.47999999999999</v>
      </c>
    </row>
    <row r="649" spans="1:12" ht="12" customHeight="1" x14ac:dyDescent="0.35">
      <c r="A649" s="134">
        <v>10121110</v>
      </c>
      <c r="B649" s="84"/>
      <c r="C649" s="85" t="str">
        <f>VLOOKUP(A649,'DAFTAR HARGA'!A:D,3,FALSE)</f>
        <v>OJ</v>
      </c>
      <c r="D649" s="84" t="s">
        <v>419</v>
      </c>
      <c r="E649" s="84">
        <f>VLOOKUP(A649,'DAFTAR HARGA'!A:D,4,FALSE)</f>
        <v>12500</v>
      </c>
      <c r="F649" s="86">
        <v>8.9999999999999993E-3</v>
      </c>
      <c r="G649" s="87" t="e">
        <f>VLOOKUP(A649,'DAFTAR HARGA'!A:D,5,FALSE)</f>
        <v>#REF!</v>
      </c>
      <c r="H649" s="87" t="e">
        <f>F649*G649</f>
        <v>#REF!</v>
      </c>
      <c r="I649" s="87">
        <v>91500</v>
      </c>
      <c r="J649" s="87">
        <f>F649*I649</f>
        <v>823.49999999999989</v>
      </c>
      <c r="K649" s="87">
        <v>91500</v>
      </c>
      <c r="L649" s="87">
        <f>F649*K649</f>
        <v>823.49999999999989</v>
      </c>
    </row>
    <row r="650" spans="1:12" ht="12" customHeight="1" x14ac:dyDescent="0.35">
      <c r="A650" s="134">
        <v>10131000</v>
      </c>
      <c r="B650" s="84"/>
      <c r="C650" s="85" t="str">
        <f>VLOOKUP(A650,'DAFTAR HARGA'!A:D,3,FALSE)</f>
        <v>OJ</v>
      </c>
      <c r="D650" s="84" t="s">
        <v>420</v>
      </c>
      <c r="E650" s="84">
        <f>VLOOKUP(A650,'DAFTAR HARGA'!A:D,4,FALSE)</f>
        <v>14375</v>
      </c>
      <c r="F650" s="86">
        <v>1.7999999999999999E-2</v>
      </c>
      <c r="G650" s="87" t="e">
        <f>VLOOKUP(A650,'DAFTAR HARGA'!A:D,5,FALSE)</f>
        <v>#REF!</v>
      </c>
      <c r="H650" s="87" t="e">
        <f>F650*G650</f>
        <v>#REF!</v>
      </c>
      <c r="I650" s="87">
        <v>92500</v>
      </c>
      <c r="J650" s="87">
        <f>F650*I650</f>
        <v>1664.9999999999998</v>
      </c>
      <c r="K650" s="87">
        <v>92500</v>
      </c>
      <c r="L650" s="87">
        <f>F650*K650</f>
        <v>1664.9999999999998</v>
      </c>
    </row>
    <row r="651" spans="1:12" ht="12" customHeight="1" x14ac:dyDescent="0.35">
      <c r="B651" s="84"/>
      <c r="C651" s="85"/>
      <c r="D651" s="84"/>
      <c r="E651" s="84"/>
      <c r="F651" s="86"/>
      <c r="G651" s="87"/>
      <c r="H651" s="87"/>
      <c r="I651" s="87"/>
      <c r="J651" s="87"/>
      <c r="K651" s="87"/>
      <c r="L651" s="87"/>
    </row>
    <row r="652" spans="1:12" ht="12" customHeight="1" x14ac:dyDescent="0.35">
      <c r="B652" s="84"/>
      <c r="C652" s="88"/>
      <c r="D652" s="79"/>
      <c r="E652" s="79"/>
      <c r="F652" s="89" t="s">
        <v>421</v>
      </c>
      <c r="G652" s="101"/>
      <c r="H652" s="87" t="e">
        <f>SUM(H648:H651)</f>
        <v>#REF!</v>
      </c>
      <c r="I652" s="101"/>
      <c r="J652" s="87">
        <f>SUM(J648:J651)</f>
        <v>2629.9799999999996</v>
      </c>
      <c r="K652" s="101"/>
      <c r="L652" s="87">
        <f>SUM(L648:L651)</f>
        <v>2629.9799999999996</v>
      </c>
    </row>
    <row r="653" spans="1:12" ht="12" customHeight="1" x14ac:dyDescent="0.35">
      <c r="B653" s="84" t="s">
        <v>6</v>
      </c>
      <c r="C653" s="88" t="s">
        <v>422</v>
      </c>
      <c r="D653" s="79"/>
      <c r="E653" s="79"/>
      <c r="F653" s="90"/>
      <c r="G653" s="84"/>
      <c r="H653" s="87"/>
      <c r="I653" s="84"/>
      <c r="J653" s="87"/>
      <c r="K653" s="84"/>
      <c r="L653" s="87"/>
    </row>
    <row r="654" spans="1:12" ht="12" customHeight="1" x14ac:dyDescent="0.35">
      <c r="B654" s="84"/>
      <c r="C654" s="85"/>
      <c r="D654" s="84"/>
      <c r="E654" s="84"/>
      <c r="F654" s="86"/>
      <c r="G654" s="87"/>
      <c r="H654" s="87">
        <f>F654*G654</f>
        <v>0</v>
      </c>
      <c r="I654" s="87">
        <v>232500</v>
      </c>
      <c r="J654" s="87">
        <f>F654*I654</f>
        <v>0</v>
      </c>
      <c r="K654" s="87">
        <v>270000</v>
      </c>
      <c r="L654" s="87">
        <f>F654*K654</f>
        <v>0</v>
      </c>
    </row>
    <row r="655" spans="1:12" ht="12" customHeight="1" x14ac:dyDescent="0.35">
      <c r="B655" s="84"/>
      <c r="C655" s="88"/>
      <c r="D655" s="79"/>
      <c r="E655" s="84"/>
      <c r="F655" s="102"/>
      <c r="G655" s="87"/>
      <c r="H655" s="87">
        <f>F655*G655</f>
        <v>0</v>
      </c>
      <c r="I655" s="87">
        <v>1060</v>
      </c>
      <c r="J655" s="87">
        <f>F655*I655</f>
        <v>0</v>
      </c>
      <c r="K655" s="87">
        <v>1060</v>
      </c>
      <c r="L655" s="87">
        <f>F655*K655</f>
        <v>0</v>
      </c>
    </row>
    <row r="656" spans="1:12" ht="12" customHeight="1" x14ac:dyDescent="0.35">
      <c r="B656" s="84"/>
      <c r="C656" s="88"/>
      <c r="D656" s="79"/>
      <c r="E656" s="84"/>
      <c r="F656" s="102"/>
      <c r="G656" s="87"/>
      <c r="H656" s="87">
        <f>F656*G656</f>
        <v>0</v>
      </c>
      <c r="I656" s="87">
        <v>215000</v>
      </c>
      <c r="J656" s="87">
        <f>F656*I656</f>
        <v>0</v>
      </c>
      <c r="K656" s="87">
        <v>250000</v>
      </c>
      <c r="L656" s="87">
        <f>F656*K656</f>
        <v>0</v>
      </c>
    </row>
    <row r="657" spans="1:12" ht="12" customHeight="1" x14ac:dyDescent="0.35">
      <c r="B657" s="84"/>
      <c r="C657" s="88"/>
      <c r="D657" s="79"/>
      <c r="E657" s="79"/>
      <c r="F657" s="89"/>
      <c r="G657" s="101"/>
      <c r="H657" s="87">
        <f>SUM(H654:H656)</f>
        <v>0</v>
      </c>
      <c r="I657" s="101"/>
      <c r="J657" s="87">
        <f>SUM(J654:J656)</f>
        <v>0</v>
      </c>
      <c r="K657" s="101"/>
      <c r="L657" s="87">
        <f>SUM(L654:L656)</f>
        <v>0</v>
      </c>
    </row>
    <row r="658" spans="1:12" ht="12" customHeight="1" x14ac:dyDescent="0.35">
      <c r="B658" s="84" t="s">
        <v>7</v>
      </c>
      <c r="C658" s="88" t="s">
        <v>424</v>
      </c>
      <c r="D658" s="79"/>
      <c r="E658" s="79"/>
      <c r="F658" s="90"/>
      <c r="G658" s="84"/>
      <c r="H658" s="87"/>
      <c r="I658" s="84"/>
      <c r="J658" s="87"/>
      <c r="K658" s="84"/>
      <c r="L658" s="87"/>
    </row>
    <row r="659" spans="1:12" ht="12" customHeight="1" x14ac:dyDescent="0.35">
      <c r="A659" s="134">
        <v>31100008</v>
      </c>
      <c r="B659" s="84"/>
      <c r="C659" s="85" t="str">
        <f>VLOOKUP(A659,'DAFTAR HARGA'!A:D,3,FALSE)</f>
        <v>jam</v>
      </c>
      <c r="D659" s="84" t="s">
        <v>418</v>
      </c>
      <c r="E659" s="84">
        <f>VLOOKUP(A659,'DAFTAR HARGA'!A:D,4,FALSE)</f>
        <v>449000</v>
      </c>
      <c r="F659" s="128">
        <f>F649</f>
        <v>8.9999999999999993E-3</v>
      </c>
      <c r="G659" s="87" t="e">
        <f>VLOOKUP(A659,'DAFTAR HARGA'!A:D,5,FALSE)*1.5</f>
        <v>#REF!</v>
      </c>
      <c r="H659" s="87" t="e">
        <f>F659*G659</f>
        <v>#REF!</v>
      </c>
      <c r="I659" s="87"/>
      <c r="J659" s="87" t="e">
        <f>H659*I659</f>
        <v>#REF!</v>
      </c>
      <c r="K659" s="87"/>
      <c r="L659" s="87" t="e">
        <f>J659*K659</f>
        <v>#REF!</v>
      </c>
    </row>
    <row r="660" spans="1:12" ht="12" customHeight="1" x14ac:dyDescent="0.35">
      <c r="B660" s="84"/>
      <c r="C660" s="88"/>
      <c r="D660" s="79"/>
      <c r="E660" s="79"/>
      <c r="F660" s="90"/>
      <c r="G660" s="87"/>
      <c r="H660" s="87"/>
      <c r="I660" s="87"/>
      <c r="J660" s="87"/>
      <c r="K660" s="87"/>
      <c r="L660" s="87"/>
    </row>
    <row r="661" spans="1:12" ht="12" customHeight="1" x14ac:dyDescent="0.35">
      <c r="B661" s="84"/>
      <c r="C661" s="88"/>
      <c r="D661" s="79"/>
      <c r="E661" s="79"/>
      <c r="F661" s="90"/>
      <c r="G661" s="87"/>
      <c r="H661" s="87">
        <f>F661*G661</f>
        <v>0</v>
      </c>
      <c r="I661" s="87"/>
      <c r="J661" s="87"/>
      <c r="K661" s="87"/>
      <c r="L661" s="87"/>
    </row>
    <row r="662" spans="1:12" ht="12" customHeight="1" x14ac:dyDescent="0.35">
      <c r="B662" s="84"/>
      <c r="C662" s="88"/>
      <c r="D662" s="79"/>
      <c r="E662" s="79"/>
      <c r="F662" s="89" t="s">
        <v>425</v>
      </c>
      <c r="G662" s="101"/>
      <c r="H662" s="87" t="e">
        <f>SUM(H659:H661)</f>
        <v>#REF!</v>
      </c>
      <c r="I662" s="101"/>
      <c r="J662" s="87" t="e">
        <f>SUM(J659)</f>
        <v>#REF!</v>
      </c>
      <c r="K662" s="101"/>
      <c r="L662" s="87" t="e">
        <f>SUM(L659)</f>
        <v>#REF!</v>
      </c>
    </row>
    <row r="663" spans="1:12" ht="12" customHeight="1" x14ac:dyDescent="0.35">
      <c r="B663" s="84" t="s">
        <v>8</v>
      </c>
      <c r="C663" s="103" t="s">
        <v>426</v>
      </c>
      <c r="D663" s="104"/>
      <c r="E663" s="104"/>
      <c r="F663" s="104"/>
      <c r="G663" s="105"/>
      <c r="H663" s="87" t="e">
        <f>H652+H657+H662</f>
        <v>#REF!</v>
      </c>
      <c r="I663" s="105"/>
      <c r="J663" s="87" t="e">
        <f>J652+J657+J662</f>
        <v>#REF!</v>
      </c>
      <c r="K663" s="105"/>
      <c r="L663" s="87" t="e">
        <f>L652+L657+L662</f>
        <v>#REF!</v>
      </c>
    </row>
    <row r="664" spans="1:12" ht="12" customHeight="1" x14ac:dyDescent="0.35">
      <c r="B664" s="84" t="s">
        <v>9</v>
      </c>
      <c r="C664" s="455" t="s">
        <v>427</v>
      </c>
      <c r="D664" s="455"/>
      <c r="E664" s="455"/>
      <c r="F664" s="95" t="str">
        <f>OP</f>
        <v>TANJUNG PALAS TENGAH</v>
      </c>
      <c r="G664" s="85" t="s">
        <v>428</v>
      </c>
      <c r="H664" s="87" t="e">
        <f>H663*F664</f>
        <v>#REF!</v>
      </c>
      <c r="I664" s="85" t="s">
        <v>428</v>
      </c>
      <c r="J664" s="87" t="e">
        <f>J663*F664</f>
        <v>#REF!</v>
      </c>
      <c r="K664" s="85" t="s">
        <v>428</v>
      </c>
      <c r="L664" s="87" t="e">
        <f>L663*F664</f>
        <v>#REF!</v>
      </c>
    </row>
    <row r="665" spans="1:12" ht="12" customHeight="1" x14ac:dyDescent="0.35">
      <c r="B665" s="84" t="s">
        <v>10</v>
      </c>
      <c r="C665" s="103" t="s">
        <v>429</v>
      </c>
      <c r="D665" s="104"/>
      <c r="E665" s="104"/>
      <c r="F665" s="104"/>
      <c r="G665" s="105"/>
      <c r="H665" s="96" t="e">
        <f>H663+H664</f>
        <v>#REF!</v>
      </c>
      <c r="I665" s="97"/>
      <c r="J665" s="96" t="e">
        <f>J663+J664</f>
        <v>#REF!</v>
      </c>
      <c r="K665" s="97"/>
      <c r="L665" s="96" t="e">
        <f>L663+L664</f>
        <v>#REF!</v>
      </c>
    </row>
    <row r="667" spans="1:12" ht="29" customHeight="1" x14ac:dyDescent="0.35">
      <c r="B667" s="76" t="s">
        <v>549</v>
      </c>
      <c r="C667" s="458" t="s">
        <v>550</v>
      </c>
      <c r="D667" s="459"/>
      <c r="E667" s="459"/>
      <c r="F667" s="459"/>
      <c r="G667" s="456"/>
      <c r="H667" s="457"/>
      <c r="I667" s="455" t="s">
        <v>3</v>
      </c>
      <c r="J667" s="455"/>
      <c r="K667" s="455" t="s">
        <v>4</v>
      </c>
      <c r="L667" s="455"/>
    </row>
    <row r="668" spans="1:12" ht="12" customHeight="1" x14ac:dyDescent="0.35">
      <c r="B668" s="451" t="s">
        <v>409</v>
      </c>
      <c r="C668" s="451" t="s">
        <v>410</v>
      </c>
      <c r="D668" s="452" t="s">
        <v>411</v>
      </c>
      <c r="E668" s="451" t="s">
        <v>412</v>
      </c>
      <c r="F668" s="451" t="s">
        <v>413</v>
      </c>
      <c r="G668" s="77" t="s">
        <v>414</v>
      </c>
      <c r="H668" s="77" t="s">
        <v>415</v>
      </c>
      <c r="I668" s="78" t="s">
        <v>414</v>
      </c>
      <c r="J668" s="79" t="s">
        <v>415</v>
      </c>
      <c r="K668" s="79" t="s">
        <v>414</v>
      </c>
      <c r="L668" s="79" t="s">
        <v>415</v>
      </c>
    </row>
    <row r="669" spans="1:12" ht="12" customHeight="1" x14ac:dyDescent="0.35">
      <c r="B669" s="451"/>
      <c r="C669" s="451"/>
      <c r="D669" s="453"/>
      <c r="E669" s="451"/>
      <c r="F669" s="451"/>
      <c r="G669" s="77" t="s">
        <v>17</v>
      </c>
      <c r="H669" s="77" t="s">
        <v>416</v>
      </c>
      <c r="I669" s="78" t="s">
        <v>17</v>
      </c>
      <c r="J669" s="79" t="s">
        <v>416</v>
      </c>
      <c r="K669" s="79" t="s">
        <v>17</v>
      </c>
      <c r="L669" s="79" t="s">
        <v>416</v>
      </c>
    </row>
    <row r="670" spans="1:12" ht="12" customHeight="1" x14ac:dyDescent="0.35">
      <c r="B670" s="451"/>
      <c r="C670" s="451"/>
      <c r="D670" s="454"/>
      <c r="E670" s="451"/>
      <c r="F670" s="451"/>
      <c r="G670" s="106"/>
      <c r="H670" s="77" t="s">
        <v>17</v>
      </c>
      <c r="I670" s="94"/>
      <c r="J670" s="79" t="s">
        <v>17</v>
      </c>
      <c r="K670" s="85"/>
      <c r="L670" s="79" t="s">
        <v>17</v>
      </c>
    </row>
    <row r="671" spans="1:12" ht="12" customHeight="1" x14ac:dyDescent="0.35">
      <c r="B671" s="80" t="s">
        <v>5</v>
      </c>
      <c r="C671" s="81" t="s">
        <v>417</v>
      </c>
      <c r="D671" s="82"/>
      <c r="E671" s="82"/>
      <c r="F671" s="82"/>
      <c r="G671" s="82"/>
      <c r="H671" s="82"/>
      <c r="I671" s="83"/>
      <c r="J671" s="83"/>
      <c r="K671" s="83"/>
      <c r="L671" s="83"/>
    </row>
    <row r="672" spans="1:12" ht="12" customHeight="1" x14ac:dyDescent="0.35">
      <c r="A672" s="134">
        <v>10111000</v>
      </c>
      <c r="B672" s="84"/>
      <c r="C672" s="85" t="str">
        <f>VLOOKUP(A672,'DAFTAR HARGA'!A:D,3,FALSE)</f>
        <v>OJ</v>
      </c>
      <c r="D672" s="84" t="s">
        <v>418</v>
      </c>
      <c r="E672" s="84">
        <f>VLOOKUP(A672,'DAFTAR HARGA'!A:D,4,FALSE)</f>
        <v>18750</v>
      </c>
      <c r="F672" s="86">
        <v>1.9E-3</v>
      </c>
      <c r="G672" s="87" t="e">
        <f>VLOOKUP(A672,'DAFTAR HARGA'!A:D,5,FALSE)</f>
        <v>#REF!</v>
      </c>
      <c r="H672" s="87" t="e">
        <f>F672*G672</f>
        <v>#REF!</v>
      </c>
      <c r="I672" s="87">
        <v>78600</v>
      </c>
      <c r="J672" s="87">
        <f>F672*I672</f>
        <v>149.34</v>
      </c>
      <c r="K672" s="87">
        <v>78600</v>
      </c>
      <c r="L672" s="87">
        <f>F672*K672</f>
        <v>149.34</v>
      </c>
    </row>
    <row r="673" spans="1:12" ht="12" customHeight="1" x14ac:dyDescent="0.35">
      <c r="A673" s="134">
        <v>10121110</v>
      </c>
      <c r="B673" s="84"/>
      <c r="C673" s="85" t="str">
        <f>VLOOKUP(A673,'DAFTAR HARGA'!A:D,3,FALSE)</f>
        <v>OJ</v>
      </c>
      <c r="D673" s="84" t="s">
        <v>419</v>
      </c>
      <c r="E673" s="84">
        <f>VLOOKUP(A673,'DAFTAR HARGA'!A:D,4,FALSE)</f>
        <v>12500</v>
      </c>
      <c r="F673" s="86">
        <v>9.9000000000000008E-3</v>
      </c>
      <c r="G673" s="87" t="e">
        <f>VLOOKUP(A673,'DAFTAR HARGA'!A:D,5,FALSE)</f>
        <v>#REF!</v>
      </c>
      <c r="H673" s="87" t="e">
        <f>F673*G673</f>
        <v>#REF!</v>
      </c>
      <c r="I673" s="87">
        <v>91500</v>
      </c>
      <c r="J673" s="87">
        <f>F673*I673</f>
        <v>905.85</v>
      </c>
      <c r="K673" s="87">
        <v>91500</v>
      </c>
      <c r="L673" s="87">
        <f>F673*K673</f>
        <v>905.85</v>
      </c>
    </row>
    <row r="674" spans="1:12" ht="12" customHeight="1" x14ac:dyDescent="0.35">
      <c r="A674" s="134">
        <v>10131000</v>
      </c>
      <c r="B674" s="84"/>
      <c r="C674" s="85" t="str">
        <f>VLOOKUP(A674,'DAFTAR HARGA'!A:D,3,FALSE)</f>
        <v>OJ</v>
      </c>
      <c r="D674" s="84" t="s">
        <v>420</v>
      </c>
      <c r="E674" s="84">
        <f>VLOOKUP(A674,'DAFTAR HARGA'!A:D,4,FALSE)</f>
        <v>14375</v>
      </c>
      <c r="F674" s="86">
        <v>1.9E-2</v>
      </c>
      <c r="G674" s="87" t="e">
        <f>VLOOKUP(A674,'DAFTAR HARGA'!A:D,5,FALSE)</f>
        <v>#REF!</v>
      </c>
      <c r="H674" s="87" t="e">
        <f>F674*G674</f>
        <v>#REF!</v>
      </c>
      <c r="I674" s="87">
        <v>92500</v>
      </c>
      <c r="J674" s="87">
        <f>F674*I674</f>
        <v>1757.5</v>
      </c>
      <c r="K674" s="87">
        <v>92500</v>
      </c>
      <c r="L674" s="87">
        <f>F674*K674</f>
        <v>1757.5</v>
      </c>
    </row>
    <row r="675" spans="1:12" ht="12" customHeight="1" x14ac:dyDescent="0.35">
      <c r="B675" s="84"/>
      <c r="C675" s="85"/>
      <c r="D675" s="84"/>
      <c r="E675" s="84"/>
      <c r="F675" s="86"/>
      <c r="G675" s="87"/>
      <c r="H675" s="87"/>
      <c r="I675" s="87"/>
      <c r="J675" s="87"/>
      <c r="K675" s="87"/>
      <c r="L675" s="87"/>
    </row>
    <row r="676" spans="1:12" ht="12" customHeight="1" x14ac:dyDescent="0.35">
      <c r="B676" s="84"/>
      <c r="C676" s="88"/>
      <c r="D676" s="79"/>
      <c r="E676" s="79"/>
      <c r="F676" s="89" t="s">
        <v>421</v>
      </c>
      <c r="G676" s="101"/>
      <c r="H676" s="87" t="e">
        <f>SUM(H672:H675)</f>
        <v>#REF!</v>
      </c>
      <c r="I676" s="101"/>
      <c r="J676" s="87">
        <f>SUM(J672:J675)</f>
        <v>2812.69</v>
      </c>
      <c r="K676" s="101"/>
      <c r="L676" s="87">
        <f>SUM(L672:L675)</f>
        <v>2812.69</v>
      </c>
    </row>
    <row r="677" spans="1:12" ht="12" customHeight="1" x14ac:dyDescent="0.35">
      <c r="B677" s="84" t="s">
        <v>6</v>
      </c>
      <c r="C677" s="88" t="s">
        <v>422</v>
      </c>
      <c r="D677" s="79"/>
      <c r="E677" s="79"/>
      <c r="F677" s="90"/>
      <c r="G677" s="84"/>
      <c r="H677" s="87"/>
      <c r="I677" s="84"/>
      <c r="J677" s="87"/>
      <c r="K677" s="84"/>
      <c r="L677" s="87"/>
    </row>
    <row r="678" spans="1:12" ht="12" customHeight="1" x14ac:dyDescent="0.35">
      <c r="B678" s="84"/>
      <c r="C678" s="85"/>
      <c r="D678" s="84"/>
      <c r="E678" s="84"/>
      <c r="F678" s="86"/>
      <c r="G678" s="87"/>
      <c r="H678" s="87">
        <f>F678*G678</f>
        <v>0</v>
      </c>
      <c r="I678" s="87">
        <v>232500</v>
      </c>
      <c r="J678" s="87">
        <f>F678*I678</f>
        <v>0</v>
      </c>
      <c r="K678" s="87">
        <v>270000</v>
      </c>
      <c r="L678" s="87">
        <f>F678*K678</f>
        <v>0</v>
      </c>
    </row>
    <row r="679" spans="1:12" ht="12" customHeight="1" x14ac:dyDescent="0.35">
      <c r="B679" s="84"/>
      <c r="C679" s="88"/>
      <c r="D679" s="79"/>
      <c r="E679" s="84"/>
      <c r="F679" s="102"/>
      <c r="G679" s="87"/>
      <c r="H679" s="87">
        <f>F679*G679</f>
        <v>0</v>
      </c>
      <c r="I679" s="87">
        <v>1060</v>
      </c>
      <c r="J679" s="87">
        <f>F679*I679</f>
        <v>0</v>
      </c>
      <c r="K679" s="87">
        <v>1060</v>
      </c>
      <c r="L679" s="87">
        <f>F679*K679</f>
        <v>0</v>
      </c>
    </row>
    <row r="680" spans="1:12" ht="12" customHeight="1" x14ac:dyDescent="0.35">
      <c r="B680" s="84"/>
      <c r="C680" s="88"/>
      <c r="D680" s="79"/>
      <c r="E680" s="84"/>
      <c r="F680" s="102"/>
      <c r="G680" s="87"/>
      <c r="H680" s="87">
        <f>F680*G680</f>
        <v>0</v>
      </c>
      <c r="I680" s="87">
        <v>215000</v>
      </c>
      <c r="J680" s="87">
        <f>F680*I680</f>
        <v>0</v>
      </c>
      <c r="K680" s="87">
        <v>250000</v>
      </c>
      <c r="L680" s="87">
        <f>F680*K680</f>
        <v>0</v>
      </c>
    </row>
    <row r="681" spans="1:12" ht="12" customHeight="1" x14ac:dyDescent="0.35">
      <c r="B681" s="84"/>
      <c r="C681" s="88"/>
      <c r="D681" s="79"/>
      <c r="E681" s="79"/>
      <c r="F681" s="89"/>
      <c r="G681" s="101"/>
      <c r="H681" s="87">
        <f>SUM(H678:H680)</f>
        <v>0</v>
      </c>
      <c r="I681" s="101"/>
      <c r="J681" s="87">
        <f>SUM(J678:J680)</f>
        <v>0</v>
      </c>
      <c r="K681" s="101"/>
      <c r="L681" s="87">
        <f>SUM(L678:L680)</f>
        <v>0</v>
      </c>
    </row>
    <row r="682" spans="1:12" ht="12" customHeight="1" x14ac:dyDescent="0.35">
      <c r="B682" s="84" t="s">
        <v>7</v>
      </c>
      <c r="C682" s="88" t="s">
        <v>424</v>
      </c>
      <c r="D682" s="79"/>
      <c r="E682" s="79"/>
      <c r="F682" s="90"/>
      <c r="G682" s="84"/>
      <c r="H682" s="87"/>
      <c r="I682" s="84"/>
      <c r="J682" s="87"/>
      <c r="K682" s="84"/>
      <c r="L682" s="87"/>
    </row>
    <row r="683" spans="1:12" ht="12" customHeight="1" x14ac:dyDescent="0.35">
      <c r="A683" s="134">
        <v>31100008</v>
      </c>
      <c r="B683" s="84"/>
      <c r="C683" s="85" t="str">
        <f>VLOOKUP(A683,'DAFTAR HARGA'!A:D,3,FALSE)</f>
        <v>jam</v>
      </c>
      <c r="D683" s="84" t="s">
        <v>418</v>
      </c>
      <c r="E683" s="84">
        <f>VLOOKUP(A683,'DAFTAR HARGA'!A:D,4,FALSE)</f>
        <v>449000</v>
      </c>
      <c r="F683" s="128">
        <f>F673</f>
        <v>9.9000000000000008E-3</v>
      </c>
      <c r="G683" s="87" t="e">
        <f>VLOOKUP(A683,'DAFTAR HARGA'!A:D,5,FALSE)*1.5</f>
        <v>#REF!</v>
      </c>
      <c r="H683" s="87" t="e">
        <f>F683*G683</f>
        <v>#REF!</v>
      </c>
      <c r="I683" s="87"/>
      <c r="J683" s="87" t="e">
        <f>H683*I683</f>
        <v>#REF!</v>
      </c>
      <c r="K683" s="87"/>
      <c r="L683" s="87" t="e">
        <f>J683*K683</f>
        <v>#REF!</v>
      </c>
    </row>
    <row r="684" spans="1:12" ht="12" customHeight="1" x14ac:dyDescent="0.35">
      <c r="B684" s="84"/>
      <c r="C684" s="88"/>
      <c r="D684" s="79"/>
      <c r="E684" s="79"/>
      <c r="F684" s="90"/>
      <c r="G684" s="87"/>
      <c r="H684" s="87"/>
      <c r="I684" s="87"/>
      <c r="J684" s="87"/>
      <c r="K684" s="87"/>
      <c r="L684" s="87"/>
    </row>
    <row r="685" spans="1:12" ht="12" customHeight="1" x14ac:dyDescent="0.35">
      <c r="B685" s="84"/>
      <c r="C685" s="88"/>
      <c r="D685" s="79"/>
      <c r="E685" s="79"/>
      <c r="F685" s="90"/>
      <c r="G685" s="87"/>
      <c r="H685" s="87">
        <f>F685*G685</f>
        <v>0</v>
      </c>
      <c r="I685" s="87"/>
      <c r="J685" s="87"/>
      <c r="K685" s="87"/>
      <c r="L685" s="87"/>
    </row>
    <row r="686" spans="1:12" ht="12" customHeight="1" x14ac:dyDescent="0.35">
      <c r="B686" s="84"/>
      <c r="C686" s="88"/>
      <c r="D686" s="79"/>
      <c r="E686" s="79"/>
      <c r="F686" s="89" t="s">
        <v>425</v>
      </c>
      <c r="G686" s="101"/>
      <c r="H686" s="87" t="e">
        <f>SUM(H683:H685)</f>
        <v>#REF!</v>
      </c>
      <c r="I686" s="101"/>
      <c r="J686" s="87" t="e">
        <f>SUM(J683)</f>
        <v>#REF!</v>
      </c>
      <c r="K686" s="101"/>
      <c r="L686" s="87" t="e">
        <f>SUM(L683)</f>
        <v>#REF!</v>
      </c>
    </row>
    <row r="687" spans="1:12" ht="12" customHeight="1" x14ac:dyDescent="0.35">
      <c r="B687" s="84" t="s">
        <v>8</v>
      </c>
      <c r="C687" s="103" t="s">
        <v>426</v>
      </c>
      <c r="D687" s="104"/>
      <c r="E687" s="104"/>
      <c r="F687" s="104"/>
      <c r="G687" s="105"/>
      <c r="H687" s="87" t="e">
        <f>H676+H681+H686</f>
        <v>#REF!</v>
      </c>
      <c r="I687" s="105"/>
      <c r="J687" s="87" t="e">
        <f>J676+J681+J686</f>
        <v>#REF!</v>
      </c>
      <c r="K687" s="105"/>
      <c r="L687" s="87" t="e">
        <f>L676+L681+L686</f>
        <v>#REF!</v>
      </c>
    </row>
    <row r="688" spans="1:12" ht="12" customHeight="1" x14ac:dyDescent="0.35">
      <c r="B688" s="84" t="s">
        <v>9</v>
      </c>
      <c r="C688" s="455" t="s">
        <v>427</v>
      </c>
      <c r="D688" s="455"/>
      <c r="E688" s="455"/>
      <c r="F688" s="95" t="str">
        <f>OP</f>
        <v>TANJUNG PALAS TENGAH</v>
      </c>
      <c r="G688" s="85" t="s">
        <v>428</v>
      </c>
      <c r="H688" s="87" t="e">
        <f>H687*F688</f>
        <v>#REF!</v>
      </c>
      <c r="I688" s="85" t="s">
        <v>428</v>
      </c>
      <c r="J688" s="87" t="e">
        <f>J687*F688</f>
        <v>#REF!</v>
      </c>
      <c r="K688" s="85" t="s">
        <v>428</v>
      </c>
      <c r="L688" s="87" t="e">
        <f>L687*F688</f>
        <v>#REF!</v>
      </c>
    </row>
    <row r="689" spans="1:12" ht="12" customHeight="1" x14ac:dyDescent="0.35">
      <c r="B689" s="84" t="s">
        <v>10</v>
      </c>
      <c r="C689" s="103" t="s">
        <v>429</v>
      </c>
      <c r="D689" s="104"/>
      <c r="E689" s="104"/>
      <c r="F689" s="104"/>
      <c r="G689" s="105"/>
      <c r="H689" s="96" t="e">
        <f>H687+H688</f>
        <v>#REF!</v>
      </c>
      <c r="I689" s="97"/>
      <c r="J689" s="96" t="e">
        <f>J687+J688</f>
        <v>#REF!</v>
      </c>
      <c r="K689" s="97"/>
      <c r="L689" s="96" t="e">
        <f>L687+L688</f>
        <v>#REF!</v>
      </c>
    </row>
    <row r="691" spans="1:12" ht="29" customHeight="1" x14ac:dyDescent="0.35">
      <c r="B691" s="76" t="s">
        <v>551</v>
      </c>
      <c r="C691" s="458" t="s">
        <v>556</v>
      </c>
      <c r="D691" s="459"/>
      <c r="E691" s="459"/>
      <c r="F691" s="459"/>
      <c r="G691" s="456"/>
      <c r="H691" s="457"/>
      <c r="I691" s="455" t="s">
        <v>3</v>
      </c>
      <c r="J691" s="455"/>
      <c r="K691" s="455" t="s">
        <v>4</v>
      </c>
      <c r="L691" s="455"/>
    </row>
    <row r="692" spans="1:12" ht="12" customHeight="1" x14ac:dyDescent="0.35">
      <c r="B692" s="451" t="s">
        <v>409</v>
      </c>
      <c r="C692" s="451" t="s">
        <v>410</v>
      </c>
      <c r="D692" s="452" t="s">
        <v>411</v>
      </c>
      <c r="E692" s="451" t="s">
        <v>412</v>
      </c>
      <c r="F692" s="451" t="s">
        <v>413</v>
      </c>
      <c r="G692" s="77" t="s">
        <v>414</v>
      </c>
      <c r="H692" s="77" t="s">
        <v>415</v>
      </c>
      <c r="I692" s="78" t="s">
        <v>414</v>
      </c>
      <c r="J692" s="79" t="s">
        <v>415</v>
      </c>
      <c r="K692" s="79" t="s">
        <v>414</v>
      </c>
      <c r="L692" s="79" t="s">
        <v>415</v>
      </c>
    </row>
    <row r="693" spans="1:12" ht="12" customHeight="1" x14ac:dyDescent="0.35">
      <c r="B693" s="451"/>
      <c r="C693" s="451"/>
      <c r="D693" s="453"/>
      <c r="E693" s="451"/>
      <c r="F693" s="451"/>
      <c r="G693" s="77" t="s">
        <v>17</v>
      </c>
      <c r="H693" s="77" t="s">
        <v>416</v>
      </c>
      <c r="I693" s="78" t="s">
        <v>17</v>
      </c>
      <c r="J693" s="79" t="s">
        <v>416</v>
      </c>
      <c r="K693" s="79" t="s">
        <v>17</v>
      </c>
      <c r="L693" s="79" t="s">
        <v>416</v>
      </c>
    </row>
    <row r="694" spans="1:12" ht="12" customHeight="1" x14ac:dyDescent="0.35">
      <c r="B694" s="451"/>
      <c r="C694" s="451"/>
      <c r="D694" s="454"/>
      <c r="E694" s="451"/>
      <c r="F694" s="451"/>
      <c r="G694" s="106"/>
      <c r="H694" s="77" t="s">
        <v>17</v>
      </c>
      <c r="I694" s="94"/>
      <c r="J694" s="79" t="s">
        <v>17</v>
      </c>
      <c r="K694" s="85"/>
      <c r="L694" s="79" t="s">
        <v>17</v>
      </c>
    </row>
    <row r="695" spans="1:12" ht="12" customHeight="1" x14ac:dyDescent="0.35">
      <c r="B695" s="80" t="s">
        <v>5</v>
      </c>
      <c r="C695" s="81" t="s">
        <v>417</v>
      </c>
      <c r="D695" s="82"/>
      <c r="E695" s="82"/>
      <c r="F695" s="82"/>
      <c r="G695" s="82"/>
      <c r="H695" s="82"/>
      <c r="I695" s="83"/>
      <c r="J695" s="83"/>
      <c r="K695" s="83"/>
      <c r="L695" s="83"/>
    </row>
    <row r="696" spans="1:12" ht="12" customHeight="1" x14ac:dyDescent="0.35">
      <c r="A696" s="134">
        <v>10111000</v>
      </c>
      <c r="B696" s="84"/>
      <c r="C696" s="85" t="str">
        <f>VLOOKUP(A696,'DAFTAR HARGA'!A:D,3,FALSE)</f>
        <v>OJ</v>
      </c>
      <c r="D696" s="84" t="s">
        <v>418</v>
      </c>
      <c r="E696" s="84">
        <f>VLOOKUP(A696,'DAFTAR HARGA'!A:D,4,FALSE)</f>
        <v>18750</v>
      </c>
      <c r="F696" s="86">
        <v>2.2000000000000001E-3</v>
      </c>
      <c r="G696" s="87" t="e">
        <f>VLOOKUP(A696,'DAFTAR HARGA'!A:D,5,FALSE)</f>
        <v>#REF!</v>
      </c>
      <c r="H696" s="87" t="e">
        <f>F696*G696</f>
        <v>#REF!</v>
      </c>
      <c r="I696" s="87">
        <v>78600</v>
      </c>
      <c r="J696" s="87">
        <f>F696*I696</f>
        <v>172.92000000000002</v>
      </c>
      <c r="K696" s="87">
        <v>78600</v>
      </c>
      <c r="L696" s="87">
        <f>F696*K696</f>
        <v>172.92000000000002</v>
      </c>
    </row>
    <row r="697" spans="1:12" ht="12" customHeight="1" x14ac:dyDescent="0.35">
      <c r="A697" s="134">
        <v>10121110</v>
      </c>
      <c r="B697" s="84"/>
      <c r="C697" s="85" t="str">
        <f>VLOOKUP(A697,'DAFTAR HARGA'!A:D,3,FALSE)</f>
        <v>OJ</v>
      </c>
      <c r="D697" s="84" t="s">
        <v>419</v>
      </c>
      <c r="E697" s="84">
        <f>VLOOKUP(A697,'DAFTAR HARGA'!A:D,4,FALSE)</f>
        <v>12500</v>
      </c>
      <c r="F697" s="86">
        <v>1.11E-2</v>
      </c>
      <c r="G697" s="87" t="e">
        <f>VLOOKUP(A697,'DAFTAR HARGA'!A:D,5,FALSE)</f>
        <v>#REF!</v>
      </c>
      <c r="H697" s="87" t="e">
        <f>F697*G697</f>
        <v>#REF!</v>
      </c>
      <c r="I697" s="87">
        <v>91500</v>
      </c>
      <c r="J697" s="87">
        <f>F697*I697</f>
        <v>1015.6500000000001</v>
      </c>
      <c r="K697" s="87">
        <v>91500</v>
      </c>
      <c r="L697" s="87">
        <f>F697*K697</f>
        <v>1015.6500000000001</v>
      </c>
    </row>
    <row r="698" spans="1:12" ht="12" customHeight="1" x14ac:dyDescent="0.35">
      <c r="A698" s="134">
        <v>10131000</v>
      </c>
      <c r="B698" s="84"/>
      <c r="C698" s="85" t="str">
        <f>VLOOKUP(A698,'DAFTAR HARGA'!A:D,3,FALSE)</f>
        <v>OJ</v>
      </c>
      <c r="D698" s="84" t="s">
        <v>420</v>
      </c>
      <c r="E698" s="84">
        <f>VLOOKUP(A698,'DAFTAR HARGA'!A:D,4,FALSE)</f>
        <v>14375</v>
      </c>
      <c r="F698" s="86">
        <v>2.2200000000000001E-2</v>
      </c>
      <c r="G698" s="87" t="e">
        <f>VLOOKUP(A698,'DAFTAR HARGA'!A:D,5,FALSE)</f>
        <v>#REF!</v>
      </c>
      <c r="H698" s="87" t="e">
        <f>F698*G698</f>
        <v>#REF!</v>
      </c>
      <c r="I698" s="87">
        <v>92500</v>
      </c>
      <c r="J698" s="87">
        <f>F698*I698</f>
        <v>2053.5</v>
      </c>
      <c r="K698" s="87">
        <v>92500</v>
      </c>
      <c r="L698" s="87">
        <f>F698*K698</f>
        <v>2053.5</v>
      </c>
    </row>
    <row r="699" spans="1:12" ht="12" customHeight="1" x14ac:dyDescent="0.35">
      <c r="B699" s="84"/>
      <c r="C699" s="85"/>
      <c r="D699" s="84"/>
      <c r="E699" s="84"/>
      <c r="F699" s="86"/>
      <c r="G699" s="87"/>
      <c r="H699" s="87"/>
      <c r="I699" s="87"/>
      <c r="J699" s="87"/>
      <c r="K699" s="87"/>
      <c r="L699" s="87"/>
    </row>
    <row r="700" spans="1:12" ht="12" customHeight="1" x14ac:dyDescent="0.35">
      <c r="B700" s="84"/>
      <c r="C700" s="88"/>
      <c r="D700" s="79"/>
      <c r="E700" s="79"/>
      <c r="F700" s="89" t="s">
        <v>421</v>
      </c>
      <c r="G700" s="101"/>
      <c r="H700" s="87" t="e">
        <f>SUM(H696:H699)</f>
        <v>#REF!</v>
      </c>
      <c r="I700" s="101"/>
      <c r="J700" s="87">
        <f>SUM(J696:J699)</f>
        <v>3242.07</v>
      </c>
      <c r="K700" s="101"/>
      <c r="L700" s="87">
        <f>SUM(L696:L699)</f>
        <v>3242.07</v>
      </c>
    </row>
    <row r="701" spans="1:12" ht="12" customHeight="1" x14ac:dyDescent="0.35">
      <c r="B701" s="84" t="s">
        <v>6</v>
      </c>
      <c r="C701" s="88" t="s">
        <v>422</v>
      </c>
      <c r="D701" s="79"/>
      <c r="E701" s="79"/>
      <c r="F701" s="90"/>
      <c r="G701" s="84"/>
      <c r="H701" s="87"/>
      <c r="I701" s="84"/>
      <c r="J701" s="87"/>
      <c r="K701" s="84"/>
      <c r="L701" s="87"/>
    </row>
    <row r="702" spans="1:12" ht="12" customHeight="1" x14ac:dyDescent="0.35">
      <c r="B702" s="84"/>
      <c r="C702" s="85"/>
      <c r="D702" s="84"/>
      <c r="E702" s="84"/>
      <c r="F702" s="86"/>
      <c r="G702" s="87"/>
      <c r="H702" s="87">
        <f>F702*G702</f>
        <v>0</v>
      </c>
      <c r="I702" s="87">
        <v>232500</v>
      </c>
      <c r="J702" s="87">
        <f>F702*I702</f>
        <v>0</v>
      </c>
      <c r="K702" s="87">
        <v>270000</v>
      </c>
      <c r="L702" s="87">
        <f>F702*K702</f>
        <v>0</v>
      </c>
    </row>
    <row r="703" spans="1:12" ht="12" customHeight="1" x14ac:dyDescent="0.35">
      <c r="B703" s="84"/>
      <c r="C703" s="88"/>
      <c r="D703" s="79"/>
      <c r="E703" s="84"/>
      <c r="F703" s="102"/>
      <c r="G703" s="87"/>
      <c r="H703" s="87">
        <f>F703*G703</f>
        <v>0</v>
      </c>
      <c r="I703" s="87">
        <v>1060</v>
      </c>
      <c r="J703" s="87">
        <f>F703*I703</f>
        <v>0</v>
      </c>
      <c r="K703" s="87">
        <v>1060</v>
      </c>
      <c r="L703" s="87">
        <f>F703*K703</f>
        <v>0</v>
      </c>
    </row>
    <row r="704" spans="1:12" ht="12" customHeight="1" x14ac:dyDescent="0.35">
      <c r="B704" s="84"/>
      <c r="C704" s="88"/>
      <c r="D704" s="79"/>
      <c r="E704" s="84"/>
      <c r="F704" s="102"/>
      <c r="G704" s="87"/>
      <c r="H704" s="87">
        <f>F704*G704</f>
        <v>0</v>
      </c>
      <c r="I704" s="87">
        <v>215000</v>
      </c>
      <c r="J704" s="87">
        <f>F704*I704</f>
        <v>0</v>
      </c>
      <c r="K704" s="87">
        <v>250000</v>
      </c>
      <c r="L704" s="87">
        <f>F704*K704</f>
        <v>0</v>
      </c>
    </row>
    <row r="705" spans="1:12" ht="12" customHeight="1" x14ac:dyDescent="0.35">
      <c r="B705" s="84"/>
      <c r="C705" s="88"/>
      <c r="D705" s="79"/>
      <c r="E705" s="79"/>
      <c r="F705" s="89"/>
      <c r="G705" s="101"/>
      <c r="H705" s="87">
        <f>SUM(H702:H704)</f>
        <v>0</v>
      </c>
      <c r="I705" s="101"/>
      <c r="J705" s="87">
        <f>SUM(J702:J704)</f>
        <v>0</v>
      </c>
      <c r="K705" s="101"/>
      <c r="L705" s="87">
        <f>SUM(L702:L704)</f>
        <v>0</v>
      </c>
    </row>
    <row r="706" spans="1:12" ht="12" customHeight="1" x14ac:dyDescent="0.35">
      <c r="B706" s="84" t="s">
        <v>7</v>
      </c>
      <c r="C706" s="88" t="s">
        <v>424</v>
      </c>
      <c r="D706" s="79"/>
      <c r="E706" s="79"/>
      <c r="F706" s="90"/>
      <c r="G706" s="84"/>
      <c r="H706" s="87"/>
      <c r="I706" s="84"/>
      <c r="J706" s="87"/>
      <c r="K706" s="84"/>
      <c r="L706" s="87"/>
    </row>
    <row r="707" spans="1:12" ht="12" customHeight="1" x14ac:dyDescent="0.35">
      <c r="A707" s="134">
        <v>31100008</v>
      </c>
      <c r="B707" s="84"/>
      <c r="C707" s="85" t="str">
        <f>VLOOKUP(A707,'DAFTAR HARGA'!A:D,3,FALSE)</f>
        <v>jam</v>
      </c>
      <c r="D707" s="84" t="s">
        <v>418</v>
      </c>
      <c r="E707" s="84">
        <f>VLOOKUP(A707,'DAFTAR HARGA'!A:D,4,FALSE)</f>
        <v>449000</v>
      </c>
      <c r="F707" s="128">
        <f>F697</f>
        <v>1.11E-2</v>
      </c>
      <c r="G707" s="87" t="e">
        <f>VLOOKUP(A707,'DAFTAR HARGA'!A:D,5,FALSE)</f>
        <v>#REF!</v>
      </c>
      <c r="H707" s="87" t="e">
        <f>F707*G707</f>
        <v>#REF!</v>
      </c>
      <c r="I707" s="87"/>
      <c r="J707" s="87" t="e">
        <f>H707*I707</f>
        <v>#REF!</v>
      </c>
      <c r="K707" s="87"/>
      <c r="L707" s="87" t="e">
        <f>J707*K707</f>
        <v>#REF!</v>
      </c>
    </row>
    <row r="708" spans="1:12" ht="12" customHeight="1" x14ac:dyDescent="0.35">
      <c r="B708" s="84"/>
      <c r="C708" s="88"/>
      <c r="D708" s="79"/>
      <c r="E708" s="79"/>
      <c r="F708" s="90"/>
      <c r="G708" s="87"/>
      <c r="H708" s="87"/>
      <c r="I708" s="87"/>
      <c r="J708" s="87"/>
      <c r="K708" s="87"/>
      <c r="L708" s="87"/>
    </row>
    <row r="709" spans="1:12" ht="12" customHeight="1" x14ac:dyDescent="0.35">
      <c r="B709" s="84"/>
      <c r="C709" s="88"/>
      <c r="D709" s="79"/>
      <c r="E709" s="79"/>
      <c r="F709" s="90"/>
      <c r="G709" s="87"/>
      <c r="H709" s="87">
        <f>F709*G709</f>
        <v>0</v>
      </c>
      <c r="I709" s="87"/>
      <c r="J709" s="87"/>
      <c r="K709" s="87"/>
      <c r="L709" s="87"/>
    </row>
    <row r="710" spans="1:12" ht="12" customHeight="1" x14ac:dyDescent="0.35">
      <c r="B710" s="84"/>
      <c r="C710" s="88"/>
      <c r="D710" s="79"/>
      <c r="E710" s="79"/>
      <c r="F710" s="89" t="s">
        <v>425</v>
      </c>
      <c r="G710" s="101"/>
      <c r="H710" s="87" t="e">
        <f>SUM(H707:H709)</f>
        <v>#REF!</v>
      </c>
      <c r="I710" s="101"/>
      <c r="J710" s="87" t="e">
        <f>SUM(J707)</f>
        <v>#REF!</v>
      </c>
      <c r="K710" s="101"/>
      <c r="L710" s="87" t="e">
        <f>SUM(L707)</f>
        <v>#REF!</v>
      </c>
    </row>
    <row r="711" spans="1:12" ht="12" customHeight="1" x14ac:dyDescent="0.35">
      <c r="B711" s="84" t="s">
        <v>8</v>
      </c>
      <c r="C711" s="103" t="s">
        <v>426</v>
      </c>
      <c r="D711" s="104"/>
      <c r="E711" s="104"/>
      <c r="F711" s="104"/>
      <c r="G711" s="105"/>
      <c r="H711" s="87" t="e">
        <f>H700+H705+H710</f>
        <v>#REF!</v>
      </c>
      <c r="I711" s="105"/>
      <c r="J711" s="87" t="e">
        <f>J700+J705+J710</f>
        <v>#REF!</v>
      </c>
      <c r="K711" s="105"/>
      <c r="L711" s="87" t="e">
        <f>L700+L705+L710</f>
        <v>#REF!</v>
      </c>
    </row>
    <row r="712" spans="1:12" ht="12" customHeight="1" x14ac:dyDescent="0.35">
      <c r="B712" s="84" t="s">
        <v>9</v>
      </c>
      <c r="C712" s="455" t="s">
        <v>427</v>
      </c>
      <c r="D712" s="455"/>
      <c r="E712" s="455"/>
      <c r="F712" s="95" t="str">
        <f>OP</f>
        <v>TANJUNG PALAS TENGAH</v>
      </c>
      <c r="G712" s="85" t="s">
        <v>428</v>
      </c>
      <c r="H712" s="87" t="e">
        <f>H711*F712</f>
        <v>#REF!</v>
      </c>
      <c r="I712" s="85" t="s">
        <v>428</v>
      </c>
      <c r="J712" s="87" t="e">
        <f>J711*F712</f>
        <v>#REF!</v>
      </c>
      <c r="K712" s="85" t="s">
        <v>428</v>
      </c>
      <c r="L712" s="87" t="e">
        <f>L711*F712</f>
        <v>#REF!</v>
      </c>
    </row>
    <row r="713" spans="1:12" ht="12" customHeight="1" x14ac:dyDescent="0.35">
      <c r="B713" s="84" t="s">
        <v>10</v>
      </c>
      <c r="C713" s="103" t="s">
        <v>429</v>
      </c>
      <c r="D713" s="104"/>
      <c r="E713" s="104"/>
      <c r="F713" s="104"/>
      <c r="G713" s="105"/>
      <c r="H713" s="96" t="e">
        <f>H711+H712</f>
        <v>#REF!</v>
      </c>
      <c r="I713" s="97"/>
      <c r="J713" s="96" t="e">
        <f>J711+J712</f>
        <v>#REF!</v>
      </c>
      <c r="K713" s="97"/>
      <c r="L713" s="96" t="e">
        <f>L711+L712</f>
        <v>#REF!</v>
      </c>
    </row>
    <row r="715" spans="1:12" ht="29" customHeight="1" x14ac:dyDescent="0.35">
      <c r="B715" s="76" t="s">
        <v>553</v>
      </c>
      <c r="C715" s="458" t="s">
        <v>554</v>
      </c>
      <c r="D715" s="459"/>
      <c r="E715" s="459"/>
      <c r="F715" s="459"/>
      <c r="G715" s="456"/>
      <c r="H715" s="457"/>
      <c r="I715" s="455" t="s">
        <v>3</v>
      </c>
      <c r="J715" s="455"/>
      <c r="K715" s="455" t="s">
        <v>4</v>
      </c>
      <c r="L715" s="455"/>
    </row>
    <row r="716" spans="1:12" ht="12" customHeight="1" x14ac:dyDescent="0.35">
      <c r="B716" s="451" t="s">
        <v>409</v>
      </c>
      <c r="C716" s="451" t="s">
        <v>410</v>
      </c>
      <c r="D716" s="452" t="s">
        <v>411</v>
      </c>
      <c r="E716" s="451" t="s">
        <v>412</v>
      </c>
      <c r="F716" s="451" t="s">
        <v>413</v>
      </c>
      <c r="G716" s="77" t="s">
        <v>414</v>
      </c>
      <c r="H716" s="77" t="s">
        <v>415</v>
      </c>
      <c r="I716" s="78" t="s">
        <v>414</v>
      </c>
      <c r="J716" s="79" t="s">
        <v>415</v>
      </c>
      <c r="K716" s="79" t="s">
        <v>414</v>
      </c>
      <c r="L716" s="79" t="s">
        <v>415</v>
      </c>
    </row>
    <row r="717" spans="1:12" ht="12" customHeight="1" x14ac:dyDescent="0.35">
      <c r="B717" s="451"/>
      <c r="C717" s="451"/>
      <c r="D717" s="453"/>
      <c r="E717" s="451"/>
      <c r="F717" s="451"/>
      <c r="G717" s="77" t="s">
        <v>17</v>
      </c>
      <c r="H717" s="77" t="s">
        <v>416</v>
      </c>
      <c r="I717" s="78" t="s">
        <v>17</v>
      </c>
      <c r="J717" s="79" t="s">
        <v>416</v>
      </c>
      <c r="K717" s="79" t="s">
        <v>17</v>
      </c>
      <c r="L717" s="79" t="s">
        <v>416</v>
      </c>
    </row>
    <row r="718" spans="1:12" ht="12" customHeight="1" x14ac:dyDescent="0.35">
      <c r="B718" s="451"/>
      <c r="C718" s="451"/>
      <c r="D718" s="454"/>
      <c r="E718" s="451"/>
      <c r="F718" s="451"/>
      <c r="G718" s="106"/>
      <c r="H718" s="77" t="s">
        <v>17</v>
      </c>
      <c r="I718" s="94"/>
      <c r="J718" s="79" t="s">
        <v>17</v>
      </c>
      <c r="K718" s="85"/>
      <c r="L718" s="79" t="s">
        <v>17</v>
      </c>
    </row>
    <row r="719" spans="1:12" ht="12" customHeight="1" x14ac:dyDescent="0.35">
      <c r="B719" s="80" t="s">
        <v>5</v>
      </c>
      <c r="C719" s="81" t="s">
        <v>417</v>
      </c>
      <c r="D719" s="82"/>
      <c r="E719" s="82"/>
      <c r="F719" s="82"/>
      <c r="G719" s="82"/>
      <c r="H719" s="82"/>
      <c r="I719" s="83"/>
      <c r="J719" s="83"/>
      <c r="K719" s="83"/>
      <c r="L719" s="83"/>
    </row>
    <row r="720" spans="1:12" ht="12" customHeight="1" x14ac:dyDescent="0.35">
      <c r="A720" s="134">
        <v>10111000</v>
      </c>
      <c r="B720" s="84"/>
      <c r="C720" s="85" t="str">
        <f>VLOOKUP(A720,'DAFTAR HARGA'!A:D,3,FALSE)</f>
        <v>OJ</v>
      </c>
      <c r="D720" s="84" t="s">
        <v>418</v>
      </c>
      <c r="E720" s="84">
        <f>VLOOKUP(A720,'DAFTAR HARGA'!A:D,4,FALSE)</f>
        <v>18750</v>
      </c>
      <c r="F720" s="86">
        <f>0.0024</f>
        <v>2.3999999999999998E-3</v>
      </c>
      <c r="G720" s="87" t="e">
        <f>VLOOKUP(A720,'DAFTAR HARGA'!A:D,5,FALSE)</f>
        <v>#REF!</v>
      </c>
      <c r="H720" s="87" t="e">
        <f>F720*G720</f>
        <v>#REF!</v>
      </c>
      <c r="I720" s="87">
        <v>78600</v>
      </c>
      <c r="J720" s="87">
        <f>F720*I720</f>
        <v>188.64</v>
      </c>
      <c r="K720" s="87">
        <v>78600</v>
      </c>
      <c r="L720" s="87">
        <f>F720*K720</f>
        <v>188.64</v>
      </c>
    </row>
    <row r="721" spans="1:12" ht="12" customHeight="1" x14ac:dyDescent="0.35">
      <c r="A721" s="134">
        <v>10121110</v>
      </c>
      <c r="B721" s="84"/>
      <c r="C721" s="85" t="str">
        <f>VLOOKUP(A721,'DAFTAR HARGA'!A:D,3,FALSE)</f>
        <v>OJ</v>
      </c>
      <c r="D721" s="84" t="s">
        <v>419</v>
      </c>
      <c r="E721" s="84">
        <f>VLOOKUP(A721,'DAFTAR HARGA'!A:D,4,FALSE)</f>
        <v>12500</v>
      </c>
      <c r="F721" s="86">
        <v>1.23E-2</v>
      </c>
      <c r="G721" s="87" t="e">
        <f>VLOOKUP(A721,'DAFTAR HARGA'!A:D,5,FALSE)</f>
        <v>#REF!</v>
      </c>
      <c r="H721" s="87" t="e">
        <f>F721*G721</f>
        <v>#REF!</v>
      </c>
      <c r="I721" s="87">
        <v>91500</v>
      </c>
      <c r="J721" s="87">
        <f>F721*I721</f>
        <v>1125.45</v>
      </c>
      <c r="K721" s="87">
        <v>91500</v>
      </c>
      <c r="L721" s="87">
        <f>F721*K721</f>
        <v>1125.45</v>
      </c>
    </row>
    <row r="722" spans="1:12" ht="12" customHeight="1" x14ac:dyDescent="0.35">
      <c r="A722" s="134">
        <v>10131000</v>
      </c>
      <c r="B722" s="84"/>
      <c r="C722" s="85" t="str">
        <f>VLOOKUP(A722,'DAFTAR HARGA'!A:D,3,FALSE)</f>
        <v>OJ</v>
      </c>
      <c r="D722" s="84" t="s">
        <v>420</v>
      </c>
      <c r="E722" s="84">
        <f>VLOOKUP(A722,'DAFTAR HARGA'!A:D,4,FALSE)</f>
        <v>14375</v>
      </c>
      <c r="F722" s="86">
        <v>2.46E-2</v>
      </c>
      <c r="G722" s="87" t="e">
        <f>VLOOKUP(A722,'DAFTAR HARGA'!A:D,5,FALSE)</f>
        <v>#REF!</v>
      </c>
      <c r="H722" s="87" t="e">
        <f>F722*G722</f>
        <v>#REF!</v>
      </c>
      <c r="I722" s="87">
        <v>92500</v>
      </c>
      <c r="J722" s="87">
        <f>F722*I722</f>
        <v>2275.5</v>
      </c>
      <c r="K722" s="87">
        <v>92500</v>
      </c>
      <c r="L722" s="87">
        <f>F722*K722</f>
        <v>2275.5</v>
      </c>
    </row>
    <row r="723" spans="1:12" ht="12" customHeight="1" x14ac:dyDescent="0.35">
      <c r="B723" s="84"/>
      <c r="C723" s="85"/>
      <c r="D723" s="84"/>
      <c r="E723" s="84"/>
      <c r="F723" s="86"/>
      <c r="G723" s="87"/>
      <c r="H723" s="87"/>
      <c r="I723" s="87"/>
      <c r="J723" s="87"/>
      <c r="K723" s="87"/>
      <c r="L723" s="87"/>
    </row>
    <row r="724" spans="1:12" ht="12" customHeight="1" x14ac:dyDescent="0.35">
      <c r="B724" s="84"/>
      <c r="C724" s="88"/>
      <c r="D724" s="79"/>
      <c r="E724" s="79"/>
      <c r="F724" s="89" t="s">
        <v>421</v>
      </c>
      <c r="G724" s="101"/>
      <c r="H724" s="87" t="e">
        <f>SUM(H720:H723)</f>
        <v>#REF!</v>
      </c>
      <c r="I724" s="101"/>
      <c r="J724" s="87">
        <f>SUM(J720:J723)</f>
        <v>3589.59</v>
      </c>
      <c r="K724" s="101"/>
      <c r="L724" s="87">
        <f>SUM(L720:L723)</f>
        <v>3589.59</v>
      </c>
    </row>
    <row r="725" spans="1:12" ht="12" customHeight="1" x14ac:dyDescent="0.35">
      <c r="B725" s="84" t="s">
        <v>6</v>
      </c>
      <c r="C725" s="88" t="s">
        <v>422</v>
      </c>
      <c r="D725" s="79"/>
      <c r="E725" s="79"/>
      <c r="F725" s="90"/>
      <c r="G725" s="84"/>
      <c r="H725" s="87"/>
      <c r="I725" s="84"/>
      <c r="J725" s="87"/>
      <c r="K725" s="84"/>
      <c r="L725" s="87"/>
    </row>
    <row r="726" spans="1:12" ht="12" customHeight="1" x14ac:dyDescent="0.35">
      <c r="B726" s="84"/>
      <c r="C726" s="85"/>
      <c r="D726" s="84"/>
      <c r="E726" s="84"/>
      <c r="F726" s="86"/>
      <c r="G726" s="87"/>
      <c r="H726" s="87">
        <f>F726*G726</f>
        <v>0</v>
      </c>
      <c r="I726" s="87">
        <v>232500</v>
      </c>
      <c r="J726" s="87">
        <f>F726*I726</f>
        <v>0</v>
      </c>
      <c r="K726" s="87">
        <v>270000</v>
      </c>
      <c r="L726" s="87">
        <f>F726*K726</f>
        <v>0</v>
      </c>
    </row>
    <row r="727" spans="1:12" ht="12" customHeight="1" x14ac:dyDescent="0.35">
      <c r="B727" s="84"/>
      <c r="C727" s="88"/>
      <c r="D727" s="79"/>
      <c r="E727" s="84"/>
      <c r="F727" s="102"/>
      <c r="G727" s="87"/>
      <c r="H727" s="87">
        <f>F727*G727</f>
        <v>0</v>
      </c>
      <c r="I727" s="87">
        <v>1060</v>
      </c>
      <c r="J727" s="87">
        <f>F727*I727</f>
        <v>0</v>
      </c>
      <c r="K727" s="87">
        <v>1060</v>
      </c>
      <c r="L727" s="87">
        <f>F727*K727</f>
        <v>0</v>
      </c>
    </row>
    <row r="728" spans="1:12" ht="12" customHeight="1" x14ac:dyDescent="0.35">
      <c r="B728" s="84"/>
      <c r="C728" s="88"/>
      <c r="D728" s="79"/>
      <c r="E728" s="84"/>
      <c r="F728" s="102"/>
      <c r="G728" s="87"/>
      <c r="H728" s="87">
        <f>F728*G728</f>
        <v>0</v>
      </c>
      <c r="I728" s="87">
        <v>215000</v>
      </c>
      <c r="J728" s="87">
        <f>F728*I728</f>
        <v>0</v>
      </c>
      <c r="K728" s="87">
        <v>250000</v>
      </c>
      <c r="L728" s="87">
        <f>F728*K728</f>
        <v>0</v>
      </c>
    </row>
    <row r="729" spans="1:12" ht="12" customHeight="1" x14ac:dyDescent="0.35">
      <c r="B729" s="84"/>
      <c r="C729" s="88"/>
      <c r="D729" s="79"/>
      <c r="E729" s="79"/>
      <c r="F729" s="89"/>
      <c r="G729" s="101"/>
      <c r="H729" s="87">
        <f>SUM(H726:H728)</f>
        <v>0</v>
      </c>
      <c r="I729" s="101"/>
      <c r="J729" s="87">
        <f>SUM(J726:J728)</f>
        <v>0</v>
      </c>
      <c r="K729" s="101"/>
      <c r="L729" s="87">
        <f>SUM(L726:L728)</f>
        <v>0</v>
      </c>
    </row>
    <row r="730" spans="1:12" ht="12" customHeight="1" x14ac:dyDescent="0.35">
      <c r="B730" s="84" t="s">
        <v>7</v>
      </c>
      <c r="C730" s="88" t="s">
        <v>424</v>
      </c>
      <c r="D730" s="79"/>
      <c r="E730" s="79"/>
      <c r="F730" s="90"/>
      <c r="G730" s="84"/>
      <c r="H730" s="87"/>
      <c r="I730" s="84"/>
      <c r="J730" s="87"/>
      <c r="K730" s="84"/>
      <c r="L730" s="87"/>
    </row>
    <row r="731" spans="1:12" ht="12" customHeight="1" x14ac:dyDescent="0.35">
      <c r="A731" s="134">
        <v>31100008</v>
      </c>
      <c r="B731" s="84"/>
      <c r="C731" s="85" t="str">
        <f>VLOOKUP(A731,'DAFTAR HARGA'!A:D,3,FALSE)</f>
        <v>jam</v>
      </c>
      <c r="D731" s="84" t="s">
        <v>418</v>
      </c>
      <c r="E731" s="84">
        <f>VLOOKUP(A731,'DAFTAR HARGA'!A:D,4,FALSE)</f>
        <v>449000</v>
      </c>
      <c r="F731" s="128">
        <f>F721</f>
        <v>1.23E-2</v>
      </c>
      <c r="G731" s="87" t="e">
        <f>VLOOKUP(A731,'DAFTAR HARGA'!A:D,5,FALSE)</f>
        <v>#REF!</v>
      </c>
      <c r="H731" s="87" t="e">
        <f>F731*G731</f>
        <v>#REF!</v>
      </c>
      <c r="I731" s="87"/>
      <c r="J731" s="87" t="e">
        <f>H731*I731</f>
        <v>#REF!</v>
      </c>
      <c r="K731" s="87"/>
      <c r="L731" s="87" t="e">
        <f>J731*K731</f>
        <v>#REF!</v>
      </c>
    </row>
    <row r="732" spans="1:12" ht="12" customHeight="1" x14ac:dyDescent="0.35">
      <c r="B732" s="84"/>
      <c r="C732" s="88"/>
      <c r="D732" s="79"/>
      <c r="E732" s="79"/>
      <c r="F732" s="90"/>
      <c r="G732" s="87"/>
      <c r="H732" s="87"/>
      <c r="I732" s="87"/>
      <c r="J732" s="87"/>
      <c r="K732" s="87"/>
      <c r="L732" s="87"/>
    </row>
    <row r="733" spans="1:12" ht="12" customHeight="1" x14ac:dyDescent="0.35">
      <c r="B733" s="84"/>
      <c r="C733" s="88"/>
      <c r="D733" s="79"/>
      <c r="E733" s="79"/>
      <c r="F733" s="90"/>
      <c r="G733" s="87"/>
      <c r="H733" s="87">
        <f>F733*G733</f>
        <v>0</v>
      </c>
      <c r="I733" s="87"/>
      <c r="J733" s="87"/>
      <c r="K733" s="87"/>
      <c r="L733" s="87"/>
    </row>
    <row r="734" spans="1:12" ht="12" customHeight="1" x14ac:dyDescent="0.35">
      <c r="B734" s="84"/>
      <c r="C734" s="88"/>
      <c r="D734" s="79"/>
      <c r="E734" s="79"/>
      <c r="F734" s="89" t="s">
        <v>425</v>
      </c>
      <c r="G734" s="101"/>
      <c r="H734" s="87" t="e">
        <f>SUM(H731:H733)</f>
        <v>#REF!</v>
      </c>
      <c r="I734" s="101"/>
      <c r="J734" s="87" t="e">
        <f>SUM(J731)</f>
        <v>#REF!</v>
      </c>
      <c r="K734" s="101"/>
      <c r="L734" s="87" t="e">
        <f>SUM(L731)</f>
        <v>#REF!</v>
      </c>
    </row>
    <row r="735" spans="1:12" ht="12" customHeight="1" x14ac:dyDescent="0.35">
      <c r="B735" s="84" t="s">
        <v>8</v>
      </c>
      <c r="C735" s="103" t="s">
        <v>426</v>
      </c>
      <c r="D735" s="104"/>
      <c r="E735" s="104"/>
      <c r="F735" s="104"/>
      <c r="G735" s="105"/>
      <c r="H735" s="87" t="e">
        <f>H724+H729+H734</f>
        <v>#REF!</v>
      </c>
      <c r="I735" s="105"/>
      <c r="J735" s="87" t="e">
        <f>J724+J729+J734</f>
        <v>#REF!</v>
      </c>
      <c r="K735" s="105"/>
      <c r="L735" s="87" t="e">
        <f>L724+L729+L734</f>
        <v>#REF!</v>
      </c>
    </row>
    <row r="736" spans="1:12" ht="12" customHeight="1" x14ac:dyDescent="0.35">
      <c r="B736" s="84" t="s">
        <v>9</v>
      </c>
      <c r="C736" s="455" t="s">
        <v>427</v>
      </c>
      <c r="D736" s="455"/>
      <c r="E736" s="455"/>
      <c r="F736" s="95" t="str">
        <f>OP</f>
        <v>TANJUNG PALAS TENGAH</v>
      </c>
      <c r="G736" s="85" t="s">
        <v>428</v>
      </c>
      <c r="H736" s="87" t="e">
        <f>H735*F736</f>
        <v>#REF!</v>
      </c>
      <c r="I736" s="85" t="s">
        <v>428</v>
      </c>
      <c r="J736" s="87" t="e">
        <f>J735*F736</f>
        <v>#REF!</v>
      </c>
      <c r="K736" s="85" t="s">
        <v>428</v>
      </c>
      <c r="L736" s="87" t="e">
        <f>L735*F736</f>
        <v>#REF!</v>
      </c>
    </row>
    <row r="737" spans="1:12" ht="12" customHeight="1" x14ac:dyDescent="0.35">
      <c r="B737" s="84" t="s">
        <v>10</v>
      </c>
      <c r="C737" s="103" t="s">
        <v>429</v>
      </c>
      <c r="D737" s="104"/>
      <c r="E737" s="104"/>
      <c r="F737" s="104"/>
      <c r="G737" s="105"/>
      <c r="H737" s="96" t="e">
        <f>H735+H736</f>
        <v>#REF!</v>
      </c>
      <c r="I737" s="97"/>
      <c r="J737" s="96" t="e">
        <f>J735+J736</f>
        <v>#REF!</v>
      </c>
      <c r="K737" s="97"/>
      <c r="L737" s="96" t="e">
        <f>L735+L736</f>
        <v>#REF!</v>
      </c>
    </row>
    <row r="739" spans="1:12" ht="29" customHeight="1" x14ac:dyDescent="0.35">
      <c r="B739" s="76" t="s">
        <v>552</v>
      </c>
      <c r="C739" s="458" t="s">
        <v>555</v>
      </c>
      <c r="D739" s="459"/>
      <c r="E739" s="459"/>
      <c r="F739" s="459"/>
      <c r="G739" s="456"/>
      <c r="H739" s="457"/>
      <c r="I739" s="455" t="s">
        <v>3</v>
      </c>
      <c r="J739" s="455"/>
      <c r="K739" s="455" t="s">
        <v>4</v>
      </c>
      <c r="L739" s="455"/>
    </row>
    <row r="740" spans="1:12" ht="12" customHeight="1" x14ac:dyDescent="0.35">
      <c r="B740" s="451" t="s">
        <v>409</v>
      </c>
      <c r="C740" s="451" t="s">
        <v>410</v>
      </c>
      <c r="D740" s="452" t="s">
        <v>411</v>
      </c>
      <c r="E740" s="451" t="s">
        <v>412</v>
      </c>
      <c r="F740" s="451" t="s">
        <v>413</v>
      </c>
      <c r="G740" s="77" t="s">
        <v>414</v>
      </c>
      <c r="H740" s="77" t="s">
        <v>415</v>
      </c>
      <c r="I740" s="78" t="s">
        <v>414</v>
      </c>
      <c r="J740" s="79" t="s">
        <v>415</v>
      </c>
      <c r="K740" s="79" t="s">
        <v>414</v>
      </c>
      <c r="L740" s="79" t="s">
        <v>415</v>
      </c>
    </row>
    <row r="741" spans="1:12" ht="12" customHeight="1" x14ac:dyDescent="0.35">
      <c r="B741" s="451"/>
      <c r="C741" s="451"/>
      <c r="D741" s="453"/>
      <c r="E741" s="451"/>
      <c r="F741" s="451"/>
      <c r="G741" s="77" t="s">
        <v>17</v>
      </c>
      <c r="H741" s="77" t="s">
        <v>416</v>
      </c>
      <c r="I741" s="78" t="s">
        <v>17</v>
      </c>
      <c r="J741" s="79" t="s">
        <v>416</v>
      </c>
      <c r="K741" s="79" t="s">
        <v>17</v>
      </c>
      <c r="L741" s="79" t="s">
        <v>416</v>
      </c>
    </row>
    <row r="742" spans="1:12" ht="12" customHeight="1" x14ac:dyDescent="0.35">
      <c r="B742" s="451"/>
      <c r="C742" s="451"/>
      <c r="D742" s="454"/>
      <c r="E742" s="451"/>
      <c r="F742" s="451"/>
      <c r="G742" s="106"/>
      <c r="H742" s="77" t="s">
        <v>17</v>
      </c>
      <c r="I742" s="94"/>
      <c r="J742" s="79" t="s">
        <v>17</v>
      </c>
      <c r="K742" s="85"/>
      <c r="L742" s="79" t="s">
        <v>17</v>
      </c>
    </row>
    <row r="743" spans="1:12" ht="12" customHeight="1" x14ac:dyDescent="0.35">
      <c r="B743" s="80" t="s">
        <v>5</v>
      </c>
      <c r="C743" s="81" t="s">
        <v>417</v>
      </c>
      <c r="D743" s="82"/>
      <c r="E743" s="82"/>
      <c r="F743" s="82"/>
      <c r="G743" s="82"/>
      <c r="H743" s="82"/>
      <c r="I743" s="83"/>
      <c r="J743" s="83"/>
      <c r="K743" s="83"/>
      <c r="L743" s="83"/>
    </row>
    <row r="744" spans="1:12" ht="12" customHeight="1" x14ac:dyDescent="0.35">
      <c r="A744" s="134">
        <v>10111000</v>
      </c>
      <c r="B744" s="84"/>
      <c r="C744" s="85" t="str">
        <f>VLOOKUP(A744,'DAFTAR HARGA'!A:D,3,FALSE)</f>
        <v>OJ</v>
      </c>
      <c r="D744" s="84" t="s">
        <v>418</v>
      </c>
      <c r="E744" s="84">
        <f>VLOOKUP(A744,'DAFTAR HARGA'!A:D,4,FALSE)</f>
        <v>18750</v>
      </c>
      <c r="F744" s="86">
        <v>2.7000000000000001E-3</v>
      </c>
      <c r="G744" s="87" t="e">
        <f>VLOOKUP(A744,'DAFTAR HARGA'!A:D,5,FALSE)</f>
        <v>#REF!</v>
      </c>
      <c r="H744" s="87" t="e">
        <f>F744*G744</f>
        <v>#REF!</v>
      </c>
      <c r="I744" s="87">
        <v>78600</v>
      </c>
      <c r="J744" s="87">
        <f>F744*I744</f>
        <v>212.22</v>
      </c>
      <c r="K744" s="87">
        <v>78600</v>
      </c>
      <c r="L744" s="87">
        <f>F744*K744</f>
        <v>212.22</v>
      </c>
    </row>
    <row r="745" spans="1:12" ht="12" customHeight="1" x14ac:dyDescent="0.35">
      <c r="A745" s="134">
        <v>10121110</v>
      </c>
      <c r="B745" s="84"/>
      <c r="C745" s="85" t="str">
        <f>VLOOKUP(A745,'DAFTAR HARGA'!A:D,3,FALSE)</f>
        <v>OJ</v>
      </c>
      <c r="D745" s="84" t="s">
        <v>419</v>
      </c>
      <c r="E745" s="84">
        <f>VLOOKUP(A745,'DAFTAR HARGA'!A:D,4,FALSE)</f>
        <v>12500</v>
      </c>
      <c r="F745" s="86">
        <v>1.3599999999999999E-2</v>
      </c>
      <c r="G745" s="87" t="e">
        <f>VLOOKUP(A745,'DAFTAR HARGA'!A:D,5,FALSE)</f>
        <v>#REF!</v>
      </c>
      <c r="H745" s="87" t="e">
        <f>F745*G745</f>
        <v>#REF!</v>
      </c>
      <c r="I745" s="87">
        <v>91500</v>
      </c>
      <c r="J745" s="87">
        <f>F745*I745</f>
        <v>1244.3999999999999</v>
      </c>
      <c r="K745" s="87">
        <v>91500</v>
      </c>
      <c r="L745" s="87">
        <f>F745*K745</f>
        <v>1244.3999999999999</v>
      </c>
    </row>
    <row r="746" spans="1:12" ht="12" customHeight="1" x14ac:dyDescent="0.35">
      <c r="A746" s="134">
        <v>10131000</v>
      </c>
      <c r="B746" s="84"/>
      <c r="C746" s="85" t="str">
        <f>VLOOKUP(A746,'DAFTAR HARGA'!A:D,3,FALSE)</f>
        <v>OJ</v>
      </c>
      <c r="D746" s="84" t="s">
        <v>420</v>
      </c>
      <c r="E746" s="84">
        <f>VLOOKUP(A746,'DAFTAR HARGA'!A:D,4,FALSE)</f>
        <v>14375</v>
      </c>
      <c r="F746" s="86">
        <v>2.7199999999999998E-2</v>
      </c>
      <c r="G746" s="87" t="e">
        <f>VLOOKUP(A746,'DAFTAR HARGA'!A:D,5,FALSE)</f>
        <v>#REF!</v>
      </c>
      <c r="H746" s="87" t="e">
        <f>F746*G746</f>
        <v>#REF!</v>
      </c>
      <c r="I746" s="87">
        <v>92500</v>
      </c>
      <c r="J746" s="87">
        <f>F746*I746</f>
        <v>2516</v>
      </c>
      <c r="K746" s="87">
        <v>92500</v>
      </c>
      <c r="L746" s="87">
        <f>F746*K746</f>
        <v>2516</v>
      </c>
    </row>
    <row r="747" spans="1:12" ht="12" customHeight="1" x14ac:dyDescent="0.35">
      <c r="B747" s="84"/>
      <c r="C747" s="85"/>
      <c r="D747" s="84"/>
      <c r="E747" s="84"/>
      <c r="F747" s="86"/>
      <c r="G747" s="87"/>
      <c r="H747" s="87"/>
      <c r="I747" s="87"/>
      <c r="J747" s="87"/>
      <c r="K747" s="87"/>
      <c r="L747" s="87"/>
    </row>
    <row r="748" spans="1:12" ht="12" customHeight="1" x14ac:dyDescent="0.35">
      <c r="B748" s="84"/>
      <c r="C748" s="88"/>
      <c r="D748" s="79"/>
      <c r="E748" s="79"/>
      <c r="F748" s="89" t="s">
        <v>421</v>
      </c>
      <c r="G748" s="101"/>
      <c r="H748" s="87" t="e">
        <f>SUM(H744:H747)</f>
        <v>#REF!</v>
      </c>
      <c r="I748" s="101"/>
      <c r="J748" s="87">
        <f>SUM(J744:J747)</f>
        <v>3972.62</v>
      </c>
      <c r="K748" s="101"/>
      <c r="L748" s="87">
        <f>SUM(L744:L747)</f>
        <v>3972.62</v>
      </c>
    </row>
    <row r="749" spans="1:12" ht="12" customHeight="1" x14ac:dyDescent="0.35">
      <c r="B749" s="84" t="s">
        <v>6</v>
      </c>
      <c r="C749" s="88" t="s">
        <v>422</v>
      </c>
      <c r="D749" s="79"/>
      <c r="E749" s="79"/>
      <c r="F749" s="90"/>
      <c r="G749" s="84"/>
      <c r="H749" s="87"/>
      <c r="I749" s="84"/>
      <c r="J749" s="87"/>
      <c r="K749" s="84"/>
      <c r="L749" s="87"/>
    </row>
    <row r="750" spans="1:12" ht="12" customHeight="1" x14ac:dyDescent="0.35">
      <c r="B750" s="84"/>
      <c r="C750" s="85"/>
      <c r="D750" s="84"/>
      <c r="E750" s="84"/>
      <c r="F750" s="86"/>
      <c r="G750" s="87"/>
      <c r="H750" s="87">
        <f>F750*G750</f>
        <v>0</v>
      </c>
      <c r="I750" s="87">
        <v>232500</v>
      </c>
      <c r="J750" s="87">
        <f>F750*I750</f>
        <v>0</v>
      </c>
      <c r="K750" s="87">
        <v>270000</v>
      </c>
      <c r="L750" s="87">
        <f>F750*K750</f>
        <v>0</v>
      </c>
    </row>
    <row r="751" spans="1:12" ht="12" customHeight="1" x14ac:dyDescent="0.35">
      <c r="B751" s="84"/>
      <c r="C751" s="88"/>
      <c r="D751" s="79"/>
      <c r="E751" s="84"/>
      <c r="F751" s="102"/>
      <c r="G751" s="87"/>
      <c r="H751" s="87">
        <f>F751*G751</f>
        <v>0</v>
      </c>
      <c r="I751" s="87">
        <v>1060</v>
      </c>
      <c r="J751" s="87">
        <f>F751*I751</f>
        <v>0</v>
      </c>
      <c r="K751" s="87">
        <v>1060</v>
      </c>
      <c r="L751" s="87">
        <f>F751*K751</f>
        <v>0</v>
      </c>
    </row>
    <row r="752" spans="1:12" ht="12" customHeight="1" x14ac:dyDescent="0.35">
      <c r="B752" s="84"/>
      <c r="C752" s="88"/>
      <c r="D752" s="79"/>
      <c r="E752" s="84"/>
      <c r="F752" s="102"/>
      <c r="G752" s="87"/>
      <c r="H752" s="87">
        <f>F752*G752</f>
        <v>0</v>
      </c>
      <c r="I752" s="87">
        <v>215000</v>
      </c>
      <c r="J752" s="87">
        <f>F752*I752</f>
        <v>0</v>
      </c>
      <c r="K752" s="87">
        <v>250000</v>
      </c>
      <c r="L752" s="87">
        <f>F752*K752</f>
        <v>0</v>
      </c>
    </row>
    <row r="753" spans="1:12" ht="12" customHeight="1" x14ac:dyDescent="0.35">
      <c r="B753" s="84"/>
      <c r="C753" s="88"/>
      <c r="D753" s="79"/>
      <c r="E753" s="79"/>
      <c r="F753" s="89"/>
      <c r="G753" s="101"/>
      <c r="H753" s="87">
        <f>SUM(H750:H752)</f>
        <v>0</v>
      </c>
      <c r="I753" s="101"/>
      <c r="J753" s="87">
        <f>SUM(J750:J752)</f>
        <v>0</v>
      </c>
      <c r="K753" s="101"/>
      <c r="L753" s="87">
        <f>SUM(L750:L752)</f>
        <v>0</v>
      </c>
    </row>
    <row r="754" spans="1:12" ht="12" customHeight="1" x14ac:dyDescent="0.35">
      <c r="B754" s="84" t="s">
        <v>7</v>
      </c>
      <c r="C754" s="88" t="s">
        <v>424</v>
      </c>
      <c r="D754" s="79"/>
      <c r="E754" s="79"/>
      <c r="F754" s="90"/>
      <c r="G754" s="84"/>
      <c r="H754" s="87"/>
      <c r="I754" s="84"/>
      <c r="J754" s="87"/>
      <c r="K754" s="84"/>
      <c r="L754" s="87"/>
    </row>
    <row r="755" spans="1:12" ht="12" customHeight="1" x14ac:dyDescent="0.35">
      <c r="A755" s="134">
        <v>31100008</v>
      </c>
      <c r="B755" s="84"/>
      <c r="C755" s="85" t="str">
        <f>VLOOKUP(A755,'DAFTAR HARGA'!A:D,3,FALSE)</f>
        <v>jam</v>
      </c>
      <c r="D755" s="84" t="s">
        <v>418</v>
      </c>
      <c r="E755" s="84">
        <f>VLOOKUP(A755,'DAFTAR HARGA'!A:D,4,FALSE)</f>
        <v>449000</v>
      </c>
      <c r="F755" s="128">
        <f>F745</f>
        <v>1.3599999999999999E-2</v>
      </c>
      <c r="G755" s="87" t="e">
        <f>VLOOKUP(A755,'DAFTAR HARGA'!A:D,5,FALSE)</f>
        <v>#REF!</v>
      </c>
      <c r="H755" s="87" t="e">
        <f>F755*G755</f>
        <v>#REF!</v>
      </c>
      <c r="I755" s="87"/>
      <c r="J755" s="87" t="e">
        <f>H755*I755</f>
        <v>#REF!</v>
      </c>
      <c r="K755" s="87"/>
      <c r="L755" s="87" t="e">
        <f>J755*K755</f>
        <v>#REF!</v>
      </c>
    </row>
    <row r="756" spans="1:12" ht="12" customHeight="1" x14ac:dyDescent="0.35">
      <c r="B756" s="84"/>
      <c r="C756" s="88"/>
      <c r="D756" s="79"/>
      <c r="E756" s="79"/>
      <c r="F756" s="90"/>
      <c r="G756" s="87"/>
      <c r="H756" s="87"/>
      <c r="I756" s="87"/>
      <c r="J756" s="87"/>
      <c r="K756" s="87"/>
      <c r="L756" s="87"/>
    </row>
    <row r="757" spans="1:12" ht="12" customHeight="1" x14ac:dyDescent="0.35">
      <c r="B757" s="84"/>
      <c r="C757" s="88"/>
      <c r="D757" s="79"/>
      <c r="E757" s="79"/>
      <c r="F757" s="90"/>
      <c r="G757" s="87"/>
      <c r="H757" s="87">
        <f>F757*G757</f>
        <v>0</v>
      </c>
      <c r="I757" s="87"/>
      <c r="J757" s="87"/>
      <c r="K757" s="87"/>
      <c r="L757" s="87"/>
    </row>
    <row r="758" spans="1:12" ht="12" customHeight="1" x14ac:dyDescent="0.35">
      <c r="B758" s="84"/>
      <c r="C758" s="88"/>
      <c r="D758" s="79"/>
      <c r="E758" s="79"/>
      <c r="F758" s="89" t="s">
        <v>425</v>
      </c>
      <c r="G758" s="101"/>
      <c r="H758" s="87" t="e">
        <f>SUM(H755:H757)</f>
        <v>#REF!</v>
      </c>
      <c r="I758" s="101"/>
      <c r="J758" s="87" t="e">
        <f>SUM(J755)</f>
        <v>#REF!</v>
      </c>
      <c r="K758" s="101"/>
      <c r="L758" s="87" t="e">
        <f>SUM(L755)</f>
        <v>#REF!</v>
      </c>
    </row>
    <row r="759" spans="1:12" ht="12" customHeight="1" x14ac:dyDescent="0.35">
      <c r="B759" s="84" t="s">
        <v>8</v>
      </c>
      <c r="C759" s="103" t="s">
        <v>426</v>
      </c>
      <c r="D759" s="104"/>
      <c r="E759" s="104"/>
      <c r="F759" s="104"/>
      <c r="G759" s="105"/>
      <c r="H759" s="87" t="e">
        <f>H748+H753+H758</f>
        <v>#REF!</v>
      </c>
      <c r="I759" s="105"/>
      <c r="J759" s="87" t="e">
        <f>J748+J753+J758</f>
        <v>#REF!</v>
      </c>
      <c r="K759" s="105"/>
      <c r="L759" s="87" t="e">
        <f>L748+L753+L758</f>
        <v>#REF!</v>
      </c>
    </row>
    <row r="760" spans="1:12" ht="12" customHeight="1" x14ac:dyDescent="0.35">
      <c r="B760" s="84" t="s">
        <v>9</v>
      </c>
      <c r="C760" s="455" t="s">
        <v>427</v>
      </c>
      <c r="D760" s="455"/>
      <c r="E760" s="455"/>
      <c r="F760" s="95" t="str">
        <f>OP</f>
        <v>TANJUNG PALAS TENGAH</v>
      </c>
      <c r="G760" s="85" t="s">
        <v>428</v>
      </c>
      <c r="H760" s="87" t="e">
        <f>H759*F760</f>
        <v>#REF!</v>
      </c>
      <c r="I760" s="85" t="s">
        <v>428</v>
      </c>
      <c r="J760" s="87" t="e">
        <f>J759*F760</f>
        <v>#REF!</v>
      </c>
      <c r="K760" s="85" t="s">
        <v>428</v>
      </c>
      <c r="L760" s="87" t="e">
        <f>L759*F760</f>
        <v>#REF!</v>
      </c>
    </row>
    <row r="761" spans="1:12" ht="12" customHeight="1" x14ac:dyDescent="0.35">
      <c r="B761" s="84" t="s">
        <v>10</v>
      </c>
      <c r="C761" s="103" t="s">
        <v>429</v>
      </c>
      <c r="D761" s="104"/>
      <c r="E761" s="104"/>
      <c r="F761" s="104"/>
      <c r="G761" s="105"/>
      <c r="H761" s="96" t="e">
        <f>H759+H760</f>
        <v>#REF!</v>
      </c>
      <c r="I761" s="97"/>
      <c r="J761" s="96" t="e">
        <f>J759+J760</f>
        <v>#REF!</v>
      </c>
      <c r="K761" s="97"/>
      <c r="L761" s="96" t="e">
        <f>L759+L760</f>
        <v>#REF!</v>
      </c>
    </row>
    <row r="763" spans="1:12" ht="29" customHeight="1" x14ac:dyDescent="0.35">
      <c r="B763" s="76" t="s">
        <v>557</v>
      </c>
      <c r="C763" s="458" t="s">
        <v>560</v>
      </c>
      <c r="D763" s="459"/>
      <c r="E763" s="459"/>
      <c r="F763" s="459"/>
      <c r="G763" s="456"/>
      <c r="H763" s="457"/>
      <c r="I763" s="455" t="s">
        <v>3</v>
      </c>
      <c r="J763" s="455"/>
      <c r="K763" s="455" t="s">
        <v>4</v>
      </c>
      <c r="L763" s="455"/>
    </row>
    <row r="764" spans="1:12" ht="12" customHeight="1" x14ac:dyDescent="0.35">
      <c r="B764" s="451" t="s">
        <v>409</v>
      </c>
      <c r="C764" s="451" t="s">
        <v>410</v>
      </c>
      <c r="D764" s="452" t="s">
        <v>411</v>
      </c>
      <c r="E764" s="451" t="s">
        <v>412</v>
      </c>
      <c r="F764" s="451" t="s">
        <v>413</v>
      </c>
      <c r="G764" s="77" t="s">
        <v>414</v>
      </c>
      <c r="H764" s="77" t="s">
        <v>415</v>
      </c>
      <c r="I764" s="78" t="s">
        <v>414</v>
      </c>
      <c r="J764" s="79" t="s">
        <v>415</v>
      </c>
      <c r="K764" s="79" t="s">
        <v>414</v>
      </c>
      <c r="L764" s="79" t="s">
        <v>415</v>
      </c>
    </row>
    <row r="765" spans="1:12" ht="12" customHeight="1" x14ac:dyDescent="0.35">
      <c r="B765" s="451"/>
      <c r="C765" s="451"/>
      <c r="D765" s="453"/>
      <c r="E765" s="451"/>
      <c r="F765" s="451"/>
      <c r="G765" s="77" t="s">
        <v>17</v>
      </c>
      <c r="H765" s="77" t="s">
        <v>416</v>
      </c>
      <c r="I765" s="78" t="s">
        <v>17</v>
      </c>
      <c r="J765" s="79" t="s">
        <v>416</v>
      </c>
      <c r="K765" s="79" t="s">
        <v>17</v>
      </c>
      <c r="L765" s="79" t="s">
        <v>416</v>
      </c>
    </row>
    <row r="766" spans="1:12" ht="12" customHeight="1" x14ac:dyDescent="0.35">
      <c r="B766" s="451"/>
      <c r="C766" s="451"/>
      <c r="D766" s="454"/>
      <c r="E766" s="451"/>
      <c r="F766" s="451"/>
      <c r="G766" s="106"/>
      <c r="H766" s="77" t="s">
        <v>17</v>
      </c>
      <c r="I766" s="94"/>
      <c r="J766" s="79" t="s">
        <v>17</v>
      </c>
      <c r="K766" s="85"/>
      <c r="L766" s="79" t="s">
        <v>17</v>
      </c>
    </row>
    <row r="767" spans="1:12" ht="12" customHeight="1" x14ac:dyDescent="0.35">
      <c r="B767" s="80" t="s">
        <v>5</v>
      </c>
      <c r="C767" s="81" t="s">
        <v>417</v>
      </c>
      <c r="D767" s="82"/>
      <c r="E767" s="82"/>
      <c r="F767" s="82"/>
      <c r="G767" s="82"/>
      <c r="H767" s="82"/>
      <c r="I767" s="83"/>
      <c r="J767" s="83"/>
      <c r="K767" s="83"/>
      <c r="L767" s="83"/>
    </row>
    <row r="768" spans="1:12" ht="12" customHeight="1" x14ac:dyDescent="0.35">
      <c r="A768" s="134">
        <v>10111000</v>
      </c>
      <c r="B768" s="84"/>
      <c r="C768" s="85" t="str">
        <f>VLOOKUP(A768,'DAFTAR HARGA'!A:D,3,FALSE)</f>
        <v>OJ</v>
      </c>
      <c r="D768" s="84" t="s">
        <v>418</v>
      </c>
      <c r="E768" s="84">
        <f>VLOOKUP(A768,'DAFTAR HARGA'!A:D,4,FALSE)</f>
        <v>18750</v>
      </c>
      <c r="F768" s="86">
        <v>2.2000000000000001E-3</v>
      </c>
      <c r="G768" s="87" t="e">
        <f>VLOOKUP(A768,'DAFTAR HARGA'!A:D,5,FALSE)</f>
        <v>#REF!</v>
      </c>
      <c r="H768" s="87" t="e">
        <f>F768*G768</f>
        <v>#REF!</v>
      </c>
      <c r="I768" s="87">
        <v>78600</v>
      </c>
      <c r="J768" s="87">
        <f>F768*I768</f>
        <v>172.92000000000002</v>
      </c>
      <c r="K768" s="87">
        <v>78600</v>
      </c>
      <c r="L768" s="87">
        <f>F768*K768</f>
        <v>172.92000000000002</v>
      </c>
    </row>
    <row r="769" spans="1:12" ht="12" customHeight="1" x14ac:dyDescent="0.35">
      <c r="A769" s="134">
        <v>10121110</v>
      </c>
      <c r="B769" s="84"/>
      <c r="C769" s="85" t="str">
        <f>VLOOKUP(A769,'DAFTAR HARGA'!A:D,3,FALSE)</f>
        <v>OJ</v>
      </c>
      <c r="D769" s="84" t="s">
        <v>419</v>
      </c>
      <c r="E769" s="84">
        <f>VLOOKUP(A769,'DAFTAR HARGA'!A:D,4,FALSE)</f>
        <v>12500</v>
      </c>
      <c r="F769" s="86">
        <v>1.11E-2</v>
      </c>
      <c r="G769" s="87" t="e">
        <f>VLOOKUP(A769,'DAFTAR HARGA'!A:D,5,FALSE)</f>
        <v>#REF!</v>
      </c>
      <c r="H769" s="87" t="e">
        <f>F769*G769</f>
        <v>#REF!</v>
      </c>
      <c r="I769" s="87">
        <v>91500</v>
      </c>
      <c r="J769" s="87">
        <f>F769*I769</f>
        <v>1015.6500000000001</v>
      </c>
      <c r="K769" s="87">
        <v>91500</v>
      </c>
      <c r="L769" s="87">
        <f>F769*K769</f>
        <v>1015.6500000000001</v>
      </c>
    </row>
    <row r="770" spans="1:12" ht="12" customHeight="1" x14ac:dyDescent="0.35">
      <c r="A770" s="134">
        <v>10131000</v>
      </c>
      <c r="B770" s="84"/>
      <c r="C770" s="85" t="str">
        <f>VLOOKUP(A770,'DAFTAR HARGA'!A:D,3,FALSE)</f>
        <v>OJ</v>
      </c>
      <c r="D770" s="84" t="s">
        <v>420</v>
      </c>
      <c r="E770" s="84">
        <f>VLOOKUP(A770,'DAFTAR HARGA'!A:D,4,FALSE)</f>
        <v>14375</v>
      </c>
      <c r="F770" s="86">
        <v>2.2200000000000001E-2</v>
      </c>
      <c r="G770" s="87" t="e">
        <f>VLOOKUP(A770,'DAFTAR HARGA'!A:D,5,FALSE)</f>
        <v>#REF!</v>
      </c>
      <c r="H770" s="87" t="e">
        <f>F770*G770</f>
        <v>#REF!</v>
      </c>
      <c r="I770" s="87">
        <v>92500</v>
      </c>
      <c r="J770" s="87">
        <f>F770*I770</f>
        <v>2053.5</v>
      </c>
      <c r="K770" s="87">
        <v>92500</v>
      </c>
      <c r="L770" s="87">
        <f>F770*K770</f>
        <v>2053.5</v>
      </c>
    </row>
    <row r="771" spans="1:12" ht="12" customHeight="1" x14ac:dyDescent="0.35">
      <c r="B771" s="84"/>
      <c r="C771" s="85"/>
      <c r="D771" s="84"/>
      <c r="E771" s="84"/>
      <c r="F771" s="86"/>
      <c r="G771" s="87"/>
      <c r="H771" s="87"/>
      <c r="I771" s="87"/>
      <c r="J771" s="87"/>
      <c r="K771" s="87"/>
      <c r="L771" s="87"/>
    </row>
    <row r="772" spans="1:12" ht="12" customHeight="1" x14ac:dyDescent="0.35">
      <c r="B772" s="84"/>
      <c r="C772" s="88"/>
      <c r="D772" s="79"/>
      <c r="E772" s="79"/>
      <c r="F772" s="89" t="s">
        <v>421</v>
      </c>
      <c r="G772" s="101"/>
      <c r="H772" s="87" t="e">
        <f>SUM(H768:H771)</f>
        <v>#REF!</v>
      </c>
      <c r="I772" s="101"/>
      <c r="J772" s="87">
        <f>SUM(J768:J771)</f>
        <v>3242.07</v>
      </c>
      <c r="K772" s="101"/>
      <c r="L772" s="87">
        <f>SUM(L768:L771)</f>
        <v>3242.07</v>
      </c>
    </row>
    <row r="773" spans="1:12" ht="12" customHeight="1" x14ac:dyDescent="0.35">
      <c r="B773" s="84" t="s">
        <v>6</v>
      </c>
      <c r="C773" s="88" t="s">
        <v>422</v>
      </c>
      <c r="D773" s="79"/>
      <c r="E773" s="79"/>
      <c r="F773" s="90"/>
      <c r="G773" s="84"/>
      <c r="H773" s="87"/>
      <c r="I773" s="84"/>
      <c r="J773" s="87"/>
      <c r="K773" s="84"/>
      <c r="L773" s="87"/>
    </row>
    <row r="774" spans="1:12" ht="12" customHeight="1" x14ac:dyDescent="0.35">
      <c r="B774" s="84"/>
      <c r="C774" s="85"/>
      <c r="D774" s="84"/>
      <c r="E774" s="84"/>
      <c r="F774" s="86"/>
      <c r="G774" s="87"/>
      <c r="H774" s="87">
        <f>F774*G774</f>
        <v>0</v>
      </c>
      <c r="I774" s="87">
        <v>232500</v>
      </c>
      <c r="J774" s="87">
        <f>F774*I774</f>
        <v>0</v>
      </c>
      <c r="K774" s="87">
        <v>270000</v>
      </c>
      <c r="L774" s="87">
        <f>F774*K774</f>
        <v>0</v>
      </c>
    </row>
    <row r="775" spans="1:12" ht="12" customHeight="1" x14ac:dyDescent="0.35">
      <c r="B775" s="84"/>
      <c r="C775" s="88"/>
      <c r="D775" s="79"/>
      <c r="E775" s="84"/>
      <c r="F775" s="102"/>
      <c r="G775" s="87"/>
      <c r="H775" s="87">
        <f>F775*G775</f>
        <v>0</v>
      </c>
      <c r="I775" s="87">
        <v>1060</v>
      </c>
      <c r="J775" s="87">
        <f>F775*I775</f>
        <v>0</v>
      </c>
      <c r="K775" s="87">
        <v>1060</v>
      </c>
      <c r="L775" s="87">
        <f>F775*K775</f>
        <v>0</v>
      </c>
    </row>
    <row r="776" spans="1:12" ht="12" customHeight="1" x14ac:dyDescent="0.35">
      <c r="B776" s="84"/>
      <c r="C776" s="88"/>
      <c r="D776" s="79"/>
      <c r="E776" s="84"/>
      <c r="F776" s="102"/>
      <c r="G776" s="87"/>
      <c r="H776" s="87">
        <f>F776*G776</f>
        <v>0</v>
      </c>
      <c r="I776" s="87">
        <v>215000</v>
      </c>
      <c r="J776" s="87">
        <f>F776*I776</f>
        <v>0</v>
      </c>
      <c r="K776" s="87">
        <v>250000</v>
      </c>
      <c r="L776" s="87">
        <f>F776*K776</f>
        <v>0</v>
      </c>
    </row>
    <row r="777" spans="1:12" ht="12" customHeight="1" x14ac:dyDescent="0.35">
      <c r="B777" s="84"/>
      <c r="C777" s="88"/>
      <c r="D777" s="79"/>
      <c r="E777" s="79"/>
      <c r="F777" s="89"/>
      <c r="G777" s="101"/>
      <c r="H777" s="87">
        <f>SUM(H774:H776)</f>
        <v>0</v>
      </c>
      <c r="I777" s="101"/>
      <c r="J777" s="87">
        <f>SUM(J774:J776)</f>
        <v>0</v>
      </c>
      <c r="K777" s="101"/>
      <c r="L777" s="87">
        <f>SUM(L774:L776)</f>
        <v>0</v>
      </c>
    </row>
    <row r="778" spans="1:12" ht="12" customHeight="1" x14ac:dyDescent="0.35">
      <c r="B778" s="84" t="s">
        <v>7</v>
      </c>
      <c r="C778" s="88" t="s">
        <v>424</v>
      </c>
      <c r="D778" s="79"/>
      <c r="E778" s="79"/>
      <c r="F778" s="90"/>
      <c r="G778" s="84"/>
      <c r="H778" s="87"/>
      <c r="I778" s="84"/>
      <c r="J778" s="87"/>
      <c r="K778" s="84"/>
      <c r="L778" s="87"/>
    </row>
    <row r="779" spans="1:12" ht="12" customHeight="1" x14ac:dyDescent="0.35">
      <c r="A779" s="134">
        <v>31100008</v>
      </c>
      <c r="B779" s="84"/>
      <c r="C779" s="85" t="str">
        <f>VLOOKUP(A779,'DAFTAR HARGA'!A:D,3,FALSE)</f>
        <v>jam</v>
      </c>
      <c r="D779" s="84" t="s">
        <v>418</v>
      </c>
      <c r="E779" s="84">
        <f>VLOOKUP(A779,'DAFTAR HARGA'!A:D,4,FALSE)</f>
        <v>449000</v>
      </c>
      <c r="F779" s="128">
        <f>F769</f>
        <v>1.11E-2</v>
      </c>
      <c r="G779" s="87" t="e">
        <f>VLOOKUP(A779,'DAFTAR HARGA'!A:D,5,FALSE)</f>
        <v>#REF!</v>
      </c>
      <c r="H779" s="87" t="e">
        <f>F779*G779</f>
        <v>#REF!</v>
      </c>
      <c r="I779" s="87"/>
      <c r="J779" s="87" t="e">
        <f>H779*I779</f>
        <v>#REF!</v>
      </c>
      <c r="K779" s="87"/>
      <c r="L779" s="87" t="e">
        <f>J779*K779</f>
        <v>#REF!</v>
      </c>
    </row>
    <row r="780" spans="1:12" ht="12" customHeight="1" x14ac:dyDescent="0.35">
      <c r="B780" s="84"/>
      <c r="C780" s="88"/>
      <c r="D780" s="79"/>
      <c r="E780" s="79"/>
      <c r="F780" s="90"/>
      <c r="G780" s="87"/>
      <c r="H780" s="87"/>
      <c r="I780" s="87"/>
      <c r="J780" s="87"/>
      <c r="K780" s="87"/>
      <c r="L780" s="87"/>
    </row>
    <row r="781" spans="1:12" ht="12" customHeight="1" x14ac:dyDescent="0.35">
      <c r="B781" s="84"/>
      <c r="C781" s="88"/>
      <c r="D781" s="79"/>
      <c r="E781" s="79"/>
      <c r="F781" s="90"/>
      <c r="G781" s="87"/>
      <c r="H781" s="87">
        <f>F781*G781</f>
        <v>0</v>
      </c>
      <c r="I781" s="87"/>
      <c r="J781" s="87"/>
      <c r="K781" s="87"/>
      <c r="L781" s="87"/>
    </row>
    <row r="782" spans="1:12" ht="12" customHeight="1" x14ac:dyDescent="0.35">
      <c r="B782" s="84"/>
      <c r="C782" s="88"/>
      <c r="D782" s="79"/>
      <c r="E782" s="79"/>
      <c r="F782" s="89" t="s">
        <v>425</v>
      </c>
      <c r="G782" s="101"/>
      <c r="H782" s="87" t="e">
        <f>SUM(H779:H781)</f>
        <v>#REF!</v>
      </c>
      <c r="I782" s="101"/>
      <c r="J782" s="87" t="e">
        <f>SUM(J779)</f>
        <v>#REF!</v>
      </c>
      <c r="K782" s="101"/>
      <c r="L782" s="87" t="e">
        <f>SUM(L779)</f>
        <v>#REF!</v>
      </c>
    </row>
    <row r="783" spans="1:12" ht="12" customHeight="1" x14ac:dyDescent="0.35">
      <c r="B783" s="84" t="s">
        <v>8</v>
      </c>
      <c r="C783" s="103" t="s">
        <v>426</v>
      </c>
      <c r="D783" s="104"/>
      <c r="E783" s="104"/>
      <c r="F783" s="104"/>
      <c r="G783" s="105"/>
      <c r="H783" s="87" t="e">
        <f>H772+H777+H782</f>
        <v>#REF!</v>
      </c>
      <c r="I783" s="105"/>
      <c r="J783" s="87" t="e">
        <f>J772+J777+J782</f>
        <v>#REF!</v>
      </c>
      <c r="K783" s="105"/>
      <c r="L783" s="87" t="e">
        <f>L772+L777+L782</f>
        <v>#REF!</v>
      </c>
    </row>
    <row r="784" spans="1:12" ht="12" customHeight="1" x14ac:dyDescent="0.35">
      <c r="B784" s="84" t="s">
        <v>9</v>
      </c>
      <c r="C784" s="455" t="s">
        <v>427</v>
      </c>
      <c r="D784" s="455"/>
      <c r="E784" s="455"/>
      <c r="F784" s="95" t="str">
        <f>OP</f>
        <v>TANJUNG PALAS TENGAH</v>
      </c>
      <c r="G784" s="85" t="s">
        <v>428</v>
      </c>
      <c r="H784" s="87" t="e">
        <f>H783*F784</f>
        <v>#REF!</v>
      </c>
      <c r="I784" s="85" t="s">
        <v>428</v>
      </c>
      <c r="J784" s="87" t="e">
        <f>J783*F784</f>
        <v>#REF!</v>
      </c>
      <c r="K784" s="85" t="s">
        <v>428</v>
      </c>
      <c r="L784" s="87" t="e">
        <f>L783*F784</f>
        <v>#REF!</v>
      </c>
    </row>
    <row r="785" spans="1:12" ht="12" customHeight="1" x14ac:dyDescent="0.35">
      <c r="B785" s="84" t="s">
        <v>10</v>
      </c>
      <c r="C785" s="103" t="s">
        <v>429</v>
      </c>
      <c r="D785" s="104"/>
      <c r="E785" s="104"/>
      <c r="F785" s="104"/>
      <c r="G785" s="105"/>
      <c r="H785" s="96" t="e">
        <f>H783+H784</f>
        <v>#REF!</v>
      </c>
      <c r="I785" s="97"/>
      <c r="J785" s="96" t="e">
        <f>J783+J784</f>
        <v>#REF!</v>
      </c>
      <c r="K785" s="97"/>
      <c r="L785" s="96" t="e">
        <f>L783+L784</f>
        <v>#REF!</v>
      </c>
    </row>
    <row r="787" spans="1:12" ht="29" customHeight="1" x14ac:dyDescent="0.35">
      <c r="B787" s="76" t="s">
        <v>558</v>
      </c>
      <c r="C787" s="458" t="s">
        <v>561</v>
      </c>
      <c r="D787" s="459"/>
      <c r="E787" s="459"/>
      <c r="F787" s="459"/>
      <c r="G787" s="456"/>
      <c r="H787" s="457"/>
      <c r="I787" s="455" t="s">
        <v>3</v>
      </c>
      <c r="J787" s="455"/>
      <c r="K787" s="455" t="s">
        <v>4</v>
      </c>
      <c r="L787" s="455"/>
    </row>
    <row r="788" spans="1:12" ht="12" customHeight="1" x14ac:dyDescent="0.35">
      <c r="B788" s="451" t="s">
        <v>409</v>
      </c>
      <c r="C788" s="451" t="s">
        <v>410</v>
      </c>
      <c r="D788" s="452" t="s">
        <v>411</v>
      </c>
      <c r="E788" s="451" t="s">
        <v>412</v>
      </c>
      <c r="F788" s="451" t="s">
        <v>413</v>
      </c>
      <c r="G788" s="77" t="s">
        <v>414</v>
      </c>
      <c r="H788" s="77" t="s">
        <v>415</v>
      </c>
      <c r="I788" s="78" t="s">
        <v>414</v>
      </c>
      <c r="J788" s="79" t="s">
        <v>415</v>
      </c>
      <c r="K788" s="79" t="s">
        <v>414</v>
      </c>
      <c r="L788" s="79" t="s">
        <v>415</v>
      </c>
    </row>
    <row r="789" spans="1:12" ht="12" customHeight="1" x14ac:dyDescent="0.35">
      <c r="B789" s="451"/>
      <c r="C789" s="451"/>
      <c r="D789" s="453"/>
      <c r="E789" s="451"/>
      <c r="F789" s="451"/>
      <c r="G789" s="77" t="s">
        <v>17</v>
      </c>
      <c r="H789" s="77" t="s">
        <v>416</v>
      </c>
      <c r="I789" s="78" t="s">
        <v>17</v>
      </c>
      <c r="J789" s="79" t="s">
        <v>416</v>
      </c>
      <c r="K789" s="79" t="s">
        <v>17</v>
      </c>
      <c r="L789" s="79" t="s">
        <v>416</v>
      </c>
    </row>
    <row r="790" spans="1:12" ht="12" customHeight="1" x14ac:dyDescent="0.35">
      <c r="B790" s="451"/>
      <c r="C790" s="451"/>
      <c r="D790" s="454"/>
      <c r="E790" s="451"/>
      <c r="F790" s="451"/>
      <c r="G790" s="106"/>
      <c r="H790" s="77" t="s">
        <v>17</v>
      </c>
      <c r="I790" s="94"/>
      <c r="J790" s="79" t="s">
        <v>17</v>
      </c>
      <c r="K790" s="85"/>
      <c r="L790" s="79" t="s">
        <v>17</v>
      </c>
    </row>
    <row r="791" spans="1:12" ht="12" customHeight="1" x14ac:dyDescent="0.35">
      <c r="B791" s="80" t="s">
        <v>5</v>
      </c>
      <c r="C791" s="81" t="s">
        <v>417</v>
      </c>
      <c r="D791" s="82"/>
      <c r="E791" s="82"/>
      <c r="F791" s="82"/>
      <c r="G791" s="82"/>
      <c r="H791" s="82"/>
      <c r="I791" s="83"/>
      <c r="J791" s="83"/>
      <c r="K791" s="83"/>
      <c r="L791" s="83"/>
    </row>
    <row r="792" spans="1:12" ht="12" customHeight="1" x14ac:dyDescent="0.35">
      <c r="A792" s="134">
        <v>10111000</v>
      </c>
      <c r="B792" s="84"/>
      <c r="C792" s="85" t="str">
        <f>VLOOKUP(A792,'DAFTAR HARGA'!A:D,3,FALSE)</f>
        <v>OJ</v>
      </c>
      <c r="D792" s="84" t="s">
        <v>418</v>
      </c>
      <c r="E792" s="84">
        <f>VLOOKUP(A792,'DAFTAR HARGA'!A:D,4,FALSE)</f>
        <v>18750</v>
      </c>
      <c r="F792" s="86">
        <f>0.0024</f>
        <v>2.3999999999999998E-3</v>
      </c>
      <c r="G792" s="87" t="e">
        <f>VLOOKUP(A792,'DAFTAR HARGA'!A:D,5,FALSE)</f>
        <v>#REF!</v>
      </c>
      <c r="H792" s="87" t="e">
        <f>F792*G792</f>
        <v>#REF!</v>
      </c>
      <c r="I792" s="87">
        <v>78600</v>
      </c>
      <c r="J792" s="87">
        <f>F792*I792</f>
        <v>188.64</v>
      </c>
      <c r="K792" s="87">
        <v>78600</v>
      </c>
      <c r="L792" s="87">
        <f>F792*K792</f>
        <v>188.64</v>
      </c>
    </row>
    <row r="793" spans="1:12" ht="12" customHeight="1" x14ac:dyDescent="0.35">
      <c r="A793" s="134">
        <v>10121110</v>
      </c>
      <c r="B793" s="84"/>
      <c r="C793" s="85" t="str">
        <f>VLOOKUP(A793,'DAFTAR HARGA'!A:D,3,FALSE)</f>
        <v>OJ</v>
      </c>
      <c r="D793" s="84" t="s">
        <v>419</v>
      </c>
      <c r="E793" s="84">
        <f>VLOOKUP(A793,'DAFTAR HARGA'!A:D,4,FALSE)</f>
        <v>12500</v>
      </c>
      <c r="F793" s="86">
        <v>1.24E-2</v>
      </c>
      <c r="G793" s="87" t="e">
        <f>VLOOKUP(A793,'DAFTAR HARGA'!A:D,5,FALSE)</f>
        <v>#REF!</v>
      </c>
      <c r="H793" s="87" t="e">
        <f>F793*G793</f>
        <v>#REF!</v>
      </c>
      <c r="I793" s="87">
        <v>91500</v>
      </c>
      <c r="J793" s="87">
        <f>F793*I793</f>
        <v>1134.5999999999999</v>
      </c>
      <c r="K793" s="87">
        <v>91500</v>
      </c>
      <c r="L793" s="87">
        <f>F793*K793</f>
        <v>1134.5999999999999</v>
      </c>
    </row>
    <row r="794" spans="1:12" ht="12" customHeight="1" x14ac:dyDescent="0.35">
      <c r="A794" s="134">
        <v>10131000</v>
      </c>
      <c r="B794" s="84"/>
      <c r="C794" s="85" t="str">
        <f>VLOOKUP(A794,'DAFTAR HARGA'!A:D,3,FALSE)</f>
        <v>OJ</v>
      </c>
      <c r="D794" s="84" t="s">
        <v>420</v>
      </c>
      <c r="E794" s="84">
        <f>VLOOKUP(A794,'DAFTAR HARGA'!A:D,4,FALSE)</f>
        <v>14375</v>
      </c>
      <c r="F794" s="86">
        <v>2.4799999999999999E-2</v>
      </c>
      <c r="G794" s="87" t="e">
        <f>VLOOKUP(A794,'DAFTAR HARGA'!A:D,5,FALSE)</f>
        <v>#REF!</v>
      </c>
      <c r="H794" s="87" t="e">
        <f>F794*G794</f>
        <v>#REF!</v>
      </c>
      <c r="I794" s="87">
        <v>92500</v>
      </c>
      <c r="J794" s="87">
        <f>F794*I794</f>
        <v>2294</v>
      </c>
      <c r="K794" s="87">
        <v>92500</v>
      </c>
      <c r="L794" s="87">
        <f>F794*K794</f>
        <v>2294</v>
      </c>
    </row>
    <row r="795" spans="1:12" ht="12" customHeight="1" x14ac:dyDescent="0.35">
      <c r="B795" s="84"/>
      <c r="C795" s="85"/>
      <c r="D795" s="84"/>
      <c r="E795" s="84"/>
      <c r="F795" s="86"/>
      <c r="G795" s="87"/>
      <c r="H795" s="87"/>
      <c r="I795" s="87"/>
      <c r="J795" s="87"/>
      <c r="K795" s="87"/>
      <c r="L795" s="87"/>
    </row>
    <row r="796" spans="1:12" ht="12" customHeight="1" x14ac:dyDescent="0.35">
      <c r="B796" s="84"/>
      <c r="C796" s="88"/>
      <c r="D796" s="79"/>
      <c r="E796" s="79"/>
      <c r="F796" s="89" t="s">
        <v>421</v>
      </c>
      <c r="G796" s="101"/>
      <c r="H796" s="87" t="e">
        <f>SUM(H792:H795)</f>
        <v>#REF!</v>
      </c>
      <c r="I796" s="101"/>
      <c r="J796" s="87">
        <f>SUM(J792:J795)</f>
        <v>3617.24</v>
      </c>
      <c r="K796" s="101"/>
      <c r="L796" s="87">
        <f>SUM(L792:L795)</f>
        <v>3617.24</v>
      </c>
    </row>
    <row r="797" spans="1:12" ht="12" customHeight="1" x14ac:dyDescent="0.35">
      <c r="B797" s="84" t="s">
        <v>6</v>
      </c>
      <c r="C797" s="88" t="s">
        <v>422</v>
      </c>
      <c r="D797" s="79"/>
      <c r="E797" s="79"/>
      <c r="F797" s="90"/>
      <c r="G797" s="84"/>
      <c r="H797" s="87"/>
      <c r="I797" s="84"/>
      <c r="J797" s="87"/>
      <c r="K797" s="84"/>
      <c r="L797" s="87"/>
    </row>
    <row r="798" spans="1:12" ht="12" customHeight="1" x14ac:dyDescent="0.35">
      <c r="B798" s="84"/>
      <c r="C798" s="85"/>
      <c r="D798" s="84"/>
      <c r="E798" s="84"/>
      <c r="F798" s="86"/>
      <c r="G798" s="87"/>
      <c r="H798" s="87">
        <f>F798*G798</f>
        <v>0</v>
      </c>
      <c r="I798" s="87">
        <v>232500</v>
      </c>
      <c r="J798" s="87">
        <f>F798*I798</f>
        <v>0</v>
      </c>
      <c r="K798" s="87">
        <v>270000</v>
      </c>
      <c r="L798" s="87">
        <f>F798*K798</f>
        <v>0</v>
      </c>
    </row>
    <row r="799" spans="1:12" ht="12" customHeight="1" x14ac:dyDescent="0.35">
      <c r="B799" s="84"/>
      <c r="C799" s="88"/>
      <c r="D799" s="79"/>
      <c r="E799" s="84"/>
      <c r="F799" s="102"/>
      <c r="G799" s="87"/>
      <c r="H799" s="87">
        <f>F799*G799</f>
        <v>0</v>
      </c>
      <c r="I799" s="87">
        <v>1060</v>
      </c>
      <c r="J799" s="87">
        <f>F799*I799</f>
        <v>0</v>
      </c>
      <c r="K799" s="87">
        <v>1060</v>
      </c>
      <c r="L799" s="87">
        <f>F799*K799</f>
        <v>0</v>
      </c>
    </row>
    <row r="800" spans="1:12" ht="12" customHeight="1" x14ac:dyDescent="0.35">
      <c r="B800" s="84"/>
      <c r="C800" s="88"/>
      <c r="D800" s="79"/>
      <c r="E800" s="84"/>
      <c r="F800" s="102"/>
      <c r="G800" s="87"/>
      <c r="H800" s="87">
        <f>F800*G800</f>
        <v>0</v>
      </c>
      <c r="I800" s="87">
        <v>215000</v>
      </c>
      <c r="J800" s="87">
        <f>F800*I800</f>
        <v>0</v>
      </c>
      <c r="K800" s="87">
        <v>250000</v>
      </c>
      <c r="L800" s="87">
        <f>F800*K800</f>
        <v>0</v>
      </c>
    </row>
    <row r="801" spans="1:12" ht="12" customHeight="1" x14ac:dyDescent="0.35">
      <c r="B801" s="84"/>
      <c r="C801" s="88"/>
      <c r="D801" s="79"/>
      <c r="E801" s="79"/>
      <c r="F801" s="89"/>
      <c r="G801" s="101"/>
      <c r="H801" s="87">
        <f>SUM(H798:H800)</f>
        <v>0</v>
      </c>
      <c r="I801" s="101"/>
      <c r="J801" s="87">
        <f>SUM(J798:J800)</f>
        <v>0</v>
      </c>
      <c r="K801" s="101"/>
      <c r="L801" s="87">
        <f>SUM(L798:L800)</f>
        <v>0</v>
      </c>
    </row>
    <row r="802" spans="1:12" ht="12" customHeight="1" x14ac:dyDescent="0.35">
      <c r="B802" s="84" t="s">
        <v>7</v>
      </c>
      <c r="C802" s="88" t="s">
        <v>424</v>
      </c>
      <c r="D802" s="79"/>
      <c r="E802" s="79"/>
      <c r="F802" s="90"/>
      <c r="G802" s="84"/>
      <c r="H802" s="87"/>
      <c r="I802" s="84"/>
      <c r="J802" s="87"/>
      <c r="K802" s="84"/>
      <c r="L802" s="87"/>
    </row>
    <row r="803" spans="1:12" ht="12" customHeight="1" x14ac:dyDescent="0.35">
      <c r="A803" s="134">
        <v>31100008</v>
      </c>
      <c r="B803" s="84"/>
      <c r="C803" s="85" t="str">
        <f>VLOOKUP(A803,'DAFTAR HARGA'!A:D,3,FALSE)</f>
        <v>jam</v>
      </c>
      <c r="D803" s="84" t="s">
        <v>418</v>
      </c>
      <c r="E803" s="84">
        <f>VLOOKUP(A803,'DAFTAR HARGA'!A:D,4,FALSE)</f>
        <v>449000</v>
      </c>
      <c r="F803" s="128">
        <f>F793</f>
        <v>1.24E-2</v>
      </c>
      <c r="G803" s="87" t="e">
        <f>VLOOKUP(A803,'DAFTAR HARGA'!A:D,5,FALSE)</f>
        <v>#REF!</v>
      </c>
      <c r="H803" s="87" t="e">
        <f>F803*G803</f>
        <v>#REF!</v>
      </c>
      <c r="I803" s="87"/>
      <c r="J803" s="87" t="e">
        <f>H803*I803</f>
        <v>#REF!</v>
      </c>
      <c r="K803" s="87"/>
      <c r="L803" s="87" t="e">
        <f>J803*K803</f>
        <v>#REF!</v>
      </c>
    </row>
    <row r="804" spans="1:12" ht="12" customHeight="1" x14ac:dyDescent="0.35">
      <c r="B804" s="84"/>
      <c r="C804" s="88"/>
      <c r="D804" s="79"/>
      <c r="E804" s="79"/>
      <c r="F804" s="90"/>
      <c r="G804" s="87"/>
      <c r="H804" s="87"/>
      <c r="I804" s="87"/>
      <c r="J804" s="87"/>
      <c r="K804" s="87"/>
      <c r="L804" s="87"/>
    </row>
    <row r="805" spans="1:12" ht="12" customHeight="1" x14ac:dyDescent="0.35">
      <c r="B805" s="84"/>
      <c r="C805" s="88"/>
      <c r="D805" s="79"/>
      <c r="E805" s="79"/>
      <c r="F805" s="90"/>
      <c r="G805" s="87"/>
      <c r="H805" s="87">
        <f>F805*G805</f>
        <v>0</v>
      </c>
      <c r="I805" s="87"/>
      <c r="J805" s="87"/>
      <c r="K805" s="87"/>
      <c r="L805" s="87"/>
    </row>
    <row r="806" spans="1:12" ht="12" customHeight="1" x14ac:dyDescent="0.35">
      <c r="B806" s="84"/>
      <c r="C806" s="88"/>
      <c r="D806" s="79"/>
      <c r="E806" s="79"/>
      <c r="F806" s="89" t="s">
        <v>425</v>
      </c>
      <c r="G806" s="101"/>
      <c r="H806" s="87" t="e">
        <f>SUM(H803:H805)</f>
        <v>#REF!</v>
      </c>
      <c r="I806" s="101"/>
      <c r="J806" s="87" t="e">
        <f>SUM(J803)</f>
        <v>#REF!</v>
      </c>
      <c r="K806" s="101"/>
      <c r="L806" s="87" t="e">
        <f>SUM(L803)</f>
        <v>#REF!</v>
      </c>
    </row>
    <row r="807" spans="1:12" ht="12" customHeight="1" x14ac:dyDescent="0.35">
      <c r="B807" s="84" t="s">
        <v>8</v>
      </c>
      <c r="C807" s="103" t="s">
        <v>426</v>
      </c>
      <c r="D807" s="104"/>
      <c r="E807" s="104"/>
      <c r="F807" s="104"/>
      <c r="G807" s="105"/>
      <c r="H807" s="87" t="e">
        <f>H796+H801+H806</f>
        <v>#REF!</v>
      </c>
      <c r="I807" s="105"/>
      <c r="J807" s="87" t="e">
        <f>J796+J801+J806</f>
        <v>#REF!</v>
      </c>
      <c r="K807" s="105"/>
      <c r="L807" s="87" t="e">
        <f>L796+L801+L806</f>
        <v>#REF!</v>
      </c>
    </row>
    <row r="808" spans="1:12" ht="12" customHeight="1" x14ac:dyDescent="0.35">
      <c r="B808" s="84" t="s">
        <v>9</v>
      </c>
      <c r="C808" s="455" t="s">
        <v>427</v>
      </c>
      <c r="D808" s="455"/>
      <c r="E808" s="455"/>
      <c r="F808" s="95" t="str">
        <f>OP</f>
        <v>TANJUNG PALAS TENGAH</v>
      </c>
      <c r="G808" s="85" t="s">
        <v>428</v>
      </c>
      <c r="H808" s="87" t="e">
        <f>H807*F808</f>
        <v>#REF!</v>
      </c>
      <c r="I808" s="85" t="s">
        <v>428</v>
      </c>
      <c r="J808" s="87" t="e">
        <f>J807*F808</f>
        <v>#REF!</v>
      </c>
      <c r="K808" s="85" t="s">
        <v>428</v>
      </c>
      <c r="L808" s="87" t="e">
        <f>L807*F808</f>
        <v>#REF!</v>
      </c>
    </row>
    <row r="809" spans="1:12" ht="12" customHeight="1" x14ac:dyDescent="0.35">
      <c r="B809" s="84" t="s">
        <v>10</v>
      </c>
      <c r="C809" s="103" t="s">
        <v>429</v>
      </c>
      <c r="D809" s="104"/>
      <c r="E809" s="104"/>
      <c r="F809" s="104"/>
      <c r="G809" s="105"/>
      <c r="H809" s="96" t="e">
        <f>H807+H808</f>
        <v>#REF!</v>
      </c>
      <c r="I809" s="97"/>
      <c r="J809" s="96" t="e">
        <f>J807+J808</f>
        <v>#REF!</v>
      </c>
      <c r="K809" s="97"/>
      <c r="L809" s="96" t="e">
        <f>L807+L808</f>
        <v>#REF!</v>
      </c>
    </row>
    <row r="811" spans="1:12" ht="29" customHeight="1" x14ac:dyDescent="0.35">
      <c r="B811" s="76" t="s">
        <v>559</v>
      </c>
      <c r="C811" s="458" t="s">
        <v>975</v>
      </c>
      <c r="D811" s="459"/>
      <c r="E811" s="459"/>
      <c r="F811" s="459"/>
      <c r="G811" s="456"/>
      <c r="H811" s="457"/>
      <c r="I811" s="455" t="s">
        <v>3</v>
      </c>
      <c r="J811" s="455"/>
      <c r="K811" s="455" t="s">
        <v>4</v>
      </c>
      <c r="L811" s="455"/>
    </row>
    <row r="812" spans="1:12" ht="12" customHeight="1" x14ac:dyDescent="0.35">
      <c r="B812" s="451" t="s">
        <v>409</v>
      </c>
      <c r="C812" s="451" t="s">
        <v>410</v>
      </c>
      <c r="D812" s="452" t="s">
        <v>411</v>
      </c>
      <c r="E812" s="451" t="s">
        <v>412</v>
      </c>
      <c r="F812" s="451" t="s">
        <v>413</v>
      </c>
      <c r="G812" s="77" t="s">
        <v>414</v>
      </c>
      <c r="H812" s="77" t="s">
        <v>415</v>
      </c>
      <c r="I812" s="78" t="s">
        <v>414</v>
      </c>
      <c r="J812" s="79" t="s">
        <v>415</v>
      </c>
      <c r="K812" s="79" t="s">
        <v>414</v>
      </c>
      <c r="L812" s="79" t="s">
        <v>415</v>
      </c>
    </row>
    <row r="813" spans="1:12" ht="12" customHeight="1" x14ac:dyDescent="0.35">
      <c r="B813" s="451"/>
      <c r="C813" s="451"/>
      <c r="D813" s="453"/>
      <c r="E813" s="451"/>
      <c r="F813" s="451"/>
      <c r="G813" s="77" t="s">
        <v>17</v>
      </c>
      <c r="H813" s="77" t="s">
        <v>416</v>
      </c>
      <c r="I813" s="78" t="s">
        <v>17</v>
      </c>
      <c r="J813" s="79" t="s">
        <v>416</v>
      </c>
      <c r="K813" s="79" t="s">
        <v>17</v>
      </c>
      <c r="L813" s="79" t="s">
        <v>416</v>
      </c>
    </row>
    <row r="814" spans="1:12" ht="12" customHeight="1" x14ac:dyDescent="0.35">
      <c r="B814" s="451"/>
      <c r="C814" s="451"/>
      <c r="D814" s="454"/>
      <c r="E814" s="451"/>
      <c r="F814" s="451"/>
      <c r="G814" s="106"/>
      <c r="H814" s="77" t="s">
        <v>17</v>
      </c>
      <c r="I814" s="94"/>
      <c r="J814" s="79" t="s">
        <v>17</v>
      </c>
      <c r="K814" s="85"/>
      <c r="L814" s="79" t="s">
        <v>17</v>
      </c>
    </row>
    <row r="815" spans="1:12" ht="12" customHeight="1" x14ac:dyDescent="0.35">
      <c r="B815" s="80" t="s">
        <v>5</v>
      </c>
      <c r="C815" s="81" t="s">
        <v>417</v>
      </c>
      <c r="D815" s="82"/>
      <c r="E815" s="82"/>
      <c r="F815" s="82"/>
      <c r="G815" s="82"/>
      <c r="H815" s="82"/>
      <c r="I815" s="83"/>
      <c r="J815" s="83"/>
      <c r="K815" s="83"/>
      <c r="L815" s="83"/>
    </row>
    <row r="816" spans="1:12" ht="12" customHeight="1" x14ac:dyDescent="0.35">
      <c r="A816" s="134">
        <v>10111000</v>
      </c>
      <c r="B816" s="84"/>
      <c r="C816" s="85" t="str">
        <f>VLOOKUP(A816,'DAFTAR HARGA'!A:D,3,FALSE)</f>
        <v>OJ</v>
      </c>
      <c r="D816" s="84" t="s">
        <v>418</v>
      </c>
      <c r="E816" s="84">
        <f>VLOOKUP(A816,'DAFTAR HARGA'!A:D,4,FALSE)</f>
        <v>18750</v>
      </c>
      <c r="F816" s="86">
        <v>2.7000000000000001E-3</v>
      </c>
      <c r="G816" s="87" t="e">
        <f>VLOOKUP(A816,'DAFTAR HARGA'!A:D,5,FALSE)</f>
        <v>#REF!</v>
      </c>
      <c r="H816" s="87" t="e">
        <f>F816*G816</f>
        <v>#REF!</v>
      </c>
      <c r="I816" s="87">
        <v>78600</v>
      </c>
      <c r="J816" s="87">
        <f>F816*I816</f>
        <v>212.22</v>
      </c>
      <c r="K816" s="87">
        <v>78600</v>
      </c>
      <c r="L816" s="87">
        <f>F816*K816</f>
        <v>212.22</v>
      </c>
    </row>
    <row r="817" spans="1:12" ht="12" customHeight="1" x14ac:dyDescent="0.35">
      <c r="A817" s="134">
        <v>10121110</v>
      </c>
      <c r="B817" s="84"/>
      <c r="C817" s="85" t="str">
        <f>VLOOKUP(A817,'DAFTAR HARGA'!A:D,3,FALSE)</f>
        <v>OJ</v>
      </c>
      <c r="D817" s="84" t="s">
        <v>419</v>
      </c>
      <c r="E817" s="84">
        <f>VLOOKUP(A817,'DAFTAR HARGA'!A:D,4,FALSE)</f>
        <v>12500</v>
      </c>
      <c r="F817" s="86">
        <v>1.3599999999999999E-2</v>
      </c>
      <c r="G817" s="87" t="e">
        <f>VLOOKUP(A817,'DAFTAR HARGA'!A:D,5,FALSE)</f>
        <v>#REF!</v>
      </c>
      <c r="H817" s="87" t="e">
        <f>F817*G817</f>
        <v>#REF!</v>
      </c>
      <c r="I817" s="87">
        <v>91500</v>
      </c>
      <c r="J817" s="87">
        <f>F817*I817</f>
        <v>1244.3999999999999</v>
      </c>
      <c r="K817" s="87">
        <v>91500</v>
      </c>
      <c r="L817" s="87">
        <f>F817*K817</f>
        <v>1244.3999999999999</v>
      </c>
    </row>
    <row r="818" spans="1:12" ht="12" customHeight="1" x14ac:dyDescent="0.35">
      <c r="A818" s="134">
        <v>10131000</v>
      </c>
      <c r="B818" s="84"/>
      <c r="C818" s="85" t="str">
        <f>VLOOKUP(A818,'DAFTAR HARGA'!A:D,3,FALSE)</f>
        <v>OJ</v>
      </c>
      <c r="D818" s="84" t="s">
        <v>420</v>
      </c>
      <c r="E818" s="84">
        <f>VLOOKUP(A818,'DAFTAR HARGA'!A:D,4,FALSE)</f>
        <v>14375</v>
      </c>
      <c r="F818" s="86">
        <v>2.7199999999999998E-2</v>
      </c>
      <c r="G818" s="87" t="e">
        <f>VLOOKUP(A818,'DAFTAR HARGA'!A:D,5,FALSE)</f>
        <v>#REF!</v>
      </c>
      <c r="H818" s="87" t="e">
        <f>F818*G818</f>
        <v>#REF!</v>
      </c>
      <c r="I818" s="87">
        <v>92500</v>
      </c>
      <c r="J818" s="87">
        <f>F818*I818</f>
        <v>2516</v>
      </c>
      <c r="K818" s="87">
        <v>92500</v>
      </c>
      <c r="L818" s="87">
        <f>F818*K818</f>
        <v>2516</v>
      </c>
    </row>
    <row r="819" spans="1:12" ht="12" customHeight="1" x14ac:dyDescent="0.35">
      <c r="B819" s="84"/>
      <c r="C819" s="85"/>
      <c r="D819" s="84"/>
      <c r="E819" s="84"/>
      <c r="F819" s="86"/>
      <c r="G819" s="87"/>
      <c r="H819" s="87"/>
      <c r="I819" s="87"/>
      <c r="J819" s="87"/>
      <c r="K819" s="87"/>
      <c r="L819" s="87"/>
    </row>
    <row r="820" spans="1:12" ht="12" customHeight="1" x14ac:dyDescent="0.35">
      <c r="B820" s="84"/>
      <c r="C820" s="88"/>
      <c r="D820" s="79"/>
      <c r="E820" s="79"/>
      <c r="F820" s="89" t="s">
        <v>421</v>
      </c>
      <c r="G820" s="101"/>
      <c r="H820" s="87" t="e">
        <f>SUM(H816:H819)</f>
        <v>#REF!</v>
      </c>
      <c r="I820" s="101"/>
      <c r="J820" s="87">
        <f>SUM(J816:J819)</f>
        <v>3972.62</v>
      </c>
      <c r="K820" s="101"/>
      <c r="L820" s="87">
        <f>SUM(L816:L819)</f>
        <v>3972.62</v>
      </c>
    </row>
    <row r="821" spans="1:12" ht="12" customHeight="1" x14ac:dyDescent="0.35">
      <c r="B821" s="84" t="s">
        <v>6</v>
      </c>
      <c r="C821" s="88" t="s">
        <v>422</v>
      </c>
      <c r="D821" s="79"/>
      <c r="E821" s="79"/>
      <c r="F821" s="90"/>
      <c r="G821" s="84"/>
      <c r="H821" s="87"/>
      <c r="I821" s="84"/>
      <c r="J821" s="87"/>
      <c r="K821" s="84"/>
      <c r="L821" s="87"/>
    </row>
    <row r="822" spans="1:12" ht="12" customHeight="1" x14ac:dyDescent="0.35">
      <c r="B822" s="84"/>
      <c r="C822" s="85"/>
      <c r="D822" s="84"/>
      <c r="E822" s="84"/>
      <c r="F822" s="86"/>
      <c r="G822" s="87"/>
      <c r="H822" s="87">
        <f>F822*G822</f>
        <v>0</v>
      </c>
      <c r="I822" s="87">
        <v>232500</v>
      </c>
      <c r="J822" s="87">
        <f>F822*I822</f>
        <v>0</v>
      </c>
      <c r="K822" s="87">
        <v>270000</v>
      </c>
      <c r="L822" s="87">
        <f>F822*K822</f>
        <v>0</v>
      </c>
    </row>
    <row r="823" spans="1:12" ht="12" customHeight="1" x14ac:dyDescent="0.35">
      <c r="B823" s="84"/>
      <c r="C823" s="88"/>
      <c r="D823" s="79"/>
      <c r="E823" s="84"/>
      <c r="F823" s="102"/>
      <c r="G823" s="87"/>
      <c r="H823" s="87">
        <f>F823*G823</f>
        <v>0</v>
      </c>
      <c r="I823" s="87">
        <v>1060</v>
      </c>
      <c r="J823" s="87">
        <f>F823*I823</f>
        <v>0</v>
      </c>
      <c r="K823" s="87">
        <v>1060</v>
      </c>
      <c r="L823" s="87">
        <f>F823*K823</f>
        <v>0</v>
      </c>
    </row>
    <row r="824" spans="1:12" ht="12" customHeight="1" x14ac:dyDescent="0.35">
      <c r="B824" s="84"/>
      <c r="C824" s="88"/>
      <c r="D824" s="79"/>
      <c r="E824" s="84"/>
      <c r="F824" s="102"/>
      <c r="G824" s="87"/>
      <c r="H824" s="87">
        <f>F824*G824</f>
        <v>0</v>
      </c>
      <c r="I824" s="87">
        <v>215000</v>
      </c>
      <c r="J824" s="87">
        <f>F824*I824</f>
        <v>0</v>
      </c>
      <c r="K824" s="87">
        <v>250000</v>
      </c>
      <c r="L824" s="87">
        <f>F824*K824</f>
        <v>0</v>
      </c>
    </row>
    <row r="825" spans="1:12" ht="12" customHeight="1" x14ac:dyDescent="0.35">
      <c r="B825" s="84"/>
      <c r="C825" s="88"/>
      <c r="D825" s="79"/>
      <c r="E825" s="79"/>
      <c r="F825" s="89"/>
      <c r="G825" s="101"/>
      <c r="H825" s="87">
        <f>SUM(H822:H824)</f>
        <v>0</v>
      </c>
      <c r="I825" s="101"/>
      <c r="J825" s="87">
        <f>SUM(J822:J824)</f>
        <v>0</v>
      </c>
      <c r="K825" s="101"/>
      <c r="L825" s="87">
        <f>SUM(L822:L824)</f>
        <v>0</v>
      </c>
    </row>
    <row r="826" spans="1:12" ht="12" customHeight="1" x14ac:dyDescent="0.35">
      <c r="B826" s="84" t="s">
        <v>7</v>
      </c>
      <c r="C826" s="88" t="s">
        <v>424</v>
      </c>
      <c r="D826" s="79"/>
      <c r="E826" s="79"/>
      <c r="F826" s="90"/>
      <c r="G826" s="84"/>
      <c r="H826" s="87"/>
      <c r="I826" s="84"/>
      <c r="J826" s="87"/>
      <c r="K826" s="84"/>
      <c r="L826" s="87"/>
    </row>
    <row r="827" spans="1:12" ht="12" customHeight="1" x14ac:dyDescent="0.35">
      <c r="A827" s="134">
        <v>31100008</v>
      </c>
      <c r="B827" s="84"/>
      <c r="C827" s="85" t="str">
        <f>VLOOKUP(A827,'DAFTAR HARGA'!A:D,3,FALSE)</f>
        <v>jam</v>
      </c>
      <c r="D827" s="84" t="s">
        <v>418</v>
      </c>
      <c r="E827" s="84">
        <f>VLOOKUP(A827,'DAFTAR HARGA'!A:D,4,FALSE)</f>
        <v>449000</v>
      </c>
      <c r="F827" s="128">
        <f>F817</f>
        <v>1.3599999999999999E-2</v>
      </c>
      <c r="G827" s="87" t="e">
        <f>VLOOKUP(A827,'DAFTAR HARGA'!A:D,5,FALSE)</f>
        <v>#REF!</v>
      </c>
      <c r="H827" s="87" t="e">
        <f>F827*G827</f>
        <v>#REF!</v>
      </c>
      <c r="I827" s="87"/>
      <c r="J827" s="87" t="e">
        <f>H827*I827</f>
        <v>#REF!</v>
      </c>
      <c r="K827" s="87"/>
      <c r="L827" s="87" t="e">
        <f>J827*K827</f>
        <v>#REF!</v>
      </c>
    </row>
    <row r="828" spans="1:12" ht="12" customHeight="1" x14ac:dyDescent="0.35">
      <c r="B828" s="84"/>
      <c r="C828" s="88"/>
      <c r="D828" s="79"/>
      <c r="E828" s="79"/>
      <c r="F828" s="90"/>
      <c r="G828" s="87"/>
      <c r="H828" s="87"/>
      <c r="I828" s="87"/>
      <c r="J828" s="87"/>
      <c r="K828" s="87"/>
      <c r="L828" s="87"/>
    </row>
    <row r="829" spans="1:12" ht="12" customHeight="1" x14ac:dyDescent="0.35">
      <c r="B829" s="84"/>
      <c r="C829" s="88"/>
      <c r="D829" s="79"/>
      <c r="E829" s="79"/>
      <c r="F829" s="90"/>
      <c r="G829" s="87"/>
      <c r="H829" s="87">
        <f>F829*G829</f>
        <v>0</v>
      </c>
      <c r="I829" s="87"/>
      <c r="J829" s="87"/>
      <c r="K829" s="87"/>
      <c r="L829" s="87"/>
    </row>
    <row r="830" spans="1:12" ht="12" customHeight="1" x14ac:dyDescent="0.35">
      <c r="B830" s="84"/>
      <c r="C830" s="88"/>
      <c r="D830" s="79"/>
      <c r="E830" s="79"/>
      <c r="F830" s="89" t="s">
        <v>425</v>
      </c>
      <c r="G830" s="101"/>
      <c r="H830" s="87" t="e">
        <f>SUM(H827:H829)</f>
        <v>#REF!</v>
      </c>
      <c r="I830" s="101"/>
      <c r="J830" s="87" t="e">
        <f>SUM(J827)</f>
        <v>#REF!</v>
      </c>
      <c r="K830" s="101"/>
      <c r="L830" s="87" t="e">
        <f>SUM(L827)</f>
        <v>#REF!</v>
      </c>
    </row>
    <row r="831" spans="1:12" ht="12" customHeight="1" x14ac:dyDescent="0.35">
      <c r="B831" s="84" t="s">
        <v>8</v>
      </c>
      <c r="C831" s="103" t="s">
        <v>426</v>
      </c>
      <c r="D831" s="104"/>
      <c r="E831" s="104"/>
      <c r="F831" s="104"/>
      <c r="G831" s="105"/>
      <c r="H831" s="87" t="e">
        <f>H820+H825+H830</f>
        <v>#REF!</v>
      </c>
      <c r="I831" s="105"/>
      <c r="J831" s="87" t="e">
        <f>J820+J825+J830</f>
        <v>#REF!</v>
      </c>
      <c r="K831" s="105"/>
      <c r="L831" s="87" t="e">
        <f>L820+L825+L830</f>
        <v>#REF!</v>
      </c>
    </row>
    <row r="832" spans="1:12" ht="12" customHeight="1" x14ac:dyDescent="0.35">
      <c r="B832" s="84" t="s">
        <v>9</v>
      </c>
      <c r="C832" s="455" t="s">
        <v>427</v>
      </c>
      <c r="D832" s="455"/>
      <c r="E832" s="455"/>
      <c r="F832" s="95" t="str">
        <f>OP</f>
        <v>TANJUNG PALAS TENGAH</v>
      </c>
      <c r="G832" s="85" t="s">
        <v>428</v>
      </c>
      <c r="H832" s="87" t="e">
        <f>H831*F832</f>
        <v>#REF!</v>
      </c>
      <c r="I832" s="85" t="s">
        <v>428</v>
      </c>
      <c r="J832" s="87" t="e">
        <f>J831*F832</f>
        <v>#REF!</v>
      </c>
      <c r="K832" s="85" t="s">
        <v>428</v>
      </c>
      <c r="L832" s="87" t="e">
        <f>L831*F832</f>
        <v>#REF!</v>
      </c>
    </row>
    <row r="833" spans="2:12" ht="12" customHeight="1" x14ac:dyDescent="0.35">
      <c r="B833" s="84" t="s">
        <v>10</v>
      </c>
      <c r="C833" s="103" t="s">
        <v>429</v>
      </c>
      <c r="D833" s="104"/>
      <c r="E833" s="104"/>
      <c r="F833" s="104"/>
      <c r="G833" s="105"/>
      <c r="H833" s="96" t="e">
        <f>H831+H832</f>
        <v>#REF!</v>
      </c>
      <c r="I833" s="97"/>
      <c r="J833" s="96" t="e">
        <f>J831+J832</f>
        <v>#REF!</v>
      </c>
      <c r="K833" s="97"/>
      <c r="L833" s="96" t="e">
        <f>L831+L832</f>
        <v>#REF!</v>
      </c>
    </row>
    <row r="835" spans="2:12" ht="29" customHeight="1" x14ac:dyDescent="0.35">
      <c r="B835" s="76" t="s">
        <v>563</v>
      </c>
      <c r="C835" s="458" t="s">
        <v>567</v>
      </c>
      <c r="D835" s="459"/>
      <c r="E835" s="459"/>
      <c r="F835" s="459"/>
      <c r="G835" s="456"/>
      <c r="H835" s="457"/>
      <c r="I835" s="455" t="s">
        <v>3</v>
      </c>
      <c r="J835" s="455"/>
      <c r="K835" s="455" t="s">
        <v>4</v>
      </c>
      <c r="L835" s="455"/>
    </row>
    <row r="836" spans="2:12" ht="12" customHeight="1" x14ac:dyDescent="0.35">
      <c r="B836" s="451" t="s">
        <v>409</v>
      </c>
      <c r="C836" s="451" t="s">
        <v>410</v>
      </c>
      <c r="D836" s="452" t="s">
        <v>411</v>
      </c>
      <c r="E836" s="451" t="s">
        <v>412</v>
      </c>
      <c r="F836" s="451" t="s">
        <v>413</v>
      </c>
      <c r="G836" s="77" t="s">
        <v>414</v>
      </c>
      <c r="H836" s="77" t="s">
        <v>415</v>
      </c>
      <c r="I836" s="78" t="s">
        <v>414</v>
      </c>
      <c r="J836" s="79" t="s">
        <v>415</v>
      </c>
      <c r="K836" s="79" t="s">
        <v>414</v>
      </c>
      <c r="L836" s="79" t="s">
        <v>415</v>
      </c>
    </row>
    <row r="837" spans="2:12" ht="12" customHeight="1" x14ac:dyDescent="0.35">
      <c r="B837" s="451"/>
      <c r="C837" s="451"/>
      <c r="D837" s="453"/>
      <c r="E837" s="451"/>
      <c r="F837" s="451"/>
      <c r="G837" s="77" t="s">
        <v>17</v>
      </c>
      <c r="H837" s="77" t="s">
        <v>416</v>
      </c>
      <c r="I837" s="78" t="s">
        <v>17</v>
      </c>
      <c r="J837" s="79" t="s">
        <v>416</v>
      </c>
      <c r="K837" s="79" t="s">
        <v>17</v>
      </c>
      <c r="L837" s="79" t="s">
        <v>416</v>
      </c>
    </row>
    <row r="838" spans="2:12" ht="12" customHeight="1" x14ac:dyDescent="0.35">
      <c r="B838" s="451"/>
      <c r="C838" s="451"/>
      <c r="D838" s="454"/>
      <c r="E838" s="451"/>
      <c r="F838" s="451"/>
      <c r="G838" s="106"/>
      <c r="H838" s="77" t="s">
        <v>17</v>
      </c>
      <c r="I838" s="94"/>
      <c r="J838" s="79" t="s">
        <v>17</v>
      </c>
      <c r="K838" s="85"/>
      <c r="L838" s="79" t="s">
        <v>17</v>
      </c>
    </row>
    <row r="839" spans="2:12" ht="12" customHeight="1" x14ac:dyDescent="0.35">
      <c r="B839" s="80" t="s">
        <v>5</v>
      </c>
      <c r="C839" s="81" t="s">
        <v>417</v>
      </c>
      <c r="D839" s="82"/>
      <c r="E839" s="82"/>
      <c r="F839" s="82"/>
      <c r="G839" s="82"/>
      <c r="H839" s="82"/>
      <c r="I839" s="83"/>
      <c r="J839" s="83"/>
      <c r="K839" s="83"/>
      <c r="L839" s="83"/>
    </row>
    <row r="840" spans="2:12" ht="12" customHeight="1" x14ac:dyDescent="0.35">
      <c r="B840" s="84"/>
      <c r="C840" s="85"/>
      <c r="D840" s="84"/>
      <c r="E840" s="84"/>
      <c r="F840" s="86"/>
      <c r="G840" s="87"/>
      <c r="H840" s="87">
        <f>F840*G840</f>
        <v>0</v>
      </c>
      <c r="I840" s="87">
        <v>78600</v>
      </c>
      <c r="J840" s="87">
        <f>F840*I840</f>
        <v>0</v>
      </c>
      <c r="K840" s="87">
        <v>78600</v>
      </c>
      <c r="L840" s="87">
        <f>F840*K840</f>
        <v>0</v>
      </c>
    </row>
    <row r="841" spans="2:12" ht="12" customHeight="1" x14ac:dyDescent="0.35">
      <c r="B841" s="84"/>
      <c r="C841" s="85"/>
      <c r="D841" s="84"/>
      <c r="E841" s="84"/>
      <c r="F841" s="86"/>
      <c r="G841" s="87"/>
      <c r="H841" s="87">
        <f>F841*G841</f>
        <v>0</v>
      </c>
      <c r="I841" s="87">
        <v>91500</v>
      </c>
      <c r="J841" s="87">
        <f>F841*I841</f>
        <v>0</v>
      </c>
      <c r="K841" s="87">
        <v>91500</v>
      </c>
      <c r="L841" s="87">
        <f>F841*K841</f>
        <v>0</v>
      </c>
    </row>
    <row r="842" spans="2:12" ht="12" customHeight="1" x14ac:dyDescent="0.35">
      <c r="B842" s="84"/>
      <c r="C842" s="85"/>
      <c r="D842" s="84"/>
      <c r="E842" s="84"/>
      <c r="F842" s="86"/>
      <c r="G842" s="87"/>
      <c r="H842" s="87">
        <f>F842*G842</f>
        <v>0</v>
      </c>
      <c r="I842" s="87">
        <v>92500</v>
      </c>
      <c r="J842" s="87">
        <f>F842*I842</f>
        <v>0</v>
      </c>
      <c r="K842" s="87">
        <v>92500</v>
      </c>
      <c r="L842" s="87">
        <f>F842*K842</f>
        <v>0</v>
      </c>
    </row>
    <row r="843" spans="2:12" ht="12" customHeight="1" x14ac:dyDescent="0.35">
      <c r="B843" s="84"/>
      <c r="C843" s="85"/>
      <c r="D843" s="84"/>
      <c r="E843" s="84"/>
      <c r="F843" s="86"/>
      <c r="G843" s="87"/>
      <c r="H843" s="87"/>
      <c r="I843" s="87"/>
      <c r="J843" s="87"/>
      <c r="K843" s="87"/>
      <c r="L843" s="87"/>
    </row>
    <row r="844" spans="2:12" ht="12" customHeight="1" x14ac:dyDescent="0.35">
      <c r="B844" s="84"/>
      <c r="C844" s="88"/>
      <c r="D844" s="79"/>
      <c r="E844" s="79"/>
      <c r="F844" s="89" t="s">
        <v>421</v>
      </c>
      <c r="G844" s="101"/>
      <c r="H844" s="87">
        <f>SUM(H840:H843)</f>
        <v>0</v>
      </c>
      <c r="I844" s="101"/>
      <c r="J844" s="87">
        <f>SUM(J840:J843)</f>
        <v>0</v>
      </c>
      <c r="K844" s="101"/>
      <c r="L844" s="87">
        <f>SUM(L840:L843)</f>
        <v>0</v>
      </c>
    </row>
    <row r="845" spans="2:12" ht="12" customHeight="1" x14ac:dyDescent="0.35">
      <c r="B845" s="84" t="s">
        <v>6</v>
      </c>
      <c r="C845" s="88" t="s">
        <v>422</v>
      </c>
      <c r="D845" s="79"/>
      <c r="E845" s="79"/>
      <c r="F845" s="90"/>
      <c r="G845" s="84"/>
      <c r="H845" s="87"/>
      <c r="I845" s="84"/>
      <c r="J845" s="87"/>
      <c r="K845" s="84"/>
      <c r="L845" s="87"/>
    </row>
    <row r="846" spans="2:12" ht="12" customHeight="1" x14ac:dyDescent="0.35">
      <c r="B846" s="84"/>
      <c r="C846" s="85"/>
      <c r="D846" s="84"/>
      <c r="E846" s="84"/>
      <c r="F846" s="86"/>
      <c r="G846" s="87"/>
      <c r="H846" s="87">
        <f>F846*G846</f>
        <v>0</v>
      </c>
      <c r="I846" s="87">
        <v>232500</v>
      </c>
      <c r="J846" s="87">
        <f>F846*I846</f>
        <v>0</v>
      </c>
      <c r="K846" s="87">
        <v>270000</v>
      </c>
      <c r="L846" s="87">
        <f>F846*K846</f>
        <v>0</v>
      </c>
    </row>
    <row r="847" spans="2:12" ht="12" customHeight="1" x14ac:dyDescent="0.35">
      <c r="B847" s="84"/>
      <c r="C847" s="88"/>
      <c r="D847" s="79"/>
      <c r="E847" s="84"/>
      <c r="F847" s="102"/>
      <c r="G847" s="87"/>
      <c r="H847" s="87">
        <f>F847*G847</f>
        <v>0</v>
      </c>
      <c r="I847" s="87">
        <v>1060</v>
      </c>
      <c r="J847" s="87">
        <f>F847*I847</f>
        <v>0</v>
      </c>
      <c r="K847" s="87">
        <v>1060</v>
      </c>
      <c r="L847" s="87">
        <f>F847*K847</f>
        <v>0</v>
      </c>
    </row>
    <row r="848" spans="2:12" ht="12" customHeight="1" x14ac:dyDescent="0.35">
      <c r="B848" s="84"/>
      <c r="C848" s="88"/>
      <c r="D848" s="79"/>
      <c r="E848" s="84"/>
      <c r="F848" s="102"/>
      <c r="G848" s="87"/>
      <c r="H848" s="87">
        <f>F848*G848</f>
        <v>0</v>
      </c>
      <c r="I848" s="87">
        <v>215000</v>
      </c>
      <c r="J848" s="87">
        <f>F848*I848</f>
        <v>0</v>
      </c>
      <c r="K848" s="87">
        <v>250000</v>
      </c>
      <c r="L848" s="87">
        <f>F848*K848</f>
        <v>0</v>
      </c>
    </row>
    <row r="849" spans="1:12" ht="12" customHeight="1" x14ac:dyDescent="0.35">
      <c r="B849" s="84"/>
      <c r="C849" s="88"/>
      <c r="D849" s="79"/>
      <c r="E849" s="79"/>
      <c r="F849" s="89"/>
      <c r="G849" s="101"/>
      <c r="H849" s="87">
        <f>SUM(H846:H848)</f>
        <v>0</v>
      </c>
      <c r="I849" s="101"/>
      <c r="J849" s="87">
        <f>SUM(J846:J848)</f>
        <v>0</v>
      </c>
      <c r="K849" s="101"/>
      <c r="L849" s="87">
        <f>SUM(L846:L848)</f>
        <v>0</v>
      </c>
    </row>
    <row r="850" spans="1:12" ht="12" customHeight="1" x14ac:dyDescent="0.35">
      <c r="B850" s="84" t="s">
        <v>7</v>
      </c>
      <c r="C850" s="88" t="s">
        <v>424</v>
      </c>
      <c r="D850" s="79"/>
      <c r="E850" s="79"/>
      <c r="F850" s="90"/>
      <c r="G850" s="84"/>
      <c r="H850" s="87"/>
      <c r="I850" s="84"/>
      <c r="J850" s="87"/>
      <c r="K850" s="84"/>
      <c r="L850" s="87"/>
    </row>
    <row r="851" spans="1:12" ht="12" customHeight="1" x14ac:dyDescent="0.35">
      <c r="A851" s="134">
        <v>31100008</v>
      </c>
      <c r="B851" s="84"/>
      <c r="C851" s="85" t="str">
        <f>VLOOKUP(A851,'DAFTAR HARGA'!A:D,3,FALSE)</f>
        <v>jam</v>
      </c>
      <c r="D851" s="84" t="s">
        <v>418</v>
      </c>
      <c r="E851" s="84">
        <f>VLOOKUP(A851,'DAFTAR HARGA'!A:D,4,FALSE)</f>
        <v>449000</v>
      </c>
      <c r="F851" s="128">
        <v>7.1000000000000004E-3</v>
      </c>
      <c r="G851" s="87" t="e">
        <f>VLOOKUP(A851,'DAFTAR HARGA'!A:D,5,FALSE)</f>
        <v>#REF!</v>
      </c>
      <c r="H851" s="87" t="e">
        <f>F851*G851</f>
        <v>#REF!</v>
      </c>
      <c r="I851" s="87"/>
      <c r="J851" s="87" t="e">
        <f>H851*I851</f>
        <v>#REF!</v>
      </c>
      <c r="K851" s="87"/>
      <c r="L851" s="87" t="e">
        <f>J851*K851</f>
        <v>#REF!</v>
      </c>
    </row>
    <row r="852" spans="1:12" ht="12" customHeight="1" x14ac:dyDescent="0.35">
      <c r="A852" s="134" t="s">
        <v>572</v>
      </c>
      <c r="B852" s="84"/>
      <c r="C852" s="85" t="str">
        <f>VLOOKUP(A852,'DAFTAR HARGA'!A:D,3,FALSE)</f>
        <v>jam</v>
      </c>
      <c r="D852" s="84" t="s">
        <v>418</v>
      </c>
      <c r="E852" s="84">
        <f>VLOOKUP(A852,'DAFTAR HARGA'!A:D,4,FALSE)</f>
        <v>290400</v>
      </c>
      <c r="F852" s="128">
        <f>0.0339</f>
        <v>3.39E-2</v>
      </c>
      <c r="G852" s="87" t="e">
        <f>VLOOKUP(A852,'DAFTAR HARGA'!A:D,5,FALSE)</f>
        <v>#REF!</v>
      </c>
      <c r="H852" s="87" t="e">
        <f>F852*G852</f>
        <v>#REF!</v>
      </c>
      <c r="I852" s="87"/>
      <c r="J852" s="87"/>
      <c r="K852" s="87"/>
      <c r="L852" s="87"/>
    </row>
    <row r="853" spans="1:12" ht="12" customHeight="1" x14ac:dyDescent="0.35">
      <c r="B853" s="84"/>
      <c r="C853" s="88"/>
      <c r="D853" s="79"/>
      <c r="E853" s="79"/>
      <c r="F853" s="90"/>
      <c r="G853" s="87"/>
      <c r="H853" s="87">
        <f>F853*G853</f>
        <v>0</v>
      </c>
      <c r="I853" s="87"/>
      <c r="J853" s="87"/>
      <c r="K853" s="87"/>
      <c r="L853" s="87"/>
    </row>
    <row r="854" spans="1:12" ht="12" customHeight="1" x14ac:dyDescent="0.35">
      <c r="B854" s="84"/>
      <c r="C854" s="88"/>
      <c r="D854" s="79"/>
      <c r="E854" s="79"/>
      <c r="F854" s="89" t="s">
        <v>425</v>
      </c>
      <c r="G854" s="101"/>
      <c r="H854" s="87" t="e">
        <f>SUM(H851:H853)</f>
        <v>#REF!</v>
      </c>
      <c r="I854" s="101"/>
      <c r="J854" s="87" t="e">
        <f>SUM(J851)</f>
        <v>#REF!</v>
      </c>
      <c r="K854" s="101"/>
      <c r="L854" s="87" t="e">
        <f>SUM(L851)</f>
        <v>#REF!</v>
      </c>
    </row>
    <row r="855" spans="1:12" ht="12" customHeight="1" x14ac:dyDescent="0.35">
      <c r="B855" s="84" t="s">
        <v>8</v>
      </c>
      <c r="C855" s="103" t="s">
        <v>426</v>
      </c>
      <c r="D855" s="104"/>
      <c r="E855" s="104"/>
      <c r="F855" s="104"/>
      <c r="G855" s="105"/>
      <c r="H855" s="87" t="e">
        <f>H844+H849+H854</f>
        <v>#REF!</v>
      </c>
      <c r="I855" s="105"/>
      <c r="J855" s="87" t="e">
        <f>J844+J849+J854</f>
        <v>#REF!</v>
      </c>
      <c r="K855" s="105"/>
      <c r="L855" s="87" t="e">
        <f>L844+L849+L854</f>
        <v>#REF!</v>
      </c>
    </row>
    <row r="856" spans="1:12" ht="12" customHeight="1" x14ac:dyDescent="0.35">
      <c r="B856" s="84" t="s">
        <v>9</v>
      </c>
      <c r="C856" s="455" t="s">
        <v>427</v>
      </c>
      <c r="D856" s="455"/>
      <c r="E856" s="455"/>
      <c r="F856" s="95" t="str">
        <f>OP</f>
        <v>TANJUNG PALAS TENGAH</v>
      </c>
      <c r="G856" s="85" t="s">
        <v>428</v>
      </c>
      <c r="H856" s="87" t="e">
        <f>H855*F856</f>
        <v>#REF!</v>
      </c>
      <c r="I856" s="85" t="s">
        <v>428</v>
      </c>
      <c r="J856" s="87" t="e">
        <f>J855*F856</f>
        <v>#REF!</v>
      </c>
      <c r="K856" s="85" t="s">
        <v>428</v>
      </c>
      <c r="L856" s="87" t="e">
        <f>L855*F856</f>
        <v>#REF!</v>
      </c>
    </row>
    <row r="857" spans="1:12" ht="12" customHeight="1" x14ac:dyDescent="0.35">
      <c r="B857" s="84" t="s">
        <v>10</v>
      </c>
      <c r="C857" s="103" t="s">
        <v>429</v>
      </c>
      <c r="D857" s="104"/>
      <c r="E857" s="104"/>
      <c r="F857" s="104"/>
      <c r="G857" s="105"/>
      <c r="H857" s="96" t="e">
        <f>H855+H856</f>
        <v>#REF!</v>
      </c>
      <c r="I857" s="97"/>
      <c r="J857" s="96" t="e">
        <f>J855+J856</f>
        <v>#REF!</v>
      </c>
      <c r="K857" s="97"/>
      <c r="L857" s="96" t="e">
        <f>L855+L856</f>
        <v>#REF!</v>
      </c>
    </row>
    <row r="859" spans="1:12" ht="29" customHeight="1" x14ac:dyDescent="0.35">
      <c r="B859" s="76" t="s">
        <v>564</v>
      </c>
      <c r="C859" s="458" t="s">
        <v>568</v>
      </c>
      <c r="D859" s="459"/>
      <c r="E859" s="459"/>
      <c r="F859" s="459"/>
      <c r="G859" s="456"/>
      <c r="H859" s="457"/>
      <c r="I859" s="455" t="s">
        <v>3</v>
      </c>
      <c r="J859" s="455"/>
      <c r="K859" s="455" t="s">
        <v>4</v>
      </c>
      <c r="L859" s="455"/>
    </row>
    <row r="860" spans="1:12" ht="12" customHeight="1" x14ac:dyDescent="0.35">
      <c r="B860" s="451" t="s">
        <v>409</v>
      </c>
      <c r="C860" s="451" t="s">
        <v>410</v>
      </c>
      <c r="D860" s="452" t="s">
        <v>411</v>
      </c>
      <c r="E860" s="451" t="s">
        <v>412</v>
      </c>
      <c r="F860" s="451" t="s">
        <v>413</v>
      </c>
      <c r="G860" s="77" t="s">
        <v>414</v>
      </c>
      <c r="H860" s="77" t="s">
        <v>415</v>
      </c>
      <c r="I860" s="78" t="s">
        <v>414</v>
      </c>
      <c r="J860" s="79" t="s">
        <v>415</v>
      </c>
      <c r="K860" s="79" t="s">
        <v>414</v>
      </c>
      <c r="L860" s="79" t="s">
        <v>415</v>
      </c>
    </row>
    <row r="861" spans="1:12" ht="12" customHeight="1" x14ac:dyDescent="0.35">
      <c r="B861" s="451"/>
      <c r="C861" s="451"/>
      <c r="D861" s="453"/>
      <c r="E861" s="451"/>
      <c r="F861" s="451"/>
      <c r="G861" s="77" t="s">
        <v>17</v>
      </c>
      <c r="H861" s="77" t="s">
        <v>416</v>
      </c>
      <c r="I861" s="78" t="s">
        <v>17</v>
      </c>
      <c r="J861" s="79" t="s">
        <v>416</v>
      </c>
      <c r="K861" s="79" t="s">
        <v>17</v>
      </c>
      <c r="L861" s="79" t="s">
        <v>416</v>
      </c>
    </row>
    <row r="862" spans="1:12" ht="12" customHeight="1" x14ac:dyDescent="0.35">
      <c r="B862" s="451"/>
      <c r="C862" s="451"/>
      <c r="D862" s="454"/>
      <c r="E862" s="451"/>
      <c r="F862" s="451"/>
      <c r="G862" s="106"/>
      <c r="H862" s="77" t="s">
        <v>17</v>
      </c>
      <c r="I862" s="94"/>
      <c r="J862" s="79" t="s">
        <v>17</v>
      </c>
      <c r="K862" s="85"/>
      <c r="L862" s="79" t="s">
        <v>17</v>
      </c>
    </row>
    <row r="863" spans="1:12" ht="12" customHeight="1" x14ac:dyDescent="0.35">
      <c r="B863" s="80" t="s">
        <v>5</v>
      </c>
      <c r="C863" s="81" t="s">
        <v>417</v>
      </c>
      <c r="D863" s="82"/>
      <c r="E863" s="82"/>
      <c r="F863" s="82"/>
      <c r="G863" s="82"/>
      <c r="H863" s="82"/>
      <c r="I863" s="83"/>
      <c r="J863" s="83"/>
      <c r="K863" s="83"/>
      <c r="L863" s="83"/>
    </row>
    <row r="864" spans="1:12" ht="12" customHeight="1" x14ac:dyDescent="0.35">
      <c r="B864" s="84"/>
      <c r="C864" s="85"/>
      <c r="D864" s="84"/>
      <c r="E864" s="84"/>
      <c r="F864" s="86"/>
      <c r="G864" s="87"/>
      <c r="H864" s="87">
        <f>F864*G864</f>
        <v>0</v>
      </c>
      <c r="I864" s="87">
        <v>78600</v>
      </c>
      <c r="J864" s="87">
        <f>F864*I864</f>
        <v>0</v>
      </c>
      <c r="K864" s="87">
        <v>78600</v>
      </c>
      <c r="L864" s="87">
        <f>F864*K864</f>
        <v>0</v>
      </c>
    </row>
    <row r="865" spans="1:12" ht="12" customHeight="1" x14ac:dyDescent="0.35">
      <c r="B865" s="84"/>
      <c r="C865" s="85"/>
      <c r="D865" s="84"/>
      <c r="E865" s="84"/>
      <c r="F865" s="86"/>
      <c r="G865" s="87"/>
      <c r="H865" s="87">
        <f>F865*G865</f>
        <v>0</v>
      </c>
      <c r="I865" s="87">
        <v>91500</v>
      </c>
      <c r="J865" s="87">
        <f>F865*I865</f>
        <v>0</v>
      </c>
      <c r="K865" s="87">
        <v>91500</v>
      </c>
      <c r="L865" s="87">
        <f>F865*K865</f>
        <v>0</v>
      </c>
    </row>
    <row r="866" spans="1:12" ht="12" customHeight="1" x14ac:dyDescent="0.35">
      <c r="B866" s="84"/>
      <c r="C866" s="85"/>
      <c r="D866" s="84"/>
      <c r="E866" s="84"/>
      <c r="F866" s="86"/>
      <c r="G866" s="87"/>
      <c r="H866" s="87">
        <f>F866*G866</f>
        <v>0</v>
      </c>
      <c r="I866" s="87">
        <v>92500</v>
      </c>
      <c r="J866" s="87">
        <f>F866*I866</f>
        <v>0</v>
      </c>
      <c r="K866" s="87">
        <v>92500</v>
      </c>
      <c r="L866" s="87">
        <f>F866*K866</f>
        <v>0</v>
      </c>
    </row>
    <row r="867" spans="1:12" ht="12" customHeight="1" x14ac:dyDescent="0.35">
      <c r="B867" s="84"/>
      <c r="C867" s="85"/>
      <c r="D867" s="84"/>
      <c r="E867" s="84"/>
      <c r="F867" s="86"/>
      <c r="G867" s="87"/>
      <c r="H867" s="87"/>
      <c r="I867" s="87"/>
      <c r="J867" s="87"/>
      <c r="K867" s="87"/>
      <c r="L867" s="87"/>
    </row>
    <row r="868" spans="1:12" ht="12" customHeight="1" x14ac:dyDescent="0.35">
      <c r="B868" s="84"/>
      <c r="C868" s="88"/>
      <c r="D868" s="79"/>
      <c r="E868" s="79"/>
      <c r="F868" s="89" t="s">
        <v>421</v>
      </c>
      <c r="G868" s="101"/>
      <c r="H868" s="87">
        <f>SUM(H864:H867)</f>
        <v>0</v>
      </c>
      <c r="I868" s="101"/>
      <c r="J868" s="87">
        <f>SUM(J864:J867)</f>
        <v>0</v>
      </c>
      <c r="K868" s="101"/>
      <c r="L868" s="87">
        <f>SUM(L864:L867)</f>
        <v>0</v>
      </c>
    </row>
    <row r="869" spans="1:12" ht="12" customHeight="1" x14ac:dyDescent="0.35">
      <c r="B869" s="84" t="s">
        <v>6</v>
      </c>
      <c r="C869" s="88" t="s">
        <v>422</v>
      </c>
      <c r="D869" s="79"/>
      <c r="E869" s="79"/>
      <c r="F869" s="90"/>
      <c r="G869" s="84"/>
      <c r="H869" s="87"/>
      <c r="I869" s="84"/>
      <c r="J869" s="87"/>
      <c r="K869" s="84"/>
      <c r="L869" s="87"/>
    </row>
    <row r="870" spans="1:12" ht="12" customHeight="1" x14ac:dyDescent="0.35">
      <c r="B870" s="84"/>
      <c r="C870" s="85"/>
      <c r="D870" s="84"/>
      <c r="E870" s="84"/>
      <c r="F870" s="86"/>
      <c r="G870" s="87"/>
      <c r="H870" s="87">
        <f>F870*G870</f>
        <v>0</v>
      </c>
      <c r="I870" s="87">
        <v>232500</v>
      </c>
      <c r="J870" s="87">
        <f>F870*I870</f>
        <v>0</v>
      </c>
      <c r="K870" s="87">
        <v>270000</v>
      </c>
      <c r="L870" s="87">
        <f>F870*K870</f>
        <v>0</v>
      </c>
    </row>
    <row r="871" spans="1:12" ht="12" customHeight="1" x14ac:dyDescent="0.35">
      <c r="B871" s="84"/>
      <c r="C871" s="88"/>
      <c r="D871" s="79"/>
      <c r="E871" s="84"/>
      <c r="F871" s="102"/>
      <c r="G871" s="87"/>
      <c r="H871" s="87">
        <f>F871*G871</f>
        <v>0</v>
      </c>
      <c r="I871" s="87">
        <v>1060</v>
      </c>
      <c r="J871" s="87">
        <f>F871*I871</f>
        <v>0</v>
      </c>
      <c r="K871" s="87">
        <v>1060</v>
      </c>
      <c r="L871" s="87">
        <f>F871*K871</f>
        <v>0</v>
      </c>
    </row>
    <row r="872" spans="1:12" ht="12" customHeight="1" x14ac:dyDescent="0.35">
      <c r="B872" s="84"/>
      <c r="C872" s="88"/>
      <c r="D872" s="79"/>
      <c r="E872" s="84"/>
      <c r="F872" s="102"/>
      <c r="G872" s="87"/>
      <c r="H872" s="87">
        <f>F872*G872</f>
        <v>0</v>
      </c>
      <c r="I872" s="87">
        <v>215000</v>
      </c>
      <c r="J872" s="87">
        <f>F872*I872</f>
        <v>0</v>
      </c>
      <c r="K872" s="87">
        <v>250000</v>
      </c>
      <c r="L872" s="87">
        <f>F872*K872</f>
        <v>0</v>
      </c>
    </row>
    <row r="873" spans="1:12" ht="12" customHeight="1" x14ac:dyDescent="0.35">
      <c r="B873" s="84"/>
      <c r="C873" s="88"/>
      <c r="D873" s="79"/>
      <c r="E873" s="79"/>
      <c r="F873" s="89"/>
      <c r="G873" s="101"/>
      <c r="H873" s="87">
        <f>SUM(H870:H872)</f>
        <v>0</v>
      </c>
      <c r="I873" s="101"/>
      <c r="J873" s="87">
        <f>SUM(J870:J872)</f>
        <v>0</v>
      </c>
      <c r="K873" s="101"/>
      <c r="L873" s="87">
        <f>SUM(L870:L872)</f>
        <v>0</v>
      </c>
    </row>
    <row r="874" spans="1:12" ht="12" customHeight="1" x14ac:dyDescent="0.35">
      <c r="B874" s="84" t="s">
        <v>7</v>
      </c>
      <c r="C874" s="88" t="s">
        <v>424</v>
      </c>
      <c r="D874" s="79"/>
      <c r="E874" s="79"/>
      <c r="F874" s="90"/>
      <c r="G874" s="84"/>
      <c r="H874" s="87"/>
      <c r="I874" s="84"/>
      <c r="J874" s="87"/>
      <c r="K874" s="84"/>
      <c r="L874" s="87"/>
    </row>
    <row r="875" spans="1:12" ht="12" customHeight="1" x14ac:dyDescent="0.35">
      <c r="A875" s="134">
        <v>31100008</v>
      </c>
      <c r="B875" s="84"/>
      <c r="C875" s="85" t="str">
        <f>VLOOKUP(A875,'DAFTAR HARGA'!A:D,3,FALSE)</f>
        <v>jam</v>
      </c>
      <c r="D875" s="84" t="s">
        <v>418</v>
      </c>
      <c r="E875" s="84">
        <f>VLOOKUP(A875,'DAFTAR HARGA'!A:D,4,FALSE)</f>
        <v>449000</v>
      </c>
      <c r="F875" s="128">
        <v>1.0800000000000001E-2</v>
      </c>
      <c r="G875" s="87" t="e">
        <f>VLOOKUP(A875,'DAFTAR HARGA'!A:D,5,FALSE)</f>
        <v>#REF!</v>
      </c>
      <c r="H875" s="87" t="e">
        <f>F875*G875</f>
        <v>#REF!</v>
      </c>
      <c r="I875" s="87"/>
      <c r="J875" s="87" t="e">
        <f>H875*I875</f>
        <v>#REF!</v>
      </c>
      <c r="K875" s="87"/>
      <c r="L875" s="87" t="e">
        <f>J875*K875</f>
        <v>#REF!</v>
      </c>
    </row>
    <row r="876" spans="1:12" ht="12" customHeight="1" x14ac:dyDescent="0.35">
      <c r="A876" s="134" t="s">
        <v>572</v>
      </c>
      <c r="B876" s="84"/>
      <c r="C876" s="85" t="str">
        <f>VLOOKUP(A876,'DAFTAR HARGA'!A:D,3,FALSE)</f>
        <v>jam</v>
      </c>
      <c r="D876" s="84" t="s">
        <v>418</v>
      </c>
      <c r="E876" s="84">
        <f>VLOOKUP(A876,'DAFTAR HARGA'!A:D,4,FALSE)</f>
        <v>290400</v>
      </c>
      <c r="F876" s="128">
        <f>0.0339</f>
        <v>3.39E-2</v>
      </c>
      <c r="G876" s="87" t="e">
        <f>VLOOKUP(A876,'DAFTAR HARGA'!A:D,5,FALSE)</f>
        <v>#REF!</v>
      </c>
      <c r="H876" s="87" t="e">
        <f>F876*G876</f>
        <v>#REF!</v>
      </c>
      <c r="I876" s="87"/>
      <c r="J876" s="87"/>
      <c r="K876" s="87"/>
      <c r="L876" s="87"/>
    </row>
    <row r="877" spans="1:12" ht="12" customHeight="1" x14ac:dyDescent="0.35">
      <c r="B877" s="84"/>
      <c r="C877" s="88"/>
      <c r="D877" s="79"/>
      <c r="E877" s="79"/>
      <c r="F877" s="90"/>
      <c r="G877" s="87"/>
      <c r="H877" s="87">
        <f>F877*G877</f>
        <v>0</v>
      </c>
      <c r="I877" s="87"/>
      <c r="J877" s="87"/>
      <c r="K877" s="87"/>
      <c r="L877" s="87"/>
    </row>
    <row r="878" spans="1:12" ht="12" customHeight="1" x14ac:dyDescent="0.35">
      <c r="B878" s="84"/>
      <c r="C878" s="88"/>
      <c r="D878" s="79"/>
      <c r="E878" s="79"/>
      <c r="F878" s="89" t="s">
        <v>425</v>
      </c>
      <c r="G878" s="101"/>
      <c r="H878" s="87" t="e">
        <f>SUM(H875:H877)</f>
        <v>#REF!</v>
      </c>
      <c r="I878" s="101"/>
      <c r="J878" s="87" t="e">
        <f>SUM(J875)</f>
        <v>#REF!</v>
      </c>
      <c r="K878" s="101"/>
      <c r="L878" s="87" t="e">
        <f>SUM(L875)</f>
        <v>#REF!</v>
      </c>
    </row>
    <row r="879" spans="1:12" ht="12" customHeight="1" x14ac:dyDescent="0.35">
      <c r="B879" s="84" t="s">
        <v>8</v>
      </c>
      <c r="C879" s="103" t="s">
        <v>426</v>
      </c>
      <c r="D879" s="104"/>
      <c r="E879" s="104"/>
      <c r="F879" s="104"/>
      <c r="G879" s="105"/>
      <c r="H879" s="87" t="e">
        <f>H868+H873+H878</f>
        <v>#REF!</v>
      </c>
      <c r="I879" s="105"/>
      <c r="J879" s="87" t="e">
        <f>J868+J873+J878</f>
        <v>#REF!</v>
      </c>
      <c r="K879" s="105"/>
      <c r="L879" s="87" t="e">
        <f>L868+L873+L878</f>
        <v>#REF!</v>
      </c>
    </row>
    <row r="880" spans="1:12" ht="12" customHeight="1" x14ac:dyDescent="0.35">
      <c r="B880" s="84" t="s">
        <v>9</v>
      </c>
      <c r="C880" s="455" t="s">
        <v>427</v>
      </c>
      <c r="D880" s="455"/>
      <c r="E880" s="455"/>
      <c r="F880" s="95" t="str">
        <f>OP</f>
        <v>TANJUNG PALAS TENGAH</v>
      </c>
      <c r="G880" s="85" t="s">
        <v>428</v>
      </c>
      <c r="H880" s="87" t="e">
        <f>H879*F880</f>
        <v>#REF!</v>
      </c>
      <c r="I880" s="85" t="s">
        <v>428</v>
      </c>
      <c r="J880" s="87" t="e">
        <f>J879*F880</f>
        <v>#REF!</v>
      </c>
      <c r="K880" s="85" t="s">
        <v>428</v>
      </c>
      <c r="L880" s="87" t="e">
        <f>L879*F880</f>
        <v>#REF!</v>
      </c>
    </row>
    <row r="881" spans="2:12" ht="12" customHeight="1" x14ac:dyDescent="0.35">
      <c r="B881" s="84" t="s">
        <v>10</v>
      </c>
      <c r="C881" s="103" t="s">
        <v>429</v>
      </c>
      <c r="D881" s="104"/>
      <c r="E881" s="104"/>
      <c r="F881" s="104"/>
      <c r="G881" s="105"/>
      <c r="H881" s="96" t="e">
        <f>H879+H880</f>
        <v>#REF!</v>
      </c>
      <c r="I881" s="97"/>
      <c r="J881" s="96" t="e">
        <f>J879+J880</f>
        <v>#REF!</v>
      </c>
      <c r="K881" s="97"/>
      <c r="L881" s="96" t="e">
        <f>L879+L880</f>
        <v>#REF!</v>
      </c>
    </row>
    <row r="883" spans="2:12" ht="29" customHeight="1" x14ac:dyDescent="0.35">
      <c r="B883" s="76" t="s">
        <v>565</v>
      </c>
      <c r="C883" s="458" t="s">
        <v>569</v>
      </c>
      <c r="D883" s="459"/>
      <c r="E883" s="459"/>
      <c r="F883" s="459"/>
      <c r="G883" s="456"/>
      <c r="H883" s="457"/>
      <c r="I883" s="455" t="s">
        <v>3</v>
      </c>
      <c r="J883" s="455"/>
      <c r="K883" s="455" t="s">
        <v>4</v>
      </c>
      <c r="L883" s="455"/>
    </row>
    <row r="884" spans="2:12" ht="12" customHeight="1" x14ac:dyDescent="0.35">
      <c r="B884" s="451" t="s">
        <v>409</v>
      </c>
      <c r="C884" s="451" t="s">
        <v>410</v>
      </c>
      <c r="D884" s="452" t="s">
        <v>411</v>
      </c>
      <c r="E884" s="451" t="s">
        <v>412</v>
      </c>
      <c r="F884" s="451" t="s">
        <v>413</v>
      </c>
      <c r="G884" s="77" t="s">
        <v>414</v>
      </c>
      <c r="H884" s="77" t="s">
        <v>415</v>
      </c>
      <c r="I884" s="78" t="s">
        <v>414</v>
      </c>
      <c r="J884" s="79" t="s">
        <v>415</v>
      </c>
      <c r="K884" s="79" t="s">
        <v>414</v>
      </c>
      <c r="L884" s="79" t="s">
        <v>415</v>
      </c>
    </row>
    <row r="885" spans="2:12" ht="12" customHeight="1" x14ac:dyDescent="0.35">
      <c r="B885" s="451"/>
      <c r="C885" s="451"/>
      <c r="D885" s="453"/>
      <c r="E885" s="451"/>
      <c r="F885" s="451"/>
      <c r="G885" s="77" t="s">
        <v>17</v>
      </c>
      <c r="H885" s="77" t="s">
        <v>416</v>
      </c>
      <c r="I885" s="78" t="s">
        <v>17</v>
      </c>
      <c r="J885" s="79" t="s">
        <v>416</v>
      </c>
      <c r="K885" s="79" t="s">
        <v>17</v>
      </c>
      <c r="L885" s="79" t="s">
        <v>416</v>
      </c>
    </row>
    <row r="886" spans="2:12" ht="12" customHeight="1" x14ac:dyDescent="0.35">
      <c r="B886" s="451"/>
      <c r="C886" s="451"/>
      <c r="D886" s="454"/>
      <c r="E886" s="451"/>
      <c r="F886" s="451"/>
      <c r="G886" s="106"/>
      <c r="H886" s="77" t="s">
        <v>17</v>
      </c>
      <c r="I886" s="94"/>
      <c r="J886" s="79" t="s">
        <v>17</v>
      </c>
      <c r="K886" s="85"/>
      <c r="L886" s="79" t="s">
        <v>17</v>
      </c>
    </row>
    <row r="887" spans="2:12" ht="12" customHeight="1" x14ac:dyDescent="0.35">
      <c r="B887" s="80" t="s">
        <v>5</v>
      </c>
      <c r="C887" s="81" t="s">
        <v>417</v>
      </c>
      <c r="D887" s="82"/>
      <c r="E887" s="82"/>
      <c r="F887" s="82"/>
      <c r="G887" s="82"/>
      <c r="H887" s="82"/>
      <c r="I887" s="83"/>
      <c r="J887" s="83"/>
      <c r="K887" s="83"/>
      <c r="L887" s="83"/>
    </row>
    <row r="888" spans="2:12" ht="12" customHeight="1" x14ac:dyDescent="0.35">
      <c r="B888" s="84"/>
      <c r="C888" s="85"/>
      <c r="D888" s="84"/>
      <c r="E888" s="84"/>
      <c r="F888" s="86"/>
      <c r="G888" s="87"/>
      <c r="H888" s="87">
        <f>F888*G888</f>
        <v>0</v>
      </c>
      <c r="I888" s="87">
        <v>78600</v>
      </c>
      <c r="J888" s="87">
        <f>F888*I888</f>
        <v>0</v>
      </c>
      <c r="K888" s="87">
        <v>78600</v>
      </c>
      <c r="L888" s="87">
        <f>F888*K888</f>
        <v>0</v>
      </c>
    </row>
    <row r="889" spans="2:12" ht="12" customHeight="1" x14ac:dyDescent="0.35">
      <c r="B889" s="84"/>
      <c r="C889" s="85"/>
      <c r="D889" s="84"/>
      <c r="E889" s="84"/>
      <c r="F889" s="86"/>
      <c r="G889" s="87"/>
      <c r="H889" s="87">
        <f>F889*G889</f>
        <v>0</v>
      </c>
      <c r="I889" s="87">
        <v>91500</v>
      </c>
      <c r="J889" s="87">
        <f>F889*I889</f>
        <v>0</v>
      </c>
      <c r="K889" s="87">
        <v>91500</v>
      </c>
      <c r="L889" s="87">
        <f>F889*K889</f>
        <v>0</v>
      </c>
    </row>
    <row r="890" spans="2:12" ht="12" customHeight="1" x14ac:dyDescent="0.35">
      <c r="B890" s="84"/>
      <c r="C890" s="85"/>
      <c r="D890" s="84"/>
      <c r="E890" s="84"/>
      <c r="F890" s="86"/>
      <c r="G890" s="87"/>
      <c r="H890" s="87">
        <f>F890*G890</f>
        <v>0</v>
      </c>
      <c r="I890" s="87">
        <v>92500</v>
      </c>
      <c r="J890" s="87">
        <f>F890*I890</f>
        <v>0</v>
      </c>
      <c r="K890" s="87">
        <v>92500</v>
      </c>
      <c r="L890" s="87">
        <f>F890*K890</f>
        <v>0</v>
      </c>
    </row>
    <row r="891" spans="2:12" ht="12" customHeight="1" x14ac:dyDescent="0.35">
      <c r="B891" s="84"/>
      <c r="C891" s="85"/>
      <c r="D891" s="84"/>
      <c r="E891" s="84"/>
      <c r="F891" s="86"/>
      <c r="G891" s="87"/>
      <c r="H891" s="87"/>
      <c r="I891" s="87"/>
      <c r="J891" s="87"/>
      <c r="K891" s="87"/>
      <c r="L891" s="87"/>
    </row>
    <row r="892" spans="2:12" ht="12" customHeight="1" x14ac:dyDescent="0.35">
      <c r="B892" s="84"/>
      <c r="C892" s="88"/>
      <c r="D892" s="79"/>
      <c r="E892" s="79"/>
      <c r="F892" s="89" t="s">
        <v>421</v>
      </c>
      <c r="G892" s="101"/>
      <c r="H892" s="87">
        <f>SUM(H888:H891)</f>
        <v>0</v>
      </c>
      <c r="I892" s="101"/>
      <c r="J892" s="87">
        <f>SUM(J888:J891)</f>
        <v>0</v>
      </c>
      <c r="K892" s="101"/>
      <c r="L892" s="87">
        <f>SUM(L888:L891)</f>
        <v>0</v>
      </c>
    </row>
    <row r="893" spans="2:12" ht="12" customHeight="1" x14ac:dyDescent="0.35">
      <c r="B893" s="84" t="s">
        <v>6</v>
      </c>
      <c r="C893" s="88" t="s">
        <v>422</v>
      </c>
      <c r="D893" s="79"/>
      <c r="E893" s="79"/>
      <c r="F893" s="90"/>
      <c r="G893" s="84"/>
      <c r="H893" s="87"/>
      <c r="I893" s="84"/>
      <c r="J893" s="87"/>
      <c r="K893" s="84"/>
      <c r="L893" s="87"/>
    </row>
    <row r="894" spans="2:12" ht="12" customHeight="1" x14ac:dyDescent="0.35">
      <c r="B894" s="84"/>
      <c r="C894" s="85"/>
      <c r="D894" s="84"/>
      <c r="E894" s="84"/>
      <c r="F894" s="86"/>
      <c r="G894" s="87"/>
      <c r="H894" s="87">
        <f>F894*G894</f>
        <v>0</v>
      </c>
      <c r="I894" s="87">
        <v>232500</v>
      </c>
      <c r="J894" s="87">
        <f>F894*I894</f>
        <v>0</v>
      </c>
      <c r="K894" s="87">
        <v>270000</v>
      </c>
      <c r="L894" s="87">
        <f>F894*K894</f>
        <v>0</v>
      </c>
    </row>
    <row r="895" spans="2:12" ht="12" customHeight="1" x14ac:dyDescent="0.35">
      <c r="B895" s="84"/>
      <c r="C895" s="88"/>
      <c r="D895" s="79"/>
      <c r="E895" s="84"/>
      <c r="F895" s="102"/>
      <c r="G895" s="87"/>
      <c r="H895" s="87">
        <f>F895*G895</f>
        <v>0</v>
      </c>
      <c r="I895" s="87">
        <v>1060</v>
      </c>
      <c r="J895" s="87">
        <f>F895*I895</f>
        <v>0</v>
      </c>
      <c r="K895" s="87">
        <v>1060</v>
      </c>
      <c r="L895" s="87">
        <f>F895*K895</f>
        <v>0</v>
      </c>
    </row>
    <row r="896" spans="2:12" ht="12" customHeight="1" x14ac:dyDescent="0.35">
      <c r="B896" s="84"/>
      <c r="C896" s="88"/>
      <c r="D896" s="79"/>
      <c r="E896" s="84"/>
      <c r="F896" s="102"/>
      <c r="G896" s="87"/>
      <c r="H896" s="87">
        <f>F896*G896</f>
        <v>0</v>
      </c>
      <c r="I896" s="87">
        <v>215000</v>
      </c>
      <c r="J896" s="87">
        <f>F896*I896</f>
        <v>0</v>
      </c>
      <c r="K896" s="87">
        <v>250000</v>
      </c>
      <c r="L896" s="87">
        <f>F896*K896</f>
        <v>0</v>
      </c>
    </row>
    <row r="897" spans="1:12" ht="12" customHeight="1" x14ac:dyDescent="0.35">
      <c r="B897" s="84"/>
      <c r="C897" s="88"/>
      <c r="D897" s="79"/>
      <c r="E897" s="79"/>
      <c r="F897" s="89"/>
      <c r="G897" s="101"/>
      <c r="H897" s="87">
        <f>SUM(H894:H896)</f>
        <v>0</v>
      </c>
      <c r="I897" s="101"/>
      <c r="J897" s="87">
        <f>SUM(J894:J896)</f>
        <v>0</v>
      </c>
      <c r="K897" s="101"/>
      <c r="L897" s="87">
        <f>SUM(L894:L896)</f>
        <v>0</v>
      </c>
    </row>
    <row r="898" spans="1:12" ht="12" customHeight="1" x14ac:dyDescent="0.35">
      <c r="B898" s="84" t="s">
        <v>7</v>
      </c>
      <c r="C898" s="88" t="s">
        <v>424</v>
      </c>
      <c r="D898" s="79"/>
      <c r="E898" s="79"/>
      <c r="F898" s="90"/>
      <c r="G898" s="84"/>
      <c r="H898" s="87"/>
      <c r="I898" s="84"/>
      <c r="J898" s="87"/>
      <c r="K898" s="84"/>
      <c r="L898" s="87"/>
    </row>
    <row r="899" spans="1:12" ht="12" customHeight="1" x14ac:dyDescent="0.35">
      <c r="A899" s="134">
        <v>31100008</v>
      </c>
      <c r="B899" s="84"/>
      <c r="C899" s="85" t="str">
        <f>VLOOKUP(A899,'DAFTAR HARGA'!A:D,3,FALSE)</f>
        <v>jam</v>
      </c>
      <c r="D899" s="84" t="s">
        <v>418</v>
      </c>
      <c r="E899" s="84">
        <f>VLOOKUP(A899,'DAFTAR HARGA'!A:D,4,FALSE)</f>
        <v>449000</v>
      </c>
      <c r="F899" s="128">
        <v>7.1000000000000004E-3</v>
      </c>
      <c r="G899" s="87" t="e">
        <f>VLOOKUP(A899,'DAFTAR HARGA'!A:D,5,FALSE)</f>
        <v>#REF!</v>
      </c>
      <c r="H899" s="87" t="e">
        <f>F899*G899</f>
        <v>#REF!</v>
      </c>
      <c r="I899" s="87"/>
      <c r="J899" s="87" t="e">
        <f>H899*I899</f>
        <v>#REF!</v>
      </c>
      <c r="K899" s="87"/>
      <c r="L899" s="87" t="e">
        <f>J899*K899</f>
        <v>#REF!</v>
      </c>
    </row>
    <row r="900" spans="1:12" ht="12" customHeight="1" x14ac:dyDescent="0.35">
      <c r="A900" s="134" t="s">
        <v>572</v>
      </c>
      <c r="B900" s="84"/>
      <c r="C900" s="85" t="str">
        <f>VLOOKUP(A900,'DAFTAR HARGA'!A:D,3,FALSE)</f>
        <v>jam</v>
      </c>
      <c r="D900" s="84" t="s">
        <v>418</v>
      </c>
      <c r="E900" s="84">
        <f>VLOOKUP(A900,'DAFTAR HARGA'!A:D,4,FALSE)</f>
        <v>290400</v>
      </c>
      <c r="F900" s="128">
        <f>0.0339</f>
        <v>3.39E-2</v>
      </c>
      <c r="G900" s="87" t="e">
        <f>VLOOKUP(A900,'DAFTAR HARGA'!A:D,5,FALSE)</f>
        <v>#REF!</v>
      </c>
      <c r="H900" s="87" t="e">
        <f>F900*G900</f>
        <v>#REF!</v>
      </c>
      <c r="I900" s="87"/>
      <c r="J900" s="87"/>
      <c r="K900" s="87"/>
      <c r="L900" s="87"/>
    </row>
    <row r="901" spans="1:12" ht="12" customHeight="1" x14ac:dyDescent="0.35">
      <c r="B901" s="84"/>
      <c r="C901" s="88"/>
      <c r="D901" s="79"/>
      <c r="E901" s="79"/>
      <c r="F901" s="90"/>
      <c r="G901" s="87"/>
      <c r="H901" s="87">
        <f>F901*G901</f>
        <v>0</v>
      </c>
      <c r="I901" s="87"/>
      <c r="J901" s="87"/>
      <c r="K901" s="87"/>
      <c r="L901" s="87"/>
    </row>
    <row r="902" spans="1:12" ht="12" customHeight="1" x14ac:dyDescent="0.35">
      <c r="B902" s="84"/>
      <c r="C902" s="88"/>
      <c r="D902" s="79"/>
      <c r="E902" s="79"/>
      <c r="F902" s="89" t="s">
        <v>425</v>
      </c>
      <c r="G902" s="101"/>
      <c r="H902" s="87" t="e">
        <f>SUM(H899:H901)</f>
        <v>#REF!</v>
      </c>
      <c r="I902" s="101"/>
      <c r="J902" s="87" t="e">
        <f>SUM(J899)</f>
        <v>#REF!</v>
      </c>
      <c r="K902" s="101"/>
      <c r="L902" s="87" t="e">
        <f>SUM(L899)</f>
        <v>#REF!</v>
      </c>
    </row>
    <row r="903" spans="1:12" ht="12" customHeight="1" x14ac:dyDescent="0.35">
      <c r="B903" s="84" t="s">
        <v>8</v>
      </c>
      <c r="C903" s="103" t="s">
        <v>426</v>
      </c>
      <c r="D903" s="104"/>
      <c r="E903" s="104"/>
      <c r="F903" s="104"/>
      <c r="G903" s="105"/>
      <c r="H903" s="87" t="e">
        <f>H892+H897+H902</f>
        <v>#REF!</v>
      </c>
      <c r="I903" s="105"/>
      <c r="J903" s="87" t="e">
        <f>J892+J897+J902</f>
        <v>#REF!</v>
      </c>
      <c r="K903" s="105"/>
      <c r="L903" s="87" t="e">
        <f>L892+L897+L902</f>
        <v>#REF!</v>
      </c>
    </row>
    <row r="904" spans="1:12" ht="12" customHeight="1" x14ac:dyDescent="0.35">
      <c r="B904" s="84" t="s">
        <v>9</v>
      </c>
      <c r="C904" s="455" t="s">
        <v>427</v>
      </c>
      <c r="D904" s="455"/>
      <c r="E904" s="455"/>
      <c r="F904" s="95" t="str">
        <f>OP</f>
        <v>TANJUNG PALAS TENGAH</v>
      </c>
      <c r="G904" s="85" t="s">
        <v>428</v>
      </c>
      <c r="H904" s="87" t="e">
        <f>H903*F904</f>
        <v>#REF!</v>
      </c>
      <c r="I904" s="85" t="s">
        <v>428</v>
      </c>
      <c r="J904" s="87" t="e">
        <f>J903*F904</f>
        <v>#REF!</v>
      </c>
      <c r="K904" s="85" t="s">
        <v>428</v>
      </c>
      <c r="L904" s="87" t="e">
        <f>L903*F904</f>
        <v>#REF!</v>
      </c>
    </row>
    <row r="905" spans="1:12" ht="12" customHeight="1" x14ac:dyDescent="0.35">
      <c r="B905" s="84" t="s">
        <v>10</v>
      </c>
      <c r="C905" s="103" t="s">
        <v>429</v>
      </c>
      <c r="D905" s="104"/>
      <c r="E905" s="104"/>
      <c r="F905" s="104"/>
      <c r="G905" s="105"/>
      <c r="H905" s="96" t="e">
        <f>H903+H904</f>
        <v>#REF!</v>
      </c>
      <c r="I905" s="97"/>
      <c r="J905" s="96" t="e">
        <f>J903+J904</f>
        <v>#REF!</v>
      </c>
      <c r="K905" s="97"/>
      <c r="L905" s="96" t="e">
        <f>L903+L904</f>
        <v>#REF!</v>
      </c>
    </row>
    <row r="907" spans="1:12" ht="29" customHeight="1" x14ac:dyDescent="0.35">
      <c r="B907" s="76" t="s">
        <v>566</v>
      </c>
      <c r="C907" s="458" t="s">
        <v>568</v>
      </c>
      <c r="D907" s="459"/>
      <c r="E907" s="459"/>
      <c r="F907" s="459"/>
      <c r="G907" s="456"/>
      <c r="H907" s="457"/>
      <c r="I907" s="455" t="s">
        <v>3</v>
      </c>
      <c r="J907" s="455"/>
      <c r="K907" s="455" t="s">
        <v>4</v>
      </c>
      <c r="L907" s="455"/>
    </row>
    <row r="908" spans="1:12" ht="12" customHeight="1" x14ac:dyDescent="0.35">
      <c r="B908" s="451" t="s">
        <v>409</v>
      </c>
      <c r="C908" s="451" t="s">
        <v>410</v>
      </c>
      <c r="D908" s="452" t="s">
        <v>411</v>
      </c>
      <c r="E908" s="451" t="s">
        <v>412</v>
      </c>
      <c r="F908" s="451" t="s">
        <v>413</v>
      </c>
      <c r="G908" s="77" t="s">
        <v>414</v>
      </c>
      <c r="H908" s="77" t="s">
        <v>415</v>
      </c>
      <c r="I908" s="78" t="s">
        <v>414</v>
      </c>
      <c r="J908" s="79" t="s">
        <v>415</v>
      </c>
      <c r="K908" s="79" t="s">
        <v>414</v>
      </c>
      <c r="L908" s="79" t="s">
        <v>415</v>
      </c>
    </row>
    <row r="909" spans="1:12" ht="12" customHeight="1" x14ac:dyDescent="0.35">
      <c r="B909" s="451"/>
      <c r="C909" s="451"/>
      <c r="D909" s="453"/>
      <c r="E909" s="451"/>
      <c r="F909" s="451"/>
      <c r="G909" s="77" t="s">
        <v>17</v>
      </c>
      <c r="H909" s="77" t="s">
        <v>416</v>
      </c>
      <c r="I909" s="78" t="s">
        <v>17</v>
      </c>
      <c r="J909" s="79" t="s">
        <v>416</v>
      </c>
      <c r="K909" s="79" t="s">
        <v>17</v>
      </c>
      <c r="L909" s="79" t="s">
        <v>416</v>
      </c>
    </row>
    <row r="910" spans="1:12" ht="12" customHeight="1" x14ac:dyDescent="0.35">
      <c r="B910" s="451"/>
      <c r="C910" s="451"/>
      <c r="D910" s="454"/>
      <c r="E910" s="451"/>
      <c r="F910" s="451"/>
      <c r="G910" s="106"/>
      <c r="H910" s="77" t="s">
        <v>17</v>
      </c>
      <c r="I910" s="94"/>
      <c r="J910" s="79" t="s">
        <v>17</v>
      </c>
      <c r="K910" s="85"/>
      <c r="L910" s="79" t="s">
        <v>17</v>
      </c>
    </row>
    <row r="911" spans="1:12" ht="12" customHeight="1" x14ac:dyDescent="0.35">
      <c r="B911" s="80" t="s">
        <v>5</v>
      </c>
      <c r="C911" s="81" t="s">
        <v>417</v>
      </c>
      <c r="D911" s="82"/>
      <c r="E911" s="82"/>
      <c r="F911" s="82"/>
      <c r="G911" s="82"/>
      <c r="H911" s="82"/>
      <c r="I911" s="83"/>
      <c r="J911" s="83"/>
      <c r="K911" s="83"/>
      <c r="L911" s="83"/>
    </row>
    <row r="912" spans="1:12" ht="12" customHeight="1" x14ac:dyDescent="0.35">
      <c r="B912" s="84"/>
      <c r="C912" s="85"/>
      <c r="D912" s="84"/>
      <c r="E912" s="84"/>
      <c r="F912" s="86"/>
      <c r="G912" s="87"/>
      <c r="H912" s="87">
        <f>F912*G912</f>
        <v>0</v>
      </c>
      <c r="I912" s="87">
        <v>78600</v>
      </c>
      <c r="J912" s="87">
        <f>F912*I912</f>
        <v>0</v>
      </c>
      <c r="K912" s="87">
        <v>78600</v>
      </c>
      <c r="L912" s="87">
        <f>F912*K912</f>
        <v>0</v>
      </c>
    </row>
    <row r="913" spans="1:12" ht="12" customHeight="1" x14ac:dyDescent="0.35">
      <c r="B913" s="84"/>
      <c r="C913" s="85"/>
      <c r="D913" s="84"/>
      <c r="E913" s="84"/>
      <c r="F913" s="86"/>
      <c r="G913" s="87"/>
      <c r="H913" s="87">
        <f>F913*G913</f>
        <v>0</v>
      </c>
      <c r="I913" s="87">
        <v>91500</v>
      </c>
      <c r="J913" s="87">
        <f>F913*I913</f>
        <v>0</v>
      </c>
      <c r="K913" s="87">
        <v>91500</v>
      </c>
      <c r="L913" s="87">
        <f>F913*K913</f>
        <v>0</v>
      </c>
    </row>
    <row r="914" spans="1:12" ht="12" customHeight="1" x14ac:dyDescent="0.35">
      <c r="B914" s="84"/>
      <c r="C914" s="85"/>
      <c r="D914" s="84"/>
      <c r="E914" s="84"/>
      <c r="F914" s="86"/>
      <c r="G914" s="87"/>
      <c r="H914" s="87">
        <f>F914*G914</f>
        <v>0</v>
      </c>
      <c r="I914" s="87">
        <v>92500</v>
      </c>
      <c r="J914" s="87">
        <f>F914*I914</f>
        <v>0</v>
      </c>
      <c r="K914" s="87">
        <v>92500</v>
      </c>
      <c r="L914" s="87">
        <f>F914*K914</f>
        <v>0</v>
      </c>
    </row>
    <row r="915" spans="1:12" ht="12" customHeight="1" x14ac:dyDescent="0.35">
      <c r="B915" s="84"/>
      <c r="C915" s="85"/>
      <c r="D915" s="84"/>
      <c r="E915" s="84"/>
      <c r="F915" s="86"/>
      <c r="G915" s="87"/>
      <c r="H915" s="87"/>
      <c r="I915" s="87"/>
      <c r="J915" s="87"/>
      <c r="K915" s="87"/>
      <c r="L915" s="87"/>
    </row>
    <row r="916" spans="1:12" ht="12" customHeight="1" x14ac:dyDescent="0.35">
      <c r="B916" s="84"/>
      <c r="C916" s="88"/>
      <c r="D916" s="79"/>
      <c r="E916" s="79"/>
      <c r="F916" s="89" t="s">
        <v>421</v>
      </c>
      <c r="G916" s="101"/>
      <c r="H916" s="87">
        <f>SUM(H912:H915)</f>
        <v>0</v>
      </c>
      <c r="I916" s="101"/>
      <c r="J916" s="87">
        <f>SUM(J912:J915)</f>
        <v>0</v>
      </c>
      <c r="K916" s="101"/>
      <c r="L916" s="87">
        <f>SUM(L912:L915)</f>
        <v>0</v>
      </c>
    </row>
    <row r="917" spans="1:12" ht="12" customHeight="1" x14ac:dyDescent="0.35">
      <c r="B917" s="84" t="s">
        <v>6</v>
      </c>
      <c r="C917" s="88" t="s">
        <v>422</v>
      </c>
      <c r="D917" s="79"/>
      <c r="E917" s="79"/>
      <c r="F917" s="90"/>
      <c r="G917" s="84"/>
      <c r="H917" s="87"/>
      <c r="I917" s="84"/>
      <c r="J917" s="87"/>
      <c r="K917" s="84"/>
      <c r="L917" s="87"/>
    </row>
    <row r="918" spans="1:12" ht="12" customHeight="1" x14ac:dyDescent="0.35">
      <c r="B918" s="84"/>
      <c r="C918" s="85"/>
      <c r="D918" s="84"/>
      <c r="E918" s="84"/>
      <c r="F918" s="86"/>
      <c r="G918" s="87"/>
      <c r="H918" s="87">
        <f>F918*G918</f>
        <v>0</v>
      </c>
      <c r="I918" s="87">
        <v>232500</v>
      </c>
      <c r="J918" s="87">
        <f>F918*I918</f>
        <v>0</v>
      </c>
      <c r="K918" s="87">
        <v>270000</v>
      </c>
      <c r="L918" s="87">
        <f>F918*K918</f>
        <v>0</v>
      </c>
    </row>
    <row r="919" spans="1:12" ht="12" customHeight="1" x14ac:dyDescent="0.35">
      <c r="B919" s="84"/>
      <c r="C919" s="88"/>
      <c r="D919" s="79"/>
      <c r="E919" s="84"/>
      <c r="F919" s="102"/>
      <c r="G919" s="87"/>
      <c r="H919" s="87">
        <f>F919*G919</f>
        <v>0</v>
      </c>
      <c r="I919" s="87">
        <v>1060</v>
      </c>
      <c r="J919" s="87">
        <f>F919*I919</f>
        <v>0</v>
      </c>
      <c r="K919" s="87">
        <v>1060</v>
      </c>
      <c r="L919" s="87">
        <f>F919*K919</f>
        <v>0</v>
      </c>
    </row>
    <row r="920" spans="1:12" ht="12" customHeight="1" x14ac:dyDescent="0.35">
      <c r="B920" s="84"/>
      <c r="C920" s="88"/>
      <c r="D920" s="79"/>
      <c r="E920" s="84"/>
      <c r="F920" s="102"/>
      <c r="G920" s="87"/>
      <c r="H920" s="87">
        <f>F920*G920</f>
        <v>0</v>
      </c>
      <c r="I920" s="87">
        <v>215000</v>
      </c>
      <c r="J920" s="87">
        <f>F920*I920</f>
        <v>0</v>
      </c>
      <c r="K920" s="87">
        <v>250000</v>
      </c>
      <c r="L920" s="87">
        <f>F920*K920</f>
        <v>0</v>
      </c>
    </row>
    <row r="921" spans="1:12" ht="12" customHeight="1" x14ac:dyDescent="0.35">
      <c r="B921" s="84"/>
      <c r="C921" s="88"/>
      <c r="D921" s="79"/>
      <c r="E921" s="79"/>
      <c r="F921" s="89"/>
      <c r="G921" s="101"/>
      <c r="H921" s="87">
        <f>SUM(H918:H920)</f>
        <v>0</v>
      </c>
      <c r="I921" s="101"/>
      <c r="J921" s="87">
        <f>SUM(J918:J920)</f>
        <v>0</v>
      </c>
      <c r="K921" s="101"/>
      <c r="L921" s="87">
        <f>SUM(L918:L920)</f>
        <v>0</v>
      </c>
    </row>
    <row r="922" spans="1:12" ht="12" customHeight="1" x14ac:dyDescent="0.35">
      <c r="B922" s="84" t="s">
        <v>7</v>
      </c>
      <c r="C922" s="88" t="s">
        <v>424</v>
      </c>
      <c r="D922" s="79"/>
      <c r="E922" s="79"/>
      <c r="F922" s="90"/>
      <c r="G922" s="84"/>
      <c r="H922" s="87"/>
      <c r="I922" s="84"/>
      <c r="J922" s="87"/>
      <c r="K922" s="84"/>
      <c r="L922" s="87"/>
    </row>
    <row r="923" spans="1:12" ht="12" customHeight="1" x14ac:dyDescent="0.35">
      <c r="A923" s="134">
        <v>31100008</v>
      </c>
      <c r="B923" s="84"/>
      <c r="C923" s="85" t="str">
        <f>VLOOKUP(A923,'DAFTAR HARGA'!A:D,3,FALSE)</f>
        <v>jam</v>
      </c>
      <c r="D923" s="84" t="s">
        <v>418</v>
      </c>
      <c r="E923" s="84">
        <f>VLOOKUP(A923,'DAFTAR HARGA'!A:D,4,FALSE)</f>
        <v>449000</v>
      </c>
      <c r="F923" s="128">
        <f>0.01239</f>
        <v>1.239E-2</v>
      </c>
      <c r="G923" s="87" t="e">
        <f>VLOOKUP(A923,'DAFTAR HARGA'!A:D,5,FALSE)</f>
        <v>#REF!</v>
      </c>
      <c r="H923" s="87" t="e">
        <f>F923*G923</f>
        <v>#REF!</v>
      </c>
      <c r="I923" s="87"/>
      <c r="J923" s="87" t="e">
        <f>H923*I923</f>
        <v>#REF!</v>
      </c>
      <c r="K923" s="87"/>
      <c r="L923" s="87" t="e">
        <f>J923*K923</f>
        <v>#REF!</v>
      </c>
    </row>
    <row r="924" spans="1:12" ht="12" customHeight="1" x14ac:dyDescent="0.35">
      <c r="A924" s="134" t="s">
        <v>572</v>
      </c>
      <c r="B924" s="84"/>
      <c r="C924" s="85" t="str">
        <f>VLOOKUP(A924,'DAFTAR HARGA'!A:D,3,FALSE)</f>
        <v>jam</v>
      </c>
      <c r="D924" s="84" t="s">
        <v>418</v>
      </c>
      <c r="E924" s="84">
        <f>VLOOKUP(A924,'DAFTAR HARGA'!A:D,4,FALSE)</f>
        <v>290400</v>
      </c>
      <c r="F924" s="128">
        <f>0.0339</f>
        <v>3.39E-2</v>
      </c>
      <c r="G924" s="87" t="e">
        <f>VLOOKUP(A924,'DAFTAR HARGA'!A:D,5,FALSE)</f>
        <v>#REF!</v>
      </c>
      <c r="H924" s="87" t="e">
        <f>F924*G924</f>
        <v>#REF!</v>
      </c>
      <c r="I924" s="87"/>
      <c r="J924" s="87"/>
      <c r="K924" s="87"/>
      <c r="L924" s="87"/>
    </row>
    <row r="925" spans="1:12" ht="12" customHeight="1" x14ac:dyDescent="0.35">
      <c r="B925" s="84"/>
      <c r="C925" s="88"/>
      <c r="D925" s="79"/>
      <c r="E925" s="79"/>
      <c r="F925" s="90"/>
      <c r="G925" s="87"/>
      <c r="H925" s="87">
        <f>F925*G925</f>
        <v>0</v>
      </c>
      <c r="I925" s="87"/>
      <c r="J925" s="87"/>
      <c r="K925" s="87"/>
      <c r="L925" s="87"/>
    </row>
    <row r="926" spans="1:12" ht="12" customHeight="1" x14ac:dyDescent="0.35">
      <c r="B926" s="84"/>
      <c r="C926" s="88"/>
      <c r="D926" s="79"/>
      <c r="E926" s="79"/>
      <c r="F926" s="89" t="s">
        <v>425</v>
      </c>
      <c r="G926" s="101"/>
      <c r="H926" s="87" t="e">
        <f>SUM(H923:H925)</f>
        <v>#REF!</v>
      </c>
      <c r="I926" s="101"/>
      <c r="J926" s="87" t="e">
        <f>SUM(J923)</f>
        <v>#REF!</v>
      </c>
      <c r="K926" s="101"/>
      <c r="L926" s="87" t="e">
        <f>SUM(L923)</f>
        <v>#REF!</v>
      </c>
    </row>
    <row r="927" spans="1:12" ht="12" customHeight="1" x14ac:dyDescent="0.35">
      <c r="B927" s="84" t="s">
        <v>8</v>
      </c>
      <c r="C927" s="103" t="s">
        <v>426</v>
      </c>
      <c r="D927" s="104"/>
      <c r="E927" s="104"/>
      <c r="F927" s="104"/>
      <c r="G927" s="105"/>
      <c r="H927" s="87" t="e">
        <f>H916+H921+H926</f>
        <v>#REF!</v>
      </c>
      <c r="I927" s="105"/>
      <c r="J927" s="87" t="e">
        <f>J916+J921+J926</f>
        <v>#REF!</v>
      </c>
      <c r="K927" s="105"/>
      <c r="L927" s="87" t="e">
        <f>L916+L921+L926</f>
        <v>#REF!</v>
      </c>
    </row>
    <row r="928" spans="1:12" ht="12" customHeight="1" x14ac:dyDescent="0.35">
      <c r="B928" s="84" t="s">
        <v>9</v>
      </c>
      <c r="C928" s="455" t="s">
        <v>427</v>
      </c>
      <c r="D928" s="455"/>
      <c r="E928" s="455"/>
      <c r="F928" s="95" t="str">
        <f>OP</f>
        <v>TANJUNG PALAS TENGAH</v>
      </c>
      <c r="G928" s="85" t="s">
        <v>428</v>
      </c>
      <c r="H928" s="87" t="e">
        <f>H927*F928</f>
        <v>#REF!</v>
      </c>
      <c r="I928" s="85" t="s">
        <v>428</v>
      </c>
      <c r="J928" s="87" t="e">
        <f>J927*F928</f>
        <v>#REF!</v>
      </c>
      <c r="K928" s="85" t="s">
        <v>428</v>
      </c>
      <c r="L928" s="87" t="e">
        <f>L927*F928</f>
        <v>#REF!</v>
      </c>
    </row>
    <row r="929" spans="2:12" ht="12" customHeight="1" x14ac:dyDescent="0.35">
      <c r="B929" s="84" t="s">
        <v>10</v>
      </c>
      <c r="C929" s="103" t="s">
        <v>429</v>
      </c>
      <c r="D929" s="104"/>
      <c r="E929" s="104"/>
      <c r="F929" s="104"/>
      <c r="G929" s="105"/>
      <c r="H929" s="96" t="e">
        <f>H927+H928</f>
        <v>#REF!</v>
      </c>
      <c r="I929" s="97"/>
      <c r="J929" s="96" t="e">
        <f>J927+J928</f>
        <v>#REF!</v>
      </c>
      <c r="K929" s="97"/>
      <c r="L929" s="96" t="e">
        <f>L927+L928</f>
        <v>#REF!</v>
      </c>
    </row>
    <row r="931" spans="2:12" ht="29" customHeight="1" x14ac:dyDescent="0.35">
      <c r="B931" s="76" t="s">
        <v>570</v>
      </c>
      <c r="C931" s="458" t="s">
        <v>571</v>
      </c>
      <c r="D931" s="459"/>
      <c r="E931" s="459"/>
      <c r="F931" s="459"/>
      <c r="G931" s="456"/>
      <c r="H931" s="457"/>
      <c r="I931" s="455" t="s">
        <v>3</v>
      </c>
      <c r="J931" s="455"/>
      <c r="K931" s="455" t="s">
        <v>4</v>
      </c>
      <c r="L931" s="455"/>
    </row>
    <row r="932" spans="2:12" ht="12" customHeight="1" x14ac:dyDescent="0.35">
      <c r="B932" s="451" t="s">
        <v>409</v>
      </c>
      <c r="C932" s="451" t="s">
        <v>410</v>
      </c>
      <c r="D932" s="452" t="s">
        <v>411</v>
      </c>
      <c r="E932" s="451" t="s">
        <v>412</v>
      </c>
      <c r="F932" s="451" t="s">
        <v>413</v>
      </c>
      <c r="G932" s="77" t="s">
        <v>414</v>
      </c>
      <c r="H932" s="77" t="s">
        <v>415</v>
      </c>
      <c r="I932" s="78" t="s">
        <v>414</v>
      </c>
      <c r="J932" s="79" t="s">
        <v>415</v>
      </c>
      <c r="K932" s="79" t="s">
        <v>414</v>
      </c>
      <c r="L932" s="79" t="s">
        <v>415</v>
      </c>
    </row>
    <row r="933" spans="2:12" ht="12" customHeight="1" x14ac:dyDescent="0.35">
      <c r="B933" s="451"/>
      <c r="C933" s="451"/>
      <c r="D933" s="453"/>
      <c r="E933" s="451"/>
      <c r="F933" s="451"/>
      <c r="G933" s="77" t="s">
        <v>17</v>
      </c>
      <c r="H933" s="77" t="s">
        <v>416</v>
      </c>
      <c r="I933" s="78" t="s">
        <v>17</v>
      </c>
      <c r="J933" s="79" t="s">
        <v>416</v>
      </c>
      <c r="K933" s="79" t="s">
        <v>17</v>
      </c>
      <c r="L933" s="79" t="s">
        <v>416</v>
      </c>
    </row>
    <row r="934" spans="2:12" ht="12" customHeight="1" x14ac:dyDescent="0.35">
      <c r="B934" s="451"/>
      <c r="C934" s="451"/>
      <c r="D934" s="454"/>
      <c r="E934" s="451"/>
      <c r="F934" s="451"/>
      <c r="G934" s="106"/>
      <c r="H934" s="77" t="s">
        <v>17</v>
      </c>
      <c r="I934" s="94"/>
      <c r="J934" s="79" t="s">
        <v>17</v>
      </c>
      <c r="K934" s="85"/>
      <c r="L934" s="79" t="s">
        <v>17</v>
      </c>
    </row>
    <row r="935" spans="2:12" ht="12" customHeight="1" x14ac:dyDescent="0.35">
      <c r="B935" s="80" t="s">
        <v>5</v>
      </c>
      <c r="C935" s="81" t="s">
        <v>417</v>
      </c>
      <c r="D935" s="82"/>
      <c r="E935" s="82"/>
      <c r="F935" s="82"/>
      <c r="G935" s="82"/>
      <c r="H935" s="82"/>
      <c r="I935" s="83"/>
      <c r="J935" s="83"/>
      <c r="K935" s="83"/>
      <c r="L935" s="83"/>
    </row>
    <row r="936" spans="2:12" ht="12" customHeight="1" x14ac:dyDescent="0.35">
      <c r="B936" s="84"/>
      <c r="C936" s="85"/>
      <c r="D936" s="84"/>
      <c r="E936" s="84"/>
      <c r="F936" s="86"/>
      <c r="G936" s="87"/>
      <c r="H936" s="87">
        <f>F936*G936</f>
        <v>0</v>
      </c>
      <c r="I936" s="87">
        <v>78600</v>
      </c>
      <c r="J936" s="87">
        <f>F936*I936</f>
        <v>0</v>
      </c>
      <c r="K936" s="87">
        <v>78600</v>
      </c>
      <c r="L936" s="87">
        <f>F936*K936</f>
        <v>0</v>
      </c>
    </row>
    <row r="937" spans="2:12" ht="12" customHeight="1" x14ac:dyDescent="0.35">
      <c r="B937" s="84"/>
      <c r="C937" s="85"/>
      <c r="D937" s="84"/>
      <c r="E937" s="84"/>
      <c r="F937" s="86"/>
      <c r="G937" s="87"/>
      <c r="H937" s="87">
        <f>F937*G937</f>
        <v>0</v>
      </c>
      <c r="I937" s="87">
        <v>91500</v>
      </c>
      <c r="J937" s="87">
        <f>F937*I937</f>
        <v>0</v>
      </c>
      <c r="K937" s="87">
        <v>91500</v>
      </c>
      <c r="L937" s="87">
        <f>F937*K937</f>
        <v>0</v>
      </c>
    </row>
    <row r="938" spans="2:12" ht="12" customHeight="1" x14ac:dyDescent="0.35">
      <c r="B938" s="84"/>
      <c r="C938" s="85"/>
      <c r="D938" s="84"/>
      <c r="E938" s="84"/>
      <c r="F938" s="86"/>
      <c r="G938" s="87"/>
      <c r="H938" s="87">
        <f>F938*G938</f>
        <v>0</v>
      </c>
      <c r="I938" s="87">
        <v>92500</v>
      </c>
      <c r="J938" s="87">
        <f>F938*I938</f>
        <v>0</v>
      </c>
      <c r="K938" s="87">
        <v>92500</v>
      </c>
      <c r="L938" s="87">
        <f>F938*K938</f>
        <v>0</v>
      </c>
    </row>
    <row r="939" spans="2:12" ht="12" customHeight="1" x14ac:dyDescent="0.35">
      <c r="B939" s="84"/>
      <c r="C939" s="85"/>
      <c r="D939" s="84"/>
      <c r="E939" s="84"/>
      <c r="F939" s="86"/>
      <c r="G939" s="87"/>
      <c r="H939" s="87"/>
      <c r="I939" s="87"/>
      <c r="J939" s="87"/>
      <c r="K939" s="87"/>
      <c r="L939" s="87"/>
    </row>
    <row r="940" spans="2:12" ht="12" customHeight="1" x14ac:dyDescent="0.35">
      <c r="B940" s="84"/>
      <c r="C940" s="88"/>
      <c r="D940" s="79"/>
      <c r="E940" s="79"/>
      <c r="F940" s="89" t="s">
        <v>421</v>
      </c>
      <c r="G940" s="101"/>
      <c r="H940" s="87">
        <f>SUM(H936:H939)</f>
        <v>0</v>
      </c>
      <c r="I940" s="101"/>
      <c r="J940" s="87">
        <f>SUM(J936:J939)</f>
        <v>0</v>
      </c>
      <c r="K940" s="101"/>
      <c r="L940" s="87">
        <f>SUM(L936:L939)</f>
        <v>0</v>
      </c>
    </row>
    <row r="941" spans="2:12" ht="12" customHeight="1" x14ac:dyDescent="0.35">
      <c r="B941" s="84" t="s">
        <v>6</v>
      </c>
      <c r="C941" s="88" t="s">
        <v>422</v>
      </c>
      <c r="D941" s="79"/>
      <c r="E941" s="79"/>
      <c r="F941" s="90"/>
      <c r="G941" s="84"/>
      <c r="H941" s="87"/>
      <c r="I941" s="84"/>
      <c r="J941" s="87"/>
      <c r="K941" s="84"/>
      <c r="L941" s="87"/>
    </row>
    <row r="942" spans="2:12" ht="12" customHeight="1" x14ac:dyDescent="0.35">
      <c r="B942" s="84"/>
      <c r="C942" s="85"/>
      <c r="D942" s="84"/>
      <c r="E942" s="84"/>
      <c r="F942" s="86"/>
      <c r="G942" s="87"/>
      <c r="H942" s="87">
        <f>F942*G942</f>
        <v>0</v>
      </c>
      <c r="I942" s="87">
        <v>232500</v>
      </c>
      <c r="J942" s="87">
        <f>F942*I942</f>
        <v>0</v>
      </c>
      <c r="K942" s="87">
        <v>270000</v>
      </c>
      <c r="L942" s="87">
        <f>F942*K942</f>
        <v>0</v>
      </c>
    </row>
    <row r="943" spans="2:12" ht="12" customHeight="1" x14ac:dyDescent="0.35">
      <c r="B943" s="84"/>
      <c r="C943" s="88"/>
      <c r="D943" s="79"/>
      <c r="E943" s="84"/>
      <c r="F943" s="102"/>
      <c r="G943" s="87"/>
      <c r="H943" s="87">
        <f>F943*G943</f>
        <v>0</v>
      </c>
      <c r="I943" s="87">
        <v>1060</v>
      </c>
      <c r="J943" s="87">
        <f>F943*I943</f>
        <v>0</v>
      </c>
      <c r="K943" s="87">
        <v>1060</v>
      </c>
      <c r="L943" s="87">
        <f>F943*K943</f>
        <v>0</v>
      </c>
    </row>
    <row r="944" spans="2:12" ht="12" customHeight="1" x14ac:dyDescent="0.35">
      <c r="B944" s="84"/>
      <c r="C944" s="88"/>
      <c r="D944" s="79"/>
      <c r="E944" s="84"/>
      <c r="F944" s="102"/>
      <c r="G944" s="87"/>
      <c r="H944" s="87">
        <f>F944*G944</f>
        <v>0</v>
      </c>
      <c r="I944" s="87">
        <v>215000</v>
      </c>
      <c r="J944" s="87">
        <f>F944*I944</f>
        <v>0</v>
      </c>
      <c r="K944" s="87">
        <v>250000</v>
      </c>
      <c r="L944" s="87">
        <f>F944*K944</f>
        <v>0</v>
      </c>
    </row>
    <row r="945" spans="1:12" ht="12" customHeight="1" x14ac:dyDescent="0.35">
      <c r="B945" s="84"/>
      <c r="C945" s="88"/>
      <c r="D945" s="79"/>
      <c r="E945" s="79"/>
      <c r="F945" s="89"/>
      <c r="G945" s="101"/>
      <c r="H945" s="87">
        <f>SUM(H942:H944)</f>
        <v>0</v>
      </c>
      <c r="I945" s="101"/>
      <c r="J945" s="87">
        <f>SUM(J942:J944)</f>
        <v>0</v>
      </c>
      <c r="K945" s="101"/>
      <c r="L945" s="87">
        <f>SUM(L942:L944)</f>
        <v>0</v>
      </c>
    </row>
    <row r="946" spans="1:12" ht="12" customHeight="1" x14ac:dyDescent="0.35">
      <c r="B946" s="84" t="s">
        <v>7</v>
      </c>
      <c r="C946" s="88" t="s">
        <v>424</v>
      </c>
      <c r="D946" s="79"/>
      <c r="E946" s="79"/>
      <c r="F946" s="90"/>
      <c r="G946" s="84"/>
      <c r="H946" s="87"/>
      <c r="I946" s="84"/>
      <c r="J946" s="87"/>
      <c r="K946" s="84"/>
      <c r="L946" s="87"/>
    </row>
    <row r="947" spans="1:12" ht="12" customHeight="1" x14ac:dyDescent="0.35">
      <c r="A947" s="134">
        <v>31100008</v>
      </c>
      <c r="B947" s="84"/>
      <c r="C947" s="85" t="str">
        <f>VLOOKUP(A947,'DAFTAR HARGA'!A:D,3,FALSE)</f>
        <v>jam</v>
      </c>
      <c r="D947" s="84" t="s">
        <v>418</v>
      </c>
      <c r="E947" s="84">
        <f>VLOOKUP(A947,'DAFTAR HARGA'!A:D,4,FALSE)</f>
        <v>449000</v>
      </c>
      <c r="F947" s="128">
        <f>0.02049</f>
        <v>2.0490000000000001E-2</v>
      </c>
      <c r="G947" s="87" t="e">
        <f>VLOOKUP(A947,'DAFTAR HARGA'!A:D,5,FALSE)</f>
        <v>#REF!</v>
      </c>
      <c r="H947" s="87" t="e">
        <f>F947*G947</f>
        <v>#REF!</v>
      </c>
      <c r="I947" s="87"/>
      <c r="J947" s="87" t="e">
        <f>H947*I947</f>
        <v>#REF!</v>
      </c>
      <c r="K947" s="87"/>
      <c r="L947" s="87" t="e">
        <f>J947*K947</f>
        <v>#REF!</v>
      </c>
    </row>
    <row r="948" spans="1:12" ht="12" customHeight="1" x14ac:dyDescent="0.35">
      <c r="A948" s="134" t="s">
        <v>572</v>
      </c>
      <c r="B948" s="84"/>
      <c r="C948" s="85" t="str">
        <f>VLOOKUP(A948,'DAFTAR HARGA'!A:D,3,FALSE)</f>
        <v>jam</v>
      </c>
      <c r="D948" s="84" t="s">
        <v>418</v>
      </c>
      <c r="E948" s="84">
        <f>VLOOKUP(A948,'DAFTAR HARGA'!A:D,4,FALSE)</f>
        <v>290400</v>
      </c>
      <c r="F948" s="128">
        <f>0.03869</f>
        <v>3.8690000000000002E-2</v>
      </c>
      <c r="G948" s="87" t="e">
        <f>VLOOKUP(A948,'DAFTAR HARGA'!A:D,5,FALSE)</f>
        <v>#REF!</v>
      </c>
      <c r="H948" s="87" t="e">
        <f>F948*G948</f>
        <v>#REF!</v>
      </c>
      <c r="I948" s="87"/>
      <c r="J948" s="87"/>
      <c r="K948" s="87"/>
      <c r="L948" s="87"/>
    </row>
    <row r="949" spans="1:12" ht="12" customHeight="1" x14ac:dyDescent="0.35">
      <c r="B949" s="84"/>
      <c r="C949" s="85"/>
      <c r="D949" s="84"/>
      <c r="E949" s="84"/>
      <c r="F949" s="128"/>
      <c r="G949" s="87"/>
      <c r="H949" s="87">
        <f>F949*G949</f>
        <v>0</v>
      </c>
      <c r="I949" s="87"/>
      <c r="J949" s="87"/>
      <c r="K949" s="87"/>
      <c r="L949" s="87"/>
    </row>
    <row r="950" spans="1:12" ht="12" customHeight="1" x14ac:dyDescent="0.35">
      <c r="B950" s="84"/>
      <c r="C950" s="88"/>
      <c r="D950" s="79"/>
      <c r="E950" s="79"/>
      <c r="F950" s="89" t="s">
        <v>425</v>
      </c>
      <c r="G950" s="101"/>
      <c r="H950" s="87" t="e">
        <f>SUM(H947:H949)</f>
        <v>#REF!</v>
      </c>
      <c r="I950" s="101"/>
      <c r="J950" s="87" t="e">
        <f>SUM(J947)</f>
        <v>#REF!</v>
      </c>
      <c r="K950" s="101"/>
      <c r="L950" s="87" t="e">
        <f>SUM(L947)</f>
        <v>#REF!</v>
      </c>
    </row>
    <row r="951" spans="1:12" ht="12" customHeight="1" x14ac:dyDescent="0.35">
      <c r="B951" s="84" t="s">
        <v>8</v>
      </c>
      <c r="C951" s="103" t="s">
        <v>426</v>
      </c>
      <c r="D951" s="104"/>
      <c r="E951" s="104"/>
      <c r="F951" s="104"/>
      <c r="G951" s="105"/>
      <c r="H951" s="87" t="e">
        <f>H940+H945+H950</f>
        <v>#REF!</v>
      </c>
      <c r="I951" s="105"/>
      <c r="J951" s="87" t="e">
        <f>J940+J945+J950</f>
        <v>#REF!</v>
      </c>
      <c r="K951" s="105"/>
      <c r="L951" s="87" t="e">
        <f>L940+L945+L950</f>
        <v>#REF!</v>
      </c>
    </row>
    <row r="952" spans="1:12" ht="12" customHeight="1" x14ac:dyDescent="0.35">
      <c r="B952" s="84" t="s">
        <v>9</v>
      </c>
      <c r="C952" s="455" t="s">
        <v>427</v>
      </c>
      <c r="D952" s="455"/>
      <c r="E952" s="455"/>
      <c r="F952" s="95" t="str">
        <f>OP</f>
        <v>TANJUNG PALAS TENGAH</v>
      </c>
      <c r="G952" s="85" t="s">
        <v>428</v>
      </c>
      <c r="H952" s="87" t="e">
        <f>H951*F952</f>
        <v>#REF!</v>
      </c>
      <c r="I952" s="85" t="s">
        <v>428</v>
      </c>
      <c r="J952" s="87" t="e">
        <f>J951*F952</f>
        <v>#REF!</v>
      </c>
      <c r="K952" s="85" t="s">
        <v>428</v>
      </c>
      <c r="L952" s="87" t="e">
        <f>L951*F952</f>
        <v>#REF!</v>
      </c>
    </row>
    <row r="953" spans="1:12" ht="12" customHeight="1" x14ac:dyDescent="0.35">
      <c r="B953" s="84" t="s">
        <v>10</v>
      </c>
      <c r="C953" s="103" t="s">
        <v>429</v>
      </c>
      <c r="D953" s="104"/>
      <c r="E953" s="104"/>
      <c r="F953" s="104"/>
      <c r="G953" s="105"/>
      <c r="H953" s="96" t="e">
        <f>H951+H952</f>
        <v>#REF!</v>
      </c>
      <c r="I953" s="97"/>
      <c r="J953" s="96" t="e">
        <f>J951+J952</f>
        <v>#REF!</v>
      </c>
      <c r="K953" s="97"/>
      <c r="L953" s="96" t="e">
        <f>L951+L952</f>
        <v>#REF!</v>
      </c>
    </row>
    <row r="955" spans="1:12" ht="29" customHeight="1" x14ac:dyDescent="0.35">
      <c r="B955" s="76" t="s">
        <v>575</v>
      </c>
      <c r="C955" s="458" t="s">
        <v>574</v>
      </c>
      <c r="D955" s="459"/>
      <c r="E955" s="459"/>
      <c r="F955" s="459"/>
      <c r="G955" s="456"/>
      <c r="H955" s="457"/>
      <c r="I955" s="455" t="s">
        <v>3</v>
      </c>
      <c r="J955" s="455"/>
      <c r="K955" s="455" t="s">
        <v>4</v>
      </c>
      <c r="L955" s="455"/>
    </row>
    <row r="956" spans="1:12" ht="12" customHeight="1" x14ac:dyDescent="0.35">
      <c r="B956" s="451" t="s">
        <v>409</v>
      </c>
      <c r="C956" s="451" t="s">
        <v>410</v>
      </c>
      <c r="D956" s="452" t="s">
        <v>411</v>
      </c>
      <c r="E956" s="451" t="s">
        <v>412</v>
      </c>
      <c r="F956" s="451" t="s">
        <v>413</v>
      </c>
      <c r="G956" s="77" t="s">
        <v>414</v>
      </c>
      <c r="H956" s="77" t="s">
        <v>415</v>
      </c>
      <c r="I956" s="78" t="s">
        <v>414</v>
      </c>
      <c r="J956" s="79" t="s">
        <v>415</v>
      </c>
      <c r="K956" s="79" t="s">
        <v>414</v>
      </c>
      <c r="L956" s="79" t="s">
        <v>415</v>
      </c>
    </row>
    <row r="957" spans="1:12" ht="12" customHeight="1" x14ac:dyDescent="0.35">
      <c r="B957" s="451"/>
      <c r="C957" s="451"/>
      <c r="D957" s="453"/>
      <c r="E957" s="451"/>
      <c r="F957" s="451"/>
      <c r="G957" s="77" t="s">
        <v>17</v>
      </c>
      <c r="H957" s="77" t="s">
        <v>416</v>
      </c>
      <c r="I957" s="78" t="s">
        <v>17</v>
      </c>
      <c r="J957" s="79" t="s">
        <v>416</v>
      </c>
      <c r="K957" s="79" t="s">
        <v>17</v>
      </c>
      <c r="L957" s="79" t="s">
        <v>416</v>
      </c>
    </row>
    <row r="958" spans="1:12" ht="12" customHeight="1" x14ac:dyDescent="0.35">
      <c r="B958" s="451"/>
      <c r="C958" s="451"/>
      <c r="D958" s="454"/>
      <c r="E958" s="451"/>
      <c r="F958" s="451"/>
      <c r="G958" s="106"/>
      <c r="H958" s="77" t="s">
        <v>17</v>
      </c>
      <c r="I958" s="94"/>
      <c r="J958" s="79" t="s">
        <v>17</v>
      </c>
      <c r="K958" s="85"/>
      <c r="L958" s="79" t="s">
        <v>17</v>
      </c>
    </row>
    <row r="959" spans="1:12" ht="12" customHeight="1" x14ac:dyDescent="0.35">
      <c r="B959" s="80" t="s">
        <v>5</v>
      </c>
      <c r="C959" s="81" t="s">
        <v>417</v>
      </c>
      <c r="D959" s="82"/>
      <c r="E959" s="82"/>
      <c r="F959" s="82"/>
      <c r="G959" s="82"/>
      <c r="H959" s="82"/>
      <c r="I959" s="83"/>
      <c r="J959" s="83"/>
      <c r="K959" s="83"/>
      <c r="L959" s="83"/>
    </row>
    <row r="960" spans="1:12" ht="12" customHeight="1" x14ac:dyDescent="0.35">
      <c r="B960" s="84"/>
      <c r="C960" s="85"/>
      <c r="D960" s="84"/>
      <c r="E960" s="84"/>
      <c r="F960" s="86"/>
      <c r="G960" s="87"/>
      <c r="H960" s="87">
        <f>F960*G960</f>
        <v>0</v>
      </c>
      <c r="I960" s="87">
        <v>78600</v>
      </c>
      <c r="J960" s="87">
        <f>F960*I960</f>
        <v>0</v>
      </c>
      <c r="K960" s="87">
        <v>78600</v>
      </c>
      <c r="L960" s="87">
        <f>F960*K960</f>
        <v>0</v>
      </c>
    </row>
    <row r="961" spans="1:12" ht="12" customHeight="1" x14ac:dyDescent="0.35">
      <c r="B961" s="84"/>
      <c r="C961" s="85"/>
      <c r="D961" s="84"/>
      <c r="E961" s="84"/>
      <c r="F961" s="86"/>
      <c r="G961" s="87"/>
      <c r="H961" s="87">
        <f>F961*G961</f>
        <v>0</v>
      </c>
      <c r="I961" s="87">
        <v>91500</v>
      </c>
      <c r="J961" s="87">
        <f>F961*I961</f>
        <v>0</v>
      </c>
      <c r="K961" s="87">
        <v>91500</v>
      </c>
      <c r="L961" s="87">
        <f>F961*K961</f>
        <v>0</v>
      </c>
    </row>
    <row r="962" spans="1:12" ht="12" customHeight="1" x14ac:dyDescent="0.35">
      <c r="B962" s="84"/>
      <c r="C962" s="85"/>
      <c r="D962" s="84"/>
      <c r="E962" s="84"/>
      <c r="F962" s="86"/>
      <c r="G962" s="87"/>
      <c r="H962" s="87">
        <f>F962*G962</f>
        <v>0</v>
      </c>
      <c r="I962" s="87">
        <v>92500</v>
      </c>
      <c r="J962" s="87">
        <f>F962*I962</f>
        <v>0</v>
      </c>
      <c r="K962" s="87">
        <v>92500</v>
      </c>
      <c r="L962" s="87">
        <f>F962*K962</f>
        <v>0</v>
      </c>
    </row>
    <row r="963" spans="1:12" ht="12" customHeight="1" x14ac:dyDescent="0.35">
      <c r="B963" s="84"/>
      <c r="C963" s="85"/>
      <c r="D963" s="84"/>
      <c r="E963" s="84"/>
      <c r="F963" s="86"/>
      <c r="G963" s="87"/>
      <c r="H963" s="87"/>
      <c r="I963" s="87"/>
      <c r="J963" s="87"/>
      <c r="K963" s="87"/>
      <c r="L963" s="87"/>
    </row>
    <row r="964" spans="1:12" ht="12" customHeight="1" x14ac:dyDescent="0.35">
      <c r="B964" s="84"/>
      <c r="C964" s="88"/>
      <c r="D964" s="79"/>
      <c r="E964" s="79"/>
      <c r="F964" s="89" t="s">
        <v>421</v>
      </c>
      <c r="G964" s="101"/>
      <c r="H964" s="87">
        <f>SUM(H960:H963)</f>
        <v>0</v>
      </c>
      <c r="I964" s="101"/>
      <c r="J964" s="87">
        <f>SUM(J960:J963)</f>
        <v>0</v>
      </c>
      <c r="K964" s="101"/>
      <c r="L964" s="87">
        <f>SUM(L960:L963)</f>
        <v>0</v>
      </c>
    </row>
    <row r="965" spans="1:12" ht="12" customHeight="1" x14ac:dyDescent="0.35">
      <c r="B965" s="84" t="s">
        <v>6</v>
      </c>
      <c r="C965" s="88" t="s">
        <v>422</v>
      </c>
      <c r="D965" s="79"/>
      <c r="E965" s="79"/>
      <c r="F965" s="90"/>
      <c r="G965" s="84"/>
      <c r="H965" s="87"/>
      <c r="I965" s="84"/>
      <c r="J965" s="87"/>
      <c r="K965" s="84"/>
      <c r="L965" s="87"/>
    </row>
    <row r="966" spans="1:12" ht="12" customHeight="1" x14ac:dyDescent="0.35">
      <c r="B966" s="84"/>
      <c r="C966" s="85"/>
      <c r="D966" s="84"/>
      <c r="E966" s="84"/>
      <c r="F966" s="86"/>
      <c r="G966" s="87"/>
      <c r="H966" s="87">
        <f>F966*G966</f>
        <v>0</v>
      </c>
      <c r="I966" s="87">
        <v>232500</v>
      </c>
      <c r="J966" s="87">
        <f>F966*I966</f>
        <v>0</v>
      </c>
      <c r="K966" s="87">
        <v>270000</v>
      </c>
      <c r="L966" s="87">
        <f>F966*K966</f>
        <v>0</v>
      </c>
    </row>
    <row r="967" spans="1:12" ht="12" customHeight="1" x14ac:dyDescent="0.35">
      <c r="B967" s="84"/>
      <c r="C967" s="88"/>
      <c r="D967" s="79"/>
      <c r="E967" s="84"/>
      <c r="F967" s="102"/>
      <c r="G967" s="87"/>
      <c r="H967" s="87">
        <f>F967*G967</f>
        <v>0</v>
      </c>
      <c r="I967" s="87">
        <v>1060</v>
      </c>
      <c r="J967" s="87">
        <f>F967*I967</f>
        <v>0</v>
      </c>
      <c r="K967" s="87">
        <v>1060</v>
      </c>
      <c r="L967" s="87">
        <f>F967*K967</f>
        <v>0</v>
      </c>
    </row>
    <row r="968" spans="1:12" ht="12" customHeight="1" x14ac:dyDescent="0.35">
      <c r="B968" s="84"/>
      <c r="C968" s="88"/>
      <c r="D968" s="79"/>
      <c r="E968" s="84"/>
      <c r="F968" s="102"/>
      <c r="G968" s="87"/>
      <c r="H968" s="87">
        <f>F968*G968</f>
        <v>0</v>
      </c>
      <c r="I968" s="87">
        <v>215000</v>
      </c>
      <c r="J968" s="87">
        <f>F968*I968</f>
        <v>0</v>
      </c>
      <c r="K968" s="87">
        <v>250000</v>
      </c>
      <c r="L968" s="87">
        <f>F968*K968</f>
        <v>0</v>
      </c>
    </row>
    <row r="969" spans="1:12" ht="12" customHeight="1" x14ac:dyDescent="0.35">
      <c r="B969" s="84"/>
      <c r="C969" s="88"/>
      <c r="D969" s="79"/>
      <c r="E969" s="79"/>
      <c r="F969" s="89"/>
      <c r="G969" s="101"/>
      <c r="H969" s="87">
        <f>SUM(H966:H968)</f>
        <v>0</v>
      </c>
      <c r="I969" s="101"/>
      <c r="J969" s="87">
        <f>SUM(J966:J968)</f>
        <v>0</v>
      </c>
      <c r="K969" s="101"/>
      <c r="L969" s="87">
        <f>SUM(L966:L968)</f>
        <v>0</v>
      </c>
    </row>
    <row r="970" spans="1:12" ht="12" customHeight="1" x14ac:dyDescent="0.35">
      <c r="B970" s="84" t="s">
        <v>7</v>
      </c>
      <c r="C970" s="88" t="s">
        <v>424</v>
      </c>
      <c r="D970" s="79"/>
      <c r="E970" s="79"/>
      <c r="F970" s="90"/>
      <c r="G970" s="84"/>
      <c r="H970" s="87"/>
      <c r="I970" s="84"/>
      <c r="J970" s="87"/>
      <c r="K970" s="84"/>
      <c r="L970" s="87"/>
    </row>
    <row r="971" spans="1:12" ht="12" customHeight="1" x14ac:dyDescent="0.35">
      <c r="A971" s="134">
        <v>31100008</v>
      </c>
      <c r="B971" s="84"/>
      <c r="C971" s="85" t="str">
        <f>VLOOKUP(A971,'DAFTAR HARGA'!A:D,3,FALSE)</f>
        <v>jam</v>
      </c>
      <c r="D971" s="84" t="s">
        <v>418</v>
      </c>
      <c r="E971" s="84">
        <f>VLOOKUP(A971,'DAFTAR HARGA'!A:D,4,FALSE)</f>
        <v>449000</v>
      </c>
      <c r="F971" s="128">
        <f>0.02049</f>
        <v>2.0490000000000001E-2</v>
      </c>
      <c r="G971" s="87" t="e">
        <f>VLOOKUP(A971,'DAFTAR HARGA'!A:D,5,FALSE)</f>
        <v>#REF!</v>
      </c>
      <c r="H971" s="87" t="e">
        <f>F971*G971</f>
        <v>#REF!</v>
      </c>
      <c r="I971" s="87"/>
      <c r="J971" s="87" t="e">
        <f>H971*I971</f>
        <v>#REF!</v>
      </c>
      <c r="K971" s="87"/>
      <c r="L971" s="87" t="e">
        <f>J971*K971</f>
        <v>#REF!</v>
      </c>
    </row>
    <row r="972" spans="1:12" ht="12" customHeight="1" x14ac:dyDescent="0.35">
      <c r="A972" s="134" t="s">
        <v>572</v>
      </c>
      <c r="B972" s="84"/>
      <c r="C972" s="85" t="str">
        <f>VLOOKUP(A972,'DAFTAR HARGA'!A:D,3,FALSE)</f>
        <v>jam</v>
      </c>
      <c r="D972" s="84" t="s">
        <v>418</v>
      </c>
      <c r="E972" s="84">
        <f>VLOOKUP(A972,'DAFTAR HARGA'!A:D,4,FALSE)</f>
        <v>290400</v>
      </c>
      <c r="F972" s="128">
        <f>0.03869</f>
        <v>3.8690000000000002E-2</v>
      </c>
      <c r="G972" s="87" t="e">
        <f>VLOOKUP(A972,'DAFTAR HARGA'!A:D,5,FALSE)</f>
        <v>#REF!</v>
      </c>
      <c r="H972" s="87" t="e">
        <f>F972*G972</f>
        <v>#REF!</v>
      </c>
      <c r="I972" s="87"/>
      <c r="J972" s="87"/>
      <c r="K972" s="87"/>
      <c r="L972" s="87"/>
    </row>
    <row r="973" spans="1:12" ht="12" customHeight="1" x14ac:dyDescent="0.35">
      <c r="A973" s="134">
        <v>31100023</v>
      </c>
      <c r="B973" s="84"/>
      <c r="C973" s="85" t="str">
        <f>VLOOKUP(A973,'DAFTAR HARGA'!A:D,3,FALSE)</f>
        <v>jam</v>
      </c>
      <c r="D973" s="84" t="s">
        <v>418</v>
      </c>
      <c r="E973" s="84">
        <f>VLOOKUP(A973,'DAFTAR HARGA'!A:D,4,FALSE)</f>
        <v>131000</v>
      </c>
      <c r="F973" s="128">
        <v>9.6390000000000003E-2</v>
      </c>
      <c r="G973" s="87" t="e">
        <f>VLOOKUP(A973,'DAFTAR HARGA'!A:D,5,FALSE)</f>
        <v>#REF!</v>
      </c>
      <c r="H973" s="87" t="e">
        <f>F973*G973</f>
        <v>#REF!</v>
      </c>
      <c r="I973" s="87"/>
      <c r="J973" s="87"/>
      <c r="K973" s="87"/>
      <c r="L973" s="87"/>
    </row>
    <row r="974" spans="1:12" ht="12" customHeight="1" x14ac:dyDescent="0.35">
      <c r="B974" s="84"/>
      <c r="C974" s="88"/>
      <c r="D974" s="79"/>
      <c r="E974" s="79"/>
      <c r="F974" s="89" t="s">
        <v>425</v>
      </c>
      <c r="G974" s="101"/>
      <c r="H974" s="87" t="e">
        <f>SUM(H971:H973)</f>
        <v>#REF!</v>
      </c>
      <c r="I974" s="101"/>
      <c r="J974" s="87" t="e">
        <f>SUM(J971)</f>
        <v>#REF!</v>
      </c>
      <c r="K974" s="101"/>
      <c r="L974" s="87" t="e">
        <f>SUM(L971)</f>
        <v>#REF!</v>
      </c>
    </row>
    <row r="975" spans="1:12" ht="12" customHeight="1" x14ac:dyDescent="0.35">
      <c r="B975" s="84" t="s">
        <v>8</v>
      </c>
      <c r="C975" s="103" t="s">
        <v>426</v>
      </c>
      <c r="D975" s="104"/>
      <c r="E975" s="104"/>
      <c r="F975" s="104"/>
      <c r="G975" s="105"/>
      <c r="H975" s="87" t="e">
        <f>H964+H969+H974</f>
        <v>#REF!</v>
      </c>
      <c r="I975" s="105"/>
      <c r="J975" s="87" t="e">
        <f>J964+J969+J974</f>
        <v>#REF!</v>
      </c>
      <c r="K975" s="105"/>
      <c r="L975" s="87" t="e">
        <f>L964+L969+L974</f>
        <v>#REF!</v>
      </c>
    </row>
    <row r="976" spans="1:12" ht="12" customHeight="1" x14ac:dyDescent="0.35">
      <c r="B976" s="84" t="s">
        <v>9</v>
      </c>
      <c r="C976" s="455" t="s">
        <v>427</v>
      </c>
      <c r="D976" s="455"/>
      <c r="E976" s="455"/>
      <c r="F976" s="95" t="str">
        <f>OP</f>
        <v>TANJUNG PALAS TENGAH</v>
      </c>
      <c r="G976" s="85" t="s">
        <v>428</v>
      </c>
      <c r="H976" s="87" t="e">
        <f>H975*F976</f>
        <v>#REF!</v>
      </c>
      <c r="I976" s="85" t="s">
        <v>428</v>
      </c>
      <c r="J976" s="87" t="e">
        <f>J975*F976</f>
        <v>#REF!</v>
      </c>
      <c r="K976" s="85" t="s">
        <v>428</v>
      </c>
      <c r="L976" s="87" t="e">
        <f>L975*F976</f>
        <v>#REF!</v>
      </c>
    </row>
    <row r="977" spans="2:12" ht="12" customHeight="1" x14ac:dyDescent="0.35">
      <c r="B977" s="84" t="s">
        <v>10</v>
      </c>
      <c r="C977" s="103" t="s">
        <v>429</v>
      </c>
      <c r="D977" s="104"/>
      <c r="E977" s="104"/>
      <c r="F977" s="104"/>
      <c r="G977" s="105"/>
      <c r="H977" s="96" t="e">
        <f>H975+H976</f>
        <v>#REF!</v>
      </c>
      <c r="I977" s="97"/>
      <c r="J977" s="96" t="e">
        <f>J975+J976</f>
        <v>#REF!</v>
      </c>
      <c r="K977" s="97"/>
      <c r="L977" s="96" t="e">
        <f>L975+L976</f>
        <v>#REF!</v>
      </c>
    </row>
    <row r="979" spans="2:12" ht="29" customHeight="1" x14ac:dyDescent="0.35">
      <c r="B979" s="76" t="s">
        <v>576</v>
      </c>
      <c r="C979" s="458" t="s">
        <v>577</v>
      </c>
      <c r="D979" s="459"/>
      <c r="E979" s="459"/>
      <c r="F979" s="459"/>
      <c r="G979" s="456"/>
      <c r="H979" s="457"/>
      <c r="I979" s="455" t="s">
        <v>3</v>
      </c>
      <c r="J979" s="455"/>
      <c r="K979" s="455" t="s">
        <v>4</v>
      </c>
      <c r="L979" s="455"/>
    </row>
    <row r="980" spans="2:12" ht="12" customHeight="1" x14ac:dyDescent="0.35">
      <c r="B980" s="451" t="s">
        <v>409</v>
      </c>
      <c r="C980" s="451" t="s">
        <v>410</v>
      </c>
      <c r="D980" s="452" t="s">
        <v>411</v>
      </c>
      <c r="E980" s="451" t="s">
        <v>412</v>
      </c>
      <c r="F980" s="451" t="s">
        <v>413</v>
      </c>
      <c r="G980" s="77" t="s">
        <v>414</v>
      </c>
      <c r="H980" s="77" t="s">
        <v>415</v>
      </c>
      <c r="I980" s="78" t="s">
        <v>414</v>
      </c>
      <c r="J980" s="79" t="s">
        <v>415</v>
      </c>
      <c r="K980" s="79" t="s">
        <v>414</v>
      </c>
      <c r="L980" s="79" t="s">
        <v>415</v>
      </c>
    </row>
    <row r="981" spans="2:12" ht="12" customHeight="1" x14ac:dyDescent="0.35">
      <c r="B981" s="451"/>
      <c r="C981" s="451"/>
      <c r="D981" s="453"/>
      <c r="E981" s="451"/>
      <c r="F981" s="451"/>
      <c r="G981" s="77" t="s">
        <v>17</v>
      </c>
      <c r="H981" s="77" t="s">
        <v>416</v>
      </c>
      <c r="I981" s="78" t="s">
        <v>17</v>
      </c>
      <c r="J981" s="79" t="s">
        <v>416</v>
      </c>
      <c r="K981" s="79" t="s">
        <v>17</v>
      </c>
      <c r="L981" s="79" t="s">
        <v>416</v>
      </c>
    </row>
    <row r="982" spans="2:12" ht="12" customHeight="1" x14ac:dyDescent="0.35">
      <c r="B982" s="451"/>
      <c r="C982" s="451"/>
      <c r="D982" s="454"/>
      <c r="E982" s="451"/>
      <c r="F982" s="451"/>
      <c r="G982" s="106"/>
      <c r="H982" s="77" t="s">
        <v>17</v>
      </c>
      <c r="I982" s="94"/>
      <c r="J982" s="79" t="s">
        <v>17</v>
      </c>
      <c r="K982" s="85"/>
      <c r="L982" s="79" t="s">
        <v>17</v>
      </c>
    </row>
    <row r="983" spans="2:12" ht="12" customHeight="1" x14ac:dyDescent="0.35">
      <c r="B983" s="80" t="s">
        <v>5</v>
      </c>
      <c r="C983" s="81" t="s">
        <v>417</v>
      </c>
      <c r="D983" s="82"/>
      <c r="E983" s="82"/>
      <c r="F983" s="82"/>
      <c r="G983" s="82"/>
      <c r="H983" s="82"/>
      <c r="I983" s="83"/>
      <c r="J983" s="83"/>
      <c r="K983" s="83"/>
      <c r="L983" s="83"/>
    </row>
    <row r="984" spans="2:12" ht="12" customHeight="1" x14ac:dyDescent="0.35">
      <c r="B984" s="84"/>
      <c r="C984" s="85"/>
      <c r="D984" s="84"/>
      <c r="E984" s="84"/>
      <c r="F984" s="86"/>
      <c r="G984" s="87"/>
      <c r="H984" s="87">
        <f>F984*G984</f>
        <v>0</v>
      </c>
      <c r="I984" s="87">
        <v>78600</v>
      </c>
      <c r="J984" s="87">
        <f>F984*I984</f>
        <v>0</v>
      </c>
      <c r="K984" s="87">
        <v>78600</v>
      </c>
      <c r="L984" s="87">
        <f>F984*K984</f>
        <v>0</v>
      </c>
    </row>
    <row r="985" spans="2:12" ht="12" customHeight="1" x14ac:dyDescent="0.35">
      <c r="B985" s="84"/>
      <c r="C985" s="85"/>
      <c r="D985" s="84"/>
      <c r="E985" s="84"/>
      <c r="F985" s="86"/>
      <c r="G985" s="87"/>
      <c r="H985" s="87">
        <f>F985*G985</f>
        <v>0</v>
      </c>
      <c r="I985" s="87">
        <v>91500</v>
      </c>
      <c r="J985" s="87">
        <f>F985*I985</f>
        <v>0</v>
      </c>
      <c r="K985" s="87">
        <v>91500</v>
      </c>
      <c r="L985" s="87">
        <f>F985*K985</f>
        <v>0</v>
      </c>
    </row>
    <row r="986" spans="2:12" ht="12" customHeight="1" x14ac:dyDescent="0.35">
      <c r="B986" s="84"/>
      <c r="C986" s="85"/>
      <c r="D986" s="84"/>
      <c r="E986" s="84"/>
      <c r="F986" s="86"/>
      <c r="G986" s="87"/>
      <c r="H986" s="87">
        <f>F986*G986</f>
        <v>0</v>
      </c>
      <c r="I986" s="87">
        <v>92500</v>
      </c>
      <c r="J986" s="87">
        <f>F986*I986</f>
        <v>0</v>
      </c>
      <c r="K986" s="87">
        <v>92500</v>
      </c>
      <c r="L986" s="87">
        <f>F986*K986</f>
        <v>0</v>
      </c>
    </row>
    <row r="987" spans="2:12" ht="12" customHeight="1" x14ac:dyDescent="0.35">
      <c r="B987" s="84"/>
      <c r="C987" s="85"/>
      <c r="D987" s="84"/>
      <c r="E987" s="84"/>
      <c r="F987" s="86"/>
      <c r="G987" s="87"/>
      <c r="H987" s="87"/>
      <c r="I987" s="87"/>
      <c r="J987" s="87"/>
      <c r="K987" s="87"/>
      <c r="L987" s="87"/>
    </row>
    <row r="988" spans="2:12" ht="12" customHeight="1" x14ac:dyDescent="0.35">
      <c r="B988" s="84"/>
      <c r="C988" s="88"/>
      <c r="D988" s="79"/>
      <c r="E988" s="79"/>
      <c r="F988" s="89" t="s">
        <v>421</v>
      </c>
      <c r="G988" s="101"/>
      <c r="H988" s="87">
        <f>SUM(H984:H987)</f>
        <v>0</v>
      </c>
      <c r="I988" s="101"/>
      <c r="J988" s="87">
        <f>SUM(J984:J987)</f>
        <v>0</v>
      </c>
      <c r="K988" s="101"/>
      <c r="L988" s="87">
        <f>SUM(L984:L987)</f>
        <v>0</v>
      </c>
    </row>
    <row r="989" spans="2:12" ht="12" customHeight="1" x14ac:dyDescent="0.35">
      <c r="B989" s="84" t="s">
        <v>6</v>
      </c>
      <c r="C989" s="88" t="s">
        <v>422</v>
      </c>
      <c r="D989" s="79"/>
      <c r="E989" s="79"/>
      <c r="F989" s="90"/>
      <c r="G989" s="84"/>
      <c r="H989" s="87"/>
      <c r="I989" s="84"/>
      <c r="J989" s="87"/>
      <c r="K989" s="84"/>
      <c r="L989" s="87"/>
    </row>
    <row r="990" spans="2:12" ht="12" customHeight="1" x14ac:dyDescent="0.35">
      <c r="B990" s="84"/>
      <c r="C990" s="85"/>
      <c r="D990" s="84"/>
      <c r="E990" s="84"/>
      <c r="F990" s="86"/>
      <c r="G990" s="87"/>
      <c r="H990" s="87">
        <f>F990*G990</f>
        <v>0</v>
      </c>
      <c r="I990" s="87">
        <v>232500</v>
      </c>
      <c r="J990" s="87">
        <f>F990*I990</f>
        <v>0</v>
      </c>
      <c r="K990" s="87">
        <v>270000</v>
      </c>
      <c r="L990" s="87">
        <f>F990*K990</f>
        <v>0</v>
      </c>
    </row>
    <row r="991" spans="2:12" ht="12" customHeight="1" x14ac:dyDescent="0.35">
      <c r="B991" s="84"/>
      <c r="C991" s="88"/>
      <c r="D991" s="79"/>
      <c r="E991" s="84"/>
      <c r="F991" s="102"/>
      <c r="G991" s="87"/>
      <c r="H991" s="87">
        <f>F991*G991</f>
        <v>0</v>
      </c>
      <c r="I991" s="87">
        <v>1060</v>
      </c>
      <c r="J991" s="87">
        <f>F991*I991</f>
        <v>0</v>
      </c>
      <c r="K991" s="87">
        <v>1060</v>
      </c>
      <c r="L991" s="87">
        <f>F991*K991</f>
        <v>0</v>
      </c>
    </row>
    <row r="992" spans="2:12" ht="12" customHeight="1" x14ac:dyDescent="0.35">
      <c r="B992" s="84"/>
      <c r="C992" s="88"/>
      <c r="D992" s="79"/>
      <c r="E992" s="84"/>
      <c r="F992" s="102"/>
      <c r="G992" s="87"/>
      <c r="H992" s="87">
        <f>F992*G992</f>
        <v>0</v>
      </c>
      <c r="I992" s="87">
        <v>215000</v>
      </c>
      <c r="J992" s="87">
        <f>F992*I992</f>
        <v>0</v>
      </c>
      <c r="K992" s="87">
        <v>250000</v>
      </c>
      <c r="L992" s="87">
        <f>F992*K992</f>
        <v>0</v>
      </c>
    </row>
    <row r="993" spans="1:12" ht="12" customHeight="1" x14ac:dyDescent="0.35">
      <c r="B993" s="84"/>
      <c r="C993" s="88"/>
      <c r="D993" s="79"/>
      <c r="E993" s="79"/>
      <c r="F993" s="89"/>
      <c r="G993" s="101"/>
      <c r="H993" s="87">
        <f>SUM(H990:H992)</f>
        <v>0</v>
      </c>
      <c r="I993" s="101"/>
      <c r="J993" s="87">
        <f>SUM(J990:J992)</f>
        <v>0</v>
      </c>
      <c r="K993" s="101"/>
      <c r="L993" s="87">
        <f>SUM(L990:L992)</f>
        <v>0</v>
      </c>
    </row>
    <row r="994" spans="1:12" ht="12" customHeight="1" x14ac:dyDescent="0.35">
      <c r="B994" s="84" t="s">
        <v>7</v>
      </c>
      <c r="C994" s="88" t="s">
        <v>424</v>
      </c>
      <c r="D994" s="79"/>
      <c r="E994" s="79"/>
      <c r="F994" s="90"/>
      <c r="G994" s="84"/>
      <c r="H994" s="87"/>
      <c r="I994" s="84"/>
      <c r="J994" s="87"/>
      <c r="K994" s="84"/>
      <c r="L994" s="87"/>
    </row>
    <row r="995" spans="1:12" ht="12" customHeight="1" x14ac:dyDescent="0.35">
      <c r="A995" s="134" t="s">
        <v>572</v>
      </c>
      <c r="B995" s="84"/>
      <c r="C995" s="85" t="str">
        <f>VLOOKUP(A995,'DAFTAR HARGA'!A:D,3,FALSE)</f>
        <v>jam</v>
      </c>
      <c r="D995" s="84" t="s">
        <v>418</v>
      </c>
      <c r="E995" s="84">
        <f>VLOOKUP(A995,'DAFTAR HARGA'!A:D,4,FALSE)</f>
        <v>290400</v>
      </c>
      <c r="F995" s="128">
        <f>0.03869</f>
        <v>3.8690000000000002E-2</v>
      </c>
      <c r="G995" s="87" t="e">
        <f>VLOOKUP(A995,'DAFTAR HARGA'!A:D,5,FALSE)</f>
        <v>#REF!</v>
      </c>
      <c r="H995" s="87" t="e">
        <f>F995*G995</f>
        <v>#REF!</v>
      </c>
      <c r="I995" s="87"/>
      <c r="J995" s="87" t="e">
        <f>H995*I995</f>
        <v>#REF!</v>
      </c>
      <c r="K995" s="87"/>
      <c r="L995" s="87" t="e">
        <f>J995*K995</f>
        <v>#REF!</v>
      </c>
    </row>
    <row r="996" spans="1:12" ht="12" customHeight="1" x14ac:dyDescent="0.35">
      <c r="B996" s="84"/>
      <c r="C996" s="85"/>
      <c r="D996" s="84"/>
      <c r="E996" s="84"/>
      <c r="F996" s="128"/>
      <c r="G996" s="87"/>
      <c r="H996" s="87">
        <f>F996*G996</f>
        <v>0</v>
      </c>
      <c r="I996" s="87"/>
      <c r="J996" s="87"/>
      <c r="K996" s="87"/>
      <c r="L996" s="87"/>
    </row>
    <row r="997" spans="1:12" ht="12" customHeight="1" x14ac:dyDescent="0.35">
      <c r="B997" s="84"/>
      <c r="C997" s="85"/>
      <c r="D997" s="84"/>
      <c r="E997" s="84"/>
      <c r="F997" s="128"/>
      <c r="G997" s="87"/>
      <c r="H997" s="87">
        <f>F997*G997</f>
        <v>0</v>
      </c>
      <c r="I997" s="87"/>
      <c r="J997" s="87"/>
      <c r="K997" s="87"/>
      <c r="L997" s="87"/>
    </row>
    <row r="998" spans="1:12" ht="12" customHeight="1" x14ac:dyDescent="0.35">
      <c r="B998" s="84"/>
      <c r="C998" s="88"/>
      <c r="D998" s="79"/>
      <c r="E998" s="79"/>
      <c r="F998" s="89" t="s">
        <v>425</v>
      </c>
      <c r="G998" s="101"/>
      <c r="H998" s="87" t="e">
        <f>SUM(H995:H997)</f>
        <v>#REF!</v>
      </c>
      <c r="I998" s="101"/>
      <c r="J998" s="87" t="e">
        <f>SUM(J995)</f>
        <v>#REF!</v>
      </c>
      <c r="K998" s="101"/>
      <c r="L998" s="87" t="e">
        <f>SUM(L995)</f>
        <v>#REF!</v>
      </c>
    </row>
    <row r="999" spans="1:12" ht="12" customHeight="1" x14ac:dyDescent="0.35">
      <c r="B999" s="84" t="s">
        <v>8</v>
      </c>
      <c r="C999" s="103" t="s">
        <v>426</v>
      </c>
      <c r="D999" s="104"/>
      <c r="E999" s="104"/>
      <c r="F999" s="104"/>
      <c r="G999" s="105"/>
      <c r="H999" s="87" t="e">
        <f>H988+H993+H998</f>
        <v>#REF!</v>
      </c>
      <c r="I999" s="105"/>
      <c r="J999" s="87" t="e">
        <f>J988+J993+J998</f>
        <v>#REF!</v>
      </c>
      <c r="K999" s="105"/>
      <c r="L999" s="87" t="e">
        <f>L988+L993+L998</f>
        <v>#REF!</v>
      </c>
    </row>
    <row r="1000" spans="1:12" ht="12" customHeight="1" x14ac:dyDescent="0.35">
      <c r="B1000" s="84" t="s">
        <v>9</v>
      </c>
      <c r="C1000" s="455" t="s">
        <v>427</v>
      </c>
      <c r="D1000" s="455"/>
      <c r="E1000" s="455"/>
      <c r="F1000" s="95" t="str">
        <f>OP</f>
        <v>TANJUNG PALAS TENGAH</v>
      </c>
      <c r="G1000" s="85" t="s">
        <v>428</v>
      </c>
      <c r="H1000" s="87" t="e">
        <f>H999*F1000</f>
        <v>#REF!</v>
      </c>
      <c r="I1000" s="85" t="s">
        <v>428</v>
      </c>
      <c r="J1000" s="87" t="e">
        <f>J999*F1000</f>
        <v>#REF!</v>
      </c>
      <c r="K1000" s="85" t="s">
        <v>428</v>
      </c>
      <c r="L1000" s="87" t="e">
        <f>L999*F1000</f>
        <v>#REF!</v>
      </c>
    </row>
    <row r="1001" spans="1:12" ht="12" customHeight="1" x14ac:dyDescent="0.35">
      <c r="B1001" s="84" t="s">
        <v>10</v>
      </c>
      <c r="C1001" s="103" t="s">
        <v>429</v>
      </c>
      <c r="D1001" s="104"/>
      <c r="E1001" s="104"/>
      <c r="F1001" s="104"/>
      <c r="G1001" s="105"/>
      <c r="H1001" s="96" t="e">
        <f>H999+H1000</f>
        <v>#REF!</v>
      </c>
      <c r="I1001" s="97"/>
      <c r="J1001" s="96" t="e">
        <f>J999+J1000</f>
        <v>#REF!</v>
      </c>
      <c r="K1001" s="97"/>
      <c r="L1001" s="96" t="e">
        <f>L999+L1000</f>
        <v>#REF!</v>
      </c>
    </row>
    <row r="1003" spans="1:12" ht="29" customHeight="1" x14ac:dyDescent="0.35">
      <c r="B1003" s="76" t="s">
        <v>578</v>
      </c>
      <c r="C1003" s="458" t="s">
        <v>579</v>
      </c>
      <c r="D1003" s="459"/>
      <c r="E1003" s="459"/>
      <c r="F1003" s="459"/>
      <c r="G1003" s="456"/>
      <c r="H1003" s="457"/>
      <c r="I1003" s="455" t="s">
        <v>3</v>
      </c>
      <c r="J1003" s="455"/>
      <c r="K1003" s="455" t="s">
        <v>4</v>
      </c>
      <c r="L1003" s="455"/>
    </row>
    <row r="1004" spans="1:12" ht="12" customHeight="1" x14ac:dyDescent="0.35">
      <c r="B1004" s="451" t="s">
        <v>409</v>
      </c>
      <c r="C1004" s="451" t="s">
        <v>410</v>
      </c>
      <c r="D1004" s="452" t="s">
        <v>411</v>
      </c>
      <c r="E1004" s="451" t="s">
        <v>412</v>
      </c>
      <c r="F1004" s="451" t="s">
        <v>413</v>
      </c>
      <c r="G1004" s="77" t="s">
        <v>414</v>
      </c>
      <c r="H1004" s="77" t="s">
        <v>415</v>
      </c>
      <c r="I1004" s="78" t="s">
        <v>414</v>
      </c>
      <c r="J1004" s="79" t="s">
        <v>415</v>
      </c>
      <c r="K1004" s="79" t="s">
        <v>414</v>
      </c>
      <c r="L1004" s="79" t="s">
        <v>415</v>
      </c>
    </row>
    <row r="1005" spans="1:12" ht="12" customHeight="1" x14ac:dyDescent="0.35">
      <c r="B1005" s="451"/>
      <c r="C1005" s="451"/>
      <c r="D1005" s="453"/>
      <c r="E1005" s="451"/>
      <c r="F1005" s="451"/>
      <c r="G1005" s="77" t="s">
        <v>17</v>
      </c>
      <c r="H1005" s="77" t="s">
        <v>416</v>
      </c>
      <c r="I1005" s="78" t="s">
        <v>17</v>
      </c>
      <c r="J1005" s="79" t="s">
        <v>416</v>
      </c>
      <c r="K1005" s="79" t="s">
        <v>17</v>
      </c>
      <c r="L1005" s="79" t="s">
        <v>416</v>
      </c>
    </row>
    <row r="1006" spans="1:12" ht="12" customHeight="1" x14ac:dyDescent="0.35">
      <c r="B1006" s="451"/>
      <c r="C1006" s="451"/>
      <c r="D1006" s="454"/>
      <c r="E1006" s="451"/>
      <c r="F1006" s="451"/>
      <c r="G1006" s="106"/>
      <c r="H1006" s="77" t="s">
        <v>17</v>
      </c>
      <c r="I1006" s="94"/>
      <c r="J1006" s="79" t="s">
        <v>17</v>
      </c>
      <c r="K1006" s="85"/>
      <c r="L1006" s="79" t="s">
        <v>17</v>
      </c>
    </row>
    <row r="1007" spans="1:12" ht="12" customHeight="1" x14ac:dyDescent="0.35">
      <c r="B1007" s="80" t="s">
        <v>5</v>
      </c>
      <c r="C1007" s="81" t="s">
        <v>417</v>
      </c>
      <c r="D1007" s="82"/>
      <c r="E1007" s="82"/>
      <c r="F1007" s="82"/>
      <c r="G1007" s="82"/>
      <c r="H1007" s="82"/>
      <c r="I1007" s="83"/>
      <c r="J1007" s="83"/>
      <c r="K1007" s="83"/>
      <c r="L1007" s="83"/>
    </row>
    <row r="1008" spans="1:12" ht="12" customHeight="1" x14ac:dyDescent="0.35">
      <c r="B1008" s="84"/>
      <c r="C1008" s="85"/>
      <c r="D1008" s="84"/>
      <c r="E1008" s="84"/>
      <c r="F1008" s="86"/>
      <c r="G1008" s="87"/>
      <c r="H1008" s="87">
        <f>F1008*G1008</f>
        <v>0</v>
      </c>
      <c r="I1008" s="87">
        <v>78600</v>
      </c>
      <c r="J1008" s="87">
        <f>F1008*I1008</f>
        <v>0</v>
      </c>
      <c r="K1008" s="87">
        <v>78600</v>
      </c>
      <c r="L1008" s="87">
        <f>F1008*K1008</f>
        <v>0</v>
      </c>
    </row>
    <row r="1009" spans="1:12" ht="12" customHeight="1" x14ac:dyDescent="0.35">
      <c r="B1009" s="84"/>
      <c r="C1009" s="85"/>
      <c r="D1009" s="84"/>
      <c r="E1009" s="84"/>
      <c r="F1009" s="86"/>
      <c r="G1009" s="87"/>
      <c r="H1009" s="87">
        <f>F1009*G1009</f>
        <v>0</v>
      </c>
      <c r="I1009" s="87">
        <v>91500</v>
      </c>
      <c r="J1009" s="87">
        <f>F1009*I1009</f>
        <v>0</v>
      </c>
      <c r="K1009" s="87">
        <v>91500</v>
      </c>
      <c r="L1009" s="87">
        <f>F1009*K1009</f>
        <v>0</v>
      </c>
    </row>
    <row r="1010" spans="1:12" ht="12" customHeight="1" x14ac:dyDescent="0.35">
      <c r="B1010" s="84"/>
      <c r="C1010" s="85"/>
      <c r="D1010" s="84"/>
      <c r="E1010" s="84"/>
      <c r="F1010" s="86"/>
      <c r="G1010" s="87"/>
      <c r="H1010" s="87">
        <f>F1010*G1010</f>
        <v>0</v>
      </c>
      <c r="I1010" s="87">
        <v>92500</v>
      </c>
      <c r="J1010" s="87">
        <f>F1010*I1010</f>
        <v>0</v>
      </c>
      <c r="K1010" s="87">
        <v>92500</v>
      </c>
      <c r="L1010" s="87">
        <f>F1010*K1010</f>
        <v>0</v>
      </c>
    </row>
    <row r="1011" spans="1:12" ht="12" customHeight="1" x14ac:dyDescent="0.35">
      <c r="B1011" s="84"/>
      <c r="C1011" s="85"/>
      <c r="D1011" s="84"/>
      <c r="E1011" s="84"/>
      <c r="F1011" s="86"/>
      <c r="G1011" s="87"/>
      <c r="H1011" s="87"/>
      <c r="I1011" s="87"/>
      <c r="J1011" s="87"/>
      <c r="K1011" s="87"/>
      <c r="L1011" s="87"/>
    </row>
    <row r="1012" spans="1:12" ht="12" customHeight="1" x14ac:dyDescent="0.35">
      <c r="B1012" s="84"/>
      <c r="C1012" s="88"/>
      <c r="D1012" s="79"/>
      <c r="E1012" s="79"/>
      <c r="F1012" s="89" t="s">
        <v>421</v>
      </c>
      <c r="G1012" s="101"/>
      <c r="H1012" s="87">
        <f>SUM(H1008:H1011)</f>
        <v>0</v>
      </c>
      <c r="I1012" s="101"/>
      <c r="J1012" s="87">
        <f>SUM(J1008:J1011)</f>
        <v>0</v>
      </c>
      <c r="K1012" s="101"/>
      <c r="L1012" s="87">
        <f>SUM(L1008:L1011)</f>
        <v>0</v>
      </c>
    </row>
    <row r="1013" spans="1:12" ht="12" customHeight="1" x14ac:dyDescent="0.35">
      <c r="B1013" s="84" t="s">
        <v>6</v>
      </c>
      <c r="C1013" s="88" t="s">
        <v>422</v>
      </c>
      <c r="D1013" s="79"/>
      <c r="E1013" s="79"/>
      <c r="F1013" s="90"/>
      <c r="G1013" s="84"/>
      <c r="H1013" s="87"/>
      <c r="I1013" s="84"/>
      <c r="J1013" s="87"/>
      <c r="K1013" s="84"/>
      <c r="L1013" s="87"/>
    </row>
    <row r="1014" spans="1:12" ht="12" customHeight="1" x14ac:dyDescent="0.35">
      <c r="B1014" s="84"/>
      <c r="C1014" s="85"/>
      <c r="D1014" s="84"/>
      <c r="E1014" s="84"/>
      <c r="F1014" s="86"/>
      <c r="G1014" s="87"/>
      <c r="H1014" s="87">
        <f>F1014*G1014</f>
        <v>0</v>
      </c>
      <c r="I1014" s="87">
        <v>232500</v>
      </c>
      <c r="J1014" s="87">
        <f>F1014*I1014</f>
        <v>0</v>
      </c>
      <c r="K1014" s="87">
        <v>270000</v>
      </c>
      <c r="L1014" s="87">
        <f>F1014*K1014</f>
        <v>0</v>
      </c>
    </row>
    <row r="1015" spans="1:12" ht="12" customHeight="1" x14ac:dyDescent="0.35">
      <c r="B1015" s="84"/>
      <c r="C1015" s="88"/>
      <c r="D1015" s="79"/>
      <c r="E1015" s="84"/>
      <c r="F1015" s="102"/>
      <c r="G1015" s="87"/>
      <c r="H1015" s="87">
        <f>F1015*G1015</f>
        <v>0</v>
      </c>
      <c r="I1015" s="87">
        <v>1060</v>
      </c>
      <c r="J1015" s="87">
        <f>F1015*I1015</f>
        <v>0</v>
      </c>
      <c r="K1015" s="87">
        <v>1060</v>
      </c>
      <c r="L1015" s="87">
        <f>F1015*K1015</f>
        <v>0</v>
      </c>
    </row>
    <row r="1016" spans="1:12" ht="12" customHeight="1" x14ac:dyDescent="0.35">
      <c r="B1016" s="84"/>
      <c r="C1016" s="88"/>
      <c r="D1016" s="79"/>
      <c r="E1016" s="84"/>
      <c r="F1016" s="102"/>
      <c r="G1016" s="87"/>
      <c r="H1016" s="87">
        <f>F1016*G1016</f>
        <v>0</v>
      </c>
      <c r="I1016" s="87">
        <v>215000</v>
      </c>
      <c r="J1016" s="87">
        <f>F1016*I1016</f>
        <v>0</v>
      </c>
      <c r="K1016" s="87">
        <v>250000</v>
      </c>
      <c r="L1016" s="87">
        <f>F1016*K1016</f>
        <v>0</v>
      </c>
    </row>
    <row r="1017" spans="1:12" ht="12" customHeight="1" x14ac:dyDescent="0.35">
      <c r="B1017" s="84"/>
      <c r="C1017" s="88"/>
      <c r="D1017" s="79"/>
      <c r="E1017" s="79"/>
      <c r="F1017" s="89"/>
      <c r="G1017" s="101"/>
      <c r="H1017" s="87">
        <f>SUM(H1014:H1016)</f>
        <v>0</v>
      </c>
      <c r="I1017" s="101"/>
      <c r="J1017" s="87">
        <f>SUM(J1014:J1016)</f>
        <v>0</v>
      </c>
      <c r="K1017" s="101"/>
      <c r="L1017" s="87">
        <f>SUM(L1014:L1016)</f>
        <v>0</v>
      </c>
    </row>
    <row r="1018" spans="1:12" ht="12" customHeight="1" x14ac:dyDescent="0.35">
      <c r="B1018" s="84" t="s">
        <v>7</v>
      </c>
      <c r="C1018" s="88" t="s">
        <v>424</v>
      </c>
      <c r="D1018" s="79"/>
      <c r="E1018" s="79"/>
      <c r="F1018" s="90"/>
      <c r="G1018" s="84"/>
      <c r="H1018" s="87"/>
      <c r="I1018" s="84"/>
      <c r="J1018" s="87"/>
      <c r="K1018" s="84"/>
      <c r="L1018" s="87"/>
    </row>
    <row r="1019" spans="1:12" ht="12" customHeight="1" x14ac:dyDescent="0.35">
      <c r="A1019" s="134" t="s">
        <v>572</v>
      </c>
      <c r="B1019" s="84"/>
      <c r="C1019" s="85" t="str">
        <f>VLOOKUP(A1019,'DAFTAR HARGA'!A:D,3,FALSE)</f>
        <v>jam</v>
      </c>
      <c r="D1019" s="84" t="s">
        <v>418</v>
      </c>
      <c r="E1019" s="84">
        <f>VLOOKUP(A1019,'DAFTAR HARGA'!A:D,4,FALSE)</f>
        <v>290400</v>
      </c>
      <c r="F1019" s="128">
        <f>0.0543</f>
        <v>5.4300000000000001E-2</v>
      </c>
      <c r="G1019" s="87" t="e">
        <f>VLOOKUP(A1019,'DAFTAR HARGA'!A:D,5,FALSE)</f>
        <v>#REF!</v>
      </c>
      <c r="H1019" s="87" t="e">
        <f>F1019*G1019</f>
        <v>#REF!</v>
      </c>
      <c r="I1019" s="87"/>
      <c r="J1019" s="87" t="e">
        <f>H1019*I1019</f>
        <v>#REF!</v>
      </c>
      <c r="K1019" s="87"/>
      <c r="L1019" s="87" t="e">
        <f>J1019*K1019</f>
        <v>#REF!</v>
      </c>
    </row>
    <row r="1020" spans="1:12" ht="12" customHeight="1" x14ac:dyDescent="0.35">
      <c r="B1020" s="84"/>
      <c r="C1020" s="85"/>
      <c r="D1020" s="84"/>
      <c r="E1020" s="84"/>
      <c r="F1020" s="128"/>
      <c r="G1020" s="87"/>
      <c r="H1020" s="87">
        <f>F1020*G1020</f>
        <v>0</v>
      </c>
      <c r="I1020" s="87"/>
      <c r="J1020" s="87"/>
      <c r="K1020" s="87"/>
      <c r="L1020" s="87"/>
    </row>
    <row r="1021" spans="1:12" ht="12" customHeight="1" x14ac:dyDescent="0.35">
      <c r="B1021" s="84"/>
      <c r="C1021" s="85"/>
      <c r="D1021" s="84"/>
      <c r="E1021" s="84"/>
      <c r="F1021" s="128"/>
      <c r="G1021" s="87"/>
      <c r="H1021" s="87">
        <f>F1021*G1021</f>
        <v>0</v>
      </c>
      <c r="I1021" s="87"/>
      <c r="J1021" s="87"/>
      <c r="K1021" s="87"/>
      <c r="L1021" s="87"/>
    </row>
    <row r="1022" spans="1:12" ht="12" customHeight="1" x14ac:dyDescent="0.35">
      <c r="B1022" s="84"/>
      <c r="C1022" s="88"/>
      <c r="D1022" s="79"/>
      <c r="E1022" s="79"/>
      <c r="F1022" s="89" t="s">
        <v>425</v>
      </c>
      <c r="G1022" s="101"/>
      <c r="H1022" s="87" t="e">
        <f>SUM(H1019:H1021)</f>
        <v>#REF!</v>
      </c>
      <c r="I1022" s="101"/>
      <c r="J1022" s="87" t="e">
        <f>SUM(J1019)</f>
        <v>#REF!</v>
      </c>
      <c r="K1022" s="101"/>
      <c r="L1022" s="87" t="e">
        <f>SUM(L1019)</f>
        <v>#REF!</v>
      </c>
    </row>
    <row r="1023" spans="1:12" ht="12" customHeight="1" x14ac:dyDescent="0.35">
      <c r="B1023" s="84" t="s">
        <v>8</v>
      </c>
      <c r="C1023" s="103" t="s">
        <v>426</v>
      </c>
      <c r="D1023" s="104"/>
      <c r="E1023" s="104"/>
      <c r="F1023" s="104"/>
      <c r="G1023" s="105"/>
      <c r="H1023" s="87" t="e">
        <f>H1012+H1017+H1022</f>
        <v>#REF!</v>
      </c>
      <c r="I1023" s="105"/>
      <c r="J1023" s="87" t="e">
        <f>J1012+J1017+J1022</f>
        <v>#REF!</v>
      </c>
      <c r="K1023" s="105"/>
      <c r="L1023" s="87" t="e">
        <f>L1012+L1017+L1022</f>
        <v>#REF!</v>
      </c>
    </row>
    <row r="1024" spans="1:12" ht="12" customHeight="1" x14ac:dyDescent="0.35">
      <c r="B1024" s="84" t="s">
        <v>9</v>
      </c>
      <c r="C1024" s="455" t="s">
        <v>427</v>
      </c>
      <c r="D1024" s="455"/>
      <c r="E1024" s="455"/>
      <c r="F1024" s="95" t="str">
        <f>OP</f>
        <v>TANJUNG PALAS TENGAH</v>
      </c>
      <c r="G1024" s="85" t="s">
        <v>428</v>
      </c>
      <c r="H1024" s="87" t="e">
        <f>H1023*F1024</f>
        <v>#REF!</v>
      </c>
      <c r="I1024" s="85" t="s">
        <v>428</v>
      </c>
      <c r="J1024" s="87" t="e">
        <f>J1023*F1024</f>
        <v>#REF!</v>
      </c>
      <c r="K1024" s="85" t="s">
        <v>428</v>
      </c>
      <c r="L1024" s="87" t="e">
        <f>L1023*F1024</f>
        <v>#REF!</v>
      </c>
    </row>
    <row r="1025" spans="2:12" ht="12" customHeight="1" x14ac:dyDescent="0.35">
      <c r="B1025" s="84" t="s">
        <v>10</v>
      </c>
      <c r="C1025" s="103" t="s">
        <v>429</v>
      </c>
      <c r="D1025" s="104"/>
      <c r="E1025" s="104"/>
      <c r="F1025" s="104"/>
      <c r="G1025" s="105"/>
      <c r="H1025" s="96" t="e">
        <f>H1023+H1024</f>
        <v>#REF!</v>
      </c>
      <c r="I1025" s="97"/>
      <c r="J1025" s="96" t="e">
        <f>J1023+J1024</f>
        <v>#REF!</v>
      </c>
      <c r="K1025" s="97"/>
      <c r="L1025" s="96" t="e">
        <f>L1023+L1024</f>
        <v>#REF!</v>
      </c>
    </row>
    <row r="1027" spans="2:12" ht="29" customHeight="1" x14ac:dyDescent="0.35">
      <c r="B1027" s="76" t="s">
        <v>580</v>
      </c>
      <c r="C1027" s="458" t="s">
        <v>581</v>
      </c>
      <c r="D1027" s="459"/>
      <c r="E1027" s="459"/>
      <c r="F1027" s="459"/>
      <c r="G1027" s="456"/>
      <c r="H1027" s="457"/>
      <c r="I1027" s="455" t="s">
        <v>3</v>
      </c>
      <c r="J1027" s="455"/>
      <c r="K1027" s="455" t="s">
        <v>4</v>
      </c>
      <c r="L1027" s="455"/>
    </row>
    <row r="1028" spans="2:12" ht="12" customHeight="1" x14ac:dyDescent="0.35">
      <c r="B1028" s="451" t="s">
        <v>409</v>
      </c>
      <c r="C1028" s="451" t="s">
        <v>410</v>
      </c>
      <c r="D1028" s="452" t="s">
        <v>411</v>
      </c>
      <c r="E1028" s="451" t="s">
        <v>412</v>
      </c>
      <c r="F1028" s="451" t="s">
        <v>413</v>
      </c>
      <c r="G1028" s="77" t="s">
        <v>414</v>
      </c>
      <c r="H1028" s="77" t="s">
        <v>415</v>
      </c>
      <c r="I1028" s="78" t="s">
        <v>414</v>
      </c>
      <c r="J1028" s="79" t="s">
        <v>415</v>
      </c>
      <c r="K1028" s="79" t="s">
        <v>414</v>
      </c>
      <c r="L1028" s="79" t="s">
        <v>415</v>
      </c>
    </row>
    <row r="1029" spans="2:12" ht="12" customHeight="1" x14ac:dyDescent="0.35">
      <c r="B1029" s="451"/>
      <c r="C1029" s="451"/>
      <c r="D1029" s="453"/>
      <c r="E1029" s="451"/>
      <c r="F1029" s="451"/>
      <c r="G1029" s="77" t="s">
        <v>17</v>
      </c>
      <c r="H1029" s="77" t="s">
        <v>416</v>
      </c>
      <c r="I1029" s="78" t="s">
        <v>17</v>
      </c>
      <c r="J1029" s="79" t="s">
        <v>416</v>
      </c>
      <c r="K1029" s="79" t="s">
        <v>17</v>
      </c>
      <c r="L1029" s="79" t="s">
        <v>416</v>
      </c>
    </row>
    <row r="1030" spans="2:12" ht="12" customHeight="1" x14ac:dyDescent="0.35">
      <c r="B1030" s="451"/>
      <c r="C1030" s="451"/>
      <c r="D1030" s="454"/>
      <c r="E1030" s="451"/>
      <c r="F1030" s="451"/>
      <c r="G1030" s="106"/>
      <c r="H1030" s="77" t="s">
        <v>17</v>
      </c>
      <c r="I1030" s="94"/>
      <c r="J1030" s="79" t="s">
        <v>17</v>
      </c>
      <c r="K1030" s="85"/>
      <c r="L1030" s="79" t="s">
        <v>17</v>
      </c>
    </row>
    <row r="1031" spans="2:12" ht="12" customHeight="1" x14ac:dyDescent="0.35">
      <c r="B1031" s="80" t="s">
        <v>5</v>
      </c>
      <c r="C1031" s="81" t="s">
        <v>417</v>
      </c>
      <c r="D1031" s="82"/>
      <c r="E1031" s="82"/>
      <c r="F1031" s="82"/>
      <c r="G1031" s="82"/>
      <c r="H1031" s="82"/>
      <c r="I1031" s="83"/>
      <c r="J1031" s="83"/>
      <c r="K1031" s="83"/>
      <c r="L1031" s="83"/>
    </row>
    <row r="1032" spans="2:12" ht="12" customHeight="1" x14ac:dyDescent="0.35">
      <c r="B1032" s="84"/>
      <c r="C1032" s="85"/>
      <c r="D1032" s="84"/>
      <c r="E1032" s="84"/>
      <c r="F1032" s="86"/>
      <c r="G1032" s="87"/>
      <c r="H1032" s="87">
        <f>F1032*G1032</f>
        <v>0</v>
      </c>
      <c r="I1032" s="87">
        <v>78600</v>
      </c>
      <c r="J1032" s="87">
        <f>F1032*I1032</f>
        <v>0</v>
      </c>
      <c r="K1032" s="87">
        <v>78600</v>
      </c>
      <c r="L1032" s="87">
        <f>F1032*K1032</f>
        <v>0</v>
      </c>
    </row>
    <row r="1033" spans="2:12" ht="12" customHeight="1" x14ac:dyDescent="0.35">
      <c r="B1033" s="84"/>
      <c r="C1033" s="85"/>
      <c r="D1033" s="84"/>
      <c r="E1033" s="84"/>
      <c r="F1033" s="86"/>
      <c r="G1033" s="87"/>
      <c r="H1033" s="87">
        <f>F1033*G1033</f>
        <v>0</v>
      </c>
      <c r="I1033" s="87">
        <v>91500</v>
      </c>
      <c r="J1033" s="87">
        <f>F1033*I1033</f>
        <v>0</v>
      </c>
      <c r="K1033" s="87">
        <v>91500</v>
      </c>
      <c r="L1033" s="87">
        <f>F1033*K1033</f>
        <v>0</v>
      </c>
    </row>
    <row r="1034" spans="2:12" ht="12" customHeight="1" x14ac:dyDescent="0.35">
      <c r="B1034" s="84"/>
      <c r="C1034" s="85"/>
      <c r="D1034" s="84"/>
      <c r="E1034" s="84"/>
      <c r="F1034" s="86"/>
      <c r="G1034" s="87"/>
      <c r="H1034" s="87">
        <f>F1034*G1034</f>
        <v>0</v>
      </c>
      <c r="I1034" s="87">
        <v>92500</v>
      </c>
      <c r="J1034" s="87">
        <f>F1034*I1034</f>
        <v>0</v>
      </c>
      <c r="K1034" s="87">
        <v>92500</v>
      </c>
      <c r="L1034" s="87">
        <f>F1034*K1034</f>
        <v>0</v>
      </c>
    </row>
    <row r="1035" spans="2:12" ht="12" customHeight="1" x14ac:dyDescent="0.35">
      <c r="B1035" s="84"/>
      <c r="C1035" s="85"/>
      <c r="D1035" s="84"/>
      <c r="E1035" s="84"/>
      <c r="F1035" s="86"/>
      <c r="G1035" s="87"/>
      <c r="H1035" s="87"/>
      <c r="I1035" s="87"/>
      <c r="J1035" s="87"/>
      <c r="K1035" s="87"/>
      <c r="L1035" s="87"/>
    </row>
    <row r="1036" spans="2:12" ht="12" customHeight="1" x14ac:dyDescent="0.35">
      <c r="B1036" s="84"/>
      <c r="C1036" s="88"/>
      <c r="D1036" s="79"/>
      <c r="E1036" s="79"/>
      <c r="F1036" s="89" t="s">
        <v>421</v>
      </c>
      <c r="G1036" s="101"/>
      <c r="H1036" s="87">
        <f>SUM(H1032:H1035)</f>
        <v>0</v>
      </c>
      <c r="I1036" s="101"/>
      <c r="J1036" s="87">
        <f>SUM(J1032:J1035)</f>
        <v>0</v>
      </c>
      <c r="K1036" s="101"/>
      <c r="L1036" s="87">
        <f>SUM(L1032:L1035)</f>
        <v>0</v>
      </c>
    </row>
    <row r="1037" spans="2:12" ht="12" customHeight="1" x14ac:dyDescent="0.35">
      <c r="B1037" s="84" t="s">
        <v>6</v>
      </c>
      <c r="C1037" s="88" t="s">
        <v>422</v>
      </c>
      <c r="D1037" s="79"/>
      <c r="E1037" s="79"/>
      <c r="F1037" s="90"/>
      <c r="G1037" s="84"/>
      <c r="H1037" s="87"/>
      <c r="I1037" s="84"/>
      <c r="J1037" s="87"/>
      <c r="K1037" s="84"/>
      <c r="L1037" s="87"/>
    </row>
    <row r="1038" spans="2:12" ht="12" customHeight="1" x14ac:dyDescent="0.35">
      <c r="B1038" s="84"/>
      <c r="C1038" s="85"/>
      <c r="D1038" s="84"/>
      <c r="E1038" s="84"/>
      <c r="F1038" s="86"/>
      <c r="G1038" s="87"/>
      <c r="H1038" s="87">
        <f>F1038*G1038</f>
        <v>0</v>
      </c>
      <c r="I1038" s="87">
        <v>232500</v>
      </c>
      <c r="J1038" s="87">
        <f>F1038*I1038</f>
        <v>0</v>
      </c>
      <c r="K1038" s="87">
        <v>270000</v>
      </c>
      <c r="L1038" s="87">
        <f>F1038*K1038</f>
        <v>0</v>
      </c>
    </row>
    <row r="1039" spans="2:12" ht="12" customHeight="1" x14ac:dyDescent="0.35">
      <c r="B1039" s="84"/>
      <c r="C1039" s="88"/>
      <c r="D1039" s="79"/>
      <c r="E1039" s="84"/>
      <c r="F1039" s="102"/>
      <c r="G1039" s="87"/>
      <c r="H1039" s="87">
        <f>F1039*G1039</f>
        <v>0</v>
      </c>
      <c r="I1039" s="87">
        <v>1060</v>
      </c>
      <c r="J1039" s="87">
        <f>F1039*I1039</f>
        <v>0</v>
      </c>
      <c r="K1039" s="87">
        <v>1060</v>
      </c>
      <c r="L1039" s="87">
        <f>F1039*K1039</f>
        <v>0</v>
      </c>
    </row>
    <row r="1040" spans="2:12" ht="12" customHeight="1" x14ac:dyDescent="0.35">
      <c r="B1040" s="84"/>
      <c r="C1040" s="88"/>
      <c r="D1040" s="79"/>
      <c r="E1040" s="84"/>
      <c r="F1040" s="102"/>
      <c r="G1040" s="87"/>
      <c r="H1040" s="87">
        <f>F1040*G1040</f>
        <v>0</v>
      </c>
      <c r="I1040" s="87">
        <v>215000</v>
      </c>
      <c r="J1040" s="87">
        <f>F1040*I1040</f>
        <v>0</v>
      </c>
      <c r="K1040" s="87">
        <v>250000</v>
      </c>
      <c r="L1040" s="87">
        <f>F1040*K1040</f>
        <v>0</v>
      </c>
    </row>
    <row r="1041" spans="1:12" ht="12" customHeight="1" x14ac:dyDescent="0.35">
      <c r="B1041" s="84"/>
      <c r="C1041" s="88"/>
      <c r="D1041" s="79"/>
      <c r="E1041" s="79"/>
      <c r="F1041" s="89"/>
      <c r="G1041" s="101"/>
      <c r="H1041" s="87">
        <f>SUM(H1038:H1040)</f>
        <v>0</v>
      </c>
      <c r="I1041" s="101"/>
      <c r="J1041" s="87">
        <f>SUM(J1038:J1040)</f>
        <v>0</v>
      </c>
      <c r="K1041" s="101"/>
      <c r="L1041" s="87">
        <f>SUM(L1038:L1040)</f>
        <v>0</v>
      </c>
    </row>
    <row r="1042" spans="1:12" ht="12" customHeight="1" x14ac:dyDescent="0.35">
      <c r="B1042" s="84" t="s">
        <v>7</v>
      </c>
      <c r="C1042" s="88" t="s">
        <v>424</v>
      </c>
      <c r="D1042" s="79"/>
      <c r="E1042" s="79"/>
      <c r="F1042" s="90"/>
      <c r="G1042" s="84"/>
      <c r="H1042" s="87"/>
      <c r="I1042" s="84"/>
      <c r="J1042" s="87"/>
      <c r="K1042" s="84"/>
      <c r="L1042" s="87"/>
    </row>
    <row r="1043" spans="1:12" ht="12" customHeight="1" x14ac:dyDescent="0.35">
      <c r="A1043" s="134" t="s">
        <v>572</v>
      </c>
      <c r="B1043" s="84"/>
      <c r="C1043" s="85" t="str">
        <f>VLOOKUP(A1043,'DAFTAR HARGA'!A:D,3,FALSE)</f>
        <v>jam</v>
      </c>
      <c r="D1043" s="84" t="s">
        <v>418</v>
      </c>
      <c r="E1043" s="84">
        <f>VLOOKUP(A1043,'DAFTAR HARGA'!A:D,4,FALSE)</f>
        <v>290400</v>
      </c>
      <c r="F1043" s="128">
        <f>0.0439</f>
        <v>4.3900000000000002E-2</v>
      </c>
      <c r="G1043" s="87" t="e">
        <f>VLOOKUP(A1043,'DAFTAR HARGA'!A:D,5,FALSE)</f>
        <v>#REF!</v>
      </c>
      <c r="H1043" s="87" t="e">
        <f>F1043*G1043</f>
        <v>#REF!</v>
      </c>
      <c r="I1043" s="87"/>
      <c r="J1043" s="87" t="e">
        <f>H1043*I1043</f>
        <v>#REF!</v>
      </c>
      <c r="K1043" s="87"/>
      <c r="L1043" s="87" t="e">
        <f>J1043*K1043</f>
        <v>#REF!</v>
      </c>
    </row>
    <row r="1044" spans="1:12" ht="12" customHeight="1" x14ac:dyDescent="0.35">
      <c r="B1044" s="84"/>
      <c r="C1044" s="85"/>
      <c r="D1044" s="84"/>
      <c r="E1044" s="84"/>
      <c r="F1044" s="128"/>
      <c r="G1044" s="87"/>
      <c r="H1044" s="87">
        <f>F1044*G1044</f>
        <v>0</v>
      </c>
      <c r="I1044" s="87"/>
      <c r="J1044" s="87"/>
      <c r="K1044" s="87"/>
      <c r="L1044" s="87"/>
    </row>
    <row r="1045" spans="1:12" ht="12" customHeight="1" x14ac:dyDescent="0.35">
      <c r="B1045" s="84"/>
      <c r="C1045" s="85"/>
      <c r="D1045" s="84"/>
      <c r="E1045" s="84"/>
      <c r="F1045" s="128"/>
      <c r="G1045" s="87"/>
      <c r="H1045" s="87">
        <f>F1045*G1045</f>
        <v>0</v>
      </c>
      <c r="I1045" s="87"/>
      <c r="J1045" s="87"/>
      <c r="K1045" s="87"/>
      <c r="L1045" s="87"/>
    </row>
    <row r="1046" spans="1:12" ht="12" customHeight="1" x14ac:dyDescent="0.35">
      <c r="B1046" s="84"/>
      <c r="C1046" s="88"/>
      <c r="D1046" s="79"/>
      <c r="E1046" s="79"/>
      <c r="F1046" s="89" t="s">
        <v>425</v>
      </c>
      <c r="G1046" s="101"/>
      <c r="H1046" s="87" t="e">
        <f>SUM(H1043:H1045)</f>
        <v>#REF!</v>
      </c>
      <c r="I1046" s="101"/>
      <c r="J1046" s="87" t="e">
        <f>SUM(J1043)</f>
        <v>#REF!</v>
      </c>
      <c r="K1046" s="101"/>
      <c r="L1046" s="87" t="e">
        <f>SUM(L1043)</f>
        <v>#REF!</v>
      </c>
    </row>
    <row r="1047" spans="1:12" ht="12" customHeight="1" x14ac:dyDescent="0.35">
      <c r="B1047" s="84" t="s">
        <v>8</v>
      </c>
      <c r="C1047" s="103" t="s">
        <v>426</v>
      </c>
      <c r="D1047" s="104"/>
      <c r="E1047" s="104"/>
      <c r="F1047" s="104"/>
      <c r="G1047" s="105"/>
      <c r="H1047" s="87" t="e">
        <f>H1036+H1041+H1046</f>
        <v>#REF!</v>
      </c>
      <c r="I1047" s="105"/>
      <c r="J1047" s="87" t="e">
        <f>J1036+J1041+J1046</f>
        <v>#REF!</v>
      </c>
      <c r="K1047" s="105"/>
      <c r="L1047" s="87" t="e">
        <f>L1036+L1041+L1046</f>
        <v>#REF!</v>
      </c>
    </row>
    <row r="1048" spans="1:12" ht="12" customHeight="1" x14ac:dyDescent="0.35">
      <c r="B1048" s="84" t="s">
        <v>9</v>
      </c>
      <c r="C1048" s="455" t="s">
        <v>427</v>
      </c>
      <c r="D1048" s="455"/>
      <c r="E1048" s="455"/>
      <c r="F1048" s="95" t="str">
        <f>OP</f>
        <v>TANJUNG PALAS TENGAH</v>
      </c>
      <c r="G1048" s="85" t="s">
        <v>428</v>
      </c>
      <c r="H1048" s="87" t="e">
        <f>H1047*F1048</f>
        <v>#REF!</v>
      </c>
      <c r="I1048" s="85" t="s">
        <v>428</v>
      </c>
      <c r="J1048" s="87" t="e">
        <f>J1047*F1048</f>
        <v>#REF!</v>
      </c>
      <c r="K1048" s="85" t="s">
        <v>428</v>
      </c>
      <c r="L1048" s="87" t="e">
        <f>L1047*F1048</f>
        <v>#REF!</v>
      </c>
    </row>
    <row r="1049" spans="1:12" ht="12" customHeight="1" x14ac:dyDescent="0.35">
      <c r="B1049" s="84" t="s">
        <v>10</v>
      </c>
      <c r="C1049" s="103" t="s">
        <v>429</v>
      </c>
      <c r="D1049" s="104"/>
      <c r="E1049" s="104"/>
      <c r="F1049" s="104"/>
      <c r="G1049" s="105"/>
      <c r="H1049" s="96" t="e">
        <f>H1047+H1048</f>
        <v>#REF!</v>
      </c>
      <c r="I1049" s="97"/>
      <c r="J1049" s="96" t="e">
        <f>J1047+J1048</f>
        <v>#REF!</v>
      </c>
      <c r="K1049" s="97"/>
      <c r="L1049" s="96" t="e">
        <f>L1047+L1048</f>
        <v>#REF!</v>
      </c>
    </row>
    <row r="1051" spans="1:12" ht="29" customHeight="1" x14ac:dyDescent="0.35">
      <c r="B1051" s="76" t="s">
        <v>582</v>
      </c>
      <c r="C1051" s="458" t="s">
        <v>583</v>
      </c>
      <c r="D1051" s="459"/>
      <c r="E1051" s="459"/>
      <c r="F1051" s="459"/>
      <c r="G1051" s="456"/>
      <c r="H1051" s="457"/>
      <c r="I1051" s="455" t="s">
        <v>3</v>
      </c>
      <c r="J1051" s="455"/>
      <c r="K1051" s="455" t="s">
        <v>4</v>
      </c>
      <c r="L1051" s="455"/>
    </row>
    <row r="1052" spans="1:12" ht="12" customHeight="1" x14ac:dyDescent="0.35">
      <c r="B1052" s="451" t="s">
        <v>409</v>
      </c>
      <c r="C1052" s="451" t="s">
        <v>410</v>
      </c>
      <c r="D1052" s="452" t="s">
        <v>411</v>
      </c>
      <c r="E1052" s="451" t="s">
        <v>412</v>
      </c>
      <c r="F1052" s="451" t="s">
        <v>413</v>
      </c>
      <c r="G1052" s="77" t="s">
        <v>414</v>
      </c>
      <c r="H1052" s="77" t="s">
        <v>415</v>
      </c>
      <c r="I1052" s="78" t="s">
        <v>414</v>
      </c>
      <c r="J1052" s="79" t="s">
        <v>415</v>
      </c>
      <c r="K1052" s="79" t="s">
        <v>414</v>
      </c>
      <c r="L1052" s="79" t="s">
        <v>415</v>
      </c>
    </row>
    <row r="1053" spans="1:12" ht="12" customHeight="1" x14ac:dyDescent="0.35">
      <c r="B1053" s="451"/>
      <c r="C1053" s="451"/>
      <c r="D1053" s="453"/>
      <c r="E1053" s="451"/>
      <c r="F1053" s="451"/>
      <c r="G1053" s="77" t="s">
        <v>17</v>
      </c>
      <c r="H1053" s="77" t="s">
        <v>416</v>
      </c>
      <c r="I1053" s="78" t="s">
        <v>17</v>
      </c>
      <c r="J1053" s="79" t="s">
        <v>416</v>
      </c>
      <c r="K1053" s="79" t="s">
        <v>17</v>
      </c>
      <c r="L1053" s="79" t="s">
        <v>416</v>
      </c>
    </row>
    <row r="1054" spans="1:12" ht="12" customHeight="1" x14ac:dyDescent="0.35">
      <c r="B1054" s="451"/>
      <c r="C1054" s="451"/>
      <c r="D1054" s="454"/>
      <c r="E1054" s="451"/>
      <c r="F1054" s="451"/>
      <c r="G1054" s="106"/>
      <c r="H1054" s="77" t="s">
        <v>17</v>
      </c>
      <c r="I1054" s="94"/>
      <c r="J1054" s="79" t="s">
        <v>17</v>
      </c>
      <c r="K1054" s="85"/>
      <c r="L1054" s="79" t="s">
        <v>17</v>
      </c>
    </row>
    <row r="1055" spans="1:12" ht="12" customHeight="1" x14ac:dyDescent="0.35">
      <c r="B1055" s="80" t="s">
        <v>5</v>
      </c>
      <c r="C1055" s="81" t="s">
        <v>417</v>
      </c>
      <c r="D1055" s="82"/>
      <c r="E1055" s="82"/>
      <c r="F1055" s="82"/>
      <c r="G1055" s="82"/>
      <c r="H1055" s="82"/>
      <c r="I1055" s="83"/>
      <c r="J1055" s="83"/>
      <c r="K1055" s="83"/>
      <c r="L1055" s="83"/>
    </row>
    <row r="1056" spans="1:12" ht="12" customHeight="1" x14ac:dyDescent="0.35">
      <c r="A1056" s="134">
        <v>10111000</v>
      </c>
      <c r="B1056" s="84"/>
      <c r="C1056" s="85" t="str">
        <f>VLOOKUP(A1056,'DAFTAR HARGA'!A:D,3,FALSE)</f>
        <v>OJ</v>
      </c>
      <c r="D1056" s="84" t="s">
        <v>418</v>
      </c>
      <c r="E1056" s="84">
        <f>VLOOKUP(A1056,'DAFTAR HARGA'!A:D,4,FALSE)</f>
        <v>18750</v>
      </c>
      <c r="F1056" s="128">
        <v>1.06E-2</v>
      </c>
      <c r="G1056" s="87" t="e">
        <f>VLOOKUP(A1056,'DAFTAR HARGA'!A:D,5,FALSE)</f>
        <v>#REF!</v>
      </c>
      <c r="H1056" s="87" t="e">
        <f>F1056*G1056</f>
        <v>#REF!</v>
      </c>
      <c r="I1056" s="87">
        <v>78600</v>
      </c>
      <c r="J1056" s="87">
        <f>F1056*I1056</f>
        <v>833.16</v>
      </c>
      <c r="K1056" s="87">
        <v>78600</v>
      </c>
      <c r="L1056" s="87">
        <f>F1056*K1056</f>
        <v>833.16</v>
      </c>
    </row>
    <row r="1057" spans="1:12" ht="12" customHeight="1" x14ac:dyDescent="0.35">
      <c r="A1057" s="134">
        <v>10131000</v>
      </c>
      <c r="B1057" s="84"/>
      <c r="C1057" s="85" t="str">
        <f>VLOOKUP(A1057,'DAFTAR HARGA'!A:D,3,FALSE)</f>
        <v>OJ</v>
      </c>
      <c r="D1057" s="84" t="s">
        <v>418</v>
      </c>
      <c r="E1057" s="84">
        <f>VLOOKUP(A1057,'DAFTAR HARGA'!A:D,4,FALSE)</f>
        <v>14375</v>
      </c>
      <c r="F1057" s="128">
        <v>0.106</v>
      </c>
      <c r="G1057" s="87" t="e">
        <f>VLOOKUP(A1057,'DAFTAR HARGA'!A:D,5,FALSE)</f>
        <v>#REF!</v>
      </c>
      <c r="H1057" s="87" t="e">
        <f>F1057*G1057</f>
        <v>#REF!</v>
      </c>
      <c r="I1057" s="87">
        <v>91500</v>
      </c>
      <c r="J1057" s="87">
        <f>F1057*I1057</f>
        <v>9699</v>
      </c>
      <c r="K1057" s="87">
        <v>91500</v>
      </c>
      <c r="L1057" s="87">
        <f>F1057*K1057</f>
        <v>9699</v>
      </c>
    </row>
    <row r="1058" spans="1:12" ht="12" customHeight="1" x14ac:dyDescent="0.35">
      <c r="B1058" s="84"/>
      <c r="C1058" s="85"/>
      <c r="D1058" s="84"/>
      <c r="E1058" s="84"/>
      <c r="F1058" s="86"/>
      <c r="G1058" s="87"/>
      <c r="H1058" s="87">
        <f>F1058*G1058</f>
        <v>0</v>
      </c>
      <c r="I1058" s="87">
        <v>92500</v>
      </c>
      <c r="J1058" s="87">
        <f>F1058*I1058</f>
        <v>0</v>
      </c>
      <c r="K1058" s="87">
        <v>92500</v>
      </c>
      <c r="L1058" s="87">
        <f>F1058*K1058</f>
        <v>0</v>
      </c>
    </row>
    <row r="1059" spans="1:12" ht="12" customHeight="1" x14ac:dyDescent="0.35">
      <c r="B1059" s="84"/>
      <c r="C1059" s="85"/>
      <c r="D1059" s="84"/>
      <c r="E1059" s="84"/>
      <c r="F1059" s="86"/>
      <c r="G1059" s="87"/>
      <c r="H1059" s="87"/>
      <c r="I1059" s="87"/>
      <c r="J1059" s="87"/>
      <c r="K1059" s="87"/>
      <c r="L1059" s="87"/>
    </row>
    <row r="1060" spans="1:12" ht="12" customHeight="1" x14ac:dyDescent="0.35">
      <c r="B1060" s="84"/>
      <c r="C1060" s="88"/>
      <c r="D1060" s="79"/>
      <c r="E1060" s="79"/>
      <c r="F1060" s="89" t="s">
        <v>421</v>
      </c>
      <c r="G1060" s="101"/>
      <c r="H1060" s="87" t="e">
        <f>SUM(H1056:H1059)</f>
        <v>#REF!</v>
      </c>
      <c r="I1060" s="101"/>
      <c r="J1060" s="87">
        <f>SUM(J1056:J1059)</f>
        <v>10532.16</v>
      </c>
      <c r="K1060" s="101"/>
      <c r="L1060" s="87">
        <f>SUM(L1056:L1059)</f>
        <v>10532.16</v>
      </c>
    </row>
    <row r="1061" spans="1:12" ht="12" customHeight="1" x14ac:dyDescent="0.35">
      <c r="B1061" s="84" t="s">
        <v>6</v>
      </c>
      <c r="C1061" s="88" t="s">
        <v>422</v>
      </c>
      <c r="D1061" s="79"/>
      <c r="E1061" s="79"/>
      <c r="F1061" s="90"/>
      <c r="G1061" s="84"/>
      <c r="H1061" s="87"/>
      <c r="I1061" s="84"/>
      <c r="J1061" s="87"/>
      <c r="K1061" s="84"/>
      <c r="L1061" s="87"/>
    </row>
    <row r="1062" spans="1:12" ht="12" customHeight="1" x14ac:dyDescent="0.35">
      <c r="B1062" s="84"/>
      <c r="C1062" s="85"/>
      <c r="D1062" s="84"/>
      <c r="E1062" s="84"/>
      <c r="F1062" s="86"/>
      <c r="G1062" s="87"/>
      <c r="H1062" s="87">
        <f>F1062*G1062</f>
        <v>0</v>
      </c>
      <c r="I1062" s="87">
        <v>232500</v>
      </c>
      <c r="J1062" s="87">
        <f>F1062*I1062</f>
        <v>0</v>
      </c>
      <c r="K1062" s="87">
        <v>270000</v>
      </c>
      <c r="L1062" s="87">
        <f>F1062*K1062</f>
        <v>0</v>
      </c>
    </row>
    <row r="1063" spans="1:12" ht="12" customHeight="1" x14ac:dyDescent="0.35">
      <c r="B1063" s="84"/>
      <c r="C1063" s="88"/>
      <c r="D1063" s="79"/>
      <c r="E1063" s="84"/>
      <c r="F1063" s="102"/>
      <c r="G1063" s="87"/>
      <c r="H1063" s="87">
        <f>F1063*G1063</f>
        <v>0</v>
      </c>
      <c r="I1063" s="87">
        <v>1060</v>
      </c>
      <c r="J1063" s="87">
        <f>F1063*I1063</f>
        <v>0</v>
      </c>
      <c r="K1063" s="87">
        <v>1060</v>
      </c>
      <c r="L1063" s="87">
        <f>F1063*K1063</f>
        <v>0</v>
      </c>
    </row>
    <row r="1064" spans="1:12" ht="12" customHeight="1" x14ac:dyDescent="0.35">
      <c r="B1064" s="84"/>
      <c r="C1064" s="88"/>
      <c r="D1064" s="79"/>
      <c r="E1064" s="84"/>
      <c r="F1064" s="102"/>
      <c r="G1064" s="87"/>
      <c r="H1064" s="87">
        <f>F1064*G1064</f>
        <v>0</v>
      </c>
      <c r="I1064" s="87">
        <v>215000</v>
      </c>
      <c r="J1064" s="87">
        <f>F1064*I1064</f>
        <v>0</v>
      </c>
      <c r="K1064" s="87">
        <v>250000</v>
      </c>
      <c r="L1064" s="87">
        <f>F1064*K1064</f>
        <v>0</v>
      </c>
    </row>
    <row r="1065" spans="1:12" ht="12" customHeight="1" x14ac:dyDescent="0.35">
      <c r="B1065" s="84"/>
      <c r="C1065" s="88"/>
      <c r="D1065" s="79"/>
      <c r="E1065" s="79"/>
      <c r="F1065" s="89"/>
      <c r="G1065" s="101"/>
      <c r="H1065" s="87">
        <f>SUM(H1062:H1064)</f>
        <v>0</v>
      </c>
      <c r="I1065" s="101"/>
      <c r="J1065" s="87">
        <f>SUM(J1062:J1064)</f>
        <v>0</v>
      </c>
      <c r="K1065" s="101"/>
      <c r="L1065" s="87">
        <f>SUM(L1062:L1064)</f>
        <v>0</v>
      </c>
    </row>
    <row r="1066" spans="1:12" ht="12" customHeight="1" x14ac:dyDescent="0.35">
      <c r="B1066" s="84" t="s">
        <v>7</v>
      </c>
      <c r="C1066" s="88" t="s">
        <v>424</v>
      </c>
      <c r="D1066" s="79"/>
      <c r="E1066" s="79"/>
      <c r="F1066" s="90"/>
      <c r="G1066" s="84"/>
      <c r="H1066" s="87"/>
      <c r="I1066" s="84"/>
      <c r="J1066" s="87"/>
      <c r="K1066" s="84"/>
      <c r="L1066" s="87"/>
    </row>
    <row r="1067" spans="1:12" ht="12" customHeight="1" x14ac:dyDescent="0.35">
      <c r="A1067" s="134" t="s">
        <v>572</v>
      </c>
      <c r="B1067" s="84"/>
      <c r="C1067" s="85" t="str">
        <f>VLOOKUP(A1067,'DAFTAR HARGA'!A:D,3,FALSE)</f>
        <v>jam</v>
      </c>
      <c r="D1067" s="84" t="s">
        <v>418</v>
      </c>
      <c r="E1067" s="84">
        <f>VLOOKUP(A1067,'DAFTAR HARGA'!A:D,4,FALSE)</f>
        <v>290400</v>
      </c>
      <c r="F1067" s="128">
        <f>0.0483</f>
        <v>4.8300000000000003E-2</v>
      </c>
      <c r="G1067" s="87" t="e">
        <f>VLOOKUP(A1067,'DAFTAR HARGA'!A:D,5,FALSE)</f>
        <v>#REF!</v>
      </c>
      <c r="H1067" s="87" t="e">
        <f>F1067*G1067</f>
        <v>#REF!</v>
      </c>
      <c r="I1067" s="87"/>
      <c r="J1067" s="87" t="e">
        <f>H1067*I1067</f>
        <v>#REF!</v>
      </c>
      <c r="K1067" s="87"/>
      <c r="L1067" s="87" t="e">
        <f>J1067*K1067</f>
        <v>#REF!</v>
      </c>
    </row>
    <row r="1068" spans="1:12" ht="12" customHeight="1" x14ac:dyDescent="0.35">
      <c r="A1068" s="134">
        <v>31100008</v>
      </c>
      <c r="B1068" s="84"/>
      <c r="C1068" s="85" t="str">
        <f>VLOOKUP(A1068,'DAFTAR HARGA'!A:D,3,FALSE)</f>
        <v>jam</v>
      </c>
      <c r="D1068" s="84" t="s">
        <v>418</v>
      </c>
      <c r="E1068" s="84">
        <f>VLOOKUP(A1068,'DAFTAR HARGA'!A:D,4,FALSE)</f>
        <v>449000</v>
      </c>
      <c r="F1068" s="128">
        <f>0.0095</f>
        <v>9.4999999999999998E-3</v>
      </c>
      <c r="G1068" s="87" t="e">
        <f>VLOOKUP(A1068,'DAFTAR HARGA'!A:D,5,FALSE)</f>
        <v>#REF!</v>
      </c>
      <c r="H1068" s="87" t="e">
        <f>F1068*G1068</f>
        <v>#REF!</v>
      </c>
      <c r="I1068" s="87"/>
      <c r="J1068" s="87"/>
      <c r="K1068" s="87"/>
      <c r="L1068" s="87"/>
    </row>
    <row r="1069" spans="1:12" ht="12" customHeight="1" x14ac:dyDescent="0.35">
      <c r="B1069" s="84"/>
      <c r="C1069" s="85"/>
      <c r="D1069" s="84"/>
      <c r="E1069" s="84"/>
      <c r="F1069" s="128"/>
      <c r="G1069" s="87"/>
      <c r="H1069" s="87">
        <f>F1069*G1069</f>
        <v>0</v>
      </c>
      <c r="I1069" s="87"/>
      <c r="J1069" s="87"/>
      <c r="K1069" s="87"/>
      <c r="L1069" s="87"/>
    </row>
    <row r="1070" spans="1:12" ht="12" customHeight="1" x14ac:dyDescent="0.35">
      <c r="B1070" s="84"/>
      <c r="C1070" s="88"/>
      <c r="D1070" s="79"/>
      <c r="E1070" s="79"/>
      <c r="F1070" s="89" t="s">
        <v>425</v>
      </c>
      <c r="G1070" s="101"/>
      <c r="H1070" s="87" t="e">
        <f>SUM(H1067:H1069)</f>
        <v>#REF!</v>
      </c>
      <c r="I1070" s="101"/>
      <c r="J1070" s="87" t="e">
        <f>SUM(J1067)</f>
        <v>#REF!</v>
      </c>
      <c r="K1070" s="101"/>
      <c r="L1070" s="87" t="e">
        <f>SUM(L1067)</f>
        <v>#REF!</v>
      </c>
    </row>
    <row r="1071" spans="1:12" ht="12" customHeight="1" x14ac:dyDescent="0.35">
      <c r="B1071" s="84" t="s">
        <v>8</v>
      </c>
      <c r="C1071" s="103" t="s">
        <v>426</v>
      </c>
      <c r="D1071" s="104"/>
      <c r="E1071" s="104"/>
      <c r="F1071" s="104"/>
      <c r="G1071" s="105"/>
      <c r="H1071" s="87" t="e">
        <f>H1060+H1065+H1070</f>
        <v>#REF!</v>
      </c>
      <c r="I1071" s="105"/>
      <c r="J1071" s="87" t="e">
        <f>J1060+J1065+J1070</f>
        <v>#REF!</v>
      </c>
      <c r="K1071" s="105"/>
      <c r="L1071" s="87" t="e">
        <f>L1060+L1065+L1070</f>
        <v>#REF!</v>
      </c>
    </row>
    <row r="1072" spans="1:12" ht="12" customHeight="1" x14ac:dyDescent="0.35">
      <c r="B1072" s="84" t="s">
        <v>9</v>
      </c>
      <c r="C1072" s="455" t="s">
        <v>427</v>
      </c>
      <c r="D1072" s="455"/>
      <c r="E1072" s="455"/>
      <c r="F1072" s="95" t="str">
        <f>OP</f>
        <v>TANJUNG PALAS TENGAH</v>
      </c>
      <c r="G1072" s="85" t="s">
        <v>428</v>
      </c>
      <c r="H1072" s="87" t="e">
        <f>H1071*F1072</f>
        <v>#REF!</v>
      </c>
      <c r="I1072" s="85" t="s">
        <v>428</v>
      </c>
      <c r="J1072" s="87" t="e">
        <f>J1071*F1072</f>
        <v>#REF!</v>
      </c>
      <c r="K1072" s="85" t="s">
        <v>428</v>
      </c>
      <c r="L1072" s="87" t="e">
        <f>L1071*F1072</f>
        <v>#REF!</v>
      </c>
    </row>
    <row r="1073" spans="1:12" ht="12" customHeight="1" x14ac:dyDescent="0.35">
      <c r="B1073" s="84" t="s">
        <v>10</v>
      </c>
      <c r="C1073" s="103" t="s">
        <v>429</v>
      </c>
      <c r="D1073" s="104"/>
      <c r="E1073" s="104"/>
      <c r="F1073" s="104"/>
      <c r="G1073" s="105"/>
      <c r="H1073" s="96" t="e">
        <f>H1071+H1072</f>
        <v>#REF!</v>
      </c>
      <c r="I1073" s="97"/>
      <c r="J1073" s="96" t="e">
        <f>J1071+J1072</f>
        <v>#REF!</v>
      </c>
      <c r="K1073" s="97"/>
      <c r="L1073" s="96" t="e">
        <f>L1071+L1072</f>
        <v>#REF!</v>
      </c>
    </row>
    <row r="1075" spans="1:12" ht="29" customHeight="1" x14ac:dyDescent="0.35">
      <c r="B1075" s="76" t="s">
        <v>584</v>
      </c>
      <c r="C1075" s="458" t="s">
        <v>585</v>
      </c>
      <c r="D1075" s="459"/>
      <c r="E1075" s="459"/>
      <c r="F1075" s="459"/>
      <c r="G1075" s="456"/>
      <c r="H1075" s="457"/>
      <c r="I1075" s="455" t="s">
        <v>3</v>
      </c>
      <c r="J1075" s="455"/>
      <c r="K1075" s="455" t="s">
        <v>4</v>
      </c>
      <c r="L1075" s="455"/>
    </row>
    <row r="1076" spans="1:12" ht="12" customHeight="1" x14ac:dyDescent="0.35">
      <c r="B1076" s="451" t="s">
        <v>409</v>
      </c>
      <c r="C1076" s="451" t="s">
        <v>410</v>
      </c>
      <c r="D1076" s="452" t="s">
        <v>411</v>
      </c>
      <c r="E1076" s="451" t="s">
        <v>412</v>
      </c>
      <c r="F1076" s="451" t="s">
        <v>413</v>
      </c>
      <c r="G1076" s="77" t="s">
        <v>414</v>
      </c>
      <c r="H1076" s="77" t="s">
        <v>415</v>
      </c>
      <c r="I1076" s="78" t="s">
        <v>414</v>
      </c>
      <c r="J1076" s="79" t="s">
        <v>415</v>
      </c>
      <c r="K1076" s="79" t="s">
        <v>414</v>
      </c>
      <c r="L1076" s="79" t="s">
        <v>415</v>
      </c>
    </row>
    <row r="1077" spans="1:12" ht="12" customHeight="1" x14ac:dyDescent="0.35">
      <c r="B1077" s="451"/>
      <c r="C1077" s="451"/>
      <c r="D1077" s="453"/>
      <c r="E1077" s="451"/>
      <c r="F1077" s="451"/>
      <c r="G1077" s="77" t="s">
        <v>17</v>
      </c>
      <c r="H1077" s="77" t="s">
        <v>416</v>
      </c>
      <c r="I1077" s="78" t="s">
        <v>17</v>
      </c>
      <c r="J1077" s="79" t="s">
        <v>416</v>
      </c>
      <c r="K1077" s="79" t="s">
        <v>17</v>
      </c>
      <c r="L1077" s="79" t="s">
        <v>416</v>
      </c>
    </row>
    <row r="1078" spans="1:12" ht="12" customHeight="1" x14ac:dyDescent="0.35">
      <c r="B1078" s="451"/>
      <c r="C1078" s="451"/>
      <c r="D1078" s="454"/>
      <c r="E1078" s="451"/>
      <c r="F1078" s="451"/>
      <c r="G1078" s="106"/>
      <c r="H1078" s="77" t="s">
        <v>17</v>
      </c>
      <c r="I1078" s="94"/>
      <c r="J1078" s="79" t="s">
        <v>17</v>
      </c>
      <c r="K1078" s="85"/>
      <c r="L1078" s="79" t="s">
        <v>17</v>
      </c>
    </row>
    <row r="1079" spans="1:12" ht="12" customHeight="1" x14ac:dyDescent="0.35">
      <c r="B1079" s="80" t="s">
        <v>5</v>
      </c>
      <c r="C1079" s="81" t="s">
        <v>417</v>
      </c>
      <c r="D1079" s="82"/>
      <c r="E1079" s="82"/>
      <c r="F1079" s="82"/>
      <c r="G1079" s="82"/>
      <c r="H1079" s="82"/>
      <c r="I1079" s="83"/>
      <c r="J1079" s="83"/>
      <c r="K1079" s="83"/>
      <c r="L1079" s="83"/>
    </row>
    <row r="1080" spans="1:12" ht="12" customHeight="1" x14ac:dyDescent="0.35">
      <c r="A1080" s="134">
        <v>10111000</v>
      </c>
      <c r="B1080" s="84"/>
      <c r="C1080" s="85" t="str">
        <f>VLOOKUP(A1080,'DAFTAR HARGA'!A:D,3,FALSE)</f>
        <v>OJ</v>
      </c>
      <c r="D1080" s="84" t="s">
        <v>418</v>
      </c>
      <c r="E1080" s="84">
        <f>VLOOKUP(A1080,'DAFTAR HARGA'!A:D,4,FALSE)</f>
        <v>18750</v>
      </c>
      <c r="F1080" s="128">
        <v>1.1999999999999999E-3</v>
      </c>
      <c r="G1080" s="87" t="e">
        <f>VLOOKUP(A1080,'DAFTAR HARGA'!A:D,5,FALSE)</f>
        <v>#REF!</v>
      </c>
      <c r="H1080" s="87" t="e">
        <f>F1080*G1080</f>
        <v>#REF!</v>
      </c>
      <c r="I1080" s="87">
        <v>78600</v>
      </c>
      <c r="J1080" s="87">
        <f>F1080*I1080</f>
        <v>94.32</v>
      </c>
      <c r="K1080" s="87">
        <v>78600</v>
      </c>
      <c r="L1080" s="87">
        <f>F1080*K1080</f>
        <v>94.32</v>
      </c>
    </row>
    <row r="1081" spans="1:12" ht="12" customHeight="1" x14ac:dyDescent="0.35">
      <c r="A1081" s="134">
        <v>10131000</v>
      </c>
      <c r="B1081" s="84"/>
      <c r="C1081" s="85" t="str">
        <f>VLOOKUP(A1081,'DAFTAR HARGA'!A:D,3,FALSE)</f>
        <v>OJ</v>
      </c>
      <c r="D1081" s="84" t="s">
        <v>418</v>
      </c>
      <c r="E1081" s="84">
        <f>VLOOKUP(A1081,'DAFTAR HARGA'!A:D,4,FALSE)</f>
        <v>14375</v>
      </c>
      <c r="F1081" s="128">
        <v>1.2E-2</v>
      </c>
      <c r="G1081" s="87" t="e">
        <f>VLOOKUP(A1081,'DAFTAR HARGA'!A:D,5,FALSE)</f>
        <v>#REF!</v>
      </c>
      <c r="H1081" s="87" t="e">
        <f>F1081*G1081</f>
        <v>#REF!</v>
      </c>
      <c r="I1081" s="87">
        <v>91500</v>
      </c>
      <c r="J1081" s="87">
        <f>F1081*I1081</f>
        <v>1098</v>
      </c>
      <c r="K1081" s="87">
        <v>91500</v>
      </c>
      <c r="L1081" s="87">
        <f>F1081*K1081</f>
        <v>1098</v>
      </c>
    </row>
    <row r="1082" spans="1:12" ht="12" customHeight="1" x14ac:dyDescent="0.35">
      <c r="B1082" s="84"/>
      <c r="C1082" s="85"/>
      <c r="D1082" s="84"/>
      <c r="E1082" s="84"/>
      <c r="F1082" s="86"/>
      <c r="G1082" s="87"/>
      <c r="H1082" s="87">
        <f>F1082*G1082</f>
        <v>0</v>
      </c>
      <c r="I1082" s="87">
        <v>92500</v>
      </c>
      <c r="J1082" s="87">
        <f>F1082*I1082</f>
        <v>0</v>
      </c>
      <c r="K1082" s="87">
        <v>92500</v>
      </c>
      <c r="L1082" s="87">
        <f>F1082*K1082</f>
        <v>0</v>
      </c>
    </row>
    <row r="1083" spans="1:12" ht="12" customHeight="1" x14ac:dyDescent="0.35">
      <c r="B1083" s="84"/>
      <c r="C1083" s="85"/>
      <c r="D1083" s="84"/>
      <c r="E1083" s="84"/>
      <c r="F1083" s="86"/>
      <c r="G1083" s="87"/>
      <c r="H1083" s="87"/>
      <c r="I1083" s="87"/>
      <c r="J1083" s="87"/>
      <c r="K1083" s="87"/>
      <c r="L1083" s="87"/>
    </row>
    <row r="1084" spans="1:12" ht="12" customHeight="1" x14ac:dyDescent="0.35">
      <c r="B1084" s="84"/>
      <c r="C1084" s="88"/>
      <c r="D1084" s="79"/>
      <c r="E1084" s="79"/>
      <c r="F1084" s="89" t="s">
        <v>421</v>
      </c>
      <c r="G1084" s="101"/>
      <c r="H1084" s="87" t="e">
        <f>SUM(H1080:H1083)</f>
        <v>#REF!</v>
      </c>
      <c r="I1084" s="101"/>
      <c r="J1084" s="87">
        <f>SUM(J1080:J1083)</f>
        <v>1192.32</v>
      </c>
      <c r="K1084" s="101"/>
      <c r="L1084" s="87">
        <f>SUM(L1080:L1083)</f>
        <v>1192.32</v>
      </c>
    </row>
    <row r="1085" spans="1:12" ht="12" customHeight="1" x14ac:dyDescent="0.35">
      <c r="B1085" s="84" t="s">
        <v>6</v>
      </c>
      <c r="C1085" s="88" t="s">
        <v>422</v>
      </c>
      <c r="D1085" s="79"/>
      <c r="E1085" s="79"/>
      <c r="F1085" s="90"/>
      <c r="G1085" s="84"/>
      <c r="H1085" s="87"/>
      <c r="I1085" s="84"/>
      <c r="J1085" s="87"/>
      <c r="K1085" s="84"/>
      <c r="L1085" s="87"/>
    </row>
    <row r="1086" spans="1:12" ht="12" customHeight="1" x14ac:dyDescent="0.35">
      <c r="B1086" s="84"/>
      <c r="C1086" s="85"/>
      <c r="D1086" s="84"/>
      <c r="E1086" s="84"/>
      <c r="F1086" s="86"/>
      <c r="G1086" s="87"/>
      <c r="H1086" s="87">
        <f>F1086*G1086</f>
        <v>0</v>
      </c>
      <c r="I1086" s="87">
        <v>232500</v>
      </c>
      <c r="J1086" s="87">
        <f>F1086*I1086</f>
        <v>0</v>
      </c>
      <c r="K1086" s="87">
        <v>270000</v>
      </c>
      <c r="L1086" s="87">
        <f>F1086*K1086</f>
        <v>0</v>
      </c>
    </row>
    <row r="1087" spans="1:12" ht="12" customHeight="1" x14ac:dyDescent="0.35">
      <c r="B1087" s="84"/>
      <c r="C1087" s="88"/>
      <c r="D1087" s="79"/>
      <c r="E1087" s="84"/>
      <c r="F1087" s="102"/>
      <c r="G1087" s="87"/>
      <c r="H1087" s="87">
        <f>F1087*G1087</f>
        <v>0</v>
      </c>
      <c r="I1087" s="87">
        <v>1060</v>
      </c>
      <c r="J1087" s="87">
        <f>F1087*I1087</f>
        <v>0</v>
      </c>
      <c r="K1087" s="87">
        <v>1060</v>
      </c>
      <c r="L1087" s="87">
        <f>F1087*K1087</f>
        <v>0</v>
      </c>
    </row>
    <row r="1088" spans="1:12" ht="12" customHeight="1" x14ac:dyDescent="0.35">
      <c r="B1088" s="84"/>
      <c r="C1088" s="88"/>
      <c r="D1088" s="79"/>
      <c r="E1088" s="84"/>
      <c r="F1088" s="102"/>
      <c r="G1088" s="87"/>
      <c r="H1088" s="87">
        <f>F1088*G1088</f>
        <v>0</v>
      </c>
      <c r="I1088" s="87">
        <v>215000</v>
      </c>
      <c r="J1088" s="87">
        <f>F1088*I1088</f>
        <v>0</v>
      </c>
      <c r="K1088" s="87">
        <v>250000</v>
      </c>
      <c r="L1088" s="87">
        <f>F1088*K1088</f>
        <v>0</v>
      </c>
    </row>
    <row r="1089" spans="1:12" ht="12" customHeight="1" x14ac:dyDescent="0.35">
      <c r="B1089" s="84"/>
      <c r="C1089" s="88"/>
      <c r="D1089" s="79"/>
      <c r="E1089" s="79"/>
      <c r="F1089" s="89"/>
      <c r="G1089" s="101"/>
      <c r="H1089" s="87">
        <f>SUM(H1086:H1088)</f>
        <v>0</v>
      </c>
      <c r="I1089" s="101"/>
      <c r="J1089" s="87">
        <f>SUM(J1086:J1088)</f>
        <v>0</v>
      </c>
      <c r="K1089" s="101"/>
      <c r="L1089" s="87">
        <f>SUM(L1086:L1088)</f>
        <v>0</v>
      </c>
    </row>
    <row r="1090" spans="1:12" ht="12" customHeight="1" x14ac:dyDescent="0.35">
      <c r="B1090" s="84" t="s">
        <v>7</v>
      </c>
      <c r="C1090" s="88" t="s">
        <v>424</v>
      </c>
      <c r="D1090" s="79"/>
      <c r="E1090" s="79"/>
      <c r="F1090" s="90"/>
      <c r="G1090" s="84"/>
      <c r="H1090" s="87"/>
      <c r="I1090" s="84"/>
      <c r="J1090" s="87"/>
      <c r="K1090" s="84"/>
      <c r="L1090" s="87"/>
    </row>
    <row r="1091" spans="1:12" ht="12" customHeight="1" x14ac:dyDescent="0.35">
      <c r="A1091" s="134" t="s">
        <v>572</v>
      </c>
      <c r="B1091" s="84"/>
      <c r="C1091" s="85" t="str">
        <f>VLOOKUP(A1091,'DAFTAR HARGA'!A:D,3,FALSE)</f>
        <v>jam</v>
      </c>
      <c r="D1091" s="84" t="s">
        <v>418</v>
      </c>
      <c r="E1091" s="84">
        <f>VLOOKUP(A1091,'DAFTAR HARGA'!A:D,4,FALSE)</f>
        <v>290400</v>
      </c>
      <c r="F1091" s="128">
        <v>5.4699999999999999E-2</v>
      </c>
      <c r="G1091" s="87" t="e">
        <f>VLOOKUP(A1091,'DAFTAR HARGA'!A:D,5,FALSE)</f>
        <v>#REF!</v>
      </c>
      <c r="H1091" s="87" t="e">
        <f>F1091*G1091</f>
        <v>#REF!</v>
      </c>
      <c r="I1091" s="87"/>
      <c r="J1091" s="87" t="e">
        <f>H1091*I1091</f>
        <v>#REF!</v>
      </c>
      <c r="K1091" s="87"/>
      <c r="L1091" s="87" t="e">
        <f>J1091*K1091</f>
        <v>#REF!</v>
      </c>
    </row>
    <row r="1092" spans="1:12" ht="12" customHeight="1" x14ac:dyDescent="0.35">
      <c r="A1092" s="134">
        <v>31100008</v>
      </c>
      <c r="B1092" s="84"/>
      <c r="C1092" s="85" t="str">
        <f>VLOOKUP(A1092,'DAFTAR HARGA'!A:D,3,FALSE)</f>
        <v>jam</v>
      </c>
      <c r="D1092" s="84" t="s">
        <v>418</v>
      </c>
      <c r="E1092" s="84">
        <f>VLOOKUP(A1092,'DAFTAR HARGA'!A:D,4,FALSE)</f>
        <v>449000</v>
      </c>
      <c r="F1092" s="128">
        <v>1.2E-2</v>
      </c>
      <c r="G1092" s="87" t="e">
        <f>VLOOKUP(A1092,'DAFTAR HARGA'!A:D,5,FALSE)</f>
        <v>#REF!</v>
      </c>
      <c r="H1092" s="87" t="e">
        <f>F1092*G1092</f>
        <v>#REF!</v>
      </c>
      <c r="I1092" s="87"/>
      <c r="J1092" s="87"/>
      <c r="K1092" s="87"/>
      <c r="L1092" s="87"/>
    </row>
    <row r="1093" spans="1:12" ht="12" customHeight="1" x14ac:dyDescent="0.35">
      <c r="B1093" s="84"/>
      <c r="C1093" s="85"/>
      <c r="D1093" s="84"/>
      <c r="E1093" s="84"/>
      <c r="F1093" s="128"/>
      <c r="G1093" s="87"/>
      <c r="H1093" s="87">
        <f>F1093*G1093</f>
        <v>0</v>
      </c>
      <c r="I1093" s="87"/>
      <c r="J1093" s="87"/>
      <c r="K1093" s="87"/>
      <c r="L1093" s="87"/>
    </row>
    <row r="1094" spans="1:12" ht="12" customHeight="1" x14ac:dyDescent="0.35">
      <c r="B1094" s="84"/>
      <c r="C1094" s="88"/>
      <c r="D1094" s="79"/>
      <c r="E1094" s="79"/>
      <c r="F1094" s="89" t="s">
        <v>425</v>
      </c>
      <c r="G1094" s="101"/>
      <c r="H1094" s="87" t="e">
        <f>SUM(H1091:H1093)</f>
        <v>#REF!</v>
      </c>
      <c r="I1094" s="101"/>
      <c r="J1094" s="87" t="e">
        <f>SUM(J1091)</f>
        <v>#REF!</v>
      </c>
      <c r="K1094" s="101"/>
      <c r="L1094" s="87" t="e">
        <f>SUM(L1091)</f>
        <v>#REF!</v>
      </c>
    </row>
    <row r="1095" spans="1:12" ht="12" customHeight="1" x14ac:dyDescent="0.35">
      <c r="B1095" s="84" t="s">
        <v>8</v>
      </c>
      <c r="C1095" s="103" t="s">
        <v>426</v>
      </c>
      <c r="D1095" s="104"/>
      <c r="E1095" s="104"/>
      <c r="F1095" s="104"/>
      <c r="G1095" s="105"/>
      <c r="H1095" s="87" t="e">
        <f>H1084+H1089+H1094</f>
        <v>#REF!</v>
      </c>
      <c r="I1095" s="105"/>
      <c r="J1095" s="87" t="e">
        <f>J1084+J1089+J1094</f>
        <v>#REF!</v>
      </c>
      <c r="K1095" s="105"/>
      <c r="L1095" s="87" t="e">
        <f>L1084+L1089+L1094</f>
        <v>#REF!</v>
      </c>
    </row>
    <row r="1096" spans="1:12" ht="12" customHeight="1" x14ac:dyDescent="0.35">
      <c r="B1096" s="84" t="s">
        <v>9</v>
      </c>
      <c r="C1096" s="455" t="s">
        <v>427</v>
      </c>
      <c r="D1096" s="455"/>
      <c r="E1096" s="455"/>
      <c r="F1096" s="95" t="str">
        <f>OP</f>
        <v>TANJUNG PALAS TENGAH</v>
      </c>
      <c r="G1096" s="85" t="s">
        <v>428</v>
      </c>
      <c r="H1096" s="87" t="e">
        <f>H1095*F1096</f>
        <v>#REF!</v>
      </c>
      <c r="I1096" s="85" t="s">
        <v>428</v>
      </c>
      <c r="J1096" s="87" t="e">
        <f>J1095*F1096</f>
        <v>#REF!</v>
      </c>
      <c r="K1096" s="85" t="s">
        <v>428</v>
      </c>
      <c r="L1096" s="87" t="e">
        <f>L1095*F1096</f>
        <v>#REF!</v>
      </c>
    </row>
    <row r="1097" spans="1:12" ht="12" customHeight="1" x14ac:dyDescent="0.35">
      <c r="B1097" s="84" t="s">
        <v>10</v>
      </c>
      <c r="C1097" s="103" t="s">
        <v>429</v>
      </c>
      <c r="D1097" s="104"/>
      <c r="E1097" s="104"/>
      <c r="F1097" s="104"/>
      <c r="G1097" s="105"/>
      <c r="H1097" s="96" t="e">
        <f>H1095+H1096</f>
        <v>#REF!</v>
      </c>
      <c r="I1097" s="97"/>
      <c r="J1097" s="96" t="e">
        <f>J1095+J1096</f>
        <v>#REF!</v>
      </c>
      <c r="K1097" s="97"/>
      <c r="L1097" s="96" t="e">
        <f>L1095+L1096</f>
        <v>#REF!</v>
      </c>
    </row>
    <row r="1099" spans="1:12" ht="37" customHeight="1" x14ac:dyDescent="0.35">
      <c r="B1099" s="76" t="s">
        <v>586</v>
      </c>
      <c r="C1099" s="458" t="s">
        <v>587</v>
      </c>
      <c r="D1099" s="459"/>
      <c r="E1099" s="459"/>
      <c r="F1099" s="459"/>
      <c r="G1099" s="456"/>
      <c r="H1099" s="457"/>
      <c r="I1099" s="455" t="s">
        <v>3</v>
      </c>
      <c r="J1099" s="455"/>
      <c r="K1099" s="455" t="s">
        <v>4</v>
      </c>
      <c r="L1099" s="455"/>
    </row>
    <row r="1100" spans="1:12" ht="12" customHeight="1" x14ac:dyDescent="0.35">
      <c r="B1100" s="451" t="s">
        <v>409</v>
      </c>
      <c r="C1100" s="451" t="s">
        <v>410</v>
      </c>
      <c r="D1100" s="452" t="s">
        <v>411</v>
      </c>
      <c r="E1100" s="451" t="s">
        <v>412</v>
      </c>
      <c r="F1100" s="451" t="s">
        <v>413</v>
      </c>
      <c r="G1100" s="77" t="s">
        <v>414</v>
      </c>
      <c r="H1100" s="77" t="s">
        <v>415</v>
      </c>
      <c r="I1100" s="78" t="s">
        <v>414</v>
      </c>
      <c r="J1100" s="79" t="s">
        <v>415</v>
      </c>
      <c r="K1100" s="79" t="s">
        <v>414</v>
      </c>
      <c r="L1100" s="79" t="s">
        <v>415</v>
      </c>
    </row>
    <row r="1101" spans="1:12" ht="12" customHeight="1" x14ac:dyDescent="0.35">
      <c r="B1101" s="451"/>
      <c r="C1101" s="451"/>
      <c r="D1101" s="453"/>
      <c r="E1101" s="451"/>
      <c r="F1101" s="451"/>
      <c r="G1101" s="77" t="s">
        <v>17</v>
      </c>
      <c r="H1101" s="77" t="s">
        <v>416</v>
      </c>
      <c r="I1101" s="78" t="s">
        <v>17</v>
      </c>
      <c r="J1101" s="79" t="s">
        <v>416</v>
      </c>
      <c r="K1101" s="79" t="s">
        <v>17</v>
      </c>
      <c r="L1101" s="79" t="s">
        <v>416</v>
      </c>
    </row>
    <row r="1102" spans="1:12" ht="12" customHeight="1" x14ac:dyDescent="0.35">
      <c r="B1102" s="451"/>
      <c r="C1102" s="451"/>
      <c r="D1102" s="454"/>
      <c r="E1102" s="451"/>
      <c r="F1102" s="451"/>
      <c r="G1102" s="106"/>
      <c r="H1102" s="77" t="s">
        <v>17</v>
      </c>
      <c r="I1102" s="94"/>
      <c r="J1102" s="79" t="s">
        <v>17</v>
      </c>
      <c r="K1102" s="85"/>
      <c r="L1102" s="79" t="s">
        <v>17</v>
      </c>
    </row>
    <row r="1103" spans="1:12" ht="12" customHeight="1" x14ac:dyDescent="0.35">
      <c r="B1103" s="80" t="s">
        <v>5</v>
      </c>
      <c r="C1103" s="81" t="s">
        <v>417</v>
      </c>
      <c r="D1103" s="82"/>
      <c r="E1103" s="82"/>
      <c r="F1103" s="82"/>
      <c r="G1103" s="82"/>
      <c r="H1103" s="82"/>
      <c r="I1103" s="83"/>
      <c r="J1103" s="83"/>
      <c r="K1103" s="83"/>
      <c r="L1103" s="83"/>
    </row>
    <row r="1104" spans="1:12" ht="12" customHeight="1" x14ac:dyDescent="0.35">
      <c r="A1104" s="134">
        <v>10111000</v>
      </c>
      <c r="B1104" s="84"/>
      <c r="C1104" s="85" t="str">
        <f>VLOOKUP(A1104,'DAFTAR HARGA'!A:D,3,FALSE)</f>
        <v>OJ</v>
      </c>
      <c r="D1104" s="84" t="s">
        <v>418</v>
      </c>
      <c r="E1104" s="84">
        <f>VLOOKUP(A1104,'DAFTAR HARGA'!A:D,4,FALSE)</f>
        <v>18750</v>
      </c>
      <c r="F1104" s="128">
        <v>1.1999999999999999E-3</v>
      </c>
      <c r="G1104" s="87" t="e">
        <f>VLOOKUP(A1104,'DAFTAR HARGA'!A:D,5,FALSE)</f>
        <v>#REF!</v>
      </c>
      <c r="H1104" s="87" t="e">
        <f>F1104*G1104</f>
        <v>#REF!</v>
      </c>
      <c r="I1104" s="87">
        <v>78600</v>
      </c>
      <c r="J1104" s="87">
        <f>F1104*I1104</f>
        <v>94.32</v>
      </c>
      <c r="K1104" s="87">
        <v>78600</v>
      </c>
      <c r="L1104" s="87">
        <f>F1104*K1104</f>
        <v>94.32</v>
      </c>
    </row>
    <row r="1105" spans="1:12" ht="12" customHeight="1" x14ac:dyDescent="0.35">
      <c r="A1105" s="134">
        <v>10131000</v>
      </c>
      <c r="B1105" s="84"/>
      <c r="C1105" s="85" t="str">
        <f>VLOOKUP(A1105,'DAFTAR HARGA'!A:D,3,FALSE)</f>
        <v>OJ</v>
      </c>
      <c r="D1105" s="84" t="s">
        <v>418</v>
      </c>
      <c r="E1105" s="84">
        <f>VLOOKUP(A1105,'DAFTAR HARGA'!A:D,4,FALSE)</f>
        <v>14375</v>
      </c>
      <c r="F1105" s="128">
        <v>1.2E-2</v>
      </c>
      <c r="G1105" s="87" t="e">
        <f>VLOOKUP(A1105,'DAFTAR HARGA'!A:D,5,FALSE)</f>
        <v>#REF!</v>
      </c>
      <c r="H1105" s="87" t="e">
        <f>F1105*G1105</f>
        <v>#REF!</v>
      </c>
      <c r="I1105" s="87">
        <v>91500</v>
      </c>
      <c r="J1105" s="87">
        <f>F1105*I1105</f>
        <v>1098</v>
      </c>
      <c r="K1105" s="87">
        <v>91500</v>
      </c>
      <c r="L1105" s="87">
        <f>F1105*K1105</f>
        <v>1098</v>
      </c>
    </row>
    <row r="1106" spans="1:12" ht="12" customHeight="1" x14ac:dyDescent="0.35">
      <c r="B1106" s="84"/>
      <c r="C1106" s="85"/>
      <c r="D1106" s="84"/>
      <c r="E1106" s="84"/>
      <c r="F1106" s="86"/>
      <c r="G1106" s="87"/>
      <c r="H1106" s="87">
        <f>F1106*G1106</f>
        <v>0</v>
      </c>
      <c r="I1106" s="87">
        <v>92500</v>
      </c>
      <c r="J1106" s="87">
        <f>F1106*I1106</f>
        <v>0</v>
      </c>
      <c r="K1106" s="87">
        <v>92500</v>
      </c>
      <c r="L1106" s="87">
        <f>F1106*K1106</f>
        <v>0</v>
      </c>
    </row>
    <row r="1107" spans="1:12" ht="12" customHeight="1" x14ac:dyDescent="0.35">
      <c r="B1107" s="84"/>
      <c r="C1107" s="85"/>
      <c r="D1107" s="84"/>
      <c r="E1107" s="84"/>
      <c r="F1107" s="86"/>
      <c r="G1107" s="87"/>
      <c r="H1107" s="87"/>
      <c r="I1107" s="87"/>
      <c r="J1107" s="87"/>
      <c r="K1107" s="87"/>
      <c r="L1107" s="87"/>
    </row>
    <row r="1108" spans="1:12" ht="12" customHeight="1" x14ac:dyDescent="0.35">
      <c r="B1108" s="84"/>
      <c r="C1108" s="88"/>
      <c r="D1108" s="79"/>
      <c r="E1108" s="79"/>
      <c r="F1108" s="89" t="s">
        <v>421</v>
      </c>
      <c r="G1108" s="101"/>
      <c r="H1108" s="87" t="e">
        <f>SUM(H1103:H1107)</f>
        <v>#REF!</v>
      </c>
      <c r="I1108" s="101"/>
      <c r="J1108" s="87">
        <f>SUM(J1104:J1107)</f>
        <v>1192.32</v>
      </c>
      <c r="K1108" s="101"/>
      <c r="L1108" s="87">
        <f>SUM(L1104:L1107)</f>
        <v>1192.32</v>
      </c>
    </row>
    <row r="1109" spans="1:12" ht="12" customHeight="1" x14ac:dyDescent="0.35">
      <c r="B1109" s="84" t="s">
        <v>6</v>
      </c>
      <c r="C1109" s="88" t="s">
        <v>422</v>
      </c>
      <c r="D1109" s="79"/>
      <c r="E1109" s="79"/>
      <c r="F1109" s="90"/>
      <c r="G1109" s="84"/>
      <c r="H1109" s="87"/>
      <c r="I1109" s="84"/>
      <c r="J1109" s="87"/>
      <c r="K1109" s="84"/>
      <c r="L1109" s="87"/>
    </row>
    <row r="1110" spans="1:12" ht="12" customHeight="1" x14ac:dyDescent="0.35">
      <c r="A1110" s="134">
        <v>211100116</v>
      </c>
      <c r="B1110" s="84"/>
      <c r="C1110" s="85" t="str">
        <f>VLOOKUP(A1110,'DAFTAR HARGA'!A:D,3,FALSE)</f>
        <v>m³</v>
      </c>
      <c r="D1110" s="84" t="s">
        <v>418</v>
      </c>
      <c r="E1110" s="84" t="s">
        <v>253</v>
      </c>
      <c r="F1110" s="128">
        <v>1.25</v>
      </c>
      <c r="G1110" s="87" t="e">
        <f>VLOOKUP(A1110,'DAFTAR HARGA'!A:D,5,FALSE)/3</f>
        <v>#REF!</v>
      </c>
      <c r="H1110" s="87" t="e">
        <f>F1110*G1110</f>
        <v>#REF!</v>
      </c>
      <c r="I1110" s="87">
        <v>232500</v>
      </c>
      <c r="J1110" s="87">
        <f>F1110*I1110</f>
        <v>290625</v>
      </c>
      <c r="K1110" s="87">
        <v>270000</v>
      </c>
      <c r="L1110" s="87">
        <f>F1110*K1110</f>
        <v>337500</v>
      </c>
    </row>
    <row r="1111" spans="1:12" ht="12" customHeight="1" x14ac:dyDescent="0.35">
      <c r="B1111" s="84"/>
      <c r="C1111" s="88" t="s">
        <v>588</v>
      </c>
      <c r="D1111" s="79"/>
      <c r="E1111" s="84"/>
      <c r="F1111" s="102"/>
      <c r="G1111" s="87"/>
      <c r="H1111" s="87">
        <f>F1111*G1111</f>
        <v>0</v>
      </c>
      <c r="I1111" s="87">
        <v>1060</v>
      </c>
      <c r="J1111" s="87">
        <f>F1111*I1111</f>
        <v>0</v>
      </c>
      <c r="K1111" s="87">
        <v>1060</v>
      </c>
      <c r="L1111" s="87">
        <f>F1111*K1111</f>
        <v>0</v>
      </c>
    </row>
    <row r="1112" spans="1:12" ht="12" customHeight="1" x14ac:dyDescent="0.35">
      <c r="B1112" s="84"/>
      <c r="C1112" s="88"/>
      <c r="D1112" s="79"/>
      <c r="E1112" s="84"/>
      <c r="F1112" s="102"/>
      <c r="G1112" s="87"/>
      <c r="H1112" s="87">
        <f>F1112*G1112</f>
        <v>0</v>
      </c>
      <c r="I1112" s="87">
        <v>215000</v>
      </c>
      <c r="J1112" s="87">
        <f>F1112*I1112</f>
        <v>0</v>
      </c>
      <c r="K1112" s="87">
        <v>250000</v>
      </c>
      <c r="L1112" s="87">
        <f>F1112*K1112</f>
        <v>0</v>
      </c>
    </row>
    <row r="1113" spans="1:12" ht="12" customHeight="1" x14ac:dyDescent="0.35">
      <c r="B1113" s="84"/>
      <c r="C1113" s="88"/>
      <c r="D1113" s="79"/>
      <c r="E1113" s="79"/>
      <c r="F1113" s="129" t="s">
        <v>423</v>
      </c>
      <c r="G1113" s="101"/>
      <c r="H1113" s="87" t="e">
        <f>SUM(H1110:H1112)</f>
        <v>#REF!</v>
      </c>
      <c r="I1113" s="101"/>
      <c r="J1113" s="87">
        <f>SUM(J1110:J1112)</f>
        <v>290625</v>
      </c>
      <c r="K1113" s="101"/>
      <c r="L1113" s="87">
        <f>SUM(L1110:L1112)</f>
        <v>337500</v>
      </c>
    </row>
    <row r="1114" spans="1:12" ht="12" customHeight="1" x14ac:dyDescent="0.35">
      <c r="B1114" s="84" t="s">
        <v>7</v>
      </c>
      <c r="C1114" s="88" t="s">
        <v>424</v>
      </c>
      <c r="D1114" s="79"/>
      <c r="E1114" s="79"/>
      <c r="F1114" s="90"/>
      <c r="G1114" s="84"/>
      <c r="H1114" s="87"/>
      <c r="I1114" s="84"/>
      <c r="J1114" s="87"/>
      <c r="K1114" s="84"/>
      <c r="L1114" s="87"/>
    </row>
    <row r="1115" spans="1:12" ht="12" customHeight="1" x14ac:dyDescent="0.35">
      <c r="A1115" s="134" t="s">
        <v>572</v>
      </c>
      <c r="B1115" s="84"/>
      <c r="C1115" s="85" t="str">
        <f>VLOOKUP(A1115,'DAFTAR HARGA'!A:D,3,FALSE)</f>
        <v>jam</v>
      </c>
      <c r="D1115" s="84" t="s">
        <v>418</v>
      </c>
      <c r="E1115" s="84">
        <f>VLOOKUP(A1115,'DAFTAR HARGA'!A:D,4,FALSE)</f>
        <v>290400</v>
      </c>
      <c r="F1115" s="128">
        <v>7.1400000000000005E-2</v>
      </c>
      <c r="G1115" s="87" t="e">
        <f>VLOOKUP(A1115,'DAFTAR HARGA'!A:D,5,FALSE)</f>
        <v>#REF!</v>
      </c>
      <c r="H1115" s="87" t="e">
        <f>F1115*G1115</f>
        <v>#REF!</v>
      </c>
      <c r="I1115" s="87"/>
      <c r="J1115" s="87" t="e">
        <f>H1115*I1115</f>
        <v>#REF!</v>
      </c>
      <c r="K1115" s="87"/>
      <c r="L1115" s="87" t="e">
        <f>J1115*K1115</f>
        <v>#REF!</v>
      </c>
    </row>
    <row r="1116" spans="1:12" ht="12" customHeight="1" x14ac:dyDescent="0.35">
      <c r="A1116" s="134">
        <v>31100008</v>
      </c>
      <c r="B1116" s="84"/>
      <c r="C1116" s="85" t="str">
        <f>VLOOKUP(A1116,'DAFTAR HARGA'!A:D,3,FALSE)</f>
        <v>jam</v>
      </c>
      <c r="D1116" s="84" t="s">
        <v>418</v>
      </c>
      <c r="E1116" s="84">
        <f>VLOOKUP(A1116,'DAFTAR HARGA'!A:D,4,FALSE)</f>
        <v>449000</v>
      </c>
      <c r="F1116" s="128">
        <v>1.2E-2</v>
      </c>
      <c r="G1116" s="87" t="e">
        <f>VLOOKUP(A1116,'DAFTAR HARGA'!A:D,5,FALSE)</f>
        <v>#REF!</v>
      </c>
      <c r="H1116" s="87" t="e">
        <f>F1116*G1116</f>
        <v>#REF!</v>
      </c>
      <c r="I1116" s="87"/>
      <c r="J1116" s="87"/>
      <c r="K1116" s="87"/>
      <c r="L1116" s="87"/>
    </row>
    <row r="1117" spans="1:12" ht="12" customHeight="1" x14ac:dyDescent="0.35">
      <c r="B1117" s="84"/>
      <c r="C1117" s="85"/>
      <c r="D1117" s="84"/>
      <c r="E1117" s="84"/>
      <c r="F1117" s="128"/>
      <c r="G1117" s="87"/>
      <c r="H1117" s="87">
        <f>F1117*G1117</f>
        <v>0</v>
      </c>
      <c r="I1117" s="87"/>
      <c r="J1117" s="87"/>
      <c r="K1117" s="87"/>
      <c r="L1117" s="87"/>
    </row>
    <row r="1118" spans="1:12" ht="12" customHeight="1" x14ac:dyDescent="0.35">
      <c r="B1118" s="84"/>
      <c r="C1118" s="88"/>
      <c r="D1118" s="79"/>
      <c r="E1118" s="79"/>
      <c r="F1118" s="89" t="s">
        <v>425</v>
      </c>
      <c r="G1118" s="101"/>
      <c r="H1118" s="87" t="e">
        <f>SUM(H1115:H1117)</f>
        <v>#REF!</v>
      </c>
      <c r="I1118" s="101"/>
      <c r="J1118" s="87" t="e">
        <f>SUM(J1115)</f>
        <v>#REF!</v>
      </c>
      <c r="K1118" s="101"/>
      <c r="L1118" s="87" t="e">
        <f>SUM(L1115)</f>
        <v>#REF!</v>
      </c>
    </row>
    <row r="1119" spans="1:12" ht="12" customHeight="1" x14ac:dyDescent="0.35">
      <c r="B1119" s="84" t="s">
        <v>8</v>
      </c>
      <c r="C1119" s="103" t="s">
        <v>426</v>
      </c>
      <c r="D1119" s="104"/>
      <c r="E1119" s="104"/>
      <c r="F1119" s="104"/>
      <c r="G1119" s="105"/>
      <c r="H1119" s="87" t="e">
        <f>H1108+H1113+H1118</f>
        <v>#REF!</v>
      </c>
      <c r="I1119" s="105"/>
      <c r="J1119" s="87" t="e">
        <f>J1108+J1113+J1118</f>
        <v>#REF!</v>
      </c>
      <c r="K1119" s="105"/>
      <c r="L1119" s="87" t="e">
        <f>L1108+L1113+L1118</f>
        <v>#REF!</v>
      </c>
    </row>
    <row r="1120" spans="1:12" ht="12" customHeight="1" x14ac:dyDescent="0.35">
      <c r="B1120" s="84" t="s">
        <v>9</v>
      </c>
      <c r="C1120" s="455" t="s">
        <v>427</v>
      </c>
      <c r="D1120" s="455"/>
      <c r="E1120" s="455"/>
      <c r="F1120" s="95" t="str">
        <f>OP</f>
        <v>TANJUNG PALAS TENGAH</v>
      </c>
      <c r="G1120" s="85" t="s">
        <v>428</v>
      </c>
      <c r="H1120" s="87" t="e">
        <f>H1119*F1120</f>
        <v>#REF!</v>
      </c>
      <c r="I1120" s="85" t="s">
        <v>428</v>
      </c>
      <c r="J1120" s="87" t="e">
        <f>J1119*F1120</f>
        <v>#REF!</v>
      </c>
      <c r="K1120" s="85" t="s">
        <v>428</v>
      </c>
      <c r="L1120" s="87" t="e">
        <f>L1119*F1120</f>
        <v>#REF!</v>
      </c>
    </row>
    <row r="1121" spans="1:12" ht="12" customHeight="1" x14ac:dyDescent="0.35">
      <c r="B1121" s="84" t="s">
        <v>10</v>
      </c>
      <c r="C1121" s="103" t="s">
        <v>429</v>
      </c>
      <c r="D1121" s="104"/>
      <c r="E1121" s="104"/>
      <c r="F1121" s="104"/>
      <c r="G1121" s="105"/>
      <c r="H1121" s="96" t="e">
        <f>H1119+H1120</f>
        <v>#REF!</v>
      </c>
      <c r="I1121" s="97"/>
      <c r="J1121" s="96" t="e">
        <f>J1119+J1120</f>
        <v>#REF!</v>
      </c>
      <c r="K1121" s="97"/>
      <c r="L1121" s="96" t="e">
        <f>L1119+L1120</f>
        <v>#REF!</v>
      </c>
    </row>
    <row r="1123" spans="1:12" ht="37" customHeight="1" x14ac:dyDescent="0.35">
      <c r="B1123" s="76" t="s">
        <v>591</v>
      </c>
      <c r="C1123" s="458" t="s">
        <v>592</v>
      </c>
      <c r="D1123" s="459"/>
      <c r="E1123" s="459"/>
      <c r="F1123" s="459"/>
      <c r="G1123" s="456"/>
      <c r="H1123" s="457"/>
      <c r="I1123" s="455" t="s">
        <v>3</v>
      </c>
      <c r="J1123" s="455"/>
      <c r="K1123" s="455" t="s">
        <v>4</v>
      </c>
      <c r="L1123" s="455"/>
    </row>
    <row r="1124" spans="1:12" ht="12" customHeight="1" x14ac:dyDescent="0.35">
      <c r="B1124" s="451" t="s">
        <v>409</v>
      </c>
      <c r="C1124" s="451" t="s">
        <v>410</v>
      </c>
      <c r="D1124" s="452" t="s">
        <v>411</v>
      </c>
      <c r="E1124" s="451" t="s">
        <v>412</v>
      </c>
      <c r="F1124" s="451" t="s">
        <v>413</v>
      </c>
      <c r="G1124" s="77" t="s">
        <v>414</v>
      </c>
      <c r="H1124" s="77" t="s">
        <v>415</v>
      </c>
      <c r="I1124" s="78" t="s">
        <v>414</v>
      </c>
      <c r="J1124" s="79" t="s">
        <v>415</v>
      </c>
      <c r="K1124" s="79" t="s">
        <v>414</v>
      </c>
      <c r="L1124" s="79" t="s">
        <v>415</v>
      </c>
    </row>
    <row r="1125" spans="1:12" ht="12" customHeight="1" x14ac:dyDescent="0.35">
      <c r="B1125" s="451"/>
      <c r="C1125" s="451"/>
      <c r="D1125" s="453"/>
      <c r="E1125" s="451"/>
      <c r="F1125" s="451"/>
      <c r="G1125" s="77" t="s">
        <v>17</v>
      </c>
      <c r="H1125" s="77" t="s">
        <v>416</v>
      </c>
      <c r="I1125" s="78" t="s">
        <v>17</v>
      </c>
      <c r="J1125" s="79" t="s">
        <v>416</v>
      </c>
      <c r="K1125" s="79" t="s">
        <v>17</v>
      </c>
      <c r="L1125" s="79" t="s">
        <v>416</v>
      </c>
    </row>
    <row r="1126" spans="1:12" ht="12" customHeight="1" x14ac:dyDescent="0.35">
      <c r="B1126" s="451"/>
      <c r="C1126" s="451"/>
      <c r="D1126" s="454"/>
      <c r="E1126" s="451"/>
      <c r="F1126" s="451"/>
      <c r="G1126" s="106"/>
      <c r="H1126" s="77" t="s">
        <v>17</v>
      </c>
      <c r="I1126" s="94"/>
      <c r="J1126" s="79" t="s">
        <v>17</v>
      </c>
      <c r="K1126" s="85"/>
      <c r="L1126" s="79" t="s">
        <v>17</v>
      </c>
    </row>
    <row r="1127" spans="1:12" ht="12" customHeight="1" x14ac:dyDescent="0.35">
      <c r="B1127" s="80" t="s">
        <v>5</v>
      </c>
      <c r="C1127" s="81" t="s">
        <v>417</v>
      </c>
      <c r="D1127" s="82"/>
      <c r="E1127" s="82"/>
      <c r="F1127" s="82"/>
      <c r="G1127" s="82"/>
      <c r="H1127" s="82"/>
      <c r="I1127" s="83"/>
      <c r="J1127" s="83"/>
      <c r="K1127" s="83"/>
      <c r="L1127" s="83"/>
    </row>
    <row r="1128" spans="1:12" ht="12" customHeight="1" x14ac:dyDescent="0.35">
      <c r="A1128" s="134">
        <v>10111000</v>
      </c>
      <c r="B1128" s="84"/>
      <c r="C1128" s="85" t="str">
        <f>VLOOKUP(A1128,'DAFTAR HARGA'!A:D,3,FALSE)</f>
        <v>OJ</v>
      </c>
      <c r="D1128" s="84" t="s">
        <v>418</v>
      </c>
      <c r="E1128" s="84">
        <f>VLOOKUP(A1128,'DAFTAR HARGA'!A:D,4,FALSE)</f>
        <v>18750</v>
      </c>
      <c r="F1128" s="128">
        <v>5.9999999999999995E-4</v>
      </c>
      <c r="G1128" s="87" t="e">
        <f>VLOOKUP(A1128,'DAFTAR HARGA'!A:D,5,FALSE)</f>
        <v>#REF!</v>
      </c>
      <c r="H1128" s="87" t="e">
        <f>F1128*G1128</f>
        <v>#REF!</v>
      </c>
      <c r="I1128" s="87">
        <v>78600</v>
      </c>
      <c r="J1128" s="87">
        <f>F1128*I1128</f>
        <v>47.16</v>
      </c>
      <c r="K1128" s="87">
        <v>78600</v>
      </c>
      <c r="L1128" s="87">
        <f>F1128*K1128</f>
        <v>47.16</v>
      </c>
    </row>
    <row r="1129" spans="1:12" ht="12" customHeight="1" x14ac:dyDescent="0.35">
      <c r="A1129" s="134">
        <v>10121110</v>
      </c>
      <c r="B1129" s="84"/>
      <c r="C1129" s="85" t="str">
        <f>VLOOKUP(A1129,'DAFTAR HARGA'!A:D,3,FALSE)</f>
        <v>OJ</v>
      </c>
      <c r="D1129" s="84" t="s">
        <v>418</v>
      </c>
      <c r="E1129" s="84">
        <f>VLOOKUP(A1129,'DAFTAR HARGA'!A:D,4,FALSE)</f>
        <v>12500</v>
      </c>
      <c r="F1129" s="128">
        <v>3.2000000000000002E-3</v>
      </c>
      <c r="G1129" s="87" t="e">
        <f>VLOOKUP(A1129,'DAFTAR HARGA'!A:D,5,FALSE)</f>
        <v>#REF!</v>
      </c>
      <c r="H1129" s="87" t="e">
        <f>F1129*G1129</f>
        <v>#REF!</v>
      </c>
      <c r="I1129" s="87"/>
      <c r="J1129" s="87"/>
      <c r="K1129" s="87"/>
      <c r="L1129" s="87"/>
    </row>
    <row r="1130" spans="1:12" ht="12" customHeight="1" x14ac:dyDescent="0.35">
      <c r="A1130" s="134">
        <v>10131000</v>
      </c>
      <c r="B1130" s="84"/>
      <c r="C1130" s="85" t="str">
        <f>VLOOKUP(A1130,'DAFTAR HARGA'!A:D,3,FALSE)</f>
        <v>OJ</v>
      </c>
      <c r="D1130" s="84" t="s">
        <v>418</v>
      </c>
      <c r="E1130" s="84">
        <f>VLOOKUP(A1130,'DAFTAR HARGA'!A:D,4,FALSE)</f>
        <v>14375</v>
      </c>
      <c r="F1130" s="128">
        <v>6.3E-3</v>
      </c>
      <c r="G1130" s="87" t="e">
        <f>VLOOKUP(A1130,'DAFTAR HARGA'!A:D,5,FALSE)</f>
        <v>#REF!</v>
      </c>
      <c r="H1130" s="87" t="e">
        <f>F1130*G1130</f>
        <v>#REF!</v>
      </c>
      <c r="I1130" s="87">
        <v>91500</v>
      </c>
      <c r="J1130" s="87">
        <f>F1130*I1130</f>
        <v>576.45000000000005</v>
      </c>
      <c r="K1130" s="87">
        <v>91500</v>
      </c>
      <c r="L1130" s="87">
        <f>F1130*K1130</f>
        <v>576.45000000000005</v>
      </c>
    </row>
    <row r="1131" spans="1:12" ht="12" customHeight="1" x14ac:dyDescent="0.35">
      <c r="B1131" s="84"/>
      <c r="C1131" s="85"/>
      <c r="D1131" s="84"/>
      <c r="E1131" s="84"/>
      <c r="F1131" s="86"/>
      <c r="G1131" s="87"/>
      <c r="H1131" s="87">
        <f>F1131*G1131</f>
        <v>0</v>
      </c>
      <c r="I1131" s="87">
        <v>92500</v>
      </c>
      <c r="J1131" s="87">
        <f>F1131*I1131</f>
        <v>0</v>
      </c>
      <c r="K1131" s="87">
        <v>92500</v>
      </c>
      <c r="L1131" s="87">
        <f>F1131*K1131</f>
        <v>0</v>
      </c>
    </row>
    <row r="1132" spans="1:12" ht="12" customHeight="1" x14ac:dyDescent="0.35">
      <c r="B1132" s="84"/>
      <c r="C1132" s="85"/>
      <c r="D1132" s="84"/>
      <c r="E1132" s="84"/>
      <c r="F1132" s="86"/>
      <c r="G1132" s="87"/>
      <c r="H1132" s="87"/>
      <c r="I1132" s="87"/>
      <c r="J1132" s="87"/>
      <c r="K1132" s="87"/>
      <c r="L1132" s="87"/>
    </row>
    <row r="1133" spans="1:12" ht="12" customHeight="1" x14ac:dyDescent="0.35">
      <c r="B1133" s="84"/>
      <c r="C1133" s="88"/>
      <c r="D1133" s="79"/>
      <c r="E1133" s="79"/>
      <c r="F1133" s="89" t="s">
        <v>421</v>
      </c>
      <c r="G1133" s="101"/>
      <c r="H1133" s="87" t="e">
        <f>SUM(H1128:H1132)</f>
        <v>#REF!</v>
      </c>
      <c r="I1133" s="101"/>
      <c r="J1133" s="87">
        <f>SUM(J1128:J1132)</f>
        <v>623.61</v>
      </c>
      <c r="K1133" s="101"/>
      <c r="L1133" s="87">
        <f>SUM(L1128:L1132)</f>
        <v>623.61</v>
      </c>
    </row>
    <row r="1134" spans="1:12" ht="12" customHeight="1" x14ac:dyDescent="0.35">
      <c r="B1134" s="84" t="s">
        <v>6</v>
      </c>
      <c r="C1134" s="88" t="s">
        <v>422</v>
      </c>
      <c r="D1134" s="79"/>
      <c r="E1134" s="79"/>
      <c r="F1134" s="90"/>
      <c r="G1134" s="84"/>
      <c r="H1134" s="87"/>
      <c r="I1134" s="84"/>
      <c r="J1134" s="87"/>
      <c r="K1134" s="84"/>
      <c r="L1134" s="87"/>
    </row>
    <row r="1135" spans="1:12" ht="12" customHeight="1" x14ac:dyDescent="0.35">
      <c r="B1135" s="84"/>
      <c r="C1135" s="85"/>
      <c r="D1135" s="84"/>
      <c r="E1135" s="84"/>
      <c r="F1135" s="128"/>
      <c r="G1135" s="87"/>
      <c r="H1135" s="87">
        <f>F1135*G1135</f>
        <v>0</v>
      </c>
      <c r="I1135" s="87">
        <v>232500</v>
      </c>
      <c r="J1135" s="87">
        <f>F1135*I1135</f>
        <v>0</v>
      </c>
      <c r="K1135" s="87">
        <v>270000</v>
      </c>
      <c r="L1135" s="87">
        <f>F1135*K1135</f>
        <v>0</v>
      </c>
    </row>
    <row r="1136" spans="1:12" ht="12" customHeight="1" x14ac:dyDescent="0.35">
      <c r="B1136" s="84"/>
      <c r="C1136" s="88"/>
      <c r="D1136" s="79"/>
      <c r="E1136" s="84"/>
      <c r="F1136" s="102"/>
      <c r="G1136" s="87"/>
      <c r="H1136" s="87">
        <f>F1136*G1136</f>
        <v>0</v>
      </c>
      <c r="I1136" s="87">
        <v>1060</v>
      </c>
      <c r="J1136" s="87">
        <f>F1136*I1136</f>
        <v>0</v>
      </c>
      <c r="K1136" s="87">
        <v>1060</v>
      </c>
      <c r="L1136" s="87">
        <f>F1136*K1136</f>
        <v>0</v>
      </c>
    </row>
    <row r="1137" spans="1:12" ht="12" customHeight="1" x14ac:dyDescent="0.35">
      <c r="B1137" s="84"/>
      <c r="C1137" s="88"/>
      <c r="D1137" s="79"/>
      <c r="E1137" s="84"/>
      <c r="F1137" s="102"/>
      <c r="G1137" s="87"/>
      <c r="H1137" s="87">
        <f>F1137*G1137</f>
        <v>0</v>
      </c>
      <c r="I1137" s="87">
        <v>215000</v>
      </c>
      <c r="J1137" s="87">
        <f>F1137*I1137</f>
        <v>0</v>
      </c>
      <c r="K1137" s="87">
        <v>250000</v>
      </c>
      <c r="L1137" s="87">
        <f>F1137*K1137</f>
        <v>0</v>
      </c>
    </row>
    <row r="1138" spans="1:12" ht="12" customHeight="1" x14ac:dyDescent="0.35">
      <c r="B1138" s="84"/>
      <c r="C1138" s="88"/>
      <c r="D1138" s="79"/>
      <c r="E1138" s="79"/>
      <c r="F1138" s="89"/>
      <c r="G1138" s="101"/>
      <c r="H1138" s="87">
        <f>SUM(H1135:H1137)</f>
        <v>0</v>
      </c>
      <c r="I1138" s="101"/>
      <c r="J1138" s="87">
        <f>SUM(J1135:J1137)</f>
        <v>0</v>
      </c>
      <c r="K1138" s="101"/>
      <c r="L1138" s="87">
        <f>SUM(L1135:L1137)</f>
        <v>0</v>
      </c>
    </row>
    <row r="1139" spans="1:12" ht="12" customHeight="1" x14ac:dyDescent="0.35">
      <c r="B1139" s="84" t="s">
        <v>7</v>
      </c>
      <c r="C1139" s="88" t="s">
        <v>424</v>
      </c>
      <c r="D1139" s="79"/>
      <c r="E1139" s="79"/>
      <c r="F1139" s="90"/>
      <c r="G1139" s="84"/>
      <c r="H1139" s="87"/>
      <c r="I1139" s="84"/>
      <c r="J1139" s="87"/>
      <c r="K1139" s="84"/>
      <c r="L1139" s="87"/>
    </row>
    <row r="1140" spans="1:12" ht="12" customHeight="1" x14ac:dyDescent="0.35">
      <c r="A1140" s="134" t="s">
        <v>572</v>
      </c>
      <c r="B1140" s="84"/>
      <c r="C1140" s="85" t="str">
        <f>VLOOKUP(A1140,'DAFTAR HARGA'!A:D,3,FALSE)</f>
        <v>jam</v>
      </c>
      <c r="D1140" s="84" t="s">
        <v>418</v>
      </c>
      <c r="E1140" s="84">
        <f>VLOOKUP(A1140,'DAFTAR HARGA'!A:D,4,FALSE)</f>
        <v>290400</v>
      </c>
      <c r="F1140" s="128">
        <v>8.1430000000000002E-2</v>
      </c>
      <c r="G1140" s="87" t="e">
        <f>VLOOKUP(A1140,'DAFTAR HARGA'!A:D,5,FALSE)</f>
        <v>#REF!</v>
      </c>
      <c r="H1140" s="87" t="e">
        <f>F1140*G1140</f>
        <v>#REF!</v>
      </c>
      <c r="I1140" s="87"/>
      <c r="J1140" s="87" t="e">
        <f>H1140*I1140</f>
        <v>#REF!</v>
      </c>
      <c r="K1140" s="87"/>
      <c r="L1140" s="87" t="e">
        <f>J1140*K1140</f>
        <v>#REF!</v>
      </c>
    </row>
    <row r="1141" spans="1:12" ht="12" customHeight="1" x14ac:dyDescent="0.35">
      <c r="A1141" s="134">
        <v>31100008</v>
      </c>
      <c r="B1141" s="84"/>
      <c r="C1141" s="85" t="str">
        <f>VLOOKUP(A1141,'DAFTAR HARGA'!A:D,3,FALSE)</f>
        <v>jam</v>
      </c>
      <c r="D1141" s="84" t="s">
        <v>418</v>
      </c>
      <c r="E1141" s="84">
        <f>VLOOKUP(A1141,'DAFTAR HARGA'!A:D,4,FALSE)</f>
        <v>449000</v>
      </c>
      <c r="F1141" s="128">
        <v>5.1900000000000002E-2</v>
      </c>
      <c r="G1141" s="87" t="e">
        <f>VLOOKUP(A1141,'DAFTAR HARGA'!A:D,5,FALSE)</f>
        <v>#REF!</v>
      </c>
      <c r="H1141" s="87" t="e">
        <f>F1141*G1141</f>
        <v>#REF!</v>
      </c>
      <c r="I1141" s="87"/>
      <c r="J1141" s="87"/>
      <c r="K1141" s="87"/>
      <c r="L1141" s="87"/>
    </row>
    <row r="1142" spans="1:12" ht="12" customHeight="1" x14ac:dyDescent="0.35">
      <c r="A1142" s="134">
        <v>31100029</v>
      </c>
      <c r="B1142" s="84"/>
      <c r="C1142" s="85" t="str">
        <f>VLOOKUP(A1142,'DAFTAR HARGA'!A:D,3,FALSE)</f>
        <v>jam</v>
      </c>
      <c r="D1142" s="84" t="s">
        <v>418</v>
      </c>
      <c r="E1142" s="84">
        <f>VLOOKUP(A1142,'DAFTAR HARGA'!A:D,4,FALSE)</f>
        <v>350000</v>
      </c>
      <c r="F1142" s="128">
        <v>8.3000000000000001E-4</v>
      </c>
      <c r="G1142" s="87" t="e">
        <f>VLOOKUP(A1142,'DAFTAR HARGA'!A:D,5,FALSE)</f>
        <v>#REF!</v>
      </c>
      <c r="H1142" s="87" t="e">
        <f>F1142*G1142</f>
        <v>#REF!</v>
      </c>
      <c r="I1142" s="87"/>
      <c r="J1142" s="87"/>
      <c r="K1142" s="87"/>
      <c r="L1142" s="87"/>
    </row>
    <row r="1143" spans="1:12" ht="12" customHeight="1" x14ac:dyDescent="0.35">
      <c r="B1143" s="84"/>
      <c r="C1143" s="88"/>
      <c r="D1143" s="79"/>
      <c r="E1143" s="79"/>
      <c r="F1143" s="89" t="s">
        <v>425</v>
      </c>
      <c r="G1143" s="101"/>
      <c r="H1143" s="87" t="e">
        <f>SUM(H1140:H1142)</f>
        <v>#REF!</v>
      </c>
      <c r="I1143" s="101"/>
      <c r="J1143" s="87" t="e">
        <f>SUM(J1140)</f>
        <v>#REF!</v>
      </c>
      <c r="K1143" s="101"/>
      <c r="L1143" s="87" t="e">
        <f>SUM(L1140)</f>
        <v>#REF!</v>
      </c>
    </row>
    <row r="1144" spans="1:12" ht="12" customHeight="1" x14ac:dyDescent="0.35">
      <c r="B1144" s="84" t="s">
        <v>8</v>
      </c>
      <c r="C1144" s="103" t="s">
        <v>426</v>
      </c>
      <c r="D1144" s="104"/>
      <c r="E1144" s="104"/>
      <c r="F1144" s="104"/>
      <c r="G1144" s="105"/>
      <c r="H1144" s="87" t="e">
        <f>H1133+H1138+H1143</f>
        <v>#REF!</v>
      </c>
      <c r="I1144" s="105"/>
      <c r="J1144" s="87" t="e">
        <f>J1133+J1138+J1143</f>
        <v>#REF!</v>
      </c>
      <c r="K1144" s="105"/>
      <c r="L1144" s="87" t="e">
        <f>L1133+L1138+L1143</f>
        <v>#REF!</v>
      </c>
    </row>
    <row r="1145" spans="1:12" ht="12" customHeight="1" x14ac:dyDescent="0.35">
      <c r="B1145" s="84" t="s">
        <v>9</v>
      </c>
      <c r="C1145" s="455" t="s">
        <v>427</v>
      </c>
      <c r="D1145" s="455"/>
      <c r="E1145" s="455"/>
      <c r="F1145" s="95" t="str">
        <f>OP</f>
        <v>TANJUNG PALAS TENGAH</v>
      </c>
      <c r="G1145" s="85" t="s">
        <v>428</v>
      </c>
      <c r="H1145" s="87" t="e">
        <f>H1144*F1145</f>
        <v>#REF!</v>
      </c>
      <c r="I1145" s="85" t="s">
        <v>428</v>
      </c>
      <c r="J1145" s="87" t="e">
        <f>J1144*F1145</f>
        <v>#REF!</v>
      </c>
      <c r="K1145" s="85" t="s">
        <v>428</v>
      </c>
      <c r="L1145" s="87" t="e">
        <f>L1144*F1145</f>
        <v>#REF!</v>
      </c>
    </row>
    <row r="1146" spans="1:12" ht="12" customHeight="1" x14ac:dyDescent="0.35">
      <c r="B1146" s="84" t="s">
        <v>10</v>
      </c>
      <c r="C1146" s="103" t="s">
        <v>429</v>
      </c>
      <c r="D1146" s="104"/>
      <c r="E1146" s="104"/>
      <c r="F1146" s="104"/>
      <c r="G1146" s="105"/>
      <c r="H1146" s="96" t="e">
        <f>H1144+H1145</f>
        <v>#REF!</v>
      </c>
      <c r="I1146" s="97"/>
      <c r="J1146" s="96" t="e">
        <f>J1144+J1145</f>
        <v>#REF!</v>
      </c>
      <c r="K1146" s="97"/>
      <c r="L1146" s="96" t="e">
        <f>L1144+L1145</f>
        <v>#REF!</v>
      </c>
    </row>
    <row r="1148" spans="1:12" ht="37" customHeight="1" x14ac:dyDescent="0.35">
      <c r="B1148" s="76" t="s">
        <v>594</v>
      </c>
      <c r="C1148" s="458" t="s">
        <v>595</v>
      </c>
      <c r="D1148" s="459"/>
      <c r="E1148" s="459"/>
      <c r="F1148" s="459"/>
      <c r="G1148" s="456"/>
      <c r="H1148" s="457"/>
      <c r="I1148" s="455" t="s">
        <v>3</v>
      </c>
      <c r="J1148" s="455"/>
      <c r="K1148" s="455" t="s">
        <v>4</v>
      </c>
      <c r="L1148" s="455"/>
    </row>
    <row r="1149" spans="1:12" ht="12" customHeight="1" x14ac:dyDescent="0.35">
      <c r="B1149" s="451" t="s">
        <v>409</v>
      </c>
      <c r="C1149" s="451" t="s">
        <v>410</v>
      </c>
      <c r="D1149" s="452" t="s">
        <v>411</v>
      </c>
      <c r="E1149" s="451" t="s">
        <v>412</v>
      </c>
      <c r="F1149" s="451" t="s">
        <v>413</v>
      </c>
      <c r="G1149" s="77" t="s">
        <v>414</v>
      </c>
      <c r="H1149" s="77" t="s">
        <v>415</v>
      </c>
      <c r="I1149" s="78" t="s">
        <v>414</v>
      </c>
      <c r="J1149" s="79" t="s">
        <v>415</v>
      </c>
      <c r="K1149" s="79" t="s">
        <v>414</v>
      </c>
      <c r="L1149" s="79" t="s">
        <v>415</v>
      </c>
    </row>
    <row r="1150" spans="1:12" ht="12" customHeight="1" x14ac:dyDescent="0.35">
      <c r="B1150" s="451"/>
      <c r="C1150" s="451"/>
      <c r="D1150" s="453"/>
      <c r="E1150" s="451"/>
      <c r="F1150" s="451"/>
      <c r="G1150" s="77" t="s">
        <v>17</v>
      </c>
      <c r="H1150" s="77" t="s">
        <v>416</v>
      </c>
      <c r="I1150" s="78" t="s">
        <v>17</v>
      </c>
      <c r="J1150" s="79" t="s">
        <v>416</v>
      </c>
      <c r="K1150" s="79" t="s">
        <v>17</v>
      </c>
      <c r="L1150" s="79" t="s">
        <v>416</v>
      </c>
    </row>
    <row r="1151" spans="1:12" ht="12" customHeight="1" x14ac:dyDescent="0.35">
      <c r="B1151" s="451"/>
      <c r="C1151" s="451"/>
      <c r="D1151" s="454"/>
      <c r="E1151" s="451"/>
      <c r="F1151" s="451"/>
      <c r="G1151" s="106"/>
      <c r="H1151" s="77" t="s">
        <v>17</v>
      </c>
      <c r="I1151" s="94"/>
      <c r="J1151" s="79" t="s">
        <v>17</v>
      </c>
      <c r="K1151" s="85"/>
      <c r="L1151" s="79" t="s">
        <v>17</v>
      </c>
    </row>
    <row r="1152" spans="1:12" ht="12" customHeight="1" x14ac:dyDescent="0.35">
      <c r="B1152" s="80" t="s">
        <v>5</v>
      </c>
      <c r="C1152" s="81" t="s">
        <v>417</v>
      </c>
      <c r="D1152" s="82"/>
      <c r="E1152" s="82"/>
      <c r="F1152" s="82"/>
      <c r="G1152" s="82"/>
      <c r="H1152" s="82"/>
      <c r="I1152" s="83"/>
      <c r="J1152" s="83"/>
      <c r="K1152" s="83"/>
      <c r="L1152" s="83"/>
    </row>
    <row r="1153" spans="1:12" ht="12" customHeight="1" x14ac:dyDescent="0.35">
      <c r="A1153" s="134">
        <v>10111000</v>
      </c>
      <c r="B1153" s="84"/>
      <c r="C1153" s="85" t="str">
        <f>VLOOKUP(A1153,'DAFTAR HARGA'!A:D,3,FALSE)</f>
        <v>OJ</v>
      </c>
      <c r="D1153" s="84" t="s">
        <v>418</v>
      </c>
      <c r="E1153" s="84">
        <f>VLOOKUP(A1153,'DAFTAR HARGA'!A:D,4,FALSE)</f>
        <v>18750</v>
      </c>
      <c r="F1153" s="128">
        <v>1.6299999999999999E-2</v>
      </c>
      <c r="G1153" s="87" t="e">
        <f>VLOOKUP(A1153,'DAFTAR HARGA'!A:D,5,FALSE)</f>
        <v>#REF!</v>
      </c>
      <c r="H1153" s="87" t="e">
        <f>F1153*G1153</f>
        <v>#REF!</v>
      </c>
      <c r="I1153" s="87">
        <v>78600</v>
      </c>
      <c r="J1153" s="87">
        <f>F1153*I1153</f>
        <v>1281.1799999999998</v>
      </c>
      <c r="K1153" s="87">
        <v>78600</v>
      </c>
      <c r="L1153" s="87">
        <f>F1153*K1153</f>
        <v>1281.1799999999998</v>
      </c>
    </row>
    <row r="1154" spans="1:12" ht="12" customHeight="1" x14ac:dyDescent="0.35">
      <c r="A1154" s="134">
        <v>10121110</v>
      </c>
      <c r="B1154" s="84"/>
      <c r="C1154" s="85" t="str">
        <f>VLOOKUP(A1154,'DAFTAR HARGA'!A:D,3,FALSE)</f>
        <v>OJ</v>
      </c>
      <c r="D1154" s="84" t="s">
        <v>418</v>
      </c>
      <c r="E1154" s="84">
        <f>VLOOKUP(A1154,'DAFTAR HARGA'!A:D,4,FALSE)</f>
        <v>12500</v>
      </c>
      <c r="F1154" s="128">
        <v>8.14E-2</v>
      </c>
      <c r="G1154" s="87" t="e">
        <f>VLOOKUP(A1154,'DAFTAR HARGA'!A:D,5,FALSE)</f>
        <v>#REF!</v>
      </c>
      <c r="H1154" s="87" t="e">
        <f>F1154*G1154</f>
        <v>#REF!</v>
      </c>
      <c r="I1154" s="87"/>
      <c r="J1154" s="87"/>
      <c r="K1154" s="87"/>
      <c r="L1154" s="87"/>
    </row>
    <row r="1155" spans="1:12" ht="12" customHeight="1" x14ac:dyDescent="0.35">
      <c r="A1155" s="134">
        <v>10131000</v>
      </c>
      <c r="B1155" s="84"/>
      <c r="C1155" s="85" t="str">
        <f>VLOOKUP(A1155,'DAFTAR HARGA'!A:D,3,FALSE)</f>
        <v>OJ</v>
      </c>
      <c r="D1155" s="84" t="s">
        <v>418</v>
      </c>
      <c r="E1155" s="84">
        <f>VLOOKUP(A1155,'DAFTAR HARGA'!A:D,4,FALSE)</f>
        <v>14375</v>
      </c>
      <c r="F1155" s="128">
        <v>0.16289999999999999</v>
      </c>
      <c r="G1155" s="87" t="e">
        <f>VLOOKUP(A1155,'DAFTAR HARGA'!A:D,5,FALSE)</f>
        <v>#REF!</v>
      </c>
      <c r="H1155" s="87" t="e">
        <f>F1155*G1155</f>
        <v>#REF!</v>
      </c>
      <c r="I1155" s="87">
        <v>91500</v>
      </c>
      <c r="J1155" s="87">
        <f>F1155*I1155</f>
        <v>14905.349999999999</v>
      </c>
      <c r="K1155" s="87">
        <v>91500</v>
      </c>
      <c r="L1155" s="87">
        <f>F1155*K1155</f>
        <v>14905.349999999999</v>
      </c>
    </row>
    <row r="1156" spans="1:12" ht="12" customHeight="1" x14ac:dyDescent="0.35">
      <c r="B1156" s="84"/>
      <c r="C1156" s="85"/>
      <c r="D1156" s="84"/>
      <c r="E1156" s="84"/>
      <c r="F1156" s="86"/>
      <c r="G1156" s="87"/>
      <c r="H1156" s="87">
        <f>F1156*G1156</f>
        <v>0</v>
      </c>
      <c r="I1156" s="87">
        <v>92500</v>
      </c>
      <c r="J1156" s="87">
        <f>F1156*I1156</f>
        <v>0</v>
      </c>
      <c r="K1156" s="87">
        <v>92500</v>
      </c>
      <c r="L1156" s="87">
        <f>F1156*K1156</f>
        <v>0</v>
      </c>
    </row>
    <row r="1157" spans="1:12" ht="12" customHeight="1" x14ac:dyDescent="0.35">
      <c r="B1157" s="84"/>
      <c r="C1157" s="85"/>
      <c r="D1157" s="84"/>
      <c r="E1157" s="84"/>
      <c r="F1157" s="86"/>
      <c r="G1157" s="87"/>
      <c r="H1157" s="87"/>
      <c r="I1157" s="87"/>
      <c r="J1157" s="87"/>
      <c r="K1157" s="87"/>
      <c r="L1157" s="87"/>
    </row>
    <row r="1158" spans="1:12" ht="12" customHeight="1" x14ac:dyDescent="0.35">
      <c r="B1158" s="84"/>
      <c r="C1158" s="88"/>
      <c r="D1158" s="79"/>
      <c r="E1158" s="79"/>
      <c r="F1158" s="89" t="s">
        <v>421</v>
      </c>
      <c r="G1158" s="101"/>
      <c r="H1158" s="87" t="e">
        <f>SUM(H1153:H1157)</f>
        <v>#REF!</v>
      </c>
      <c r="I1158" s="101"/>
      <c r="J1158" s="87">
        <f>SUM(J1153:J1157)</f>
        <v>16186.529999999999</v>
      </c>
      <c r="K1158" s="101"/>
      <c r="L1158" s="87">
        <f>SUM(L1153:L1157)</f>
        <v>16186.529999999999</v>
      </c>
    </row>
    <row r="1159" spans="1:12" ht="12" customHeight="1" x14ac:dyDescent="0.35">
      <c r="B1159" s="84" t="s">
        <v>6</v>
      </c>
      <c r="C1159" s="88" t="s">
        <v>422</v>
      </c>
      <c r="D1159" s="79"/>
      <c r="E1159" s="79"/>
      <c r="F1159" s="90"/>
      <c r="G1159" s="84"/>
      <c r="H1159" s="87"/>
      <c r="I1159" s="84"/>
      <c r="J1159" s="87"/>
      <c r="K1159" s="84"/>
      <c r="L1159" s="87"/>
    </row>
    <row r="1160" spans="1:12" ht="12" customHeight="1" x14ac:dyDescent="0.35">
      <c r="B1160" s="84"/>
      <c r="C1160" s="85"/>
      <c r="D1160" s="84"/>
      <c r="E1160" s="84"/>
      <c r="F1160" s="128"/>
      <c r="G1160" s="87"/>
      <c r="H1160" s="87">
        <f>F1160*G1160</f>
        <v>0</v>
      </c>
      <c r="I1160" s="87">
        <v>232500</v>
      </c>
      <c r="J1160" s="87">
        <f>F1160*I1160</f>
        <v>0</v>
      </c>
      <c r="K1160" s="87">
        <v>270000</v>
      </c>
      <c r="L1160" s="87">
        <f>F1160*K1160</f>
        <v>0</v>
      </c>
    </row>
    <row r="1161" spans="1:12" ht="12" customHeight="1" x14ac:dyDescent="0.35">
      <c r="B1161" s="84"/>
      <c r="C1161" s="88"/>
      <c r="D1161" s="79"/>
      <c r="E1161" s="84"/>
      <c r="F1161" s="102"/>
      <c r="G1161" s="87"/>
      <c r="H1161" s="87">
        <f>F1161*G1161</f>
        <v>0</v>
      </c>
      <c r="I1161" s="87">
        <v>1060</v>
      </c>
      <c r="J1161" s="87">
        <f>F1161*I1161</f>
        <v>0</v>
      </c>
      <c r="K1161" s="87">
        <v>1060</v>
      </c>
      <c r="L1161" s="87">
        <f>F1161*K1161</f>
        <v>0</v>
      </c>
    </row>
    <row r="1162" spans="1:12" ht="12" customHeight="1" x14ac:dyDescent="0.35">
      <c r="B1162" s="84"/>
      <c r="C1162" s="88"/>
      <c r="D1162" s="79"/>
      <c r="E1162" s="84"/>
      <c r="F1162" s="102"/>
      <c r="G1162" s="87"/>
      <c r="H1162" s="87">
        <f>F1162*G1162</f>
        <v>0</v>
      </c>
      <c r="I1162" s="87">
        <v>215000</v>
      </c>
      <c r="J1162" s="87">
        <f>F1162*I1162</f>
        <v>0</v>
      </c>
      <c r="K1162" s="87">
        <v>250000</v>
      </c>
      <c r="L1162" s="87">
        <f>F1162*K1162</f>
        <v>0</v>
      </c>
    </row>
    <row r="1163" spans="1:12" ht="12" customHeight="1" x14ac:dyDescent="0.35">
      <c r="B1163" s="84"/>
      <c r="C1163" s="88"/>
      <c r="D1163" s="79"/>
      <c r="E1163" s="79"/>
      <c r="F1163" s="89"/>
      <c r="G1163" s="101"/>
      <c r="H1163" s="87">
        <f>SUM(H1160:H1162)</f>
        <v>0</v>
      </c>
      <c r="I1163" s="101"/>
      <c r="J1163" s="87">
        <f>SUM(J1160:J1162)</f>
        <v>0</v>
      </c>
      <c r="K1163" s="101"/>
      <c r="L1163" s="87">
        <f>SUM(L1160:L1162)</f>
        <v>0</v>
      </c>
    </row>
    <row r="1164" spans="1:12" ht="12" customHeight="1" x14ac:dyDescent="0.35">
      <c r="B1164" s="84" t="s">
        <v>7</v>
      </c>
      <c r="C1164" s="88" t="s">
        <v>424</v>
      </c>
      <c r="D1164" s="79"/>
      <c r="E1164" s="79"/>
      <c r="F1164" s="90"/>
      <c r="G1164" s="84"/>
      <c r="H1164" s="87"/>
      <c r="I1164" s="84"/>
      <c r="J1164" s="87"/>
      <c r="K1164" s="84"/>
      <c r="L1164" s="87"/>
    </row>
    <row r="1165" spans="1:12" ht="12" customHeight="1" x14ac:dyDescent="0.35">
      <c r="A1165" s="134" t="s">
        <v>572</v>
      </c>
      <c r="B1165" s="84"/>
      <c r="C1165" s="85" t="str">
        <f>VLOOKUP(A1165,'DAFTAR HARGA'!A:D,3,FALSE)</f>
        <v>jam</v>
      </c>
      <c r="D1165" s="84" t="s">
        <v>418</v>
      </c>
      <c r="E1165" s="84">
        <f>VLOOKUP(A1165,'DAFTAR HARGA'!A:D,4,FALSE)</f>
        <v>290400</v>
      </c>
      <c r="F1165" s="128">
        <v>8.1430000000000002E-2</v>
      </c>
      <c r="G1165" s="87" t="e">
        <f>VLOOKUP(A1165,'DAFTAR HARGA'!A:D,5,FALSE)</f>
        <v>#REF!</v>
      </c>
      <c r="H1165" s="87" t="e">
        <f>F1165*G1165</f>
        <v>#REF!</v>
      </c>
      <c r="I1165" s="87"/>
      <c r="J1165" s="87" t="e">
        <f>H1165*I1165</f>
        <v>#REF!</v>
      </c>
      <c r="K1165" s="87"/>
      <c r="L1165" s="87" t="e">
        <f>J1165*K1165</f>
        <v>#REF!</v>
      </c>
    </row>
    <row r="1166" spans="1:12" ht="12" customHeight="1" x14ac:dyDescent="0.35">
      <c r="A1166" s="134">
        <v>31100008</v>
      </c>
      <c r="B1166" s="84"/>
      <c r="C1166" s="85" t="str">
        <f>VLOOKUP(A1166,'DAFTAR HARGA'!A:D,3,FALSE)</f>
        <v>jam</v>
      </c>
      <c r="D1166" s="84" t="s">
        <v>418</v>
      </c>
      <c r="E1166" s="84">
        <f>VLOOKUP(A1166,'DAFTAR HARGA'!A:D,4,FALSE)</f>
        <v>449000</v>
      </c>
      <c r="F1166" s="128">
        <v>9.6200000000000001E-3</v>
      </c>
      <c r="G1166" s="87" t="e">
        <f>VLOOKUP(A1166,'DAFTAR HARGA'!A:D,5,FALSE)</f>
        <v>#REF!</v>
      </c>
      <c r="H1166" s="87" t="e">
        <f>F1166*G1166</f>
        <v>#REF!</v>
      </c>
      <c r="I1166" s="87"/>
      <c r="J1166" s="87"/>
      <c r="K1166" s="87"/>
      <c r="L1166" s="87"/>
    </row>
    <row r="1167" spans="1:12" ht="12" customHeight="1" x14ac:dyDescent="0.35">
      <c r="B1167" s="84"/>
      <c r="C1167" s="85"/>
      <c r="D1167" s="84"/>
      <c r="E1167" s="84"/>
      <c r="F1167" s="128"/>
      <c r="G1167" s="87"/>
      <c r="H1167" s="87">
        <f>F1167*G1167</f>
        <v>0</v>
      </c>
      <c r="I1167" s="87"/>
      <c r="J1167" s="87"/>
      <c r="K1167" s="87"/>
      <c r="L1167" s="87"/>
    </row>
    <row r="1168" spans="1:12" ht="12" customHeight="1" x14ac:dyDescent="0.35">
      <c r="B1168" s="84"/>
      <c r="C1168" s="88"/>
      <c r="D1168" s="79"/>
      <c r="E1168" s="79"/>
      <c r="F1168" s="89" t="s">
        <v>425</v>
      </c>
      <c r="G1168" s="101"/>
      <c r="H1168" s="87" t="e">
        <f>SUM(H1165:H1167)</f>
        <v>#REF!</v>
      </c>
      <c r="I1168" s="101"/>
      <c r="J1168" s="87" t="e">
        <f>SUM(J1165)</f>
        <v>#REF!</v>
      </c>
      <c r="K1168" s="101"/>
      <c r="L1168" s="87" t="e">
        <f>SUM(L1165)</f>
        <v>#REF!</v>
      </c>
    </row>
    <row r="1169" spans="1:12" ht="12" customHeight="1" x14ac:dyDescent="0.35">
      <c r="B1169" s="84" t="s">
        <v>8</v>
      </c>
      <c r="C1169" s="103" t="s">
        <v>426</v>
      </c>
      <c r="D1169" s="104"/>
      <c r="E1169" s="104"/>
      <c r="F1169" s="104"/>
      <c r="G1169" s="105"/>
      <c r="H1169" s="87" t="e">
        <f>H1158+H1163+H1168</f>
        <v>#REF!</v>
      </c>
      <c r="I1169" s="105"/>
      <c r="J1169" s="87" t="e">
        <f>J1158+J1163+J1168</f>
        <v>#REF!</v>
      </c>
      <c r="K1169" s="105"/>
      <c r="L1169" s="87" t="e">
        <f>L1158+L1163+L1168</f>
        <v>#REF!</v>
      </c>
    </row>
    <row r="1170" spans="1:12" ht="12" customHeight="1" x14ac:dyDescent="0.35">
      <c r="B1170" s="84" t="s">
        <v>9</v>
      </c>
      <c r="C1170" s="455" t="s">
        <v>427</v>
      </c>
      <c r="D1170" s="455"/>
      <c r="E1170" s="455"/>
      <c r="F1170" s="95" t="str">
        <f>OP</f>
        <v>TANJUNG PALAS TENGAH</v>
      </c>
      <c r="G1170" s="85" t="s">
        <v>428</v>
      </c>
      <c r="H1170" s="87" t="e">
        <f>H1169*F1170</f>
        <v>#REF!</v>
      </c>
      <c r="I1170" s="85" t="s">
        <v>428</v>
      </c>
      <c r="J1170" s="87" t="e">
        <f>J1169*F1170</f>
        <v>#REF!</v>
      </c>
      <c r="K1170" s="85" t="s">
        <v>428</v>
      </c>
      <c r="L1170" s="87" t="e">
        <f>L1169*F1170</f>
        <v>#REF!</v>
      </c>
    </row>
    <row r="1171" spans="1:12" ht="12" customHeight="1" x14ac:dyDescent="0.35">
      <c r="B1171" s="84" t="s">
        <v>10</v>
      </c>
      <c r="C1171" s="103" t="s">
        <v>429</v>
      </c>
      <c r="D1171" s="104"/>
      <c r="E1171" s="104"/>
      <c r="F1171" s="104"/>
      <c r="G1171" s="105"/>
      <c r="H1171" s="96" t="e">
        <f>H1169+H1170</f>
        <v>#REF!</v>
      </c>
      <c r="I1171" s="97"/>
      <c r="J1171" s="96" t="e">
        <f>J1169+J1170</f>
        <v>#REF!</v>
      </c>
      <c r="K1171" s="97"/>
      <c r="L1171" s="96" t="e">
        <f>L1169+L1170</f>
        <v>#REF!</v>
      </c>
    </row>
    <row r="1173" spans="1:12" ht="37" customHeight="1" x14ac:dyDescent="0.35">
      <c r="B1173" s="76" t="s">
        <v>589</v>
      </c>
      <c r="C1173" s="458" t="s">
        <v>590</v>
      </c>
      <c r="D1173" s="459"/>
      <c r="E1173" s="459"/>
      <c r="F1173" s="459"/>
      <c r="G1173" s="456"/>
      <c r="H1173" s="457"/>
      <c r="I1173" s="455" t="s">
        <v>3</v>
      </c>
      <c r="J1173" s="455"/>
      <c r="K1173" s="455" t="s">
        <v>4</v>
      </c>
      <c r="L1173" s="455"/>
    </row>
    <row r="1174" spans="1:12" ht="12" customHeight="1" x14ac:dyDescent="0.35">
      <c r="B1174" s="451" t="s">
        <v>409</v>
      </c>
      <c r="C1174" s="451" t="s">
        <v>410</v>
      </c>
      <c r="D1174" s="452" t="s">
        <v>411</v>
      </c>
      <c r="E1174" s="451" t="s">
        <v>412</v>
      </c>
      <c r="F1174" s="451" t="s">
        <v>413</v>
      </c>
      <c r="G1174" s="77" t="s">
        <v>414</v>
      </c>
      <c r="H1174" s="77" t="s">
        <v>415</v>
      </c>
      <c r="I1174" s="78" t="s">
        <v>414</v>
      </c>
      <c r="J1174" s="79" t="s">
        <v>415</v>
      </c>
      <c r="K1174" s="79" t="s">
        <v>414</v>
      </c>
      <c r="L1174" s="79" t="s">
        <v>415</v>
      </c>
    </row>
    <row r="1175" spans="1:12" ht="12" customHeight="1" x14ac:dyDescent="0.35">
      <c r="B1175" s="451"/>
      <c r="C1175" s="451"/>
      <c r="D1175" s="453"/>
      <c r="E1175" s="451"/>
      <c r="F1175" s="451"/>
      <c r="G1175" s="77" t="s">
        <v>17</v>
      </c>
      <c r="H1175" s="77" t="s">
        <v>416</v>
      </c>
      <c r="I1175" s="78" t="s">
        <v>17</v>
      </c>
      <c r="J1175" s="79" t="s">
        <v>416</v>
      </c>
      <c r="K1175" s="79" t="s">
        <v>17</v>
      </c>
      <c r="L1175" s="79" t="s">
        <v>416</v>
      </c>
    </row>
    <row r="1176" spans="1:12" ht="12" customHeight="1" x14ac:dyDescent="0.35">
      <c r="B1176" s="451"/>
      <c r="C1176" s="451"/>
      <c r="D1176" s="454"/>
      <c r="E1176" s="451"/>
      <c r="F1176" s="451"/>
      <c r="G1176" s="106"/>
      <c r="H1176" s="77" t="s">
        <v>17</v>
      </c>
      <c r="I1176" s="94"/>
      <c r="J1176" s="79" t="s">
        <v>17</v>
      </c>
      <c r="K1176" s="85"/>
      <c r="L1176" s="79" t="s">
        <v>17</v>
      </c>
    </row>
    <row r="1177" spans="1:12" ht="12" customHeight="1" x14ac:dyDescent="0.35">
      <c r="B1177" s="80" t="s">
        <v>5</v>
      </c>
      <c r="C1177" s="81" t="s">
        <v>417</v>
      </c>
      <c r="D1177" s="82"/>
      <c r="E1177" s="82"/>
      <c r="F1177" s="82"/>
      <c r="G1177" s="82"/>
      <c r="H1177" s="82"/>
      <c r="I1177" s="83"/>
      <c r="J1177" s="83"/>
      <c r="K1177" s="83"/>
      <c r="L1177" s="83"/>
    </row>
    <row r="1178" spans="1:12" ht="12" customHeight="1" x14ac:dyDescent="0.35">
      <c r="A1178" s="134">
        <v>10111000</v>
      </c>
      <c r="B1178" s="84"/>
      <c r="C1178" s="85" t="str">
        <f>VLOOKUP(A1178,'DAFTAR HARGA'!A:D,3,FALSE)</f>
        <v>OJ</v>
      </c>
      <c r="D1178" s="84" t="s">
        <v>418</v>
      </c>
      <c r="E1178" s="84">
        <f>VLOOKUP(A1178,'DAFTAR HARGA'!A:D,4,FALSE)</f>
        <v>18750</v>
      </c>
      <c r="F1178" s="128">
        <v>1.6299999999999999E-2</v>
      </c>
      <c r="G1178" s="87" t="e">
        <f>VLOOKUP(A1178,'DAFTAR HARGA'!A:D,5,FALSE)</f>
        <v>#REF!</v>
      </c>
      <c r="H1178" s="87" t="e">
        <f>F1178*G1178</f>
        <v>#REF!</v>
      </c>
      <c r="I1178" s="87">
        <v>78600</v>
      </c>
      <c r="J1178" s="87">
        <f>F1178*I1178</f>
        <v>1281.1799999999998</v>
      </c>
      <c r="K1178" s="87">
        <v>78600</v>
      </c>
      <c r="L1178" s="87">
        <f>F1178*K1178</f>
        <v>1281.1799999999998</v>
      </c>
    </row>
    <row r="1179" spans="1:12" ht="12" customHeight="1" x14ac:dyDescent="0.35">
      <c r="A1179" s="134">
        <v>10121110</v>
      </c>
      <c r="B1179" s="84"/>
      <c r="C1179" s="85" t="str">
        <f>VLOOKUP(A1179,'DAFTAR HARGA'!A:D,3,FALSE)</f>
        <v>OJ</v>
      </c>
      <c r="D1179" s="84" t="s">
        <v>418</v>
      </c>
      <c r="E1179" s="84">
        <f>VLOOKUP(A1179,'DAFTAR HARGA'!A:D,4,FALSE)</f>
        <v>12500</v>
      </c>
      <c r="F1179" s="128">
        <v>8.14E-2</v>
      </c>
      <c r="G1179" s="87" t="e">
        <f>VLOOKUP(A1179,'DAFTAR HARGA'!A:D,5,FALSE)</f>
        <v>#REF!</v>
      </c>
      <c r="H1179" s="87" t="e">
        <f>F1179*G1179</f>
        <v>#REF!</v>
      </c>
      <c r="I1179" s="87"/>
      <c r="J1179" s="87"/>
      <c r="K1179" s="87"/>
      <c r="L1179" s="87"/>
    </row>
    <row r="1180" spans="1:12" ht="12" customHeight="1" x14ac:dyDescent="0.35">
      <c r="A1180" s="134">
        <v>10131000</v>
      </c>
      <c r="B1180" s="84"/>
      <c r="C1180" s="85" t="str">
        <f>VLOOKUP(A1180,'DAFTAR HARGA'!A:D,3,FALSE)</f>
        <v>OJ</v>
      </c>
      <c r="D1180" s="84" t="s">
        <v>418</v>
      </c>
      <c r="E1180" s="84">
        <f>VLOOKUP(A1180,'DAFTAR HARGA'!A:D,4,FALSE)</f>
        <v>14375</v>
      </c>
      <c r="F1180" s="128">
        <v>0.16289999999999999</v>
      </c>
      <c r="G1180" s="87" t="e">
        <f>VLOOKUP(A1180,'DAFTAR HARGA'!A:D,5,FALSE)</f>
        <v>#REF!</v>
      </c>
      <c r="H1180" s="87" t="e">
        <f>F1180*G1180</f>
        <v>#REF!</v>
      </c>
      <c r="I1180" s="87">
        <v>91500</v>
      </c>
      <c r="J1180" s="87">
        <f>F1180*I1180</f>
        <v>14905.349999999999</v>
      </c>
      <c r="K1180" s="87">
        <v>91500</v>
      </c>
      <c r="L1180" s="87">
        <f>F1180*K1180</f>
        <v>14905.349999999999</v>
      </c>
    </row>
    <row r="1181" spans="1:12" ht="12" customHeight="1" x14ac:dyDescent="0.35">
      <c r="B1181" s="84"/>
      <c r="C1181" s="85"/>
      <c r="D1181" s="84"/>
      <c r="E1181" s="84"/>
      <c r="F1181" s="86"/>
      <c r="G1181" s="87"/>
      <c r="H1181" s="87">
        <f>F1181*G1181</f>
        <v>0</v>
      </c>
      <c r="I1181" s="87">
        <v>92500</v>
      </c>
      <c r="J1181" s="87">
        <f>F1181*I1181</f>
        <v>0</v>
      </c>
      <c r="K1181" s="87">
        <v>92500</v>
      </c>
      <c r="L1181" s="87">
        <f>F1181*K1181</f>
        <v>0</v>
      </c>
    </row>
    <row r="1182" spans="1:12" ht="12" customHeight="1" x14ac:dyDescent="0.35">
      <c r="B1182" s="84"/>
      <c r="C1182" s="85"/>
      <c r="D1182" s="84"/>
      <c r="E1182" s="84"/>
      <c r="F1182" s="86"/>
      <c r="G1182" s="87"/>
      <c r="H1182" s="87"/>
      <c r="I1182" s="87"/>
      <c r="J1182" s="87"/>
      <c r="K1182" s="87"/>
      <c r="L1182" s="87"/>
    </row>
    <row r="1183" spans="1:12" ht="12" customHeight="1" x14ac:dyDescent="0.35">
      <c r="B1183" s="84"/>
      <c r="C1183" s="88"/>
      <c r="D1183" s="79"/>
      <c r="E1183" s="79"/>
      <c r="F1183" s="89" t="s">
        <v>421</v>
      </c>
      <c r="G1183" s="101"/>
      <c r="H1183" s="87" t="e">
        <f>SUM(H1178:H1182)</f>
        <v>#REF!</v>
      </c>
      <c r="I1183" s="101"/>
      <c r="J1183" s="87">
        <f>SUM(J1178:J1182)</f>
        <v>16186.529999999999</v>
      </c>
      <c r="K1183" s="101"/>
      <c r="L1183" s="87">
        <f>SUM(L1178:L1182)</f>
        <v>16186.529999999999</v>
      </c>
    </row>
    <row r="1184" spans="1:12" ht="12" customHeight="1" x14ac:dyDescent="0.35">
      <c r="B1184" s="84" t="s">
        <v>6</v>
      </c>
      <c r="C1184" s="88" t="s">
        <v>422</v>
      </c>
      <c r="D1184" s="79"/>
      <c r="E1184" s="79"/>
      <c r="F1184" s="90"/>
      <c r="G1184" s="84"/>
      <c r="H1184" s="87"/>
      <c r="I1184" s="84"/>
      <c r="J1184" s="87"/>
      <c r="K1184" s="84"/>
      <c r="L1184" s="87"/>
    </row>
    <row r="1185" spans="1:12" ht="12" customHeight="1" x14ac:dyDescent="0.35">
      <c r="A1185" s="134">
        <v>211100116</v>
      </c>
      <c r="B1185" s="84"/>
      <c r="C1185" s="85" t="str">
        <f>VLOOKUP(A1185,'DAFTAR HARGA'!A:D,3,FALSE)</f>
        <v>m³</v>
      </c>
      <c r="D1185" s="84" t="s">
        <v>418</v>
      </c>
      <c r="E1185" s="84">
        <f>VLOOKUP(A1185,'DAFTAR HARGA'!A:D,4,FALSE)</f>
        <v>80000</v>
      </c>
      <c r="F1185" s="128">
        <v>1.62</v>
      </c>
      <c r="G1185" s="87" t="e">
        <f>VLOOKUP(A1185,'DAFTAR HARGA'!A:D,5,FALSE)</f>
        <v>#REF!</v>
      </c>
      <c r="H1185" s="87" t="e">
        <f>F1185*G1185</f>
        <v>#REF!</v>
      </c>
      <c r="I1185" s="87">
        <v>232500</v>
      </c>
      <c r="J1185" s="87">
        <f>F1185*I1185</f>
        <v>376650</v>
      </c>
      <c r="K1185" s="87">
        <v>270000</v>
      </c>
      <c r="L1185" s="87">
        <f>F1185*K1185</f>
        <v>437400</v>
      </c>
    </row>
    <row r="1186" spans="1:12" ht="12" customHeight="1" x14ac:dyDescent="0.35">
      <c r="B1186" s="84"/>
      <c r="C1186" s="88" t="s">
        <v>588</v>
      </c>
      <c r="D1186" s="79"/>
      <c r="E1186" s="84"/>
      <c r="F1186" s="102"/>
      <c r="G1186" s="87"/>
      <c r="H1186" s="87">
        <f>F1186*G1186</f>
        <v>0</v>
      </c>
      <c r="I1186" s="87">
        <v>1060</v>
      </c>
      <c r="J1186" s="87">
        <f>F1186*I1186</f>
        <v>0</v>
      </c>
      <c r="K1186" s="87">
        <v>1060</v>
      </c>
      <c r="L1186" s="87">
        <f>F1186*K1186</f>
        <v>0</v>
      </c>
    </row>
    <row r="1187" spans="1:12" ht="12" customHeight="1" x14ac:dyDescent="0.35">
      <c r="B1187" s="84"/>
      <c r="C1187" s="88"/>
      <c r="D1187" s="79"/>
      <c r="E1187" s="84"/>
      <c r="F1187" s="102"/>
      <c r="G1187" s="87"/>
      <c r="H1187" s="87">
        <f>F1187*G1187</f>
        <v>0</v>
      </c>
      <c r="I1187" s="87">
        <v>215000</v>
      </c>
      <c r="J1187" s="87">
        <f>F1187*I1187</f>
        <v>0</v>
      </c>
      <c r="K1187" s="87">
        <v>250000</v>
      </c>
      <c r="L1187" s="87">
        <f>F1187*K1187</f>
        <v>0</v>
      </c>
    </row>
    <row r="1188" spans="1:12" ht="12" customHeight="1" x14ac:dyDescent="0.35">
      <c r="B1188" s="84"/>
      <c r="C1188" s="88"/>
      <c r="D1188" s="79"/>
      <c r="E1188" s="79"/>
      <c r="F1188" s="129" t="s">
        <v>423</v>
      </c>
      <c r="G1188" s="101"/>
      <c r="H1188" s="87" t="e">
        <f>SUM(H1185:H1187)</f>
        <v>#REF!</v>
      </c>
      <c r="I1188" s="101"/>
      <c r="J1188" s="87">
        <f>SUM(J1185:J1187)</f>
        <v>376650</v>
      </c>
      <c r="K1188" s="101"/>
      <c r="L1188" s="87">
        <f>SUM(L1185:L1187)</f>
        <v>437400</v>
      </c>
    </row>
    <row r="1189" spans="1:12" ht="12" customHeight="1" x14ac:dyDescent="0.35">
      <c r="B1189" s="84" t="s">
        <v>7</v>
      </c>
      <c r="C1189" s="88" t="s">
        <v>424</v>
      </c>
      <c r="D1189" s="79"/>
      <c r="E1189" s="79"/>
      <c r="F1189" s="90"/>
      <c r="G1189" s="84"/>
      <c r="H1189" s="87"/>
      <c r="I1189" s="84"/>
      <c r="J1189" s="87"/>
      <c r="K1189" s="84"/>
      <c r="L1189" s="87"/>
    </row>
    <row r="1190" spans="1:12" ht="12" customHeight="1" x14ac:dyDescent="0.35">
      <c r="A1190" s="134" t="s">
        <v>572</v>
      </c>
      <c r="B1190" s="84"/>
      <c r="C1190" s="85" t="str">
        <f>VLOOKUP(A1190,'DAFTAR HARGA'!A:D,3,FALSE)</f>
        <v>jam</v>
      </c>
      <c r="D1190" s="84" t="s">
        <v>418</v>
      </c>
      <c r="E1190" s="84">
        <f>VLOOKUP(A1190,'DAFTAR HARGA'!A:D,4,FALSE)</f>
        <v>290400</v>
      </c>
      <c r="F1190" s="128">
        <v>8.1430000000000002E-2</v>
      </c>
      <c r="G1190" s="87" t="e">
        <f>VLOOKUP(A1190,'DAFTAR HARGA'!A:D,5,FALSE)</f>
        <v>#REF!</v>
      </c>
      <c r="H1190" s="87" t="e">
        <f>F1190*G1190</f>
        <v>#REF!</v>
      </c>
      <c r="I1190" s="87"/>
      <c r="J1190" s="87" t="e">
        <f>H1190*I1190</f>
        <v>#REF!</v>
      </c>
      <c r="K1190" s="87"/>
      <c r="L1190" s="87" t="e">
        <f>J1190*K1190</f>
        <v>#REF!</v>
      </c>
    </row>
    <row r="1191" spans="1:12" ht="12" customHeight="1" x14ac:dyDescent="0.35">
      <c r="A1191" s="134">
        <v>31100008</v>
      </c>
      <c r="B1191" s="84"/>
      <c r="C1191" s="85" t="str">
        <f>VLOOKUP(A1191,'DAFTAR HARGA'!A:D,3,FALSE)</f>
        <v>jam</v>
      </c>
      <c r="D1191" s="84" t="s">
        <v>418</v>
      </c>
      <c r="E1191" s="84">
        <f>VLOOKUP(A1191,'DAFTAR HARGA'!A:D,4,FALSE)</f>
        <v>449000</v>
      </c>
      <c r="F1191" s="128">
        <v>9.6200000000000001E-3</v>
      </c>
      <c r="G1191" s="87" t="e">
        <f>VLOOKUP(A1191,'DAFTAR HARGA'!A:D,5,FALSE)</f>
        <v>#REF!</v>
      </c>
      <c r="H1191" s="87" t="e">
        <f>F1191*G1191</f>
        <v>#REF!</v>
      </c>
      <c r="I1191" s="87"/>
      <c r="J1191" s="87"/>
      <c r="K1191" s="87"/>
      <c r="L1191" s="87"/>
    </row>
    <row r="1192" spans="1:12" ht="12" customHeight="1" x14ac:dyDescent="0.35">
      <c r="A1192" s="134">
        <v>31100029</v>
      </c>
      <c r="B1192" s="84"/>
      <c r="C1192" s="85" t="str">
        <f>VLOOKUP(A1192,'DAFTAR HARGA'!A:D,3,FALSE)</f>
        <v>jam</v>
      </c>
      <c r="D1192" s="84" t="s">
        <v>418</v>
      </c>
      <c r="E1192" s="84">
        <f>VLOOKUP(A1192,'DAFTAR HARGA'!A:D,4,FALSE)</f>
        <v>350000</v>
      </c>
      <c r="F1192" s="128">
        <v>1.5900000000000001E-3</v>
      </c>
      <c r="G1192" s="87" t="e">
        <f>VLOOKUP(A1192,'DAFTAR HARGA'!A:D,5,FALSE)</f>
        <v>#REF!</v>
      </c>
      <c r="H1192" s="87" t="e">
        <f>F1192*G1192</f>
        <v>#REF!</v>
      </c>
      <c r="I1192" s="87"/>
      <c r="J1192" s="87"/>
      <c r="K1192" s="87"/>
      <c r="L1192" s="87"/>
    </row>
    <row r="1193" spans="1:12" ht="12" customHeight="1" x14ac:dyDescent="0.35">
      <c r="B1193" s="84"/>
      <c r="C1193" s="88"/>
      <c r="D1193" s="79"/>
      <c r="E1193" s="79"/>
      <c r="F1193" s="89" t="s">
        <v>425</v>
      </c>
      <c r="G1193" s="101"/>
      <c r="H1193" s="87" t="e">
        <f>SUM(H1190:H1192)</f>
        <v>#REF!</v>
      </c>
      <c r="I1193" s="101"/>
      <c r="J1193" s="87" t="e">
        <f>SUM(J1190)</f>
        <v>#REF!</v>
      </c>
      <c r="K1193" s="101"/>
      <c r="L1193" s="87" t="e">
        <f>SUM(L1190)</f>
        <v>#REF!</v>
      </c>
    </row>
    <row r="1194" spans="1:12" ht="12" customHeight="1" x14ac:dyDescent="0.35">
      <c r="B1194" s="84" t="s">
        <v>8</v>
      </c>
      <c r="C1194" s="103" t="s">
        <v>426</v>
      </c>
      <c r="D1194" s="104"/>
      <c r="E1194" s="104"/>
      <c r="F1194" s="104"/>
      <c r="G1194" s="105"/>
      <c r="H1194" s="87" t="e">
        <f>H1183+H1188+H1193</f>
        <v>#REF!</v>
      </c>
      <c r="I1194" s="105"/>
      <c r="J1194" s="87" t="e">
        <f>J1183+J1188+J1193</f>
        <v>#REF!</v>
      </c>
      <c r="K1194" s="105"/>
      <c r="L1194" s="87" t="e">
        <f>L1183+L1188+L1193</f>
        <v>#REF!</v>
      </c>
    </row>
    <row r="1195" spans="1:12" ht="12" customHeight="1" x14ac:dyDescent="0.35">
      <c r="B1195" s="84" t="s">
        <v>9</v>
      </c>
      <c r="C1195" s="455" t="s">
        <v>427</v>
      </c>
      <c r="D1195" s="455"/>
      <c r="E1195" s="455"/>
      <c r="F1195" s="95" t="str">
        <f>OP</f>
        <v>TANJUNG PALAS TENGAH</v>
      </c>
      <c r="G1195" s="85" t="s">
        <v>428</v>
      </c>
      <c r="H1195" s="87" t="e">
        <f>H1194*F1195</f>
        <v>#REF!</v>
      </c>
      <c r="I1195" s="85" t="s">
        <v>428</v>
      </c>
      <c r="J1195" s="87" t="e">
        <f>J1194*F1195</f>
        <v>#REF!</v>
      </c>
      <c r="K1195" s="85" t="s">
        <v>428</v>
      </c>
      <c r="L1195" s="87" t="e">
        <f>L1194*F1195</f>
        <v>#REF!</v>
      </c>
    </row>
    <row r="1196" spans="1:12" ht="12" customHeight="1" x14ac:dyDescent="0.35">
      <c r="B1196" s="84" t="s">
        <v>10</v>
      </c>
      <c r="C1196" s="103" t="s">
        <v>429</v>
      </c>
      <c r="D1196" s="104"/>
      <c r="E1196" s="104"/>
      <c r="F1196" s="104"/>
      <c r="G1196" s="105"/>
      <c r="H1196" s="96" t="e">
        <f>H1194+H1195</f>
        <v>#REF!</v>
      </c>
      <c r="I1196" s="97"/>
      <c r="J1196" s="96" t="e">
        <f>J1194+J1195</f>
        <v>#REF!</v>
      </c>
      <c r="K1196" s="97"/>
      <c r="L1196" s="96" t="e">
        <f>L1194+L1195</f>
        <v>#REF!</v>
      </c>
    </row>
    <row r="1198" spans="1:12" ht="37" customHeight="1" x14ac:dyDescent="0.35">
      <c r="B1198" s="76" t="s">
        <v>596</v>
      </c>
      <c r="C1198" s="458" t="s">
        <v>597</v>
      </c>
      <c r="D1198" s="459"/>
      <c r="E1198" s="459"/>
      <c r="F1198" s="459"/>
      <c r="G1198" s="456"/>
      <c r="H1198" s="457"/>
      <c r="I1198" s="455" t="s">
        <v>3</v>
      </c>
      <c r="J1198" s="455"/>
      <c r="K1198" s="455" t="s">
        <v>4</v>
      </c>
      <c r="L1198" s="455"/>
    </row>
    <row r="1199" spans="1:12" ht="12" customHeight="1" x14ac:dyDescent="0.35">
      <c r="B1199" s="451" t="s">
        <v>409</v>
      </c>
      <c r="C1199" s="451" t="s">
        <v>410</v>
      </c>
      <c r="D1199" s="452" t="s">
        <v>411</v>
      </c>
      <c r="E1199" s="451" t="s">
        <v>412</v>
      </c>
      <c r="F1199" s="451" t="s">
        <v>413</v>
      </c>
      <c r="G1199" s="77" t="s">
        <v>414</v>
      </c>
      <c r="H1199" s="77" t="s">
        <v>415</v>
      </c>
      <c r="I1199" s="78" t="s">
        <v>414</v>
      </c>
      <c r="J1199" s="79" t="s">
        <v>415</v>
      </c>
      <c r="K1199" s="79" t="s">
        <v>414</v>
      </c>
      <c r="L1199" s="79" t="s">
        <v>415</v>
      </c>
    </row>
    <row r="1200" spans="1:12" ht="12" customHeight="1" x14ac:dyDescent="0.35">
      <c r="B1200" s="451"/>
      <c r="C1200" s="451"/>
      <c r="D1200" s="453"/>
      <c r="E1200" s="451"/>
      <c r="F1200" s="451"/>
      <c r="G1200" s="77" t="s">
        <v>17</v>
      </c>
      <c r="H1200" s="77" t="s">
        <v>416</v>
      </c>
      <c r="I1200" s="78" t="s">
        <v>17</v>
      </c>
      <c r="J1200" s="79" t="s">
        <v>416</v>
      </c>
      <c r="K1200" s="79" t="s">
        <v>17</v>
      </c>
      <c r="L1200" s="79" t="s">
        <v>416</v>
      </c>
    </row>
    <row r="1201" spans="1:12" ht="12" customHeight="1" x14ac:dyDescent="0.35">
      <c r="B1201" s="451"/>
      <c r="C1201" s="451"/>
      <c r="D1201" s="454"/>
      <c r="E1201" s="451"/>
      <c r="F1201" s="451"/>
      <c r="G1201" s="106"/>
      <c r="H1201" s="77" t="s">
        <v>17</v>
      </c>
      <c r="I1201" s="94"/>
      <c r="J1201" s="79" t="s">
        <v>17</v>
      </c>
      <c r="K1201" s="85"/>
      <c r="L1201" s="79" t="s">
        <v>17</v>
      </c>
    </row>
    <row r="1202" spans="1:12" ht="12" customHeight="1" x14ac:dyDescent="0.35">
      <c r="B1202" s="80" t="s">
        <v>5</v>
      </c>
      <c r="C1202" s="81" t="s">
        <v>417</v>
      </c>
      <c r="D1202" s="82"/>
      <c r="E1202" s="82"/>
      <c r="F1202" s="82"/>
      <c r="G1202" s="82"/>
      <c r="H1202" s="82"/>
      <c r="I1202" s="83"/>
      <c r="J1202" s="83"/>
      <c r="K1202" s="83"/>
      <c r="L1202" s="83"/>
    </row>
    <row r="1203" spans="1:12" ht="12" customHeight="1" x14ac:dyDescent="0.35">
      <c r="A1203" s="134">
        <v>10111000</v>
      </c>
      <c r="B1203" s="84"/>
      <c r="C1203" s="85" t="str">
        <f>VLOOKUP(A1203,'DAFTAR HARGA'!A:D,3,FALSE)</f>
        <v>OJ</v>
      </c>
      <c r="D1203" s="84" t="s">
        <v>418</v>
      </c>
      <c r="E1203" s="84">
        <f>VLOOKUP(A1203,'DAFTAR HARGA'!A:D,4,FALSE)</f>
        <v>18750</v>
      </c>
      <c r="F1203" s="128">
        <v>1.6299999999999999E-2</v>
      </c>
      <c r="G1203" s="87" t="e">
        <f>VLOOKUP(A1203,'DAFTAR HARGA'!A:D,5,FALSE)</f>
        <v>#REF!</v>
      </c>
      <c r="H1203" s="87" t="e">
        <f>F1203*G1203</f>
        <v>#REF!</v>
      </c>
      <c r="I1203" s="87">
        <v>78600</v>
      </c>
      <c r="J1203" s="87">
        <f>F1203*I1203</f>
        <v>1281.1799999999998</v>
      </c>
      <c r="K1203" s="87">
        <v>78600</v>
      </c>
      <c r="L1203" s="87">
        <f>F1203*K1203</f>
        <v>1281.1799999999998</v>
      </c>
    </row>
    <row r="1204" spans="1:12" ht="12" customHeight="1" x14ac:dyDescent="0.35">
      <c r="A1204" s="134">
        <v>10121110</v>
      </c>
      <c r="B1204" s="84"/>
      <c r="C1204" s="85" t="str">
        <f>VLOOKUP(A1204,'DAFTAR HARGA'!A:D,3,FALSE)</f>
        <v>OJ</v>
      </c>
      <c r="D1204" s="84" t="s">
        <v>418</v>
      </c>
      <c r="E1204" s="84">
        <f>VLOOKUP(A1204,'DAFTAR HARGA'!A:D,4,FALSE)</f>
        <v>12500</v>
      </c>
      <c r="F1204" s="128">
        <v>4.0000000000000001E-3</v>
      </c>
      <c r="G1204" s="87" t="e">
        <f>VLOOKUP(A1204,'DAFTAR HARGA'!A:D,5,FALSE)</f>
        <v>#REF!</v>
      </c>
      <c r="H1204" s="87" t="e">
        <f>F1204*G1204</f>
        <v>#REF!</v>
      </c>
      <c r="I1204" s="87"/>
      <c r="J1204" s="87"/>
      <c r="K1204" s="87"/>
      <c r="L1204" s="87"/>
    </row>
    <row r="1205" spans="1:12" ht="12" customHeight="1" x14ac:dyDescent="0.35">
      <c r="A1205" s="134">
        <v>10131000</v>
      </c>
      <c r="B1205" s="84"/>
      <c r="C1205" s="85" t="str">
        <f>VLOOKUP(A1205,'DAFTAR HARGA'!A:D,3,FALSE)</f>
        <v>OJ</v>
      </c>
      <c r="D1205" s="84" t="s">
        <v>418</v>
      </c>
      <c r="E1205" s="84">
        <f>VLOOKUP(A1205,'DAFTAR HARGA'!A:D,4,FALSE)</f>
        <v>14375</v>
      </c>
      <c r="F1205" s="128">
        <v>1.61E-2</v>
      </c>
      <c r="G1205" s="87" t="e">
        <f>VLOOKUP(A1205,'DAFTAR HARGA'!A:D,5,FALSE)</f>
        <v>#REF!</v>
      </c>
      <c r="H1205" s="87" t="e">
        <f>F1205*G1205</f>
        <v>#REF!</v>
      </c>
      <c r="I1205" s="87">
        <v>91500</v>
      </c>
      <c r="J1205" s="87">
        <f>F1205*I1205</f>
        <v>1473.1499999999999</v>
      </c>
      <c r="K1205" s="87">
        <v>91500</v>
      </c>
      <c r="L1205" s="87">
        <f>F1205*K1205</f>
        <v>1473.1499999999999</v>
      </c>
    </row>
    <row r="1206" spans="1:12" ht="12" customHeight="1" x14ac:dyDescent="0.35">
      <c r="B1206" s="84"/>
      <c r="C1206" s="85"/>
      <c r="D1206" s="84"/>
      <c r="E1206" s="84"/>
      <c r="F1206" s="86"/>
      <c r="G1206" s="87"/>
      <c r="H1206" s="87">
        <f>F1206*G1206</f>
        <v>0</v>
      </c>
      <c r="I1206" s="87">
        <v>92500</v>
      </c>
      <c r="J1206" s="87">
        <f>F1206*I1206</f>
        <v>0</v>
      </c>
      <c r="K1206" s="87">
        <v>92500</v>
      </c>
      <c r="L1206" s="87">
        <f>F1206*K1206</f>
        <v>0</v>
      </c>
    </row>
    <row r="1207" spans="1:12" ht="12" customHeight="1" x14ac:dyDescent="0.35">
      <c r="B1207" s="84"/>
      <c r="C1207" s="85"/>
      <c r="D1207" s="84"/>
      <c r="E1207" s="84"/>
      <c r="F1207" s="86"/>
      <c r="G1207" s="87"/>
      <c r="H1207" s="87"/>
      <c r="I1207" s="87"/>
      <c r="J1207" s="87"/>
      <c r="K1207" s="87"/>
      <c r="L1207" s="87"/>
    </row>
    <row r="1208" spans="1:12" ht="12" customHeight="1" x14ac:dyDescent="0.35">
      <c r="B1208" s="84"/>
      <c r="C1208" s="88"/>
      <c r="D1208" s="79"/>
      <c r="E1208" s="79"/>
      <c r="F1208" s="89" t="s">
        <v>421</v>
      </c>
      <c r="G1208" s="101"/>
      <c r="H1208" s="87" t="e">
        <f>SUM(H1203:H1207)</f>
        <v>#REF!</v>
      </c>
      <c r="I1208" s="101"/>
      <c r="J1208" s="87">
        <f>SUM(J1203:J1207)</f>
        <v>2754.33</v>
      </c>
      <c r="K1208" s="101"/>
      <c r="L1208" s="87">
        <f>SUM(L1203:L1207)</f>
        <v>2754.33</v>
      </c>
    </row>
    <row r="1209" spans="1:12" ht="12" customHeight="1" x14ac:dyDescent="0.35">
      <c r="B1209" s="84" t="s">
        <v>6</v>
      </c>
      <c r="C1209" s="88" t="s">
        <v>422</v>
      </c>
      <c r="D1209" s="79"/>
      <c r="E1209" s="79"/>
      <c r="F1209" s="90"/>
      <c r="G1209" s="84"/>
      <c r="H1209" s="87"/>
      <c r="I1209" s="84"/>
      <c r="J1209" s="87"/>
      <c r="K1209" s="84"/>
      <c r="L1209" s="87"/>
    </row>
    <row r="1210" spans="1:12" ht="12" customHeight="1" x14ac:dyDescent="0.35">
      <c r="B1210" s="84"/>
      <c r="C1210" s="85"/>
      <c r="D1210" s="84"/>
      <c r="E1210" s="84"/>
      <c r="F1210" s="128"/>
      <c r="G1210" s="87"/>
      <c r="H1210" s="87">
        <f>F1210*G1210</f>
        <v>0</v>
      </c>
      <c r="I1210" s="87">
        <v>232500</v>
      </c>
      <c r="J1210" s="87">
        <f>F1210*I1210</f>
        <v>0</v>
      </c>
      <c r="K1210" s="87">
        <v>270000</v>
      </c>
      <c r="L1210" s="87">
        <f>F1210*K1210</f>
        <v>0</v>
      </c>
    </row>
    <row r="1211" spans="1:12" ht="12" customHeight="1" x14ac:dyDescent="0.35">
      <c r="B1211" s="84"/>
      <c r="C1211" s="88"/>
      <c r="D1211" s="79"/>
      <c r="E1211" s="84"/>
      <c r="F1211" s="102"/>
      <c r="G1211" s="87"/>
      <c r="H1211" s="87">
        <f>F1211*G1211</f>
        <v>0</v>
      </c>
      <c r="I1211" s="87">
        <v>1060</v>
      </c>
      <c r="J1211" s="87">
        <f>F1211*I1211</f>
        <v>0</v>
      </c>
      <c r="K1211" s="87">
        <v>1060</v>
      </c>
      <c r="L1211" s="87">
        <f>F1211*K1211</f>
        <v>0</v>
      </c>
    </row>
    <row r="1212" spans="1:12" ht="12" customHeight="1" x14ac:dyDescent="0.35">
      <c r="B1212" s="84"/>
      <c r="C1212" s="88"/>
      <c r="D1212" s="79"/>
      <c r="E1212" s="84"/>
      <c r="F1212" s="102"/>
      <c r="G1212" s="87"/>
      <c r="H1212" s="87">
        <f>F1212*G1212</f>
        <v>0</v>
      </c>
      <c r="I1212" s="87">
        <v>215000</v>
      </c>
      <c r="J1212" s="87">
        <f>F1212*I1212</f>
        <v>0</v>
      </c>
      <c r="K1212" s="87">
        <v>250000</v>
      </c>
      <c r="L1212" s="87">
        <f>F1212*K1212</f>
        <v>0</v>
      </c>
    </row>
    <row r="1213" spans="1:12" ht="12" customHeight="1" x14ac:dyDescent="0.35">
      <c r="B1213" s="84"/>
      <c r="C1213" s="88"/>
      <c r="D1213" s="79"/>
      <c r="E1213" s="79"/>
      <c r="F1213" s="89"/>
      <c r="G1213" s="101"/>
      <c r="H1213" s="87">
        <f>SUM(H1210:H1212)</f>
        <v>0</v>
      </c>
      <c r="I1213" s="101"/>
      <c r="J1213" s="87">
        <f>SUM(J1210:J1212)</f>
        <v>0</v>
      </c>
      <c r="K1213" s="101"/>
      <c r="L1213" s="87">
        <f>SUM(L1210:L1212)</f>
        <v>0</v>
      </c>
    </row>
    <row r="1214" spans="1:12" ht="12" customHeight="1" x14ac:dyDescent="0.35">
      <c r="B1214" s="84" t="s">
        <v>7</v>
      </c>
      <c r="C1214" s="88" t="s">
        <v>424</v>
      </c>
      <c r="D1214" s="79"/>
      <c r="E1214" s="79"/>
      <c r="F1214" s="90"/>
      <c r="G1214" s="84"/>
      <c r="H1214" s="87"/>
      <c r="I1214" s="84"/>
      <c r="J1214" s="87"/>
      <c r="K1214" s="84"/>
      <c r="L1214" s="87"/>
    </row>
    <row r="1215" spans="1:12" ht="12" customHeight="1" x14ac:dyDescent="0.35">
      <c r="A1215" s="134">
        <v>31100029</v>
      </c>
      <c r="B1215" s="84"/>
      <c r="C1215" s="85" t="str">
        <f>VLOOKUP(A1215,'DAFTAR HARGA'!A:D,3,FALSE)</f>
        <v>jam</v>
      </c>
      <c r="D1215" s="84" t="s">
        <v>418</v>
      </c>
      <c r="E1215" s="84">
        <f>VLOOKUP(A1215,'DAFTAR HARGA'!A:D,4,FALSE)</f>
        <v>350000</v>
      </c>
      <c r="F1215" s="128">
        <v>6.1199999999999996E-3</v>
      </c>
      <c r="G1215" s="87" t="e">
        <f>VLOOKUP(A1215,'DAFTAR HARGA'!A:D,5,FALSE)</f>
        <v>#REF!</v>
      </c>
      <c r="H1215" s="87" t="e">
        <f>F1215*G1215</f>
        <v>#REF!</v>
      </c>
      <c r="I1215" s="87"/>
      <c r="J1215" s="87" t="e">
        <f>H1215*I1215</f>
        <v>#REF!</v>
      </c>
      <c r="K1215" s="87"/>
      <c r="L1215" s="87" t="e">
        <f>J1215*K1215</f>
        <v>#REF!</v>
      </c>
    </row>
    <row r="1216" spans="1:12" ht="12" customHeight="1" x14ac:dyDescent="0.35">
      <c r="A1216" s="134">
        <v>31100020</v>
      </c>
      <c r="B1216" s="84"/>
      <c r="C1216" s="85" t="str">
        <f>VLOOKUP(A1216,'DAFTAR HARGA'!A:D,3,FALSE)</f>
        <v>jam</v>
      </c>
      <c r="D1216" s="84" t="s">
        <v>418</v>
      </c>
      <c r="E1216" s="84">
        <f>VLOOKUP(A1216,'DAFTAR HARGA'!A:D,4,FALSE)</f>
        <v>1201000</v>
      </c>
      <c r="F1216" s="128">
        <v>7.0299999999999998E-3</v>
      </c>
      <c r="G1216" s="87" t="e">
        <f>VLOOKUP(A1216,'DAFTAR HARGA'!A:D,5,FALSE)</f>
        <v>#REF!</v>
      </c>
      <c r="H1216" s="87" t="e">
        <f>F1216*G1216</f>
        <v>#REF!</v>
      </c>
      <c r="I1216" s="87"/>
      <c r="J1216" s="87"/>
      <c r="K1216" s="87"/>
      <c r="L1216" s="87"/>
    </row>
    <row r="1217" spans="1:12" ht="12" customHeight="1" x14ac:dyDescent="0.35">
      <c r="A1217" s="134">
        <v>31100022</v>
      </c>
      <c r="B1217" s="84"/>
      <c r="C1217" s="85" t="str">
        <f>VLOOKUP(A1217,'DAFTAR HARGA'!A:D,3,FALSE)</f>
        <v>jam</v>
      </c>
      <c r="D1217" s="84" t="s">
        <v>418</v>
      </c>
      <c r="E1217" s="84">
        <f>VLOOKUP(A1217,'DAFTAR HARGA'!A:D,4,FALSE)</f>
        <v>403000</v>
      </c>
      <c r="F1217" s="128">
        <v>5.7373E-2</v>
      </c>
      <c r="G1217" s="87" t="e">
        <f>VLOOKUP(A1217,'DAFTAR HARGA'!A:D,5,FALSE)</f>
        <v>#REF!</v>
      </c>
      <c r="H1217" s="87" t="e">
        <f>F1217*G1217</f>
        <v>#REF!</v>
      </c>
      <c r="I1217" s="87"/>
      <c r="J1217" s="87"/>
      <c r="K1217" s="87"/>
      <c r="L1217" s="87"/>
    </row>
    <row r="1218" spans="1:12" ht="12" customHeight="1" x14ac:dyDescent="0.35">
      <c r="B1218" s="84"/>
      <c r="C1218" s="88"/>
      <c r="D1218" s="79"/>
      <c r="E1218" s="79"/>
      <c r="F1218" s="89" t="s">
        <v>425</v>
      </c>
      <c r="G1218" s="101"/>
      <c r="H1218" s="87" t="e">
        <f>SUM(H1215:H1217)</f>
        <v>#REF!</v>
      </c>
      <c r="I1218" s="101"/>
      <c r="J1218" s="87" t="e">
        <f>SUM(J1215)</f>
        <v>#REF!</v>
      </c>
      <c r="K1218" s="101"/>
      <c r="L1218" s="87" t="e">
        <f>SUM(L1215)</f>
        <v>#REF!</v>
      </c>
    </row>
    <row r="1219" spans="1:12" ht="12" customHeight="1" x14ac:dyDescent="0.35">
      <c r="B1219" s="84" t="s">
        <v>8</v>
      </c>
      <c r="C1219" s="103" t="s">
        <v>426</v>
      </c>
      <c r="D1219" s="104"/>
      <c r="E1219" s="104"/>
      <c r="F1219" s="104"/>
      <c r="G1219" s="105"/>
      <c r="H1219" s="87" t="e">
        <f>H1208+H1213+H1218</f>
        <v>#REF!</v>
      </c>
      <c r="I1219" s="105"/>
      <c r="J1219" s="87" t="e">
        <f>J1208+J1213+J1218</f>
        <v>#REF!</v>
      </c>
      <c r="K1219" s="105"/>
      <c r="L1219" s="87" t="e">
        <f>L1208+L1213+L1218</f>
        <v>#REF!</v>
      </c>
    </row>
    <row r="1220" spans="1:12" ht="12" customHeight="1" x14ac:dyDescent="0.35">
      <c r="B1220" s="84" t="s">
        <v>9</v>
      </c>
      <c r="C1220" s="455" t="s">
        <v>427</v>
      </c>
      <c r="D1220" s="455"/>
      <c r="E1220" s="455"/>
      <c r="F1220" s="95" t="str">
        <f>OP</f>
        <v>TANJUNG PALAS TENGAH</v>
      </c>
      <c r="G1220" s="85" t="s">
        <v>428</v>
      </c>
      <c r="H1220" s="87" t="e">
        <f>H1219*F1220</f>
        <v>#REF!</v>
      </c>
      <c r="I1220" s="85" t="s">
        <v>428</v>
      </c>
      <c r="J1220" s="87" t="e">
        <f>J1219*F1220</f>
        <v>#REF!</v>
      </c>
      <c r="K1220" s="85" t="s">
        <v>428</v>
      </c>
      <c r="L1220" s="87" t="e">
        <f>L1219*F1220</f>
        <v>#REF!</v>
      </c>
    </row>
    <row r="1221" spans="1:12" ht="12" customHeight="1" x14ac:dyDescent="0.35">
      <c r="B1221" s="84" t="s">
        <v>10</v>
      </c>
      <c r="C1221" s="103" t="s">
        <v>429</v>
      </c>
      <c r="D1221" s="104"/>
      <c r="E1221" s="104"/>
      <c r="F1221" s="104"/>
      <c r="G1221" s="105"/>
      <c r="H1221" s="96" t="e">
        <f>H1219+H1220</f>
        <v>#REF!</v>
      </c>
      <c r="I1221" s="97"/>
      <c r="J1221" s="96" t="e">
        <f>J1219+J1220</f>
        <v>#REF!</v>
      </c>
      <c r="K1221" s="97"/>
      <c r="L1221" s="96" t="e">
        <f>L1219+L1220</f>
        <v>#REF!</v>
      </c>
    </row>
    <row r="1223" spans="1:12" ht="37" customHeight="1" x14ac:dyDescent="0.35">
      <c r="B1223" s="76" t="s">
        <v>598</v>
      </c>
      <c r="C1223" s="458" t="s">
        <v>599</v>
      </c>
      <c r="D1223" s="459"/>
      <c r="E1223" s="459"/>
      <c r="F1223" s="459"/>
      <c r="G1223" s="456"/>
      <c r="H1223" s="457"/>
      <c r="I1223" s="455" t="s">
        <v>3</v>
      </c>
      <c r="J1223" s="455"/>
      <c r="K1223" s="455" t="s">
        <v>4</v>
      </c>
      <c r="L1223" s="455"/>
    </row>
    <row r="1224" spans="1:12" ht="12" customHeight="1" x14ac:dyDescent="0.35">
      <c r="B1224" s="451" t="s">
        <v>409</v>
      </c>
      <c r="C1224" s="451" t="s">
        <v>410</v>
      </c>
      <c r="D1224" s="452" t="s">
        <v>411</v>
      </c>
      <c r="E1224" s="451" t="s">
        <v>412</v>
      </c>
      <c r="F1224" s="451" t="s">
        <v>413</v>
      </c>
      <c r="G1224" s="77" t="s">
        <v>414</v>
      </c>
      <c r="H1224" s="77" t="s">
        <v>415</v>
      </c>
      <c r="I1224" s="78" t="s">
        <v>414</v>
      </c>
      <c r="J1224" s="79" t="s">
        <v>415</v>
      </c>
      <c r="K1224" s="79" t="s">
        <v>414</v>
      </c>
      <c r="L1224" s="79" t="s">
        <v>415</v>
      </c>
    </row>
    <row r="1225" spans="1:12" ht="12" customHeight="1" x14ac:dyDescent="0.35">
      <c r="B1225" s="451"/>
      <c r="C1225" s="451"/>
      <c r="D1225" s="453"/>
      <c r="E1225" s="451"/>
      <c r="F1225" s="451"/>
      <c r="G1225" s="77" t="s">
        <v>17</v>
      </c>
      <c r="H1225" s="77" t="s">
        <v>416</v>
      </c>
      <c r="I1225" s="78" t="s">
        <v>17</v>
      </c>
      <c r="J1225" s="79" t="s">
        <v>416</v>
      </c>
      <c r="K1225" s="79" t="s">
        <v>17</v>
      </c>
      <c r="L1225" s="79" t="s">
        <v>416</v>
      </c>
    </row>
    <row r="1226" spans="1:12" ht="12" customHeight="1" x14ac:dyDescent="0.35">
      <c r="B1226" s="451"/>
      <c r="C1226" s="451"/>
      <c r="D1226" s="454"/>
      <c r="E1226" s="451"/>
      <c r="F1226" s="451"/>
      <c r="G1226" s="106"/>
      <c r="H1226" s="77" t="s">
        <v>17</v>
      </c>
      <c r="I1226" s="94"/>
      <c r="J1226" s="79" t="s">
        <v>17</v>
      </c>
      <c r="K1226" s="85"/>
      <c r="L1226" s="79" t="s">
        <v>17</v>
      </c>
    </row>
    <row r="1227" spans="1:12" ht="12" customHeight="1" x14ac:dyDescent="0.35">
      <c r="B1227" s="80" t="s">
        <v>5</v>
      </c>
      <c r="C1227" s="81" t="s">
        <v>417</v>
      </c>
      <c r="D1227" s="82"/>
      <c r="E1227" s="82"/>
      <c r="F1227" s="82"/>
      <c r="G1227" s="82"/>
      <c r="H1227" s="82"/>
      <c r="I1227" s="83"/>
      <c r="J1227" s="83"/>
      <c r="K1227" s="83"/>
      <c r="L1227" s="83"/>
    </row>
    <row r="1228" spans="1:12" ht="12" customHeight="1" x14ac:dyDescent="0.35">
      <c r="A1228" s="134">
        <v>10111000</v>
      </c>
      <c r="B1228" s="84"/>
      <c r="C1228" s="85" t="str">
        <f>VLOOKUP(A1228,'DAFTAR HARGA'!A:D,3,FALSE)</f>
        <v>OJ</v>
      </c>
      <c r="D1228" s="84" t="s">
        <v>418</v>
      </c>
      <c r="E1228" s="84">
        <f>VLOOKUP(A1228,'DAFTAR HARGA'!A:D,4,FALSE)</f>
        <v>18750</v>
      </c>
      <c r="F1228" s="128">
        <v>1.6299999999999999E-2</v>
      </c>
      <c r="G1228" s="87" t="e">
        <f>VLOOKUP(A1228,'DAFTAR HARGA'!A:D,5,FALSE)</f>
        <v>#REF!</v>
      </c>
      <c r="H1228" s="87" t="e">
        <f>F1228*G1228</f>
        <v>#REF!</v>
      </c>
      <c r="I1228" s="87">
        <v>78600</v>
      </c>
      <c r="J1228" s="87">
        <f>F1228*I1228</f>
        <v>1281.1799999999998</v>
      </c>
      <c r="K1228" s="87">
        <v>78600</v>
      </c>
      <c r="L1228" s="87">
        <f>F1228*K1228</f>
        <v>1281.1799999999998</v>
      </c>
    </row>
    <row r="1229" spans="1:12" ht="12" customHeight="1" x14ac:dyDescent="0.35">
      <c r="A1229" s="134">
        <v>10121110</v>
      </c>
      <c r="B1229" s="84"/>
      <c r="C1229" s="85" t="str">
        <f>VLOOKUP(A1229,'DAFTAR HARGA'!A:D,3,FALSE)</f>
        <v>OJ</v>
      </c>
      <c r="D1229" s="84" t="s">
        <v>418</v>
      </c>
      <c r="E1229" s="84">
        <f>VLOOKUP(A1229,'DAFTAR HARGA'!A:D,4,FALSE)</f>
        <v>12500</v>
      </c>
      <c r="F1229" s="128">
        <v>4.0000000000000001E-3</v>
      </c>
      <c r="G1229" s="87" t="e">
        <f>VLOOKUP(A1229,'DAFTAR HARGA'!A:D,5,FALSE)</f>
        <v>#REF!</v>
      </c>
      <c r="H1229" s="87" t="e">
        <f>F1229*G1229</f>
        <v>#REF!</v>
      </c>
      <c r="I1229" s="87"/>
      <c r="J1229" s="87"/>
      <c r="K1229" s="87"/>
      <c r="L1229" s="87"/>
    </row>
    <row r="1230" spans="1:12" ht="12" customHeight="1" x14ac:dyDescent="0.35">
      <c r="A1230" s="134">
        <v>10131000</v>
      </c>
      <c r="B1230" s="84"/>
      <c r="C1230" s="85" t="str">
        <f>VLOOKUP(A1230,'DAFTAR HARGA'!A:D,3,FALSE)</f>
        <v>OJ</v>
      </c>
      <c r="D1230" s="84" t="s">
        <v>418</v>
      </c>
      <c r="E1230" s="84">
        <f>VLOOKUP(A1230,'DAFTAR HARGA'!A:D,4,FALSE)</f>
        <v>14375</v>
      </c>
      <c r="F1230" s="128">
        <v>1.61E-2</v>
      </c>
      <c r="G1230" s="87" t="e">
        <f>VLOOKUP(A1230,'DAFTAR HARGA'!A:D,5,FALSE)</f>
        <v>#REF!</v>
      </c>
      <c r="H1230" s="87" t="e">
        <f>F1230*G1230</f>
        <v>#REF!</v>
      </c>
      <c r="I1230" s="87">
        <v>91500</v>
      </c>
      <c r="J1230" s="87">
        <f>F1230*I1230</f>
        <v>1473.1499999999999</v>
      </c>
      <c r="K1230" s="87">
        <v>91500</v>
      </c>
      <c r="L1230" s="87">
        <f>F1230*K1230</f>
        <v>1473.1499999999999</v>
      </c>
    </row>
    <row r="1231" spans="1:12" ht="12" customHeight="1" x14ac:dyDescent="0.35">
      <c r="B1231" s="84"/>
      <c r="C1231" s="85"/>
      <c r="D1231" s="84"/>
      <c r="E1231" s="84"/>
      <c r="F1231" s="86"/>
      <c r="G1231" s="87"/>
      <c r="H1231" s="87">
        <f>F1231*G1231</f>
        <v>0</v>
      </c>
      <c r="I1231" s="87">
        <v>92500</v>
      </c>
      <c r="J1231" s="87">
        <f>F1231*I1231</f>
        <v>0</v>
      </c>
      <c r="K1231" s="87">
        <v>92500</v>
      </c>
      <c r="L1231" s="87">
        <f>F1231*K1231</f>
        <v>0</v>
      </c>
    </row>
    <row r="1232" spans="1:12" ht="12" customHeight="1" x14ac:dyDescent="0.35">
      <c r="B1232" s="84"/>
      <c r="C1232" s="85"/>
      <c r="D1232" s="84"/>
      <c r="E1232" s="84"/>
      <c r="F1232" s="86"/>
      <c r="G1232" s="87"/>
      <c r="H1232" s="87"/>
      <c r="I1232" s="87"/>
      <c r="J1232" s="87"/>
      <c r="K1232" s="87"/>
      <c r="L1232" s="87"/>
    </row>
    <row r="1233" spans="1:12" ht="12" customHeight="1" x14ac:dyDescent="0.35">
      <c r="B1233" s="84"/>
      <c r="C1233" s="88"/>
      <c r="D1233" s="79"/>
      <c r="E1233" s="79"/>
      <c r="F1233" s="89" t="s">
        <v>421</v>
      </c>
      <c r="G1233" s="101"/>
      <c r="H1233" s="87" t="e">
        <f>SUM(H1228:H1232)</f>
        <v>#REF!</v>
      </c>
      <c r="I1233" s="101"/>
      <c r="J1233" s="87">
        <f>SUM(J1228:J1232)</f>
        <v>2754.33</v>
      </c>
      <c r="K1233" s="101"/>
      <c r="L1233" s="87">
        <f>SUM(L1228:L1232)</f>
        <v>2754.33</v>
      </c>
    </row>
    <row r="1234" spans="1:12" ht="12" customHeight="1" x14ac:dyDescent="0.35">
      <c r="B1234" s="84" t="s">
        <v>6</v>
      </c>
      <c r="C1234" s="88" t="s">
        <v>422</v>
      </c>
      <c r="D1234" s="79"/>
      <c r="E1234" s="79"/>
      <c r="F1234" s="90"/>
      <c r="G1234" s="84"/>
      <c r="H1234" s="87"/>
      <c r="I1234" s="84"/>
      <c r="J1234" s="87"/>
      <c r="K1234" s="84"/>
      <c r="L1234" s="87"/>
    </row>
    <row r="1235" spans="1:12" ht="12" customHeight="1" x14ac:dyDescent="0.35">
      <c r="B1235" s="84"/>
      <c r="C1235" s="85"/>
      <c r="D1235" s="84"/>
      <c r="E1235" s="84"/>
      <c r="F1235" s="128"/>
      <c r="G1235" s="87"/>
      <c r="H1235" s="87">
        <f>F1235*G1235</f>
        <v>0</v>
      </c>
      <c r="I1235" s="87">
        <v>232500</v>
      </c>
      <c r="J1235" s="87">
        <f>F1235*I1235</f>
        <v>0</v>
      </c>
      <c r="K1235" s="87">
        <v>270000</v>
      </c>
      <c r="L1235" s="87">
        <f>F1235*K1235</f>
        <v>0</v>
      </c>
    </row>
    <row r="1236" spans="1:12" ht="12" customHeight="1" x14ac:dyDescent="0.35">
      <c r="B1236" s="84"/>
      <c r="C1236" s="88"/>
      <c r="D1236" s="79"/>
      <c r="E1236" s="84"/>
      <c r="F1236" s="102"/>
      <c r="G1236" s="87"/>
      <c r="H1236" s="87">
        <f>F1236*G1236</f>
        <v>0</v>
      </c>
      <c r="I1236" s="87">
        <v>1060</v>
      </c>
      <c r="J1236" s="87">
        <f>F1236*I1236</f>
        <v>0</v>
      </c>
      <c r="K1236" s="87">
        <v>1060</v>
      </c>
      <c r="L1236" s="87">
        <f>F1236*K1236</f>
        <v>0</v>
      </c>
    </row>
    <row r="1237" spans="1:12" ht="12" customHeight="1" x14ac:dyDescent="0.35">
      <c r="B1237" s="84"/>
      <c r="C1237" s="88"/>
      <c r="D1237" s="79"/>
      <c r="E1237" s="84"/>
      <c r="F1237" s="102"/>
      <c r="G1237" s="87"/>
      <c r="H1237" s="87">
        <f>F1237*G1237</f>
        <v>0</v>
      </c>
      <c r="I1237" s="87">
        <v>215000</v>
      </c>
      <c r="J1237" s="87">
        <f>F1237*I1237</f>
        <v>0</v>
      </c>
      <c r="K1237" s="87">
        <v>250000</v>
      </c>
      <c r="L1237" s="87">
        <f>F1237*K1237</f>
        <v>0</v>
      </c>
    </row>
    <row r="1238" spans="1:12" ht="12" customHeight="1" x14ac:dyDescent="0.35">
      <c r="B1238" s="84"/>
      <c r="C1238" s="88"/>
      <c r="D1238" s="79"/>
      <c r="E1238" s="79"/>
      <c r="F1238" s="89"/>
      <c r="G1238" s="101"/>
      <c r="H1238" s="87">
        <f>SUM(H1235:H1237)</f>
        <v>0</v>
      </c>
      <c r="I1238" s="101"/>
      <c r="J1238" s="87">
        <f>SUM(J1235:J1237)</f>
        <v>0</v>
      </c>
      <c r="K1238" s="101"/>
      <c r="L1238" s="87">
        <f>SUM(L1235:L1237)</f>
        <v>0</v>
      </c>
    </row>
    <row r="1239" spans="1:12" ht="12" customHeight="1" x14ac:dyDescent="0.35">
      <c r="B1239" s="84" t="s">
        <v>7</v>
      </c>
      <c r="C1239" s="88" t="s">
        <v>424</v>
      </c>
      <c r="D1239" s="79"/>
      <c r="E1239" s="79"/>
      <c r="F1239" s="90"/>
      <c r="G1239" s="84"/>
      <c r="H1239" s="87"/>
      <c r="I1239" s="84"/>
      <c r="J1239" s="87"/>
      <c r="K1239" s="84"/>
      <c r="L1239" s="87"/>
    </row>
    <row r="1240" spans="1:12" ht="12" customHeight="1" x14ac:dyDescent="0.35">
      <c r="A1240" s="134">
        <v>31100029</v>
      </c>
      <c r="B1240" s="84"/>
      <c r="C1240" s="85" t="str">
        <f>VLOOKUP(A1240,'DAFTAR HARGA'!A:D,3,FALSE)</f>
        <v>jam</v>
      </c>
      <c r="D1240" s="84" t="s">
        <v>418</v>
      </c>
      <c r="E1240" s="84">
        <f>VLOOKUP(A1240,'DAFTAR HARGA'!A:D,4,FALSE)</f>
        <v>350000</v>
      </c>
      <c r="F1240" s="128">
        <v>6.1199999999999996E-3</v>
      </c>
      <c r="G1240" s="87" t="e">
        <f>VLOOKUP(A1240,'DAFTAR HARGA'!A:D,5,FALSE)</f>
        <v>#REF!</v>
      </c>
      <c r="H1240" s="87" t="e">
        <f>F1240*G1240</f>
        <v>#REF!</v>
      </c>
      <c r="I1240" s="87"/>
      <c r="J1240" s="87" t="e">
        <f>H1240*I1240</f>
        <v>#REF!</v>
      </c>
      <c r="K1240" s="87"/>
      <c r="L1240" s="87" t="e">
        <f>J1240*K1240</f>
        <v>#REF!</v>
      </c>
    </row>
    <row r="1241" spans="1:12" ht="12" customHeight="1" x14ac:dyDescent="0.35">
      <c r="A1241" s="134">
        <v>31100020</v>
      </c>
      <c r="B1241" s="84"/>
      <c r="C1241" s="85" t="str">
        <f>VLOOKUP(A1241,'DAFTAR HARGA'!A:D,3,FALSE)</f>
        <v>jam</v>
      </c>
      <c r="D1241" s="84" t="s">
        <v>418</v>
      </c>
      <c r="E1241" s="84">
        <f>VLOOKUP(A1241,'DAFTAR HARGA'!A:D,4,FALSE)</f>
        <v>1201000</v>
      </c>
      <c r="F1241" s="128">
        <v>7.0299999999999998E-3</v>
      </c>
      <c r="G1241" s="87" t="e">
        <f>VLOOKUP(A1241,'DAFTAR HARGA'!A:D,5,FALSE)</f>
        <v>#REF!</v>
      </c>
      <c r="H1241" s="87" t="e">
        <f>F1241*G1241</f>
        <v>#REF!</v>
      </c>
      <c r="I1241" s="87"/>
      <c r="J1241" s="87"/>
      <c r="K1241" s="87"/>
      <c r="L1241" s="87"/>
    </row>
    <row r="1242" spans="1:12" ht="12" customHeight="1" x14ac:dyDescent="0.35">
      <c r="A1242" s="134">
        <v>31100017</v>
      </c>
      <c r="B1242" s="84"/>
      <c r="C1242" s="85" t="str">
        <f>VLOOKUP(A1242,'DAFTAR HARGA'!A:D,3,FALSE)</f>
        <v>jam</v>
      </c>
      <c r="D1242" s="84" t="s">
        <v>418</v>
      </c>
      <c r="E1242" s="84">
        <f>VLOOKUP(A1242,'DAFTAR HARGA'!A:D,4,FALSE)</f>
        <v>889000</v>
      </c>
      <c r="F1242" s="128">
        <v>4.0200000000000001E-3</v>
      </c>
      <c r="G1242" s="87" t="e">
        <f>VLOOKUP(A1242,'DAFTAR HARGA'!A:D,5,FALSE)</f>
        <v>#REF!</v>
      </c>
      <c r="H1242" s="87" t="e">
        <f>F1242*G1242</f>
        <v>#REF!</v>
      </c>
      <c r="I1242" s="87"/>
      <c r="J1242" s="87"/>
      <c r="K1242" s="87"/>
      <c r="L1242" s="87"/>
    </row>
    <row r="1243" spans="1:12" ht="12" customHeight="1" x14ac:dyDescent="0.35">
      <c r="B1243" s="84"/>
      <c r="C1243" s="88"/>
      <c r="D1243" s="79"/>
      <c r="E1243" s="79"/>
      <c r="F1243" s="89" t="s">
        <v>425</v>
      </c>
      <c r="G1243" s="101"/>
      <c r="H1243" s="87" t="e">
        <f>SUM(H1240:H1242)</f>
        <v>#REF!</v>
      </c>
      <c r="I1243" s="101"/>
      <c r="J1243" s="87" t="e">
        <f>SUM(J1240)</f>
        <v>#REF!</v>
      </c>
      <c r="K1243" s="101"/>
      <c r="L1243" s="87" t="e">
        <f>SUM(L1240)</f>
        <v>#REF!</v>
      </c>
    </row>
    <row r="1244" spans="1:12" ht="12" customHeight="1" x14ac:dyDescent="0.35">
      <c r="B1244" s="84" t="s">
        <v>8</v>
      </c>
      <c r="C1244" s="103" t="s">
        <v>426</v>
      </c>
      <c r="D1244" s="104"/>
      <c r="E1244" s="104"/>
      <c r="F1244" s="104"/>
      <c r="G1244" s="105"/>
      <c r="H1244" s="87" t="e">
        <f>H1233+H1238+H1243</f>
        <v>#REF!</v>
      </c>
      <c r="I1244" s="105"/>
      <c r="J1244" s="87" t="e">
        <f>J1233+J1238+J1243</f>
        <v>#REF!</v>
      </c>
      <c r="K1244" s="105"/>
      <c r="L1244" s="87" t="e">
        <f>L1233+L1238+L1243</f>
        <v>#REF!</v>
      </c>
    </row>
    <row r="1245" spans="1:12" ht="12" customHeight="1" x14ac:dyDescent="0.35">
      <c r="B1245" s="84" t="s">
        <v>9</v>
      </c>
      <c r="C1245" s="455" t="s">
        <v>427</v>
      </c>
      <c r="D1245" s="455"/>
      <c r="E1245" s="455"/>
      <c r="F1245" s="95" t="str">
        <f>OP</f>
        <v>TANJUNG PALAS TENGAH</v>
      </c>
      <c r="G1245" s="85" t="s">
        <v>428</v>
      </c>
      <c r="H1245" s="87" t="e">
        <f>H1244*F1245</f>
        <v>#REF!</v>
      </c>
      <c r="I1245" s="85" t="s">
        <v>428</v>
      </c>
      <c r="J1245" s="87" t="e">
        <f>J1244*F1245</f>
        <v>#REF!</v>
      </c>
      <c r="K1245" s="85" t="s">
        <v>428</v>
      </c>
      <c r="L1245" s="87" t="e">
        <f>L1244*F1245</f>
        <v>#REF!</v>
      </c>
    </row>
    <row r="1246" spans="1:12" ht="12" customHeight="1" x14ac:dyDescent="0.35">
      <c r="B1246" s="84" t="s">
        <v>10</v>
      </c>
      <c r="C1246" s="103" t="s">
        <v>429</v>
      </c>
      <c r="D1246" s="104"/>
      <c r="E1246" s="104"/>
      <c r="F1246" s="104"/>
      <c r="G1246" s="105"/>
      <c r="H1246" s="96" t="e">
        <f>H1244+H1245</f>
        <v>#REF!</v>
      </c>
      <c r="I1246" s="97"/>
      <c r="J1246" s="96" t="e">
        <f>J1244+J1245</f>
        <v>#REF!</v>
      </c>
      <c r="K1246" s="97"/>
      <c r="L1246" s="96" t="e">
        <f>L1244+L1245</f>
        <v>#REF!</v>
      </c>
    </row>
    <row r="1248" spans="1:12" ht="37" customHeight="1" x14ac:dyDescent="0.35">
      <c r="B1248" s="76" t="s">
        <v>600</v>
      </c>
      <c r="C1248" s="458" t="s">
        <v>601</v>
      </c>
      <c r="D1248" s="459"/>
      <c r="E1248" s="459"/>
      <c r="F1248" s="459"/>
      <c r="G1248" s="456"/>
      <c r="H1248" s="457"/>
      <c r="I1248" s="455" t="s">
        <v>3</v>
      </c>
      <c r="J1248" s="455"/>
      <c r="K1248" s="455" t="s">
        <v>4</v>
      </c>
      <c r="L1248" s="455"/>
    </row>
    <row r="1249" spans="1:12" ht="12" customHeight="1" x14ac:dyDescent="0.35">
      <c r="B1249" s="451" t="s">
        <v>409</v>
      </c>
      <c r="C1249" s="451" t="s">
        <v>410</v>
      </c>
      <c r="D1249" s="452" t="s">
        <v>411</v>
      </c>
      <c r="E1249" s="451" t="s">
        <v>412</v>
      </c>
      <c r="F1249" s="451" t="s">
        <v>413</v>
      </c>
      <c r="G1249" s="77" t="s">
        <v>414</v>
      </c>
      <c r="H1249" s="77" t="s">
        <v>415</v>
      </c>
      <c r="I1249" s="78" t="s">
        <v>414</v>
      </c>
      <c r="J1249" s="79" t="s">
        <v>415</v>
      </c>
      <c r="K1249" s="79" t="s">
        <v>414</v>
      </c>
      <c r="L1249" s="79" t="s">
        <v>415</v>
      </c>
    </row>
    <row r="1250" spans="1:12" ht="12" customHeight="1" x14ac:dyDescent="0.35">
      <c r="B1250" s="451"/>
      <c r="C1250" s="451"/>
      <c r="D1250" s="453"/>
      <c r="E1250" s="451"/>
      <c r="F1250" s="451"/>
      <c r="G1250" s="77" t="s">
        <v>17</v>
      </c>
      <c r="H1250" s="77" t="s">
        <v>416</v>
      </c>
      <c r="I1250" s="78" t="s">
        <v>17</v>
      </c>
      <c r="J1250" s="79" t="s">
        <v>416</v>
      </c>
      <c r="K1250" s="79" t="s">
        <v>17</v>
      </c>
      <c r="L1250" s="79" t="s">
        <v>416</v>
      </c>
    </row>
    <row r="1251" spans="1:12" ht="12" customHeight="1" x14ac:dyDescent="0.35">
      <c r="B1251" s="451"/>
      <c r="C1251" s="451"/>
      <c r="D1251" s="454"/>
      <c r="E1251" s="451"/>
      <c r="F1251" s="451"/>
      <c r="G1251" s="106"/>
      <c r="H1251" s="77" t="s">
        <v>17</v>
      </c>
      <c r="I1251" s="94"/>
      <c r="J1251" s="79" t="s">
        <v>17</v>
      </c>
      <c r="K1251" s="85"/>
      <c r="L1251" s="79" t="s">
        <v>17</v>
      </c>
    </row>
    <row r="1252" spans="1:12" ht="12" customHeight="1" x14ac:dyDescent="0.35">
      <c r="B1252" s="80" t="s">
        <v>5</v>
      </c>
      <c r="C1252" s="81" t="s">
        <v>417</v>
      </c>
      <c r="D1252" s="82"/>
      <c r="E1252" s="82"/>
      <c r="F1252" s="82"/>
      <c r="G1252" s="82"/>
      <c r="H1252" s="82"/>
      <c r="I1252" s="83"/>
      <c r="J1252" s="83"/>
      <c r="K1252" s="83"/>
      <c r="L1252" s="83"/>
    </row>
    <row r="1253" spans="1:12" ht="12" customHeight="1" x14ac:dyDescent="0.35">
      <c r="A1253" s="134">
        <v>10111000</v>
      </c>
      <c r="B1253" s="84"/>
      <c r="C1253" s="85" t="str">
        <f>VLOOKUP(A1253,'DAFTAR HARGA'!A:D,3,FALSE)</f>
        <v>OJ</v>
      </c>
      <c r="D1253" s="84" t="s">
        <v>418</v>
      </c>
      <c r="E1253" s="84">
        <f>VLOOKUP(A1253,'DAFTAR HARGA'!A:D,4,FALSE)</f>
        <v>18750</v>
      </c>
      <c r="F1253" s="128">
        <v>1.6299999999999999E-2</v>
      </c>
      <c r="G1253" s="87" t="e">
        <f>VLOOKUP(A1253,'DAFTAR HARGA'!A:D,5,FALSE)</f>
        <v>#REF!</v>
      </c>
      <c r="H1253" s="87" t="e">
        <f>F1253*G1253</f>
        <v>#REF!</v>
      </c>
      <c r="I1253" s="87">
        <v>78600</v>
      </c>
      <c r="J1253" s="87">
        <f>F1253*I1253</f>
        <v>1281.1799999999998</v>
      </c>
      <c r="K1253" s="87">
        <v>78600</v>
      </c>
      <c r="L1253" s="87">
        <f>F1253*K1253</f>
        <v>1281.1799999999998</v>
      </c>
    </row>
    <row r="1254" spans="1:12" ht="12" customHeight="1" x14ac:dyDescent="0.35">
      <c r="A1254" s="134">
        <v>10121110</v>
      </c>
      <c r="B1254" s="84"/>
      <c r="C1254" s="85" t="str">
        <f>VLOOKUP(A1254,'DAFTAR HARGA'!A:D,3,FALSE)</f>
        <v>OJ</v>
      </c>
      <c r="D1254" s="84" t="s">
        <v>418</v>
      </c>
      <c r="E1254" s="84">
        <f>VLOOKUP(A1254,'DAFTAR HARGA'!A:D,4,FALSE)</f>
        <v>12500</v>
      </c>
      <c r="F1254" s="128">
        <v>4.0000000000000001E-3</v>
      </c>
      <c r="G1254" s="87" t="e">
        <f>VLOOKUP(A1254,'DAFTAR HARGA'!A:D,5,FALSE)</f>
        <v>#REF!</v>
      </c>
      <c r="H1254" s="87" t="e">
        <f>F1254*G1254</f>
        <v>#REF!</v>
      </c>
      <c r="I1254" s="87"/>
      <c r="J1254" s="87"/>
      <c r="K1254" s="87"/>
      <c r="L1254" s="87"/>
    </row>
    <row r="1255" spans="1:12" ht="12" customHeight="1" x14ac:dyDescent="0.35">
      <c r="A1255" s="134">
        <v>10131000</v>
      </c>
      <c r="B1255" s="84"/>
      <c r="C1255" s="85" t="str">
        <f>VLOOKUP(A1255,'DAFTAR HARGA'!A:D,3,FALSE)</f>
        <v>OJ</v>
      </c>
      <c r="D1255" s="84" t="s">
        <v>418</v>
      </c>
      <c r="E1255" s="84">
        <f>VLOOKUP(A1255,'DAFTAR HARGA'!A:D,4,FALSE)</f>
        <v>14375</v>
      </c>
      <c r="F1255" s="128">
        <v>1.61E-2</v>
      </c>
      <c r="G1255" s="87" t="e">
        <f>VLOOKUP(A1255,'DAFTAR HARGA'!A:D,5,FALSE)</f>
        <v>#REF!</v>
      </c>
      <c r="H1255" s="87" t="e">
        <f>F1255*G1255</f>
        <v>#REF!</v>
      </c>
      <c r="I1255" s="87">
        <v>91500</v>
      </c>
      <c r="J1255" s="87">
        <f>F1255*I1255</f>
        <v>1473.1499999999999</v>
      </c>
      <c r="K1255" s="87">
        <v>91500</v>
      </c>
      <c r="L1255" s="87">
        <f>F1255*K1255</f>
        <v>1473.1499999999999</v>
      </c>
    </row>
    <row r="1256" spans="1:12" ht="12" customHeight="1" x14ac:dyDescent="0.35">
      <c r="B1256" s="84"/>
      <c r="C1256" s="85"/>
      <c r="D1256" s="84"/>
      <c r="E1256" s="84"/>
      <c r="F1256" s="86"/>
      <c r="G1256" s="87"/>
      <c r="H1256" s="87">
        <f>F1256*G1256</f>
        <v>0</v>
      </c>
      <c r="I1256" s="87">
        <v>92500</v>
      </c>
      <c r="J1256" s="87">
        <f>F1256*I1256</f>
        <v>0</v>
      </c>
      <c r="K1256" s="87">
        <v>92500</v>
      </c>
      <c r="L1256" s="87">
        <f>F1256*K1256</f>
        <v>0</v>
      </c>
    </row>
    <row r="1257" spans="1:12" ht="12" customHeight="1" x14ac:dyDescent="0.35">
      <c r="B1257" s="84"/>
      <c r="C1257" s="85"/>
      <c r="D1257" s="84"/>
      <c r="E1257" s="84"/>
      <c r="F1257" s="86"/>
      <c r="G1257" s="87"/>
      <c r="H1257" s="87"/>
      <c r="I1257" s="87"/>
      <c r="J1257" s="87"/>
      <c r="K1257" s="87"/>
      <c r="L1257" s="87"/>
    </row>
    <row r="1258" spans="1:12" ht="12" customHeight="1" x14ac:dyDescent="0.35">
      <c r="B1258" s="84"/>
      <c r="C1258" s="88"/>
      <c r="D1258" s="79"/>
      <c r="E1258" s="79"/>
      <c r="F1258" s="89" t="s">
        <v>421</v>
      </c>
      <c r="G1258" s="101"/>
      <c r="H1258" s="87" t="e">
        <f>SUM(H1253:H1257)</f>
        <v>#REF!</v>
      </c>
      <c r="I1258" s="101"/>
      <c r="J1258" s="87">
        <f>SUM(J1253:J1257)</f>
        <v>2754.33</v>
      </c>
      <c r="K1258" s="101"/>
      <c r="L1258" s="87">
        <f>SUM(L1253:L1257)</f>
        <v>2754.33</v>
      </c>
    </row>
    <row r="1259" spans="1:12" ht="12" customHeight="1" x14ac:dyDescent="0.35">
      <c r="B1259" s="84" t="s">
        <v>6</v>
      </c>
      <c r="C1259" s="88" t="s">
        <v>422</v>
      </c>
      <c r="D1259" s="79"/>
      <c r="E1259" s="79"/>
      <c r="F1259" s="90"/>
      <c r="G1259" s="84"/>
      <c r="H1259" s="87"/>
      <c r="I1259" s="84"/>
      <c r="J1259" s="87"/>
      <c r="K1259" s="84"/>
      <c r="L1259" s="87"/>
    </row>
    <row r="1260" spans="1:12" ht="12" customHeight="1" x14ac:dyDescent="0.35">
      <c r="B1260" s="84"/>
      <c r="C1260" s="85"/>
      <c r="D1260" s="84"/>
      <c r="E1260" s="84"/>
      <c r="F1260" s="128"/>
      <c r="G1260" s="87"/>
      <c r="H1260" s="87">
        <f>F1260*G1260</f>
        <v>0</v>
      </c>
      <c r="I1260" s="87">
        <v>232500</v>
      </c>
      <c r="J1260" s="87">
        <f>F1260*I1260</f>
        <v>0</v>
      </c>
      <c r="K1260" s="87">
        <v>270000</v>
      </c>
      <c r="L1260" s="87">
        <f>F1260*K1260</f>
        <v>0</v>
      </c>
    </row>
    <row r="1261" spans="1:12" ht="12" customHeight="1" x14ac:dyDescent="0.35">
      <c r="B1261" s="84"/>
      <c r="C1261" s="88"/>
      <c r="D1261" s="79"/>
      <c r="E1261" s="84"/>
      <c r="F1261" s="102"/>
      <c r="G1261" s="87"/>
      <c r="H1261" s="87">
        <f>F1261*G1261</f>
        <v>0</v>
      </c>
      <c r="I1261" s="87">
        <v>1060</v>
      </c>
      <c r="J1261" s="87">
        <f>F1261*I1261</f>
        <v>0</v>
      </c>
      <c r="K1261" s="87">
        <v>1060</v>
      </c>
      <c r="L1261" s="87">
        <f>F1261*K1261</f>
        <v>0</v>
      </c>
    </row>
    <row r="1262" spans="1:12" ht="12" customHeight="1" x14ac:dyDescent="0.35">
      <c r="B1262" s="84"/>
      <c r="C1262" s="88"/>
      <c r="D1262" s="79"/>
      <c r="E1262" s="84"/>
      <c r="F1262" s="102"/>
      <c r="G1262" s="87"/>
      <c r="H1262" s="87">
        <f>F1262*G1262</f>
        <v>0</v>
      </c>
      <c r="I1262" s="87">
        <v>215000</v>
      </c>
      <c r="J1262" s="87">
        <f>F1262*I1262</f>
        <v>0</v>
      </c>
      <c r="K1262" s="87">
        <v>250000</v>
      </c>
      <c r="L1262" s="87">
        <f>F1262*K1262</f>
        <v>0</v>
      </c>
    </row>
    <row r="1263" spans="1:12" ht="12" customHeight="1" x14ac:dyDescent="0.35">
      <c r="B1263" s="84"/>
      <c r="C1263" s="88"/>
      <c r="D1263" s="79"/>
      <c r="E1263" s="79"/>
      <c r="F1263" s="89"/>
      <c r="G1263" s="101"/>
      <c r="H1263" s="87">
        <f>SUM(H1260:H1262)</f>
        <v>0</v>
      </c>
      <c r="I1263" s="101"/>
      <c r="J1263" s="87">
        <f>SUM(J1260:J1262)</f>
        <v>0</v>
      </c>
      <c r="K1263" s="101"/>
      <c r="L1263" s="87">
        <f>SUM(L1260:L1262)</f>
        <v>0</v>
      </c>
    </row>
    <row r="1264" spans="1:12" ht="12" customHeight="1" x14ac:dyDescent="0.35">
      <c r="B1264" s="84" t="s">
        <v>7</v>
      </c>
      <c r="C1264" s="88" t="s">
        <v>424</v>
      </c>
      <c r="D1264" s="79"/>
      <c r="E1264" s="79"/>
      <c r="F1264" s="90"/>
      <c r="G1264" s="84"/>
      <c r="H1264" s="87"/>
      <c r="I1264" s="84"/>
      <c r="J1264" s="87"/>
      <c r="K1264" s="84"/>
      <c r="L1264" s="87"/>
    </row>
    <row r="1265" spans="1:12" ht="12" customHeight="1" x14ac:dyDescent="0.35">
      <c r="A1265" s="134">
        <v>31100029</v>
      </c>
      <c r="B1265" s="84"/>
      <c r="C1265" s="85" t="str">
        <f>VLOOKUP(A1265,'DAFTAR HARGA'!A:D,3,FALSE)</f>
        <v>jam</v>
      </c>
      <c r="D1265" s="84" t="s">
        <v>418</v>
      </c>
      <c r="E1265" s="84">
        <f>VLOOKUP(A1265,'DAFTAR HARGA'!A:D,4,FALSE)</f>
        <v>350000</v>
      </c>
      <c r="F1265" s="128">
        <v>3.1700000000000001E-3</v>
      </c>
      <c r="G1265" s="87" t="e">
        <f>VLOOKUP(A1265,'DAFTAR HARGA'!A:D,5,FALSE)</f>
        <v>#REF!</v>
      </c>
      <c r="H1265" s="87" t="e">
        <f>F1265*G1265</f>
        <v>#REF!</v>
      </c>
      <c r="I1265" s="87"/>
      <c r="J1265" s="87" t="e">
        <f>H1265*I1265</f>
        <v>#REF!</v>
      </c>
      <c r="K1265" s="87"/>
      <c r="L1265" s="87" t="e">
        <f>J1265*K1265</f>
        <v>#REF!</v>
      </c>
    </row>
    <row r="1266" spans="1:12" ht="12" customHeight="1" x14ac:dyDescent="0.35">
      <c r="A1266" s="134">
        <v>31100020</v>
      </c>
      <c r="B1266" s="84"/>
      <c r="C1266" s="85" t="str">
        <f>VLOOKUP(A1266,'DAFTAR HARGA'!A:D,3,FALSE)</f>
        <v>jam</v>
      </c>
      <c r="D1266" s="84" t="s">
        <v>418</v>
      </c>
      <c r="E1266" s="84">
        <f>VLOOKUP(A1266,'DAFTAR HARGA'!A:D,4,FALSE)</f>
        <v>1201000</v>
      </c>
      <c r="F1266" s="128">
        <v>7.0299999999999998E-3</v>
      </c>
      <c r="G1266" s="87" t="e">
        <f>VLOOKUP(A1266,'DAFTAR HARGA'!A:D,5,FALSE)</f>
        <v>#REF!</v>
      </c>
      <c r="H1266" s="87" t="e">
        <f>F1266*G1266</f>
        <v>#REF!</v>
      </c>
      <c r="I1266" s="87"/>
      <c r="J1266" s="87"/>
      <c r="K1266" s="87"/>
      <c r="L1266" s="87"/>
    </row>
    <row r="1267" spans="1:12" ht="12" customHeight="1" x14ac:dyDescent="0.35">
      <c r="A1267" s="134">
        <v>31100016</v>
      </c>
      <c r="B1267" s="84"/>
      <c r="C1267" s="85" t="str">
        <f>VLOOKUP(A1267,'DAFTAR HARGA'!A:D,3,FALSE)</f>
        <v>jam</v>
      </c>
      <c r="D1267" s="84" t="s">
        <v>418</v>
      </c>
      <c r="E1267" s="84">
        <f>VLOOKUP(A1267,'DAFTAR HARGA'!A:D,4,FALSE)</f>
        <v>625000</v>
      </c>
      <c r="F1267" s="128">
        <v>3.5699999999999998E-3</v>
      </c>
      <c r="G1267" s="87" t="e">
        <f>VLOOKUP(A1267,'DAFTAR HARGA'!A:D,5,FALSE)</f>
        <v>#REF!</v>
      </c>
      <c r="H1267" s="87" t="e">
        <f>F1267*G1267</f>
        <v>#REF!</v>
      </c>
      <c r="I1267" s="87"/>
      <c r="J1267" s="87"/>
      <c r="K1267" s="87"/>
      <c r="L1267" s="87"/>
    </row>
    <row r="1268" spans="1:12" ht="12" customHeight="1" x14ac:dyDescent="0.35">
      <c r="A1268" s="134" t="s">
        <v>602</v>
      </c>
      <c r="B1268" s="84"/>
      <c r="C1268" s="85" t="str">
        <f>VLOOKUP(A1268,'DAFTAR HARGA'!A:D,3,FALSE)</f>
        <v>jam</v>
      </c>
      <c r="D1268" s="84" t="s">
        <v>418</v>
      </c>
      <c r="E1268" s="84">
        <f>VLOOKUP(A1268,'DAFTAR HARGA'!A:D,4,FALSE)</f>
        <v>450000</v>
      </c>
      <c r="F1268" s="128">
        <v>3.5699999999999998E-3</v>
      </c>
      <c r="G1268" s="87" t="e">
        <f>VLOOKUP(A1268,'DAFTAR HARGA'!A:D,5,FALSE)</f>
        <v>#REF!</v>
      </c>
      <c r="H1268" s="87" t="e">
        <f>F1268*G1268</f>
        <v>#REF!</v>
      </c>
      <c r="I1268" s="87"/>
      <c r="J1268" s="87"/>
      <c r="K1268" s="87"/>
      <c r="L1268" s="87"/>
    </row>
    <row r="1269" spans="1:12" ht="12" customHeight="1" x14ac:dyDescent="0.35">
      <c r="A1269" s="134">
        <v>31100017</v>
      </c>
      <c r="B1269" s="84"/>
      <c r="C1269" s="85" t="str">
        <f>VLOOKUP(A1269,'DAFTAR HARGA'!A:D,3,FALSE)</f>
        <v>jam</v>
      </c>
      <c r="D1269" s="84" t="s">
        <v>418</v>
      </c>
      <c r="E1269" s="84">
        <f>VLOOKUP(A1269,'DAFTAR HARGA'!A:D,4,FALSE)</f>
        <v>889000</v>
      </c>
      <c r="F1269" s="128">
        <v>4.0200000000000001E-3</v>
      </c>
      <c r="G1269" s="87" t="e">
        <f>VLOOKUP(A1269,'DAFTAR HARGA'!A:D,5,FALSE)</f>
        <v>#REF!</v>
      </c>
      <c r="H1269" s="87" t="e">
        <f>F1269*G1269</f>
        <v>#REF!</v>
      </c>
      <c r="I1269" s="87"/>
      <c r="J1269" s="87"/>
      <c r="K1269" s="87"/>
      <c r="L1269" s="87"/>
    </row>
    <row r="1270" spans="1:12" ht="12" customHeight="1" x14ac:dyDescent="0.35">
      <c r="B1270" s="84"/>
      <c r="C1270" s="88"/>
      <c r="D1270" s="79"/>
      <c r="E1270" s="79"/>
      <c r="F1270" s="89" t="s">
        <v>425</v>
      </c>
      <c r="G1270" s="101"/>
      <c r="H1270" s="87" t="e">
        <f>SUM(H1265:H1269)</f>
        <v>#REF!</v>
      </c>
      <c r="I1270" s="101"/>
      <c r="J1270" s="87" t="e">
        <f>SUM(J1265)</f>
        <v>#REF!</v>
      </c>
      <c r="K1270" s="101"/>
      <c r="L1270" s="87" t="e">
        <f>SUM(L1265)</f>
        <v>#REF!</v>
      </c>
    </row>
    <row r="1271" spans="1:12" ht="12" customHeight="1" x14ac:dyDescent="0.35">
      <c r="B1271" s="84" t="s">
        <v>8</v>
      </c>
      <c r="C1271" s="103" t="s">
        <v>426</v>
      </c>
      <c r="D1271" s="104"/>
      <c r="E1271" s="104"/>
      <c r="F1271" s="104"/>
      <c r="G1271" s="105"/>
      <c r="H1271" s="87" t="e">
        <f>H1258+H1263+H1270</f>
        <v>#REF!</v>
      </c>
      <c r="I1271" s="105"/>
      <c r="J1271" s="87" t="e">
        <f>J1258+J1263+J1270</f>
        <v>#REF!</v>
      </c>
      <c r="K1271" s="105"/>
      <c r="L1271" s="87" t="e">
        <f>L1258+L1263+L1270</f>
        <v>#REF!</v>
      </c>
    </row>
    <row r="1272" spans="1:12" ht="12" customHeight="1" x14ac:dyDescent="0.35">
      <c r="B1272" s="84" t="s">
        <v>9</v>
      </c>
      <c r="C1272" s="455" t="s">
        <v>427</v>
      </c>
      <c r="D1272" s="455"/>
      <c r="E1272" s="455"/>
      <c r="F1272" s="95" t="str">
        <f>OP</f>
        <v>TANJUNG PALAS TENGAH</v>
      </c>
      <c r="G1272" s="85" t="s">
        <v>428</v>
      </c>
      <c r="H1272" s="87" t="e">
        <f>H1271*F1272</f>
        <v>#REF!</v>
      </c>
      <c r="I1272" s="85" t="s">
        <v>428</v>
      </c>
      <c r="J1272" s="87" t="e">
        <f>J1271*F1272</f>
        <v>#REF!</v>
      </c>
      <c r="K1272" s="85" t="s">
        <v>428</v>
      </c>
      <c r="L1272" s="87" t="e">
        <f>L1271*F1272</f>
        <v>#REF!</v>
      </c>
    </row>
    <row r="1273" spans="1:12" ht="12" customHeight="1" x14ac:dyDescent="0.35">
      <c r="B1273" s="84" t="s">
        <v>10</v>
      </c>
      <c r="C1273" s="103" t="s">
        <v>429</v>
      </c>
      <c r="D1273" s="104"/>
      <c r="E1273" s="104"/>
      <c r="F1273" s="104"/>
      <c r="G1273" s="105"/>
      <c r="H1273" s="96" t="e">
        <f>H1271+H1272</f>
        <v>#REF!</v>
      </c>
      <c r="I1273" s="97"/>
      <c r="J1273" s="96" t="e">
        <f>J1271+J1272</f>
        <v>#REF!</v>
      </c>
      <c r="K1273" s="97"/>
      <c r="L1273" s="96" t="e">
        <f>L1271+L1272</f>
        <v>#REF!</v>
      </c>
    </row>
    <row r="1275" spans="1:12" ht="37" customHeight="1" x14ac:dyDescent="0.35">
      <c r="B1275" s="76" t="s">
        <v>604</v>
      </c>
      <c r="C1275" s="458" t="s">
        <v>605</v>
      </c>
      <c r="D1275" s="459"/>
      <c r="E1275" s="459"/>
      <c r="F1275" s="459"/>
      <c r="G1275" s="456"/>
      <c r="H1275" s="457"/>
      <c r="I1275" s="455" t="s">
        <v>3</v>
      </c>
      <c r="J1275" s="455"/>
      <c r="K1275" s="455" t="s">
        <v>4</v>
      </c>
      <c r="L1275" s="455"/>
    </row>
    <row r="1276" spans="1:12" ht="12" customHeight="1" x14ac:dyDescent="0.35">
      <c r="B1276" s="451" t="s">
        <v>409</v>
      </c>
      <c r="C1276" s="451" t="s">
        <v>410</v>
      </c>
      <c r="D1276" s="452" t="s">
        <v>411</v>
      </c>
      <c r="E1276" s="451" t="s">
        <v>412</v>
      </c>
      <c r="F1276" s="451" t="s">
        <v>413</v>
      </c>
      <c r="G1276" s="77" t="s">
        <v>414</v>
      </c>
      <c r="H1276" s="77" t="s">
        <v>415</v>
      </c>
      <c r="I1276" s="78" t="s">
        <v>414</v>
      </c>
      <c r="J1276" s="79" t="s">
        <v>415</v>
      </c>
      <c r="K1276" s="79" t="s">
        <v>414</v>
      </c>
      <c r="L1276" s="79" t="s">
        <v>415</v>
      </c>
    </row>
    <row r="1277" spans="1:12" ht="12" customHeight="1" x14ac:dyDescent="0.35">
      <c r="B1277" s="451"/>
      <c r="C1277" s="451"/>
      <c r="D1277" s="453"/>
      <c r="E1277" s="451"/>
      <c r="F1277" s="451"/>
      <c r="G1277" s="77" t="s">
        <v>17</v>
      </c>
      <c r="H1277" s="77" t="s">
        <v>416</v>
      </c>
      <c r="I1277" s="78" t="s">
        <v>17</v>
      </c>
      <c r="J1277" s="79" t="s">
        <v>416</v>
      </c>
      <c r="K1277" s="79" t="s">
        <v>17</v>
      </c>
      <c r="L1277" s="79" t="s">
        <v>416</v>
      </c>
    </row>
    <row r="1278" spans="1:12" ht="12" customHeight="1" x14ac:dyDescent="0.35">
      <c r="B1278" s="451"/>
      <c r="C1278" s="451"/>
      <c r="D1278" s="454"/>
      <c r="E1278" s="451"/>
      <c r="F1278" s="451"/>
      <c r="G1278" s="106"/>
      <c r="H1278" s="77" t="s">
        <v>17</v>
      </c>
      <c r="I1278" s="94"/>
      <c r="J1278" s="79" t="s">
        <v>17</v>
      </c>
      <c r="K1278" s="85"/>
      <c r="L1278" s="79" t="s">
        <v>17</v>
      </c>
    </row>
    <row r="1279" spans="1:12" ht="12" customHeight="1" x14ac:dyDescent="0.35">
      <c r="B1279" s="80" t="s">
        <v>5</v>
      </c>
      <c r="C1279" s="81" t="s">
        <v>417</v>
      </c>
      <c r="D1279" s="82"/>
      <c r="E1279" s="82"/>
      <c r="F1279" s="82"/>
      <c r="G1279" s="82"/>
      <c r="H1279" s="82"/>
      <c r="I1279" s="83"/>
      <c r="J1279" s="83"/>
      <c r="K1279" s="83"/>
      <c r="L1279" s="83"/>
    </row>
    <row r="1280" spans="1:12" ht="12" customHeight="1" x14ac:dyDescent="0.35">
      <c r="A1280" s="134">
        <v>10131000</v>
      </c>
      <c r="B1280" s="84"/>
      <c r="C1280" s="85" t="str">
        <f>VLOOKUP(A1280,'DAFTAR HARGA'!A:D,3,FALSE)</f>
        <v>OJ</v>
      </c>
      <c r="D1280" s="84" t="s">
        <v>418</v>
      </c>
      <c r="E1280" s="84">
        <f>VLOOKUP(A1280,'DAFTAR HARGA'!A:D,4,FALSE)</f>
        <v>14375</v>
      </c>
      <c r="F1280" s="128">
        <v>0.02</v>
      </c>
      <c r="G1280" s="87" t="e">
        <f>VLOOKUP(A1280,'DAFTAR HARGA'!A:D,5,FALSE)</f>
        <v>#REF!</v>
      </c>
      <c r="H1280" s="87" t="e">
        <f>F1280*G1280</f>
        <v>#REF!</v>
      </c>
      <c r="I1280" s="87">
        <v>91500</v>
      </c>
      <c r="J1280" s="87">
        <f>F1280*I1280</f>
        <v>1830</v>
      </c>
      <c r="K1280" s="87">
        <v>91500</v>
      </c>
      <c r="L1280" s="87">
        <f>F1280*K1280</f>
        <v>1830</v>
      </c>
    </row>
    <row r="1281" spans="1:12" ht="12" customHeight="1" x14ac:dyDescent="0.35">
      <c r="A1281" s="134">
        <v>10121110</v>
      </c>
      <c r="B1281" s="84"/>
      <c r="C1281" s="85" t="str">
        <f>VLOOKUP(A1281,'DAFTAR HARGA'!A:D,3,FALSE)</f>
        <v>OJ</v>
      </c>
      <c r="D1281" s="84" t="s">
        <v>418</v>
      </c>
      <c r="E1281" s="84">
        <f>VLOOKUP(A1281,'DAFTAR HARGA'!A:D,4,FALSE)</f>
        <v>12500</v>
      </c>
      <c r="F1281" s="128">
        <v>0.01</v>
      </c>
      <c r="G1281" s="87" t="e">
        <f>VLOOKUP(A1281,'DAFTAR HARGA'!A:D,5,FALSE)</f>
        <v>#REF!</v>
      </c>
      <c r="H1281" s="87" t="e">
        <f>F1281*G1281</f>
        <v>#REF!</v>
      </c>
      <c r="I1281" s="87"/>
      <c r="J1281" s="87"/>
      <c r="K1281" s="87"/>
      <c r="L1281" s="87"/>
    </row>
    <row r="1282" spans="1:12" ht="12" customHeight="1" x14ac:dyDescent="0.35">
      <c r="A1282" s="134">
        <v>10111000</v>
      </c>
      <c r="B1282" s="84"/>
      <c r="C1282" s="85" t="str">
        <f>VLOOKUP(A1282,'DAFTAR HARGA'!A:D,3,FALSE)</f>
        <v>OJ</v>
      </c>
      <c r="D1282" s="84" t="s">
        <v>418</v>
      </c>
      <c r="E1282" s="84">
        <f>VLOOKUP(A1282,'DAFTAR HARGA'!A:D,4,FALSE)</f>
        <v>18750</v>
      </c>
      <c r="F1282" s="128">
        <v>2E-3</v>
      </c>
      <c r="G1282" s="87" t="e">
        <f>VLOOKUP(A1282,'DAFTAR HARGA'!A:D,5,FALSE)</f>
        <v>#REF!</v>
      </c>
      <c r="H1282" s="87" t="e">
        <f>F1282*G1282</f>
        <v>#REF!</v>
      </c>
      <c r="I1282" s="87">
        <v>78600</v>
      </c>
      <c r="J1282" s="87">
        <f>F1282*I1282</f>
        <v>157.20000000000002</v>
      </c>
      <c r="K1282" s="87">
        <v>78600</v>
      </c>
      <c r="L1282" s="87">
        <f>F1282*K1282</f>
        <v>157.20000000000002</v>
      </c>
    </row>
    <row r="1283" spans="1:12" ht="12" customHeight="1" x14ac:dyDescent="0.35">
      <c r="B1283" s="84"/>
      <c r="C1283" s="85"/>
      <c r="D1283" s="84"/>
      <c r="E1283" s="84"/>
      <c r="F1283" s="86"/>
      <c r="G1283" s="87"/>
      <c r="H1283" s="87">
        <f>F1283*G1283</f>
        <v>0</v>
      </c>
      <c r="I1283" s="87">
        <v>92500</v>
      </c>
      <c r="J1283" s="87">
        <f>F1283*I1283</f>
        <v>0</v>
      </c>
      <c r="K1283" s="87">
        <v>92500</v>
      </c>
      <c r="L1283" s="87">
        <f>F1283*K1283</f>
        <v>0</v>
      </c>
    </row>
    <row r="1284" spans="1:12" ht="12" customHeight="1" x14ac:dyDescent="0.35">
      <c r="B1284" s="84"/>
      <c r="C1284" s="85"/>
      <c r="D1284" s="84"/>
      <c r="E1284" s="84"/>
      <c r="F1284" s="86"/>
      <c r="G1284" s="87"/>
      <c r="H1284" s="87"/>
      <c r="I1284" s="87"/>
      <c r="J1284" s="87"/>
      <c r="K1284" s="87"/>
      <c r="L1284" s="87"/>
    </row>
    <row r="1285" spans="1:12" ht="12" customHeight="1" x14ac:dyDescent="0.35">
      <c r="B1285" s="84"/>
      <c r="C1285" s="88"/>
      <c r="D1285" s="79"/>
      <c r="E1285" s="79"/>
      <c r="F1285" s="89" t="s">
        <v>421</v>
      </c>
      <c r="G1285" s="101"/>
      <c r="H1285" s="87" t="e">
        <f>SUM(H1280:H1284)</f>
        <v>#REF!</v>
      </c>
      <c r="I1285" s="101"/>
      <c r="J1285" s="87">
        <f>SUM(J1282:J1284)</f>
        <v>157.20000000000002</v>
      </c>
      <c r="K1285" s="101"/>
      <c r="L1285" s="87">
        <f>SUM(L1282:L1284)</f>
        <v>157.20000000000002</v>
      </c>
    </row>
    <row r="1286" spans="1:12" ht="12" customHeight="1" x14ac:dyDescent="0.35">
      <c r="B1286" s="84" t="s">
        <v>6</v>
      </c>
      <c r="C1286" s="88" t="s">
        <v>422</v>
      </c>
      <c r="D1286" s="79"/>
      <c r="E1286" s="79"/>
      <c r="F1286" s="90"/>
      <c r="G1286" s="84"/>
      <c r="H1286" s="87"/>
      <c r="I1286" s="84"/>
      <c r="J1286" s="87"/>
      <c r="K1286" s="84"/>
      <c r="L1286" s="87"/>
    </row>
    <row r="1287" spans="1:12" ht="12" customHeight="1" x14ac:dyDescent="0.35">
      <c r="B1287" s="84"/>
      <c r="C1287" s="85"/>
      <c r="D1287" s="84"/>
      <c r="E1287" s="84"/>
      <c r="F1287" s="128"/>
      <c r="G1287" s="87"/>
      <c r="H1287" s="87">
        <f>F1287*G1287</f>
        <v>0</v>
      </c>
      <c r="I1287" s="87">
        <v>232500</v>
      </c>
      <c r="J1287" s="87">
        <f>F1287*I1287</f>
        <v>0</v>
      </c>
      <c r="K1287" s="87">
        <v>270000</v>
      </c>
      <c r="L1287" s="87">
        <f>F1287*K1287</f>
        <v>0</v>
      </c>
    </row>
    <row r="1288" spans="1:12" ht="12" customHeight="1" x14ac:dyDescent="0.35">
      <c r="B1288" s="84"/>
      <c r="C1288" s="88"/>
      <c r="D1288" s="79"/>
      <c r="E1288" s="84"/>
      <c r="F1288" s="102"/>
      <c r="G1288" s="87"/>
      <c r="H1288" s="87">
        <f>F1288*G1288</f>
        <v>0</v>
      </c>
      <c r="I1288" s="87">
        <v>1060</v>
      </c>
      <c r="J1288" s="87">
        <f>F1288*I1288</f>
        <v>0</v>
      </c>
      <c r="K1288" s="87">
        <v>1060</v>
      </c>
      <c r="L1288" s="87">
        <f>F1288*K1288</f>
        <v>0</v>
      </c>
    </row>
    <row r="1289" spans="1:12" ht="12" customHeight="1" x14ac:dyDescent="0.35">
      <c r="B1289" s="84"/>
      <c r="C1289" s="88"/>
      <c r="D1289" s="79"/>
      <c r="E1289" s="84"/>
      <c r="F1289" s="102"/>
      <c r="G1289" s="87"/>
      <c r="H1289" s="87">
        <f>F1289*G1289</f>
        <v>0</v>
      </c>
      <c r="I1289" s="87">
        <v>215000</v>
      </c>
      <c r="J1289" s="87">
        <f>F1289*I1289</f>
        <v>0</v>
      </c>
      <c r="K1289" s="87">
        <v>250000</v>
      </c>
      <c r="L1289" s="87">
        <f>F1289*K1289</f>
        <v>0</v>
      </c>
    </row>
    <row r="1290" spans="1:12" ht="12" customHeight="1" x14ac:dyDescent="0.35">
      <c r="B1290" s="84"/>
      <c r="C1290" s="88"/>
      <c r="D1290" s="79"/>
      <c r="E1290" s="79"/>
      <c r="F1290" s="89"/>
      <c r="G1290" s="101"/>
      <c r="H1290" s="87">
        <f>SUM(H1287:H1289)</f>
        <v>0</v>
      </c>
      <c r="I1290" s="101"/>
      <c r="J1290" s="87">
        <f>SUM(J1287:J1289)</f>
        <v>0</v>
      </c>
      <c r="K1290" s="101"/>
      <c r="L1290" s="87">
        <f>SUM(L1287:L1289)</f>
        <v>0</v>
      </c>
    </row>
    <row r="1291" spans="1:12" ht="12" customHeight="1" x14ac:dyDescent="0.35">
      <c r="B1291" s="84" t="s">
        <v>7</v>
      </c>
      <c r="C1291" s="88" t="s">
        <v>424</v>
      </c>
      <c r="D1291" s="79"/>
      <c r="E1291" s="79"/>
      <c r="F1291" s="90"/>
      <c r="G1291" s="84"/>
      <c r="H1291" s="87"/>
      <c r="I1291" s="84"/>
      <c r="J1291" s="87"/>
      <c r="K1291" s="84"/>
      <c r="L1291" s="87"/>
    </row>
    <row r="1292" spans="1:12" ht="12" customHeight="1" x14ac:dyDescent="0.35">
      <c r="A1292" s="134">
        <v>31100008</v>
      </c>
      <c r="B1292" s="84"/>
      <c r="C1292" s="85" t="str">
        <f>VLOOKUP(A1292,'DAFTAR HARGA'!A:D,3,FALSE)</f>
        <v>jam</v>
      </c>
      <c r="D1292" s="84" t="s">
        <v>418</v>
      </c>
      <c r="E1292" s="84">
        <f>VLOOKUP(A1292,'DAFTAR HARGA'!A:D,4,FALSE)</f>
        <v>449000</v>
      </c>
      <c r="F1292" s="128">
        <v>0.02</v>
      </c>
      <c r="G1292" s="87" t="e">
        <f>VLOOKUP(A1292,'DAFTAR HARGA'!A:D,5,FALSE)</f>
        <v>#REF!</v>
      </c>
      <c r="H1292" s="87" t="e">
        <f>F1292*G1292</f>
        <v>#REF!</v>
      </c>
      <c r="I1292" s="87"/>
      <c r="J1292" s="87" t="e">
        <f>H1292*I1292</f>
        <v>#REF!</v>
      </c>
      <c r="K1292" s="87"/>
      <c r="L1292" s="87" t="e">
        <f>J1292*K1292</f>
        <v>#REF!</v>
      </c>
    </row>
    <row r="1293" spans="1:12" ht="12" customHeight="1" x14ac:dyDescent="0.35">
      <c r="B1293" s="84"/>
      <c r="C1293" s="85"/>
      <c r="D1293" s="84"/>
      <c r="E1293" s="84"/>
      <c r="F1293" s="128"/>
      <c r="G1293" s="87"/>
      <c r="H1293" s="87">
        <f>F1293*G1293</f>
        <v>0</v>
      </c>
      <c r="I1293" s="87"/>
      <c r="J1293" s="87"/>
      <c r="K1293" s="87"/>
      <c r="L1293" s="87"/>
    </row>
    <row r="1294" spans="1:12" ht="12" customHeight="1" x14ac:dyDescent="0.35">
      <c r="B1294" s="84"/>
      <c r="C1294" s="85"/>
      <c r="D1294" s="84"/>
      <c r="E1294" s="84"/>
      <c r="F1294" s="128"/>
      <c r="G1294" s="87"/>
      <c r="H1294" s="87">
        <f>F1294*G1294</f>
        <v>0</v>
      </c>
      <c r="I1294" s="87"/>
      <c r="J1294" s="87"/>
      <c r="K1294" s="87"/>
      <c r="L1294" s="87"/>
    </row>
    <row r="1295" spans="1:12" ht="12" customHeight="1" x14ac:dyDescent="0.35">
      <c r="B1295" s="84"/>
      <c r="C1295" s="88"/>
      <c r="D1295" s="79"/>
      <c r="E1295" s="79"/>
      <c r="F1295" s="89" t="s">
        <v>425</v>
      </c>
      <c r="G1295" s="101"/>
      <c r="H1295" s="87" t="e">
        <f>SUM(H1292:H1294)</f>
        <v>#REF!</v>
      </c>
      <c r="I1295" s="101"/>
      <c r="J1295" s="87" t="e">
        <f>SUM(J1292)</f>
        <v>#REF!</v>
      </c>
      <c r="K1295" s="101"/>
      <c r="L1295" s="87" t="e">
        <f>SUM(L1292)</f>
        <v>#REF!</v>
      </c>
    </row>
    <row r="1296" spans="1:12" ht="12" customHeight="1" x14ac:dyDescent="0.35">
      <c r="B1296" s="84" t="s">
        <v>8</v>
      </c>
      <c r="C1296" s="103" t="s">
        <v>426</v>
      </c>
      <c r="D1296" s="104"/>
      <c r="E1296" s="104"/>
      <c r="F1296" s="104"/>
      <c r="G1296" s="105"/>
      <c r="H1296" s="87" t="e">
        <f>H1285+H1290+H1295</f>
        <v>#REF!</v>
      </c>
      <c r="I1296" s="105"/>
      <c r="J1296" s="87" t="e">
        <f>J1285+J1290+J1295</f>
        <v>#REF!</v>
      </c>
      <c r="K1296" s="105"/>
      <c r="L1296" s="87" t="e">
        <f>L1285+L1290+L1295</f>
        <v>#REF!</v>
      </c>
    </row>
    <row r="1297" spans="1:12" ht="12" customHeight="1" x14ac:dyDescent="0.35">
      <c r="B1297" s="84" t="s">
        <v>9</v>
      </c>
      <c r="C1297" s="455" t="s">
        <v>427</v>
      </c>
      <c r="D1297" s="455"/>
      <c r="E1297" s="455"/>
      <c r="F1297" s="95" t="str">
        <f>OP</f>
        <v>TANJUNG PALAS TENGAH</v>
      </c>
      <c r="G1297" s="85" t="s">
        <v>428</v>
      </c>
      <c r="H1297" s="87" t="e">
        <f>H1296*F1297</f>
        <v>#REF!</v>
      </c>
      <c r="I1297" s="85" t="s">
        <v>428</v>
      </c>
      <c r="J1297" s="87" t="e">
        <f>J1296*F1297</f>
        <v>#REF!</v>
      </c>
      <c r="K1297" s="85" t="s">
        <v>428</v>
      </c>
      <c r="L1297" s="87" t="e">
        <f>L1296*F1297</f>
        <v>#REF!</v>
      </c>
    </row>
    <row r="1298" spans="1:12" ht="12" customHeight="1" x14ac:dyDescent="0.35">
      <c r="B1298" s="84" t="s">
        <v>10</v>
      </c>
      <c r="C1298" s="103" t="s">
        <v>429</v>
      </c>
      <c r="D1298" s="104"/>
      <c r="E1298" s="104"/>
      <c r="F1298" s="104"/>
      <c r="G1298" s="105"/>
      <c r="H1298" s="96" t="e">
        <f>H1296+H1297</f>
        <v>#REF!</v>
      </c>
      <c r="I1298" s="97"/>
      <c r="J1298" s="96" t="e">
        <f>J1296+J1297</f>
        <v>#REF!</v>
      </c>
      <c r="K1298" s="97"/>
      <c r="L1298" s="96" t="e">
        <f>L1296+L1297</f>
        <v>#REF!</v>
      </c>
    </row>
    <row r="1300" spans="1:12" ht="37" customHeight="1" x14ac:dyDescent="0.35">
      <c r="B1300" s="76" t="s">
        <v>606</v>
      </c>
      <c r="C1300" s="458" t="s">
        <v>607</v>
      </c>
      <c r="D1300" s="459"/>
      <c r="E1300" s="459"/>
      <c r="F1300" s="459"/>
      <c r="G1300" s="456"/>
      <c r="H1300" s="457"/>
      <c r="I1300" s="455" t="s">
        <v>3</v>
      </c>
      <c r="J1300" s="455"/>
      <c r="K1300" s="455" t="s">
        <v>4</v>
      </c>
      <c r="L1300" s="455"/>
    </row>
    <row r="1301" spans="1:12" ht="12" customHeight="1" x14ac:dyDescent="0.35">
      <c r="B1301" s="451" t="s">
        <v>409</v>
      </c>
      <c r="C1301" s="451" t="s">
        <v>410</v>
      </c>
      <c r="D1301" s="452" t="s">
        <v>411</v>
      </c>
      <c r="E1301" s="451" t="s">
        <v>412</v>
      </c>
      <c r="F1301" s="451" t="s">
        <v>413</v>
      </c>
      <c r="G1301" s="77" t="s">
        <v>414</v>
      </c>
      <c r="H1301" s="77" t="s">
        <v>415</v>
      </c>
      <c r="I1301" s="78" t="s">
        <v>414</v>
      </c>
      <c r="J1301" s="79" t="s">
        <v>415</v>
      </c>
      <c r="K1301" s="79" t="s">
        <v>414</v>
      </c>
      <c r="L1301" s="79" t="s">
        <v>415</v>
      </c>
    </row>
    <row r="1302" spans="1:12" ht="12" customHeight="1" x14ac:dyDescent="0.35">
      <c r="B1302" s="451"/>
      <c r="C1302" s="451"/>
      <c r="D1302" s="453"/>
      <c r="E1302" s="451"/>
      <c r="F1302" s="451"/>
      <c r="G1302" s="77" t="s">
        <v>17</v>
      </c>
      <c r="H1302" s="77" t="s">
        <v>416</v>
      </c>
      <c r="I1302" s="78" t="s">
        <v>17</v>
      </c>
      <c r="J1302" s="79" t="s">
        <v>416</v>
      </c>
      <c r="K1302" s="79" t="s">
        <v>17</v>
      </c>
      <c r="L1302" s="79" t="s">
        <v>416</v>
      </c>
    </row>
    <row r="1303" spans="1:12" ht="12" customHeight="1" x14ac:dyDescent="0.35">
      <c r="B1303" s="451"/>
      <c r="C1303" s="451"/>
      <c r="D1303" s="454"/>
      <c r="E1303" s="451"/>
      <c r="F1303" s="451"/>
      <c r="G1303" s="106"/>
      <c r="H1303" s="77" t="s">
        <v>17</v>
      </c>
      <c r="I1303" s="94"/>
      <c r="J1303" s="79" t="s">
        <v>17</v>
      </c>
      <c r="K1303" s="85"/>
      <c r="L1303" s="79" t="s">
        <v>17</v>
      </c>
    </row>
    <row r="1304" spans="1:12" ht="12" customHeight="1" x14ac:dyDescent="0.35">
      <c r="B1304" s="80" t="s">
        <v>5</v>
      </c>
      <c r="C1304" s="81" t="s">
        <v>417</v>
      </c>
      <c r="D1304" s="82"/>
      <c r="E1304" s="82"/>
      <c r="F1304" s="82"/>
      <c r="G1304" s="82"/>
      <c r="H1304" s="82"/>
      <c r="I1304" s="83"/>
      <c r="J1304" s="83"/>
      <c r="K1304" s="83"/>
      <c r="L1304" s="83"/>
    </row>
    <row r="1305" spans="1:12" ht="12" customHeight="1" x14ac:dyDescent="0.35">
      <c r="A1305" s="134">
        <v>10131000</v>
      </c>
      <c r="B1305" s="84"/>
      <c r="C1305" s="85" t="str">
        <f>VLOOKUP(A1305,'DAFTAR HARGA'!A:D,3,FALSE)</f>
        <v>OJ</v>
      </c>
      <c r="D1305" s="84" t="s">
        <v>418</v>
      </c>
      <c r="E1305" s="84">
        <f>VLOOKUP(A1305,'DAFTAR HARGA'!A:D,4,FALSE)</f>
        <v>14375</v>
      </c>
      <c r="F1305" s="128">
        <v>0.18759999999999999</v>
      </c>
      <c r="G1305" s="87" t="e">
        <f>VLOOKUP(A1305,'DAFTAR HARGA'!A:D,5,FALSE)</f>
        <v>#REF!</v>
      </c>
      <c r="H1305" s="87" t="e">
        <f>F1305*G1305</f>
        <v>#REF!</v>
      </c>
      <c r="I1305" s="87">
        <v>91500</v>
      </c>
      <c r="J1305" s="87">
        <f>F1305*I1305</f>
        <v>17165.399999999998</v>
      </c>
      <c r="K1305" s="87">
        <v>91500</v>
      </c>
      <c r="L1305" s="87">
        <f>F1305*K1305</f>
        <v>17165.399999999998</v>
      </c>
    </row>
    <row r="1306" spans="1:12" ht="12" customHeight="1" x14ac:dyDescent="0.35">
      <c r="A1306" s="134">
        <v>10121110</v>
      </c>
      <c r="B1306" s="84"/>
      <c r="C1306" s="85" t="str">
        <f>VLOOKUP(A1306,'DAFTAR HARGA'!A:D,3,FALSE)</f>
        <v>OJ</v>
      </c>
      <c r="D1306" s="84" t="s">
        <v>418</v>
      </c>
      <c r="E1306" s="84">
        <f>VLOOKUP(A1306,'DAFTAR HARGA'!A:D,4,FALSE)</f>
        <v>12500</v>
      </c>
      <c r="F1306" s="128"/>
      <c r="G1306" s="87" t="e">
        <f>VLOOKUP(A1306,'DAFTAR HARGA'!A:D,5,FALSE)</f>
        <v>#REF!</v>
      </c>
      <c r="H1306" s="87" t="e">
        <f>F1306*G1306</f>
        <v>#REF!</v>
      </c>
      <c r="I1306" s="87"/>
      <c r="J1306" s="87"/>
      <c r="K1306" s="87"/>
      <c r="L1306" s="87"/>
    </row>
    <row r="1307" spans="1:12" ht="12" customHeight="1" x14ac:dyDescent="0.35">
      <c r="A1307" s="134">
        <v>10111000</v>
      </c>
      <c r="B1307" s="84"/>
      <c r="C1307" s="85" t="str">
        <f>VLOOKUP(A1307,'DAFTAR HARGA'!A:D,3,FALSE)</f>
        <v>OJ</v>
      </c>
      <c r="D1307" s="84" t="s">
        <v>418</v>
      </c>
      <c r="E1307" s="84">
        <f>VLOOKUP(A1307,'DAFTAR HARGA'!A:D,4,FALSE)</f>
        <v>18750</v>
      </c>
      <c r="F1307" s="128">
        <v>1.8800000000000001E-2</v>
      </c>
      <c r="G1307" s="87" t="e">
        <f>VLOOKUP(A1307,'DAFTAR HARGA'!A:D,5,FALSE)</f>
        <v>#REF!</v>
      </c>
      <c r="H1307" s="87" t="e">
        <f>F1307*G1307</f>
        <v>#REF!</v>
      </c>
      <c r="I1307" s="87">
        <v>78600</v>
      </c>
      <c r="J1307" s="87">
        <f>F1307*I1307</f>
        <v>1477.68</v>
      </c>
      <c r="K1307" s="87">
        <v>78600</v>
      </c>
      <c r="L1307" s="87">
        <f>F1307*K1307</f>
        <v>1477.68</v>
      </c>
    </row>
    <row r="1308" spans="1:12" ht="12" customHeight="1" x14ac:dyDescent="0.35">
      <c r="B1308" s="84"/>
      <c r="C1308" s="85"/>
      <c r="D1308" s="84"/>
      <c r="E1308" s="84"/>
      <c r="F1308" s="86"/>
      <c r="G1308" s="87"/>
      <c r="H1308" s="87">
        <f>F1308*G1308</f>
        <v>0</v>
      </c>
      <c r="I1308" s="87">
        <v>92500</v>
      </c>
      <c r="J1308" s="87">
        <f>F1308*I1308</f>
        <v>0</v>
      </c>
      <c r="K1308" s="87">
        <v>92500</v>
      </c>
      <c r="L1308" s="87">
        <f>F1308*K1308</f>
        <v>0</v>
      </c>
    </row>
    <row r="1309" spans="1:12" ht="12" customHeight="1" x14ac:dyDescent="0.35">
      <c r="B1309" s="84"/>
      <c r="C1309" s="85"/>
      <c r="D1309" s="84"/>
      <c r="E1309" s="84"/>
      <c r="F1309" s="86"/>
      <c r="G1309" s="87"/>
      <c r="H1309" s="87"/>
      <c r="I1309" s="87"/>
      <c r="J1309" s="87"/>
      <c r="K1309" s="87"/>
      <c r="L1309" s="87"/>
    </row>
    <row r="1310" spans="1:12" ht="12" customHeight="1" x14ac:dyDescent="0.35">
      <c r="B1310" s="84"/>
      <c r="C1310" s="88"/>
      <c r="D1310" s="79"/>
      <c r="E1310" s="79"/>
      <c r="F1310" s="89" t="s">
        <v>421</v>
      </c>
      <c r="G1310" s="101"/>
      <c r="H1310" s="87" t="e">
        <f>SUM(H1305:H1309)</f>
        <v>#REF!</v>
      </c>
      <c r="I1310" s="101"/>
      <c r="J1310" s="87">
        <f>SUM(J1307:J1309)</f>
        <v>1477.68</v>
      </c>
      <c r="K1310" s="101"/>
      <c r="L1310" s="87">
        <f>SUM(L1307:L1309)</f>
        <v>1477.68</v>
      </c>
    </row>
    <row r="1311" spans="1:12" ht="12" customHeight="1" x14ac:dyDescent="0.35">
      <c r="B1311" s="84" t="s">
        <v>6</v>
      </c>
      <c r="C1311" s="88" t="s">
        <v>422</v>
      </c>
      <c r="D1311" s="79"/>
      <c r="E1311" s="79"/>
      <c r="F1311" s="90"/>
      <c r="G1311" s="84"/>
      <c r="H1311" s="87"/>
      <c r="I1311" s="84"/>
      <c r="J1311" s="87"/>
      <c r="K1311" s="84"/>
      <c r="L1311" s="87"/>
    </row>
    <row r="1312" spans="1:12" ht="12" customHeight="1" x14ac:dyDescent="0.35">
      <c r="B1312" s="84"/>
      <c r="C1312" s="85"/>
      <c r="D1312" s="84"/>
      <c r="E1312" s="84"/>
      <c r="F1312" s="128"/>
      <c r="G1312" s="87"/>
      <c r="H1312" s="87">
        <f>F1312*G1312</f>
        <v>0</v>
      </c>
      <c r="I1312" s="87">
        <v>232500</v>
      </c>
      <c r="J1312" s="87">
        <f>F1312*I1312</f>
        <v>0</v>
      </c>
      <c r="K1312" s="87">
        <v>270000</v>
      </c>
      <c r="L1312" s="87">
        <f>F1312*K1312</f>
        <v>0</v>
      </c>
    </row>
    <row r="1313" spans="1:12" ht="12" customHeight="1" x14ac:dyDescent="0.35">
      <c r="B1313" s="84"/>
      <c r="C1313" s="88"/>
      <c r="D1313" s="79"/>
      <c r="E1313" s="84"/>
      <c r="F1313" s="102"/>
      <c r="G1313" s="87"/>
      <c r="H1313" s="87">
        <f>F1313*G1313</f>
        <v>0</v>
      </c>
      <c r="I1313" s="87">
        <v>1060</v>
      </c>
      <c r="J1313" s="87">
        <f>F1313*I1313</f>
        <v>0</v>
      </c>
      <c r="K1313" s="87">
        <v>1060</v>
      </c>
      <c r="L1313" s="87">
        <f>F1313*K1313</f>
        <v>0</v>
      </c>
    </row>
    <row r="1314" spans="1:12" ht="12" customHeight="1" x14ac:dyDescent="0.35">
      <c r="B1314" s="84"/>
      <c r="C1314" s="88"/>
      <c r="D1314" s="79"/>
      <c r="E1314" s="84"/>
      <c r="F1314" s="102"/>
      <c r="G1314" s="87"/>
      <c r="H1314" s="87">
        <f>F1314*G1314</f>
        <v>0</v>
      </c>
      <c r="I1314" s="87">
        <v>215000</v>
      </c>
      <c r="J1314" s="87">
        <f>F1314*I1314</f>
        <v>0</v>
      </c>
      <c r="K1314" s="87">
        <v>250000</v>
      </c>
      <c r="L1314" s="87">
        <f>F1314*K1314</f>
        <v>0</v>
      </c>
    </row>
    <row r="1315" spans="1:12" ht="12" customHeight="1" x14ac:dyDescent="0.35">
      <c r="B1315" s="84"/>
      <c r="C1315" s="88"/>
      <c r="D1315" s="79"/>
      <c r="E1315" s="79"/>
      <c r="F1315" s="89"/>
      <c r="G1315" s="101"/>
      <c r="H1315" s="87">
        <f>SUM(H1312:H1314)</f>
        <v>0</v>
      </c>
      <c r="I1315" s="101"/>
      <c r="J1315" s="87">
        <f>SUM(J1312:J1314)</f>
        <v>0</v>
      </c>
      <c r="K1315" s="101"/>
      <c r="L1315" s="87">
        <f>SUM(L1312:L1314)</f>
        <v>0</v>
      </c>
    </row>
    <row r="1316" spans="1:12" ht="12" customHeight="1" x14ac:dyDescent="0.35">
      <c r="B1316" s="84" t="s">
        <v>7</v>
      </c>
      <c r="C1316" s="88" t="s">
        <v>424</v>
      </c>
      <c r="D1316" s="79"/>
      <c r="E1316" s="79"/>
      <c r="F1316" s="90"/>
      <c r="G1316" s="84"/>
      <c r="H1316" s="87"/>
      <c r="I1316" s="84"/>
      <c r="J1316" s="87"/>
      <c r="K1316" s="84"/>
      <c r="L1316" s="87"/>
    </row>
    <row r="1317" spans="1:12" ht="12" customHeight="1" x14ac:dyDescent="0.35">
      <c r="A1317" s="134">
        <v>31100008</v>
      </c>
      <c r="B1317" s="84"/>
      <c r="C1317" s="85" t="str">
        <f>VLOOKUP(A1317,'DAFTAR HARGA'!A:D,3,FALSE)</f>
        <v>jam</v>
      </c>
      <c r="D1317" s="84" t="s">
        <v>418</v>
      </c>
      <c r="E1317" s="84">
        <f>VLOOKUP(A1317,'DAFTAR HARGA'!A:D,4,FALSE)</f>
        <v>449000</v>
      </c>
      <c r="F1317" s="128">
        <v>2.3400000000000001E-2</v>
      </c>
      <c r="G1317" s="87" t="e">
        <f>VLOOKUP(A1317,'DAFTAR HARGA'!A:D,5,FALSE)</f>
        <v>#REF!</v>
      </c>
      <c r="H1317" s="87" t="e">
        <f>F1317*G1317</f>
        <v>#REF!</v>
      </c>
      <c r="I1317" s="87"/>
      <c r="J1317" s="87" t="e">
        <f>H1317*I1317</f>
        <v>#REF!</v>
      </c>
      <c r="K1317" s="87"/>
      <c r="L1317" s="87" t="e">
        <f>J1317*K1317</f>
        <v>#REF!</v>
      </c>
    </row>
    <row r="1318" spans="1:12" ht="12" customHeight="1" x14ac:dyDescent="0.35">
      <c r="A1318" s="134" t="s">
        <v>572</v>
      </c>
      <c r="B1318" s="84"/>
      <c r="C1318" s="85" t="str">
        <f>VLOOKUP(A1318,'DAFTAR HARGA'!A:D,3,FALSE)</f>
        <v>jam</v>
      </c>
      <c r="D1318" s="84" t="s">
        <v>418</v>
      </c>
      <c r="E1318" s="84">
        <f>VLOOKUP(A1318,'DAFTAR HARGA'!A:D,4,FALSE)</f>
        <v>290400</v>
      </c>
      <c r="F1318" s="128">
        <v>2.3400000000000001E-2</v>
      </c>
      <c r="G1318" s="87" t="e">
        <f>VLOOKUP(A1318,'DAFTAR HARGA'!A:D,5,FALSE)</f>
        <v>#REF!</v>
      </c>
      <c r="H1318" s="87" t="e">
        <f>F1318*G1318</f>
        <v>#REF!</v>
      </c>
      <c r="I1318" s="87"/>
      <c r="J1318" s="87"/>
      <c r="K1318" s="87"/>
      <c r="L1318" s="87"/>
    </row>
    <row r="1319" spans="1:12" ht="12" customHeight="1" x14ac:dyDescent="0.35">
      <c r="B1319" s="84"/>
      <c r="C1319" s="85"/>
      <c r="D1319" s="84"/>
      <c r="E1319" s="84"/>
      <c r="F1319" s="128"/>
      <c r="G1319" s="87"/>
      <c r="H1319" s="87">
        <f>F1319*G1319</f>
        <v>0</v>
      </c>
      <c r="I1319" s="87"/>
      <c r="J1319" s="87"/>
      <c r="K1319" s="87"/>
      <c r="L1319" s="87"/>
    </row>
    <row r="1320" spans="1:12" ht="12" customHeight="1" x14ac:dyDescent="0.35">
      <c r="B1320" s="84"/>
      <c r="C1320" s="88"/>
      <c r="D1320" s="79"/>
      <c r="E1320" s="79"/>
      <c r="F1320" s="89" t="s">
        <v>425</v>
      </c>
      <c r="G1320" s="101"/>
      <c r="H1320" s="87" t="e">
        <f>SUM(H1317:H1319)</f>
        <v>#REF!</v>
      </c>
      <c r="I1320" s="101"/>
      <c r="J1320" s="87" t="e">
        <f>SUM(J1317)</f>
        <v>#REF!</v>
      </c>
      <c r="K1320" s="101"/>
      <c r="L1320" s="87" t="e">
        <f>SUM(L1317)</f>
        <v>#REF!</v>
      </c>
    </row>
    <row r="1321" spans="1:12" ht="12" customHeight="1" x14ac:dyDescent="0.35">
      <c r="B1321" s="84" t="s">
        <v>8</v>
      </c>
      <c r="C1321" s="103" t="s">
        <v>426</v>
      </c>
      <c r="D1321" s="104"/>
      <c r="E1321" s="104"/>
      <c r="F1321" s="104"/>
      <c r="G1321" s="105"/>
      <c r="H1321" s="87" t="e">
        <f>H1310+H1315+H1320</f>
        <v>#REF!</v>
      </c>
      <c r="I1321" s="105"/>
      <c r="J1321" s="87" t="e">
        <f>J1310+J1315+J1320</f>
        <v>#REF!</v>
      </c>
      <c r="K1321" s="105"/>
      <c r="L1321" s="87" t="e">
        <f>L1310+L1315+L1320</f>
        <v>#REF!</v>
      </c>
    </row>
    <row r="1322" spans="1:12" ht="12" customHeight="1" x14ac:dyDescent="0.35">
      <c r="B1322" s="84" t="s">
        <v>9</v>
      </c>
      <c r="C1322" s="455" t="s">
        <v>427</v>
      </c>
      <c r="D1322" s="455"/>
      <c r="E1322" s="455"/>
      <c r="F1322" s="95" t="str">
        <f>OP</f>
        <v>TANJUNG PALAS TENGAH</v>
      </c>
      <c r="G1322" s="85" t="s">
        <v>428</v>
      </c>
      <c r="H1322" s="87" t="e">
        <f>H1321*F1322</f>
        <v>#REF!</v>
      </c>
      <c r="I1322" s="85" t="s">
        <v>428</v>
      </c>
      <c r="J1322" s="87" t="e">
        <f>J1321*F1322</f>
        <v>#REF!</v>
      </c>
      <c r="K1322" s="85" t="s">
        <v>428</v>
      </c>
      <c r="L1322" s="87" t="e">
        <f>L1321*F1322</f>
        <v>#REF!</v>
      </c>
    </row>
    <row r="1323" spans="1:12" ht="12" customHeight="1" x14ac:dyDescent="0.35">
      <c r="B1323" s="84" t="s">
        <v>10</v>
      </c>
      <c r="C1323" s="103" t="s">
        <v>429</v>
      </c>
      <c r="D1323" s="104"/>
      <c r="E1323" s="104"/>
      <c r="F1323" s="104"/>
      <c r="G1323" s="105"/>
      <c r="H1323" s="96" t="e">
        <f>H1321+H1322</f>
        <v>#REF!</v>
      </c>
      <c r="I1323" s="97"/>
      <c r="J1323" s="96" t="e">
        <f>J1321+J1322</f>
        <v>#REF!</v>
      </c>
      <c r="K1323" s="97"/>
      <c r="L1323" s="96" t="e">
        <f>L1321+L1322</f>
        <v>#REF!</v>
      </c>
    </row>
    <row r="1325" spans="1:12" ht="37" customHeight="1" x14ac:dyDescent="0.35">
      <c r="B1325" s="76" t="s">
        <v>606</v>
      </c>
      <c r="C1325" s="458" t="s">
        <v>608</v>
      </c>
      <c r="D1325" s="459"/>
      <c r="E1325" s="459"/>
      <c r="F1325" s="459"/>
      <c r="G1325" s="456"/>
      <c r="H1325" s="457"/>
      <c r="I1325" s="455" t="s">
        <v>3</v>
      </c>
      <c r="J1325" s="455"/>
      <c r="K1325" s="455" t="s">
        <v>4</v>
      </c>
      <c r="L1325" s="455"/>
    </row>
    <row r="1326" spans="1:12" ht="12" customHeight="1" x14ac:dyDescent="0.35">
      <c r="B1326" s="451" t="s">
        <v>409</v>
      </c>
      <c r="C1326" s="451" t="s">
        <v>410</v>
      </c>
      <c r="D1326" s="452" t="s">
        <v>411</v>
      </c>
      <c r="E1326" s="451" t="s">
        <v>412</v>
      </c>
      <c r="F1326" s="451" t="s">
        <v>413</v>
      </c>
      <c r="G1326" s="77" t="s">
        <v>414</v>
      </c>
      <c r="H1326" s="77" t="s">
        <v>415</v>
      </c>
      <c r="I1326" s="78" t="s">
        <v>414</v>
      </c>
      <c r="J1326" s="79" t="s">
        <v>415</v>
      </c>
      <c r="K1326" s="79" t="s">
        <v>414</v>
      </c>
      <c r="L1326" s="79" t="s">
        <v>415</v>
      </c>
    </row>
    <row r="1327" spans="1:12" ht="12" customHeight="1" x14ac:dyDescent="0.35">
      <c r="B1327" s="451"/>
      <c r="C1327" s="451"/>
      <c r="D1327" s="453"/>
      <c r="E1327" s="451"/>
      <c r="F1327" s="451"/>
      <c r="G1327" s="77" t="s">
        <v>17</v>
      </c>
      <c r="H1327" s="77" t="s">
        <v>416</v>
      </c>
      <c r="I1327" s="78" t="s">
        <v>17</v>
      </c>
      <c r="J1327" s="79" t="s">
        <v>416</v>
      </c>
      <c r="K1327" s="79" t="s">
        <v>17</v>
      </c>
      <c r="L1327" s="79" t="s">
        <v>416</v>
      </c>
    </row>
    <row r="1328" spans="1:12" ht="12" customHeight="1" x14ac:dyDescent="0.35">
      <c r="B1328" s="451"/>
      <c r="C1328" s="451"/>
      <c r="D1328" s="454"/>
      <c r="E1328" s="451"/>
      <c r="F1328" s="451"/>
      <c r="G1328" s="106"/>
      <c r="H1328" s="77" t="s">
        <v>17</v>
      </c>
      <c r="I1328" s="94"/>
      <c r="J1328" s="79" t="s">
        <v>17</v>
      </c>
      <c r="K1328" s="85"/>
      <c r="L1328" s="79" t="s">
        <v>17</v>
      </c>
    </row>
    <row r="1329" spans="1:12" ht="12" customHeight="1" x14ac:dyDescent="0.35">
      <c r="B1329" s="80" t="s">
        <v>5</v>
      </c>
      <c r="C1329" s="81" t="s">
        <v>417</v>
      </c>
      <c r="D1329" s="82"/>
      <c r="E1329" s="82"/>
      <c r="F1329" s="82"/>
      <c r="G1329" s="82"/>
      <c r="H1329" s="82"/>
      <c r="I1329" s="83"/>
      <c r="J1329" s="83"/>
      <c r="K1329" s="83"/>
      <c r="L1329" s="83"/>
    </row>
    <row r="1330" spans="1:12" ht="12" customHeight="1" x14ac:dyDescent="0.35">
      <c r="B1330" s="84"/>
      <c r="C1330" s="85"/>
      <c r="D1330" s="84"/>
      <c r="E1330" s="84"/>
      <c r="F1330" s="128"/>
      <c r="G1330" s="87"/>
      <c r="H1330" s="87">
        <f>F1330*G1330</f>
        <v>0</v>
      </c>
      <c r="I1330" s="87">
        <v>91500</v>
      </c>
      <c r="J1330" s="87">
        <f>F1330*I1330</f>
        <v>0</v>
      </c>
      <c r="K1330" s="87">
        <v>91500</v>
      </c>
      <c r="L1330" s="87">
        <f>F1330*K1330</f>
        <v>0</v>
      </c>
    </row>
    <row r="1331" spans="1:12" ht="12" customHeight="1" x14ac:dyDescent="0.35">
      <c r="B1331" s="84"/>
      <c r="C1331" s="85"/>
      <c r="D1331" s="84"/>
      <c r="E1331" s="84"/>
      <c r="F1331" s="128"/>
      <c r="G1331" s="87"/>
      <c r="H1331" s="87">
        <f>F1331*G1331</f>
        <v>0</v>
      </c>
      <c r="I1331" s="87"/>
      <c r="J1331" s="87"/>
      <c r="K1331" s="87"/>
      <c r="L1331" s="87"/>
    </row>
    <row r="1332" spans="1:12" ht="12" customHeight="1" x14ac:dyDescent="0.35">
      <c r="B1332" s="84"/>
      <c r="C1332" s="85"/>
      <c r="D1332" s="84"/>
      <c r="E1332" s="84"/>
      <c r="F1332" s="128"/>
      <c r="G1332" s="87"/>
      <c r="H1332" s="87">
        <f>F1332*G1332</f>
        <v>0</v>
      </c>
      <c r="I1332" s="87">
        <v>78600</v>
      </c>
      <c r="J1332" s="87">
        <f>F1332*I1332</f>
        <v>0</v>
      </c>
      <c r="K1332" s="87">
        <v>78600</v>
      </c>
      <c r="L1332" s="87">
        <f>F1332*K1332</f>
        <v>0</v>
      </c>
    </row>
    <row r="1333" spans="1:12" ht="12" customHeight="1" x14ac:dyDescent="0.35">
      <c r="B1333" s="84"/>
      <c r="C1333" s="85"/>
      <c r="D1333" s="84"/>
      <c r="E1333" s="84"/>
      <c r="F1333" s="86"/>
      <c r="G1333" s="87"/>
      <c r="H1333" s="87">
        <f>F1333*G1333</f>
        <v>0</v>
      </c>
      <c r="I1333" s="87">
        <v>92500</v>
      </c>
      <c r="J1333" s="87">
        <f>F1333*I1333</f>
        <v>0</v>
      </c>
      <c r="K1333" s="87">
        <v>92500</v>
      </c>
      <c r="L1333" s="87">
        <f>F1333*K1333</f>
        <v>0</v>
      </c>
    </row>
    <row r="1334" spans="1:12" ht="12" customHeight="1" x14ac:dyDescent="0.35">
      <c r="B1334" s="84"/>
      <c r="C1334" s="85"/>
      <c r="D1334" s="84"/>
      <c r="E1334" s="84"/>
      <c r="F1334" s="86"/>
      <c r="G1334" s="87"/>
      <c r="H1334" s="87"/>
      <c r="I1334" s="87"/>
      <c r="J1334" s="87"/>
      <c r="K1334" s="87"/>
      <c r="L1334" s="87"/>
    </row>
    <row r="1335" spans="1:12" ht="12" customHeight="1" x14ac:dyDescent="0.35">
      <c r="B1335" s="84"/>
      <c r="C1335" s="88"/>
      <c r="D1335" s="79"/>
      <c r="E1335" s="79"/>
      <c r="F1335" s="89" t="s">
        <v>421</v>
      </c>
      <c r="G1335" s="101"/>
      <c r="H1335" s="87">
        <f>SUM(H1330:H1334)</f>
        <v>0</v>
      </c>
      <c r="I1335" s="101"/>
      <c r="J1335" s="87">
        <f>SUM(J1332:J1334)</f>
        <v>0</v>
      </c>
      <c r="K1335" s="101"/>
      <c r="L1335" s="87">
        <f>SUM(L1332:L1334)</f>
        <v>0</v>
      </c>
    </row>
    <row r="1336" spans="1:12" ht="12" customHeight="1" x14ac:dyDescent="0.35">
      <c r="B1336" s="84" t="s">
        <v>6</v>
      </c>
      <c r="C1336" s="88" t="s">
        <v>422</v>
      </c>
      <c r="D1336" s="79"/>
      <c r="E1336" s="79"/>
      <c r="F1336" s="90"/>
      <c r="G1336" s="84"/>
      <c r="H1336" s="87"/>
      <c r="I1336" s="84"/>
      <c r="J1336" s="87"/>
      <c r="K1336" s="84"/>
      <c r="L1336" s="87"/>
    </row>
    <row r="1337" spans="1:12" ht="12" customHeight="1" x14ac:dyDescent="0.35">
      <c r="B1337" s="84"/>
      <c r="C1337" s="85"/>
      <c r="D1337" s="84"/>
      <c r="E1337" s="84"/>
      <c r="F1337" s="128"/>
      <c r="G1337" s="87"/>
      <c r="H1337" s="87">
        <f>F1337*G1337</f>
        <v>0</v>
      </c>
      <c r="I1337" s="87">
        <v>232500</v>
      </c>
      <c r="J1337" s="87">
        <f>F1337*I1337</f>
        <v>0</v>
      </c>
      <c r="K1337" s="87">
        <v>270000</v>
      </c>
      <c r="L1337" s="87">
        <f>F1337*K1337</f>
        <v>0</v>
      </c>
    </row>
    <row r="1338" spans="1:12" ht="12" customHeight="1" x14ac:dyDescent="0.35">
      <c r="B1338" s="84"/>
      <c r="C1338" s="88"/>
      <c r="D1338" s="79"/>
      <c r="E1338" s="84"/>
      <c r="F1338" s="102"/>
      <c r="G1338" s="87"/>
      <c r="H1338" s="87">
        <f>F1338*G1338</f>
        <v>0</v>
      </c>
      <c r="I1338" s="87">
        <v>1060</v>
      </c>
      <c r="J1338" s="87">
        <f>F1338*I1338</f>
        <v>0</v>
      </c>
      <c r="K1338" s="87">
        <v>1060</v>
      </c>
      <c r="L1338" s="87">
        <f>F1338*K1338</f>
        <v>0</v>
      </c>
    </row>
    <row r="1339" spans="1:12" ht="12" customHeight="1" x14ac:dyDescent="0.35">
      <c r="B1339" s="84"/>
      <c r="C1339" s="88"/>
      <c r="D1339" s="79"/>
      <c r="E1339" s="84"/>
      <c r="F1339" s="102"/>
      <c r="G1339" s="87"/>
      <c r="H1339" s="87">
        <f>F1339*G1339</f>
        <v>0</v>
      </c>
      <c r="I1339" s="87">
        <v>215000</v>
      </c>
      <c r="J1339" s="87">
        <f>F1339*I1339</f>
        <v>0</v>
      </c>
      <c r="K1339" s="87">
        <v>250000</v>
      </c>
      <c r="L1339" s="87">
        <f>F1339*K1339</f>
        <v>0</v>
      </c>
    </row>
    <row r="1340" spans="1:12" ht="12" customHeight="1" x14ac:dyDescent="0.35">
      <c r="B1340" s="84"/>
      <c r="C1340" s="88"/>
      <c r="D1340" s="79"/>
      <c r="E1340" s="79"/>
      <c r="F1340" s="89"/>
      <c r="G1340" s="101"/>
      <c r="H1340" s="87">
        <f>SUM(H1337:H1339)</f>
        <v>0</v>
      </c>
      <c r="I1340" s="101"/>
      <c r="J1340" s="87">
        <f>SUM(J1337:J1339)</f>
        <v>0</v>
      </c>
      <c r="K1340" s="101"/>
      <c r="L1340" s="87">
        <f>SUM(L1337:L1339)</f>
        <v>0</v>
      </c>
    </row>
    <row r="1341" spans="1:12" ht="12" customHeight="1" x14ac:dyDescent="0.35">
      <c r="B1341" s="84" t="s">
        <v>7</v>
      </c>
      <c r="C1341" s="88" t="s">
        <v>424</v>
      </c>
      <c r="D1341" s="79"/>
      <c r="E1341" s="79"/>
      <c r="F1341" s="90"/>
      <c r="G1341" s="84"/>
      <c r="H1341" s="87"/>
      <c r="I1341" s="84"/>
      <c r="J1341" s="87"/>
      <c r="K1341" s="84"/>
      <c r="L1341" s="87"/>
    </row>
    <row r="1342" spans="1:12" ht="12" customHeight="1" x14ac:dyDescent="0.35">
      <c r="A1342" s="134">
        <v>31100008</v>
      </c>
      <c r="B1342" s="84"/>
      <c r="C1342" s="85" t="str">
        <f>VLOOKUP(A1342,'DAFTAR HARGA'!A:D,3,FALSE)</f>
        <v>jam</v>
      </c>
      <c r="D1342" s="84" t="s">
        <v>418</v>
      </c>
      <c r="E1342" s="84">
        <f>VLOOKUP(A1342,'DAFTAR HARGA'!A:D,4,FALSE)</f>
        <v>449000</v>
      </c>
      <c r="F1342" s="128">
        <v>3.32E-2</v>
      </c>
      <c r="G1342" s="87" t="e">
        <f>VLOOKUP(A1342,'DAFTAR HARGA'!A:D,5,FALSE)</f>
        <v>#REF!</v>
      </c>
      <c r="H1342" s="87" t="e">
        <f>F1342*G1342</f>
        <v>#REF!</v>
      </c>
      <c r="I1342" s="87"/>
      <c r="J1342" s="87" t="e">
        <f>H1342*I1342</f>
        <v>#REF!</v>
      </c>
      <c r="K1342" s="87"/>
      <c r="L1342" s="87" t="e">
        <f>J1342*K1342</f>
        <v>#REF!</v>
      </c>
    </row>
    <row r="1343" spans="1:12" ht="12" customHeight="1" x14ac:dyDescent="0.35">
      <c r="A1343" s="134" t="s">
        <v>572</v>
      </c>
      <c r="B1343" s="84"/>
      <c r="C1343" s="85" t="str">
        <f>VLOOKUP(A1343,'DAFTAR HARGA'!A:D,3,FALSE)</f>
        <v>jam</v>
      </c>
      <c r="D1343" s="84" t="s">
        <v>418</v>
      </c>
      <c r="E1343" s="84">
        <f>VLOOKUP(A1343,'DAFTAR HARGA'!A:D,4,FALSE)</f>
        <v>290400</v>
      </c>
      <c r="F1343" s="128">
        <v>3.32E-2</v>
      </c>
      <c r="G1343" s="87" t="e">
        <f>VLOOKUP(A1343,'DAFTAR HARGA'!A:D,5,FALSE)</f>
        <v>#REF!</v>
      </c>
      <c r="H1343" s="87" t="e">
        <f>F1343*G1343</f>
        <v>#REF!</v>
      </c>
      <c r="I1343" s="87"/>
      <c r="J1343" s="87"/>
      <c r="K1343" s="87"/>
      <c r="L1343" s="87"/>
    </row>
    <row r="1344" spans="1:12" ht="12" customHeight="1" x14ac:dyDescent="0.35">
      <c r="B1344" s="84"/>
      <c r="C1344" s="85"/>
      <c r="D1344" s="84"/>
      <c r="E1344" s="84"/>
      <c r="F1344" s="128"/>
      <c r="G1344" s="87"/>
      <c r="H1344" s="87">
        <f>F1344*G1344</f>
        <v>0</v>
      </c>
      <c r="I1344" s="87"/>
      <c r="J1344" s="87"/>
      <c r="K1344" s="87"/>
      <c r="L1344" s="87"/>
    </row>
    <row r="1345" spans="2:12" ht="12" customHeight="1" x14ac:dyDescent="0.35">
      <c r="B1345" s="84"/>
      <c r="C1345" s="88"/>
      <c r="D1345" s="79"/>
      <c r="E1345" s="79"/>
      <c r="F1345" s="89" t="s">
        <v>425</v>
      </c>
      <c r="G1345" s="101"/>
      <c r="H1345" s="87" t="e">
        <f>SUM(H1342:H1344)</f>
        <v>#REF!</v>
      </c>
      <c r="I1345" s="101"/>
      <c r="J1345" s="87" t="e">
        <f>SUM(J1342)</f>
        <v>#REF!</v>
      </c>
      <c r="K1345" s="101"/>
      <c r="L1345" s="87" t="e">
        <f>SUM(L1342)</f>
        <v>#REF!</v>
      </c>
    </row>
    <row r="1346" spans="2:12" ht="12" customHeight="1" x14ac:dyDescent="0.35">
      <c r="B1346" s="84" t="s">
        <v>8</v>
      </c>
      <c r="C1346" s="103" t="s">
        <v>426</v>
      </c>
      <c r="D1346" s="104"/>
      <c r="E1346" s="104"/>
      <c r="F1346" s="104"/>
      <c r="G1346" s="105"/>
      <c r="H1346" s="87" t="e">
        <f>H1335+H1340+H1345</f>
        <v>#REF!</v>
      </c>
      <c r="I1346" s="105"/>
      <c r="J1346" s="87" t="e">
        <f>J1335+J1340+J1345</f>
        <v>#REF!</v>
      </c>
      <c r="K1346" s="105"/>
      <c r="L1346" s="87" t="e">
        <f>L1335+L1340+L1345</f>
        <v>#REF!</v>
      </c>
    </row>
    <row r="1347" spans="2:12" ht="12" customHeight="1" x14ac:dyDescent="0.35">
      <c r="B1347" s="84" t="s">
        <v>9</v>
      </c>
      <c r="C1347" s="455" t="s">
        <v>427</v>
      </c>
      <c r="D1347" s="455"/>
      <c r="E1347" s="455"/>
      <c r="F1347" s="95" t="str">
        <f>OP</f>
        <v>TANJUNG PALAS TENGAH</v>
      </c>
      <c r="G1347" s="85" t="s">
        <v>428</v>
      </c>
      <c r="H1347" s="87" t="e">
        <f>H1346*F1347</f>
        <v>#REF!</v>
      </c>
      <c r="I1347" s="85" t="s">
        <v>428</v>
      </c>
      <c r="J1347" s="87" t="e">
        <f>J1346*F1347</f>
        <v>#REF!</v>
      </c>
      <c r="K1347" s="85" t="s">
        <v>428</v>
      </c>
      <c r="L1347" s="87" t="e">
        <f>L1346*F1347</f>
        <v>#REF!</v>
      </c>
    </row>
    <row r="1348" spans="2:12" ht="12" customHeight="1" x14ac:dyDescent="0.35">
      <c r="B1348" s="84" t="s">
        <v>10</v>
      </c>
      <c r="C1348" s="103" t="s">
        <v>429</v>
      </c>
      <c r="D1348" s="104"/>
      <c r="E1348" s="104"/>
      <c r="F1348" s="104"/>
      <c r="G1348" s="105"/>
      <c r="H1348" s="96" t="e">
        <f>H1346+H1347</f>
        <v>#REF!</v>
      </c>
      <c r="I1348" s="97"/>
      <c r="J1348" s="96" t="e">
        <f>J1346+J1347</f>
        <v>#REF!</v>
      </c>
      <c r="K1348" s="97"/>
      <c r="L1348" s="96" t="e">
        <f>L1346+L1347</f>
        <v>#REF!</v>
      </c>
    </row>
    <row r="1350" spans="2:12" ht="37" customHeight="1" x14ac:dyDescent="0.35">
      <c r="B1350" s="76" t="s">
        <v>609</v>
      </c>
      <c r="C1350" s="458" t="s">
        <v>610</v>
      </c>
      <c r="D1350" s="459"/>
      <c r="E1350" s="459"/>
      <c r="F1350" s="459"/>
      <c r="G1350" s="456"/>
      <c r="H1350" s="457"/>
      <c r="I1350" s="455" t="s">
        <v>3</v>
      </c>
      <c r="J1350" s="455"/>
      <c r="K1350" s="455" t="s">
        <v>4</v>
      </c>
      <c r="L1350" s="455"/>
    </row>
    <row r="1351" spans="2:12" ht="12" customHeight="1" x14ac:dyDescent="0.35">
      <c r="B1351" s="451" t="s">
        <v>409</v>
      </c>
      <c r="C1351" s="451" t="s">
        <v>410</v>
      </c>
      <c r="D1351" s="452" t="s">
        <v>411</v>
      </c>
      <c r="E1351" s="451" t="s">
        <v>412</v>
      </c>
      <c r="F1351" s="451" t="s">
        <v>413</v>
      </c>
      <c r="G1351" s="77" t="s">
        <v>414</v>
      </c>
      <c r="H1351" s="77" t="s">
        <v>415</v>
      </c>
      <c r="I1351" s="78" t="s">
        <v>414</v>
      </c>
      <c r="J1351" s="79" t="s">
        <v>415</v>
      </c>
      <c r="K1351" s="79" t="s">
        <v>414</v>
      </c>
      <c r="L1351" s="79" t="s">
        <v>415</v>
      </c>
    </row>
    <row r="1352" spans="2:12" ht="12" customHeight="1" x14ac:dyDescent="0.35">
      <c r="B1352" s="451"/>
      <c r="C1352" s="451"/>
      <c r="D1352" s="453"/>
      <c r="E1352" s="451"/>
      <c r="F1352" s="451"/>
      <c r="G1352" s="77" t="s">
        <v>17</v>
      </c>
      <c r="H1352" s="77" t="s">
        <v>416</v>
      </c>
      <c r="I1352" s="78" t="s">
        <v>17</v>
      </c>
      <c r="J1352" s="79" t="s">
        <v>416</v>
      </c>
      <c r="K1352" s="79" t="s">
        <v>17</v>
      </c>
      <c r="L1352" s="79" t="s">
        <v>416</v>
      </c>
    </row>
    <row r="1353" spans="2:12" ht="12" customHeight="1" x14ac:dyDescent="0.35">
      <c r="B1353" s="451"/>
      <c r="C1353" s="451"/>
      <c r="D1353" s="454"/>
      <c r="E1353" s="451"/>
      <c r="F1353" s="451"/>
      <c r="G1353" s="106"/>
      <c r="H1353" s="77" t="s">
        <v>17</v>
      </c>
      <c r="I1353" s="94"/>
      <c r="J1353" s="79" t="s">
        <v>17</v>
      </c>
      <c r="K1353" s="85"/>
      <c r="L1353" s="79" t="s">
        <v>17</v>
      </c>
    </row>
    <row r="1354" spans="2:12" ht="12" customHeight="1" x14ac:dyDescent="0.35">
      <c r="B1354" s="80" t="s">
        <v>5</v>
      </c>
      <c r="C1354" s="81" t="s">
        <v>417</v>
      </c>
      <c r="D1354" s="82"/>
      <c r="E1354" s="82"/>
      <c r="F1354" s="82"/>
      <c r="G1354" s="82"/>
      <c r="H1354" s="82"/>
      <c r="I1354" s="83"/>
      <c r="J1354" s="83"/>
      <c r="K1354" s="83"/>
      <c r="L1354" s="83"/>
    </row>
    <row r="1355" spans="2:12" ht="12" customHeight="1" x14ac:dyDescent="0.35">
      <c r="B1355" s="84"/>
      <c r="C1355" s="85"/>
      <c r="D1355" s="84"/>
      <c r="E1355" s="84"/>
      <c r="F1355" s="128"/>
      <c r="G1355" s="87"/>
      <c r="H1355" s="87">
        <f>F1355*G1355</f>
        <v>0</v>
      </c>
      <c r="I1355" s="87">
        <v>91500</v>
      </c>
      <c r="J1355" s="87">
        <f>F1355*I1355</f>
        <v>0</v>
      </c>
      <c r="K1355" s="87">
        <v>91500</v>
      </c>
      <c r="L1355" s="87">
        <f>F1355*K1355</f>
        <v>0</v>
      </c>
    </row>
    <row r="1356" spans="2:12" ht="12" customHeight="1" x14ac:dyDescent="0.35">
      <c r="B1356" s="84"/>
      <c r="C1356" s="85"/>
      <c r="D1356" s="84"/>
      <c r="E1356" s="84"/>
      <c r="F1356" s="128"/>
      <c r="G1356" s="87"/>
      <c r="H1356" s="87">
        <f>F1356*G1356</f>
        <v>0</v>
      </c>
      <c r="I1356" s="87"/>
      <c r="J1356" s="87"/>
      <c r="K1356" s="87"/>
      <c r="L1356" s="87"/>
    </row>
    <row r="1357" spans="2:12" ht="12" customHeight="1" x14ac:dyDescent="0.35">
      <c r="B1357" s="84"/>
      <c r="C1357" s="85"/>
      <c r="D1357" s="84"/>
      <c r="E1357" s="84"/>
      <c r="F1357" s="128"/>
      <c r="G1357" s="87"/>
      <c r="H1357" s="87">
        <f>F1357*G1357</f>
        <v>0</v>
      </c>
      <c r="I1357" s="87">
        <v>78600</v>
      </c>
      <c r="J1357" s="87">
        <f>F1357*I1357</f>
        <v>0</v>
      </c>
      <c r="K1357" s="87">
        <v>78600</v>
      </c>
      <c r="L1357" s="87">
        <f>F1357*K1357</f>
        <v>0</v>
      </c>
    </row>
    <row r="1358" spans="2:12" ht="12" customHeight="1" x14ac:dyDescent="0.35">
      <c r="B1358" s="84"/>
      <c r="C1358" s="85"/>
      <c r="D1358" s="84"/>
      <c r="E1358" s="84"/>
      <c r="F1358" s="86"/>
      <c r="G1358" s="87"/>
      <c r="H1358" s="87">
        <f>F1358*G1358</f>
        <v>0</v>
      </c>
      <c r="I1358" s="87">
        <v>92500</v>
      </c>
      <c r="J1358" s="87">
        <f>F1358*I1358</f>
        <v>0</v>
      </c>
      <c r="K1358" s="87">
        <v>92500</v>
      </c>
      <c r="L1358" s="87">
        <f>F1358*K1358</f>
        <v>0</v>
      </c>
    </row>
    <row r="1359" spans="2:12" ht="12" customHeight="1" x14ac:dyDescent="0.35">
      <c r="B1359" s="84"/>
      <c r="C1359" s="85"/>
      <c r="D1359" s="84"/>
      <c r="E1359" s="84"/>
      <c r="F1359" s="86"/>
      <c r="G1359" s="87"/>
      <c r="H1359" s="87"/>
      <c r="I1359" s="87"/>
      <c r="J1359" s="87"/>
      <c r="K1359" s="87"/>
      <c r="L1359" s="87"/>
    </row>
    <row r="1360" spans="2:12" ht="12" customHeight="1" x14ac:dyDescent="0.35">
      <c r="B1360" s="84"/>
      <c r="C1360" s="88"/>
      <c r="D1360" s="79"/>
      <c r="E1360" s="79"/>
      <c r="F1360" s="89" t="s">
        <v>421</v>
      </c>
      <c r="G1360" s="101"/>
      <c r="H1360" s="87">
        <f>SUM(H1355:H1359)</f>
        <v>0</v>
      </c>
      <c r="I1360" s="101"/>
      <c r="J1360" s="87">
        <f>SUM(J1357:J1359)</f>
        <v>0</v>
      </c>
      <c r="K1360" s="101"/>
      <c r="L1360" s="87">
        <f>SUM(L1357:L1359)</f>
        <v>0</v>
      </c>
    </row>
    <row r="1361" spans="1:12" ht="12" customHeight="1" x14ac:dyDescent="0.35">
      <c r="B1361" s="84" t="s">
        <v>6</v>
      </c>
      <c r="C1361" s="88" t="s">
        <v>422</v>
      </c>
      <c r="D1361" s="79"/>
      <c r="E1361" s="79"/>
      <c r="F1361" s="90"/>
      <c r="G1361" s="84"/>
      <c r="H1361" s="87"/>
      <c r="I1361" s="84"/>
      <c r="J1361" s="87"/>
      <c r="K1361" s="84"/>
      <c r="L1361" s="87"/>
    </row>
    <row r="1362" spans="1:12" ht="12" customHeight="1" x14ac:dyDescent="0.35">
      <c r="B1362" s="84"/>
      <c r="C1362" s="85"/>
      <c r="D1362" s="84"/>
      <c r="E1362" s="84"/>
      <c r="F1362" s="128"/>
      <c r="G1362" s="87"/>
      <c r="H1362" s="87">
        <f>F1362*G1362</f>
        <v>0</v>
      </c>
      <c r="I1362" s="87">
        <v>232500</v>
      </c>
      <c r="J1362" s="87">
        <f>F1362*I1362</f>
        <v>0</v>
      </c>
      <c r="K1362" s="87">
        <v>270000</v>
      </c>
      <c r="L1362" s="87">
        <f>F1362*K1362</f>
        <v>0</v>
      </c>
    </row>
    <row r="1363" spans="1:12" ht="12" customHeight="1" x14ac:dyDescent="0.35">
      <c r="B1363" s="84"/>
      <c r="C1363" s="88"/>
      <c r="D1363" s="79"/>
      <c r="E1363" s="84"/>
      <c r="F1363" s="102"/>
      <c r="G1363" s="87"/>
      <c r="H1363" s="87">
        <f>F1363*G1363</f>
        <v>0</v>
      </c>
      <c r="I1363" s="87">
        <v>1060</v>
      </c>
      <c r="J1363" s="87">
        <f>F1363*I1363</f>
        <v>0</v>
      </c>
      <c r="K1363" s="87">
        <v>1060</v>
      </c>
      <c r="L1363" s="87">
        <f>F1363*K1363</f>
        <v>0</v>
      </c>
    </row>
    <row r="1364" spans="1:12" ht="12" customHeight="1" x14ac:dyDescent="0.35">
      <c r="B1364" s="84"/>
      <c r="C1364" s="88"/>
      <c r="D1364" s="79"/>
      <c r="E1364" s="84"/>
      <c r="F1364" s="102"/>
      <c r="G1364" s="87"/>
      <c r="H1364" s="87">
        <f>F1364*G1364</f>
        <v>0</v>
      </c>
      <c r="I1364" s="87">
        <v>215000</v>
      </c>
      <c r="J1364" s="87">
        <f>F1364*I1364</f>
        <v>0</v>
      </c>
      <c r="K1364" s="87">
        <v>250000</v>
      </c>
      <c r="L1364" s="87">
        <f>F1364*K1364</f>
        <v>0</v>
      </c>
    </row>
    <row r="1365" spans="1:12" ht="12" customHeight="1" x14ac:dyDescent="0.35">
      <c r="B1365" s="84"/>
      <c r="C1365" s="88"/>
      <c r="D1365" s="79"/>
      <c r="E1365" s="79"/>
      <c r="F1365" s="89"/>
      <c r="G1365" s="101"/>
      <c r="H1365" s="87">
        <f>SUM(H1362:H1364)</f>
        <v>0</v>
      </c>
      <c r="I1365" s="101"/>
      <c r="J1365" s="87">
        <f>SUM(J1362:J1364)</f>
        <v>0</v>
      </c>
      <c r="K1365" s="101"/>
      <c r="L1365" s="87">
        <f>SUM(L1362:L1364)</f>
        <v>0</v>
      </c>
    </row>
    <row r="1366" spans="1:12" ht="12" customHeight="1" x14ac:dyDescent="0.35">
      <c r="B1366" s="84" t="s">
        <v>7</v>
      </c>
      <c r="C1366" s="88" t="s">
        <v>424</v>
      </c>
      <c r="D1366" s="79"/>
      <c r="E1366" s="79"/>
      <c r="F1366" s="90"/>
      <c r="G1366" s="84"/>
      <c r="H1366" s="87"/>
      <c r="I1366" s="84"/>
      <c r="J1366" s="87"/>
      <c r="K1366" s="84"/>
      <c r="L1366" s="87"/>
    </row>
    <row r="1367" spans="1:12" ht="12" customHeight="1" x14ac:dyDescent="0.35">
      <c r="A1367" s="134">
        <v>31100008</v>
      </c>
      <c r="B1367" s="84"/>
      <c r="C1367" s="85" t="str">
        <f>VLOOKUP(A1367,'DAFTAR HARGA'!A:D,3,FALSE)</f>
        <v>jam</v>
      </c>
      <c r="D1367" s="84" t="s">
        <v>418</v>
      </c>
      <c r="E1367" s="84">
        <f>VLOOKUP(A1367,'DAFTAR HARGA'!A:D,4,FALSE)</f>
        <v>449000</v>
      </c>
      <c r="F1367" s="128">
        <v>6.3E-3</v>
      </c>
      <c r="G1367" s="87" t="e">
        <f>VLOOKUP(A1367,'DAFTAR HARGA'!A:D,5,FALSE)</f>
        <v>#REF!</v>
      </c>
      <c r="H1367" s="87" t="e">
        <f>F1367*G1367</f>
        <v>#REF!</v>
      </c>
      <c r="I1367" s="87"/>
      <c r="J1367" s="87" t="e">
        <f>H1367*I1367</f>
        <v>#REF!</v>
      </c>
      <c r="K1367" s="87"/>
      <c r="L1367" s="87" t="e">
        <f>J1367*K1367</f>
        <v>#REF!</v>
      </c>
    </row>
    <row r="1368" spans="1:12" ht="12" customHeight="1" x14ac:dyDescent="0.35">
      <c r="B1368" s="84"/>
      <c r="C1368" s="85"/>
      <c r="D1368" s="84"/>
      <c r="E1368" s="84"/>
      <c r="F1368" s="128"/>
      <c r="G1368" s="87"/>
      <c r="H1368" s="87">
        <f>F1368*G1368</f>
        <v>0</v>
      </c>
      <c r="I1368" s="87"/>
      <c r="J1368" s="87"/>
      <c r="K1368" s="87"/>
      <c r="L1368" s="87"/>
    </row>
    <row r="1369" spans="1:12" ht="12" customHeight="1" x14ac:dyDescent="0.35">
      <c r="B1369" s="84"/>
      <c r="C1369" s="85"/>
      <c r="D1369" s="84"/>
      <c r="E1369" s="84"/>
      <c r="F1369" s="128"/>
      <c r="G1369" s="87"/>
      <c r="H1369" s="87">
        <f>F1369*G1369</f>
        <v>0</v>
      </c>
      <c r="I1369" s="87"/>
      <c r="J1369" s="87"/>
      <c r="K1369" s="87"/>
      <c r="L1369" s="87"/>
    </row>
    <row r="1370" spans="1:12" ht="12" customHeight="1" x14ac:dyDescent="0.35">
      <c r="B1370" s="84"/>
      <c r="C1370" s="88"/>
      <c r="D1370" s="79"/>
      <c r="E1370" s="79"/>
      <c r="F1370" s="89" t="s">
        <v>425</v>
      </c>
      <c r="G1370" s="101"/>
      <c r="H1370" s="87" t="e">
        <f>SUM(H1367:H1369)</f>
        <v>#REF!</v>
      </c>
      <c r="I1370" s="101"/>
      <c r="J1370" s="87" t="e">
        <f>SUM(J1367)</f>
        <v>#REF!</v>
      </c>
      <c r="K1370" s="101"/>
      <c r="L1370" s="87" t="e">
        <f>SUM(L1367)</f>
        <v>#REF!</v>
      </c>
    </row>
    <row r="1371" spans="1:12" ht="12" customHeight="1" x14ac:dyDescent="0.35">
      <c r="B1371" s="84" t="s">
        <v>8</v>
      </c>
      <c r="C1371" s="103" t="s">
        <v>426</v>
      </c>
      <c r="D1371" s="104"/>
      <c r="E1371" s="104"/>
      <c r="F1371" s="104"/>
      <c r="G1371" s="105"/>
      <c r="H1371" s="87" t="e">
        <f>H1360+H1365+H1370</f>
        <v>#REF!</v>
      </c>
      <c r="I1371" s="105"/>
      <c r="J1371" s="87" t="e">
        <f>J1360+J1365+J1370</f>
        <v>#REF!</v>
      </c>
      <c r="K1371" s="105"/>
      <c r="L1371" s="87" t="e">
        <f>L1360+L1365+L1370</f>
        <v>#REF!</v>
      </c>
    </row>
    <row r="1372" spans="1:12" ht="12" customHeight="1" x14ac:dyDescent="0.35">
      <c r="B1372" s="84" t="s">
        <v>9</v>
      </c>
      <c r="C1372" s="455" t="s">
        <v>427</v>
      </c>
      <c r="D1372" s="455"/>
      <c r="E1372" s="455"/>
      <c r="F1372" s="95" t="str">
        <f>OP</f>
        <v>TANJUNG PALAS TENGAH</v>
      </c>
      <c r="G1372" s="85" t="s">
        <v>428</v>
      </c>
      <c r="H1372" s="87" t="e">
        <f>H1371*F1372</f>
        <v>#REF!</v>
      </c>
      <c r="I1372" s="85" t="s">
        <v>428</v>
      </c>
      <c r="J1372" s="87" t="e">
        <f>J1371*F1372</f>
        <v>#REF!</v>
      </c>
      <c r="K1372" s="85" t="s">
        <v>428</v>
      </c>
      <c r="L1372" s="87" t="e">
        <f>L1371*F1372</f>
        <v>#REF!</v>
      </c>
    </row>
    <row r="1373" spans="1:12" ht="12" customHeight="1" x14ac:dyDescent="0.35">
      <c r="B1373" s="84" t="s">
        <v>10</v>
      </c>
      <c r="C1373" s="103" t="s">
        <v>429</v>
      </c>
      <c r="D1373" s="104"/>
      <c r="E1373" s="104"/>
      <c r="F1373" s="104"/>
      <c r="G1373" s="105"/>
      <c r="H1373" s="96" t="e">
        <f>H1371+H1372</f>
        <v>#REF!</v>
      </c>
      <c r="I1373" s="97"/>
      <c r="J1373" s="96" t="e">
        <f>J1371+J1372</f>
        <v>#REF!</v>
      </c>
      <c r="K1373" s="97"/>
      <c r="L1373" s="96" t="e">
        <f>L1371+L1372</f>
        <v>#REF!</v>
      </c>
    </row>
    <row r="1375" spans="1:12" ht="37" customHeight="1" x14ac:dyDescent="0.35">
      <c r="B1375" s="76" t="s">
        <v>612</v>
      </c>
      <c r="C1375" s="458" t="s">
        <v>613</v>
      </c>
      <c r="D1375" s="459"/>
      <c r="E1375" s="459"/>
      <c r="F1375" s="459"/>
      <c r="G1375" s="456"/>
      <c r="H1375" s="457"/>
      <c r="I1375" s="455" t="s">
        <v>3</v>
      </c>
      <c r="J1375" s="455"/>
      <c r="K1375" s="455" t="s">
        <v>4</v>
      </c>
      <c r="L1375" s="455"/>
    </row>
    <row r="1376" spans="1:12" ht="12" customHeight="1" x14ac:dyDescent="0.35">
      <c r="B1376" s="451" t="s">
        <v>409</v>
      </c>
      <c r="C1376" s="451" t="s">
        <v>410</v>
      </c>
      <c r="D1376" s="452" t="s">
        <v>411</v>
      </c>
      <c r="E1376" s="451" t="s">
        <v>412</v>
      </c>
      <c r="F1376" s="451" t="s">
        <v>413</v>
      </c>
      <c r="G1376" s="77" t="s">
        <v>414</v>
      </c>
      <c r="H1376" s="77" t="s">
        <v>415</v>
      </c>
      <c r="I1376" s="78" t="s">
        <v>414</v>
      </c>
      <c r="J1376" s="79" t="s">
        <v>415</v>
      </c>
      <c r="K1376" s="79" t="s">
        <v>414</v>
      </c>
      <c r="L1376" s="79" t="s">
        <v>415</v>
      </c>
    </row>
    <row r="1377" spans="1:12" ht="12" customHeight="1" x14ac:dyDescent="0.35">
      <c r="B1377" s="451"/>
      <c r="C1377" s="451"/>
      <c r="D1377" s="453"/>
      <c r="E1377" s="451"/>
      <c r="F1377" s="451"/>
      <c r="G1377" s="77" t="s">
        <v>17</v>
      </c>
      <c r="H1377" s="77" t="s">
        <v>416</v>
      </c>
      <c r="I1377" s="78" t="s">
        <v>17</v>
      </c>
      <c r="J1377" s="79" t="s">
        <v>416</v>
      </c>
      <c r="K1377" s="79" t="s">
        <v>17</v>
      </c>
      <c r="L1377" s="79" t="s">
        <v>416</v>
      </c>
    </row>
    <row r="1378" spans="1:12" ht="12" customHeight="1" x14ac:dyDescent="0.35">
      <c r="B1378" s="451"/>
      <c r="C1378" s="451"/>
      <c r="D1378" s="454"/>
      <c r="E1378" s="451"/>
      <c r="F1378" s="451"/>
      <c r="G1378" s="106"/>
      <c r="H1378" s="77" t="s">
        <v>17</v>
      </c>
      <c r="I1378" s="94"/>
      <c r="J1378" s="79" t="s">
        <v>17</v>
      </c>
      <c r="K1378" s="85"/>
      <c r="L1378" s="79" t="s">
        <v>17</v>
      </c>
    </row>
    <row r="1379" spans="1:12" ht="12" customHeight="1" x14ac:dyDescent="0.35">
      <c r="B1379" s="80" t="s">
        <v>5</v>
      </c>
      <c r="C1379" s="81" t="s">
        <v>417</v>
      </c>
      <c r="D1379" s="82"/>
      <c r="E1379" s="82"/>
      <c r="F1379" s="82"/>
      <c r="G1379" s="82"/>
      <c r="H1379" s="82"/>
      <c r="I1379" s="83"/>
      <c r="J1379" s="83"/>
      <c r="K1379" s="83"/>
      <c r="L1379" s="83"/>
    </row>
    <row r="1380" spans="1:12" ht="12" customHeight="1" x14ac:dyDescent="0.35">
      <c r="A1380" s="134">
        <v>10131000</v>
      </c>
      <c r="B1380" s="84"/>
      <c r="C1380" s="85" t="str">
        <f>VLOOKUP(A1380,'DAFTAR HARGA'!A:D,3,FALSE)</f>
        <v>OJ</v>
      </c>
      <c r="D1380" s="84" t="s">
        <v>418</v>
      </c>
      <c r="E1380" s="84">
        <f>VLOOKUP(A1380,'DAFTAR HARGA'!A:D,4,FALSE)</f>
        <v>14375</v>
      </c>
      <c r="F1380" s="128">
        <v>5.2699999999999997E-2</v>
      </c>
      <c r="G1380" s="87" t="e">
        <f>VLOOKUP(A1380,'DAFTAR HARGA'!A:D,5,FALSE)</f>
        <v>#REF!</v>
      </c>
      <c r="H1380" s="87" t="e">
        <f>F1380*G1380</f>
        <v>#REF!</v>
      </c>
      <c r="I1380" s="87">
        <v>91500</v>
      </c>
      <c r="J1380" s="87">
        <f>F1380*I1380</f>
        <v>4822.0499999999993</v>
      </c>
      <c r="K1380" s="87">
        <v>91500</v>
      </c>
      <c r="L1380" s="87">
        <f>F1380*K1380</f>
        <v>4822.0499999999993</v>
      </c>
    </row>
    <row r="1381" spans="1:12" ht="12" customHeight="1" x14ac:dyDescent="0.35">
      <c r="A1381" s="134">
        <v>10111000</v>
      </c>
      <c r="B1381" s="84"/>
      <c r="C1381" s="85" t="str">
        <f>VLOOKUP(A1381,'DAFTAR HARGA'!A:D,3,FALSE)</f>
        <v>OJ</v>
      </c>
      <c r="D1381" s="84" t="s">
        <v>418</v>
      </c>
      <c r="E1381" s="84">
        <f>VLOOKUP(A1381,'DAFTAR HARGA'!A:D,4,FALSE)</f>
        <v>18750</v>
      </c>
      <c r="F1381" s="128">
        <f>F1380/10</f>
        <v>5.2699999999999995E-3</v>
      </c>
      <c r="G1381" s="87" t="e">
        <f>VLOOKUP(A1381,'DAFTAR HARGA'!A:D,5,FALSE)</f>
        <v>#REF!</v>
      </c>
      <c r="H1381" s="87" t="e">
        <f>F1381*G1381</f>
        <v>#REF!</v>
      </c>
      <c r="I1381" s="87"/>
      <c r="J1381" s="87"/>
      <c r="K1381" s="87"/>
      <c r="L1381" s="87"/>
    </row>
    <row r="1382" spans="1:12" ht="12" customHeight="1" x14ac:dyDescent="0.35">
      <c r="B1382" s="84"/>
      <c r="C1382" s="85"/>
      <c r="D1382" s="84"/>
      <c r="E1382" s="84"/>
      <c r="F1382" s="128"/>
      <c r="G1382" s="87"/>
      <c r="H1382" s="87">
        <f>F1382*G1382</f>
        <v>0</v>
      </c>
      <c r="I1382" s="87">
        <v>78600</v>
      </c>
      <c r="J1382" s="87">
        <f>F1382*I1382</f>
        <v>0</v>
      </c>
      <c r="K1382" s="87">
        <v>78600</v>
      </c>
      <c r="L1382" s="87">
        <f>F1382*K1382</f>
        <v>0</v>
      </c>
    </row>
    <row r="1383" spans="1:12" ht="12" customHeight="1" x14ac:dyDescent="0.35">
      <c r="B1383" s="84"/>
      <c r="C1383" s="85"/>
      <c r="D1383" s="84"/>
      <c r="E1383" s="84"/>
      <c r="F1383" s="86"/>
      <c r="G1383" s="87"/>
      <c r="H1383" s="87">
        <f>F1383*G1383</f>
        <v>0</v>
      </c>
      <c r="I1383" s="87">
        <v>92500</v>
      </c>
      <c r="J1383" s="87">
        <f>F1383*I1383</f>
        <v>0</v>
      </c>
      <c r="K1383" s="87">
        <v>92500</v>
      </c>
      <c r="L1383" s="87">
        <f>F1383*K1383</f>
        <v>0</v>
      </c>
    </row>
    <row r="1384" spans="1:12" ht="12" customHeight="1" x14ac:dyDescent="0.35">
      <c r="B1384" s="84"/>
      <c r="C1384" s="85"/>
      <c r="D1384" s="84"/>
      <c r="E1384" s="84"/>
      <c r="F1384" s="86"/>
      <c r="G1384" s="87"/>
      <c r="H1384" s="87"/>
      <c r="I1384" s="87"/>
      <c r="J1384" s="87"/>
      <c r="K1384" s="87"/>
      <c r="L1384" s="87"/>
    </row>
    <row r="1385" spans="1:12" ht="12" customHeight="1" x14ac:dyDescent="0.35">
      <c r="B1385" s="84"/>
      <c r="C1385" s="88"/>
      <c r="D1385" s="79"/>
      <c r="E1385" s="79"/>
      <c r="F1385" s="89" t="s">
        <v>421</v>
      </c>
      <c r="G1385" s="101"/>
      <c r="H1385" s="87" t="e">
        <f>SUM(H1380:H1384)</f>
        <v>#REF!</v>
      </c>
      <c r="I1385" s="101"/>
      <c r="J1385" s="87">
        <f>SUM(J1382:J1384)</f>
        <v>0</v>
      </c>
      <c r="K1385" s="101"/>
      <c r="L1385" s="87">
        <f>SUM(L1382:L1384)</f>
        <v>0</v>
      </c>
    </row>
    <row r="1386" spans="1:12" ht="12" customHeight="1" x14ac:dyDescent="0.35">
      <c r="B1386" s="84" t="s">
        <v>6</v>
      </c>
      <c r="C1386" s="88" t="s">
        <v>422</v>
      </c>
      <c r="D1386" s="79"/>
      <c r="E1386" s="79"/>
      <c r="F1386" s="90"/>
      <c r="G1386" s="84"/>
      <c r="H1386" s="87"/>
      <c r="I1386" s="84"/>
      <c r="J1386" s="87"/>
      <c r="K1386" s="84"/>
      <c r="L1386" s="87"/>
    </row>
    <row r="1387" spans="1:12" ht="12" customHeight="1" x14ac:dyDescent="0.35">
      <c r="B1387" s="84"/>
      <c r="C1387" s="85"/>
      <c r="D1387" s="84"/>
      <c r="E1387" s="84"/>
      <c r="F1387" s="128"/>
      <c r="G1387" s="87"/>
      <c r="H1387" s="87">
        <f>F1387*G1387</f>
        <v>0</v>
      </c>
      <c r="I1387" s="87">
        <v>232500</v>
      </c>
      <c r="J1387" s="87">
        <f>F1387*I1387</f>
        <v>0</v>
      </c>
      <c r="K1387" s="87">
        <v>270000</v>
      </c>
      <c r="L1387" s="87">
        <f>F1387*K1387</f>
        <v>0</v>
      </c>
    </row>
    <row r="1388" spans="1:12" ht="12" customHeight="1" x14ac:dyDescent="0.35">
      <c r="B1388" s="84"/>
      <c r="C1388" s="88"/>
      <c r="D1388" s="79"/>
      <c r="E1388" s="84"/>
      <c r="F1388" s="102"/>
      <c r="G1388" s="87"/>
      <c r="H1388" s="87">
        <f>F1388*G1388</f>
        <v>0</v>
      </c>
      <c r="I1388" s="87">
        <v>1060</v>
      </c>
      <c r="J1388" s="87">
        <f>F1388*I1388</f>
        <v>0</v>
      </c>
      <c r="K1388" s="87">
        <v>1060</v>
      </c>
      <c r="L1388" s="87">
        <f>F1388*K1388</f>
        <v>0</v>
      </c>
    </row>
    <row r="1389" spans="1:12" ht="12" customHeight="1" x14ac:dyDescent="0.35">
      <c r="B1389" s="84"/>
      <c r="C1389" s="88"/>
      <c r="D1389" s="79"/>
      <c r="E1389" s="84"/>
      <c r="F1389" s="102"/>
      <c r="G1389" s="87"/>
      <c r="H1389" s="87">
        <f>F1389*G1389</f>
        <v>0</v>
      </c>
      <c r="I1389" s="87">
        <v>215000</v>
      </c>
      <c r="J1389" s="87">
        <f>F1389*I1389</f>
        <v>0</v>
      </c>
      <c r="K1389" s="87">
        <v>250000</v>
      </c>
      <c r="L1389" s="87">
        <f>F1389*K1389</f>
        <v>0</v>
      </c>
    </row>
    <row r="1390" spans="1:12" ht="12" customHeight="1" x14ac:dyDescent="0.35">
      <c r="B1390" s="84"/>
      <c r="C1390" s="88"/>
      <c r="D1390" s="79"/>
      <c r="E1390" s="79"/>
      <c r="F1390" s="89"/>
      <c r="G1390" s="101"/>
      <c r="H1390" s="87">
        <f>SUM(H1387:H1389)</f>
        <v>0</v>
      </c>
      <c r="I1390" s="101"/>
      <c r="J1390" s="87">
        <f>SUM(J1387:J1389)</f>
        <v>0</v>
      </c>
      <c r="K1390" s="101"/>
      <c r="L1390" s="87">
        <f>SUM(L1387:L1389)</f>
        <v>0</v>
      </c>
    </row>
    <row r="1391" spans="1:12" ht="12" customHeight="1" x14ac:dyDescent="0.35">
      <c r="B1391" s="84" t="s">
        <v>7</v>
      </c>
      <c r="C1391" s="88" t="s">
        <v>424</v>
      </c>
      <c r="D1391" s="79"/>
      <c r="E1391" s="79"/>
      <c r="F1391" s="90"/>
      <c r="G1391" s="84"/>
      <c r="H1391" s="87"/>
      <c r="I1391" s="84"/>
      <c r="J1391" s="87"/>
      <c r="K1391" s="84"/>
      <c r="L1391" s="87"/>
    </row>
    <row r="1392" spans="1:12" ht="12" customHeight="1" x14ac:dyDescent="0.35">
      <c r="A1392" s="134" t="s">
        <v>572</v>
      </c>
      <c r="B1392" s="84"/>
      <c r="C1392" s="85" t="str">
        <f>VLOOKUP(A1392,'DAFTAR HARGA'!A:D,3,FALSE)</f>
        <v>jam</v>
      </c>
      <c r="D1392" s="84" t="s">
        <v>418</v>
      </c>
      <c r="E1392" s="84">
        <f>VLOOKUP(A1392,'DAFTAR HARGA'!A:D,4,FALSE)</f>
        <v>290400</v>
      </c>
      <c r="F1392" s="128">
        <v>5.2699999999999997E-2</v>
      </c>
      <c r="G1392" s="87" t="e">
        <f>VLOOKUP(A1392,'DAFTAR HARGA'!A:D,5,FALSE)</f>
        <v>#REF!</v>
      </c>
      <c r="H1392" s="87" t="e">
        <f>F1392*G1392</f>
        <v>#REF!</v>
      </c>
      <c r="I1392" s="87"/>
      <c r="J1392" s="87" t="e">
        <f>H1392*I1392</f>
        <v>#REF!</v>
      </c>
      <c r="K1392" s="87"/>
      <c r="L1392" s="87" t="e">
        <f>J1392*K1392</f>
        <v>#REF!</v>
      </c>
    </row>
    <row r="1393" spans="1:12" ht="12" customHeight="1" x14ac:dyDescent="0.35">
      <c r="B1393" s="84"/>
      <c r="C1393" s="85"/>
      <c r="D1393" s="84"/>
      <c r="E1393" s="84"/>
      <c r="F1393" s="128"/>
      <c r="G1393" s="87"/>
      <c r="H1393" s="87">
        <f>F1393*G1393</f>
        <v>0</v>
      </c>
      <c r="I1393" s="87"/>
      <c r="J1393" s="87"/>
      <c r="K1393" s="87"/>
      <c r="L1393" s="87"/>
    </row>
    <row r="1394" spans="1:12" ht="12" customHeight="1" x14ac:dyDescent="0.35">
      <c r="B1394" s="84"/>
      <c r="C1394" s="85"/>
      <c r="D1394" s="84"/>
      <c r="E1394" s="84"/>
      <c r="F1394" s="128"/>
      <c r="G1394" s="87"/>
      <c r="H1394" s="87">
        <f>F1394*G1394</f>
        <v>0</v>
      </c>
      <c r="I1394" s="87"/>
      <c r="J1394" s="87"/>
      <c r="K1394" s="87"/>
      <c r="L1394" s="87"/>
    </row>
    <row r="1395" spans="1:12" ht="12" customHeight="1" x14ac:dyDescent="0.35">
      <c r="B1395" s="84"/>
      <c r="C1395" s="88"/>
      <c r="D1395" s="79"/>
      <c r="E1395" s="79"/>
      <c r="F1395" s="89" t="s">
        <v>425</v>
      </c>
      <c r="G1395" s="101"/>
      <c r="H1395" s="87" t="e">
        <f>SUM(H1392:H1394)</f>
        <v>#REF!</v>
      </c>
      <c r="I1395" s="101"/>
      <c r="J1395" s="87" t="e">
        <f>SUM(J1392)</f>
        <v>#REF!</v>
      </c>
      <c r="K1395" s="101"/>
      <c r="L1395" s="87" t="e">
        <f>SUM(L1392)</f>
        <v>#REF!</v>
      </c>
    </row>
    <row r="1396" spans="1:12" ht="12" customHeight="1" x14ac:dyDescent="0.35">
      <c r="B1396" s="84" t="s">
        <v>8</v>
      </c>
      <c r="C1396" s="103" t="s">
        <v>426</v>
      </c>
      <c r="D1396" s="104"/>
      <c r="E1396" s="104"/>
      <c r="F1396" s="104"/>
      <c r="G1396" s="105"/>
      <c r="H1396" s="87" t="e">
        <f>H1385+H1390+H1395</f>
        <v>#REF!</v>
      </c>
      <c r="I1396" s="105"/>
      <c r="J1396" s="87" t="e">
        <f>J1385+J1390+J1395</f>
        <v>#REF!</v>
      </c>
      <c r="K1396" s="105"/>
      <c r="L1396" s="87" t="e">
        <f>L1385+L1390+L1395</f>
        <v>#REF!</v>
      </c>
    </row>
    <row r="1397" spans="1:12" ht="12" customHeight="1" x14ac:dyDescent="0.35">
      <c r="B1397" s="84" t="s">
        <v>9</v>
      </c>
      <c r="C1397" s="455" t="s">
        <v>427</v>
      </c>
      <c r="D1397" s="455"/>
      <c r="E1397" s="455"/>
      <c r="F1397" s="95" t="str">
        <f>OP</f>
        <v>TANJUNG PALAS TENGAH</v>
      </c>
      <c r="G1397" s="85" t="s">
        <v>428</v>
      </c>
      <c r="H1397" s="87" t="e">
        <f>H1396*F1397</f>
        <v>#REF!</v>
      </c>
      <c r="I1397" s="85" t="s">
        <v>428</v>
      </c>
      <c r="J1397" s="87" t="e">
        <f>J1396*F1397</f>
        <v>#REF!</v>
      </c>
      <c r="K1397" s="85" t="s">
        <v>428</v>
      </c>
      <c r="L1397" s="87" t="e">
        <f>L1396*F1397</f>
        <v>#REF!</v>
      </c>
    </row>
    <row r="1398" spans="1:12" ht="12" customHeight="1" x14ac:dyDescent="0.35">
      <c r="B1398" s="84" t="s">
        <v>10</v>
      </c>
      <c r="C1398" s="103" t="s">
        <v>429</v>
      </c>
      <c r="D1398" s="104"/>
      <c r="E1398" s="104"/>
      <c r="F1398" s="104"/>
      <c r="G1398" s="105"/>
      <c r="H1398" s="96" t="e">
        <f>H1396+H1397</f>
        <v>#REF!</v>
      </c>
      <c r="I1398" s="97"/>
      <c r="J1398" s="96" t="e">
        <f>J1396+J1397</f>
        <v>#REF!</v>
      </c>
      <c r="K1398" s="97"/>
      <c r="L1398" s="96" t="e">
        <f>L1396+L1397</f>
        <v>#REF!</v>
      </c>
    </row>
    <row r="1400" spans="1:12" ht="37" customHeight="1" x14ac:dyDescent="0.35">
      <c r="B1400" s="76" t="s">
        <v>614</v>
      </c>
      <c r="C1400" s="458" t="s">
        <v>615</v>
      </c>
      <c r="D1400" s="459"/>
      <c r="E1400" s="459"/>
      <c r="F1400" s="459"/>
      <c r="G1400" s="456"/>
      <c r="H1400" s="457"/>
      <c r="I1400" s="455" t="s">
        <v>3</v>
      </c>
      <c r="J1400" s="455"/>
      <c r="K1400" s="455" t="s">
        <v>4</v>
      </c>
      <c r="L1400" s="455"/>
    </row>
    <row r="1401" spans="1:12" ht="12" customHeight="1" x14ac:dyDescent="0.35">
      <c r="B1401" s="451" t="s">
        <v>409</v>
      </c>
      <c r="C1401" s="451" t="s">
        <v>410</v>
      </c>
      <c r="D1401" s="452" t="s">
        <v>411</v>
      </c>
      <c r="E1401" s="451" t="s">
        <v>412</v>
      </c>
      <c r="F1401" s="451" t="s">
        <v>413</v>
      </c>
      <c r="G1401" s="77" t="s">
        <v>414</v>
      </c>
      <c r="H1401" s="77" t="s">
        <v>415</v>
      </c>
      <c r="I1401" s="78" t="s">
        <v>414</v>
      </c>
      <c r="J1401" s="79" t="s">
        <v>415</v>
      </c>
      <c r="K1401" s="79" t="s">
        <v>414</v>
      </c>
      <c r="L1401" s="79" t="s">
        <v>415</v>
      </c>
    </row>
    <row r="1402" spans="1:12" ht="12" customHeight="1" x14ac:dyDescent="0.35">
      <c r="B1402" s="451"/>
      <c r="C1402" s="451"/>
      <c r="D1402" s="453"/>
      <c r="E1402" s="451"/>
      <c r="F1402" s="451"/>
      <c r="G1402" s="77" t="s">
        <v>17</v>
      </c>
      <c r="H1402" s="77" t="s">
        <v>416</v>
      </c>
      <c r="I1402" s="78" t="s">
        <v>17</v>
      </c>
      <c r="J1402" s="79" t="s">
        <v>416</v>
      </c>
      <c r="K1402" s="79" t="s">
        <v>17</v>
      </c>
      <c r="L1402" s="79" t="s">
        <v>416</v>
      </c>
    </row>
    <row r="1403" spans="1:12" ht="12" customHeight="1" x14ac:dyDescent="0.35">
      <c r="B1403" s="451"/>
      <c r="C1403" s="451"/>
      <c r="D1403" s="454"/>
      <c r="E1403" s="451"/>
      <c r="F1403" s="451"/>
      <c r="G1403" s="106"/>
      <c r="H1403" s="77" t="s">
        <v>17</v>
      </c>
      <c r="I1403" s="94"/>
      <c r="J1403" s="79" t="s">
        <v>17</v>
      </c>
      <c r="K1403" s="85"/>
      <c r="L1403" s="79" t="s">
        <v>17</v>
      </c>
    </row>
    <row r="1404" spans="1:12" ht="12" customHeight="1" x14ac:dyDescent="0.35">
      <c r="B1404" s="80" t="s">
        <v>5</v>
      </c>
      <c r="C1404" s="81" t="s">
        <v>417</v>
      </c>
      <c r="D1404" s="82"/>
      <c r="E1404" s="82"/>
      <c r="F1404" s="82"/>
      <c r="G1404" s="82"/>
      <c r="H1404" s="82"/>
      <c r="I1404" s="83"/>
      <c r="J1404" s="83"/>
      <c r="K1404" s="83"/>
      <c r="L1404" s="83"/>
    </row>
    <row r="1405" spans="1:12" ht="12" customHeight="1" x14ac:dyDescent="0.35">
      <c r="A1405" s="134">
        <v>10131000</v>
      </c>
      <c r="B1405" s="84"/>
      <c r="C1405" s="85" t="str">
        <f>VLOOKUP(A1405,'DAFTAR HARGA'!A:D,3,FALSE)</f>
        <v>OJ</v>
      </c>
      <c r="D1405" s="84" t="s">
        <v>418</v>
      </c>
      <c r="E1405" s="84">
        <f>VLOOKUP(A1405,'DAFTAR HARGA'!A:D,4,FALSE)</f>
        <v>14375</v>
      </c>
      <c r="F1405" s="128">
        <v>2.7099999999999999E-2</v>
      </c>
      <c r="G1405" s="87" t="e">
        <f>VLOOKUP(A1405,'DAFTAR HARGA'!A:D,5,FALSE)</f>
        <v>#REF!</v>
      </c>
      <c r="H1405" s="87" t="e">
        <f>F1405*G1405</f>
        <v>#REF!</v>
      </c>
      <c r="I1405" s="87">
        <v>91500</v>
      </c>
      <c r="J1405" s="87">
        <f>F1405*I1405</f>
        <v>2479.65</v>
      </c>
      <c r="K1405" s="87">
        <v>91500</v>
      </c>
      <c r="L1405" s="87">
        <f>F1405*K1405</f>
        <v>2479.65</v>
      </c>
    </row>
    <row r="1406" spans="1:12" ht="12" customHeight="1" x14ac:dyDescent="0.35">
      <c r="A1406" s="134">
        <v>10111000</v>
      </c>
      <c r="B1406" s="84"/>
      <c r="C1406" s="85" t="str">
        <f>VLOOKUP(A1406,'DAFTAR HARGA'!A:D,3,FALSE)</f>
        <v>OJ</v>
      </c>
      <c r="D1406" s="84" t="s">
        <v>418</v>
      </c>
      <c r="E1406" s="84">
        <f>VLOOKUP(A1406,'DAFTAR HARGA'!A:D,4,FALSE)</f>
        <v>18750</v>
      </c>
      <c r="F1406" s="128">
        <f>F1405/10</f>
        <v>2.7099999999999997E-3</v>
      </c>
      <c r="G1406" s="87" t="e">
        <f>VLOOKUP(A1406,'DAFTAR HARGA'!A:D,5,FALSE)</f>
        <v>#REF!</v>
      </c>
      <c r="H1406" s="87" t="e">
        <f>F1406*G1406</f>
        <v>#REF!</v>
      </c>
      <c r="I1406" s="87"/>
      <c r="J1406" s="87"/>
      <c r="K1406" s="87"/>
      <c r="L1406" s="87"/>
    </row>
    <row r="1407" spans="1:12" ht="12" customHeight="1" x14ac:dyDescent="0.35">
      <c r="B1407" s="84"/>
      <c r="C1407" s="85"/>
      <c r="D1407" s="84"/>
      <c r="E1407" s="84"/>
      <c r="F1407" s="128"/>
      <c r="G1407" s="87"/>
      <c r="H1407" s="87">
        <f>F1407*G1407</f>
        <v>0</v>
      </c>
      <c r="I1407" s="87">
        <v>78600</v>
      </c>
      <c r="J1407" s="87">
        <f>F1407*I1407</f>
        <v>0</v>
      </c>
      <c r="K1407" s="87">
        <v>78600</v>
      </c>
      <c r="L1407" s="87">
        <f>F1407*K1407</f>
        <v>0</v>
      </c>
    </row>
    <row r="1408" spans="1:12" ht="12" customHeight="1" x14ac:dyDescent="0.35">
      <c r="B1408" s="84"/>
      <c r="C1408" s="85"/>
      <c r="D1408" s="84"/>
      <c r="E1408" s="84"/>
      <c r="F1408" s="86"/>
      <c r="G1408" s="87"/>
      <c r="H1408" s="87">
        <f>F1408*G1408</f>
        <v>0</v>
      </c>
      <c r="I1408" s="87">
        <v>92500</v>
      </c>
      <c r="J1408" s="87">
        <f>F1408*I1408</f>
        <v>0</v>
      </c>
      <c r="K1408" s="87">
        <v>92500</v>
      </c>
      <c r="L1408" s="87">
        <f>F1408*K1408</f>
        <v>0</v>
      </c>
    </row>
    <row r="1409" spans="1:12" ht="12" customHeight="1" x14ac:dyDescent="0.35">
      <c r="B1409" s="84"/>
      <c r="C1409" s="85"/>
      <c r="D1409" s="84"/>
      <c r="E1409" s="84"/>
      <c r="F1409" s="86"/>
      <c r="G1409" s="87"/>
      <c r="H1409" s="87"/>
      <c r="I1409" s="87"/>
      <c r="J1409" s="87"/>
      <c r="K1409" s="87"/>
      <c r="L1409" s="87"/>
    </row>
    <row r="1410" spans="1:12" ht="12" customHeight="1" x14ac:dyDescent="0.35">
      <c r="B1410" s="84"/>
      <c r="C1410" s="88"/>
      <c r="D1410" s="79"/>
      <c r="E1410" s="79"/>
      <c r="F1410" s="89" t="s">
        <v>421</v>
      </c>
      <c r="G1410" s="101"/>
      <c r="H1410" s="87" t="e">
        <f>SUM(H1405:H1409)</f>
        <v>#REF!</v>
      </c>
      <c r="I1410" s="101"/>
      <c r="J1410" s="87">
        <f>SUM(J1407:J1409)</f>
        <v>0</v>
      </c>
      <c r="K1410" s="101"/>
      <c r="L1410" s="87">
        <f>SUM(L1407:L1409)</f>
        <v>0</v>
      </c>
    </row>
    <row r="1411" spans="1:12" ht="12" customHeight="1" x14ac:dyDescent="0.35">
      <c r="B1411" s="84" t="s">
        <v>6</v>
      </c>
      <c r="C1411" s="88" t="s">
        <v>422</v>
      </c>
      <c r="D1411" s="79"/>
      <c r="E1411" s="79"/>
      <c r="F1411" s="90"/>
      <c r="G1411" s="84"/>
      <c r="H1411" s="87"/>
      <c r="I1411" s="84"/>
      <c r="J1411" s="87"/>
      <c r="K1411" s="84"/>
      <c r="L1411" s="87"/>
    </row>
    <row r="1412" spans="1:12" ht="12" customHeight="1" x14ac:dyDescent="0.35">
      <c r="B1412" s="84"/>
      <c r="C1412" s="85"/>
      <c r="D1412" s="84"/>
      <c r="E1412" s="84"/>
      <c r="F1412" s="128"/>
      <c r="G1412" s="87"/>
      <c r="H1412" s="87">
        <f>F1412*G1412</f>
        <v>0</v>
      </c>
      <c r="I1412" s="87">
        <v>232500</v>
      </c>
      <c r="J1412" s="87">
        <f>F1412*I1412</f>
        <v>0</v>
      </c>
      <c r="K1412" s="87">
        <v>270000</v>
      </c>
      <c r="L1412" s="87">
        <f>F1412*K1412</f>
        <v>0</v>
      </c>
    </row>
    <row r="1413" spans="1:12" ht="12" customHeight="1" x14ac:dyDescent="0.35">
      <c r="B1413" s="84"/>
      <c r="C1413" s="88"/>
      <c r="D1413" s="79"/>
      <c r="E1413" s="84"/>
      <c r="F1413" s="102"/>
      <c r="G1413" s="87"/>
      <c r="H1413" s="87">
        <f>F1413*G1413</f>
        <v>0</v>
      </c>
      <c r="I1413" s="87">
        <v>1060</v>
      </c>
      <c r="J1413" s="87">
        <f>F1413*I1413</f>
        <v>0</v>
      </c>
      <c r="K1413" s="87">
        <v>1060</v>
      </c>
      <c r="L1413" s="87">
        <f>F1413*K1413</f>
        <v>0</v>
      </c>
    </row>
    <row r="1414" spans="1:12" ht="12" customHeight="1" x14ac:dyDescent="0.35">
      <c r="B1414" s="84"/>
      <c r="C1414" s="88"/>
      <c r="D1414" s="79"/>
      <c r="E1414" s="84"/>
      <c r="F1414" s="102"/>
      <c r="G1414" s="87"/>
      <c r="H1414" s="87">
        <f>F1414*G1414</f>
        <v>0</v>
      </c>
      <c r="I1414" s="87">
        <v>215000</v>
      </c>
      <c r="J1414" s="87">
        <f>F1414*I1414</f>
        <v>0</v>
      </c>
      <c r="K1414" s="87">
        <v>250000</v>
      </c>
      <c r="L1414" s="87">
        <f>F1414*K1414</f>
        <v>0</v>
      </c>
    </row>
    <row r="1415" spans="1:12" ht="12" customHeight="1" x14ac:dyDescent="0.35">
      <c r="B1415" s="84"/>
      <c r="C1415" s="88"/>
      <c r="D1415" s="79"/>
      <c r="E1415" s="79"/>
      <c r="F1415" s="89"/>
      <c r="G1415" s="101"/>
      <c r="H1415" s="87">
        <f>SUM(H1412:H1414)</f>
        <v>0</v>
      </c>
      <c r="I1415" s="101"/>
      <c r="J1415" s="87">
        <f>SUM(J1412:J1414)</f>
        <v>0</v>
      </c>
      <c r="K1415" s="101"/>
      <c r="L1415" s="87">
        <f>SUM(L1412:L1414)</f>
        <v>0</v>
      </c>
    </row>
    <row r="1416" spans="1:12" ht="12" customHeight="1" x14ac:dyDescent="0.35">
      <c r="B1416" s="84" t="s">
        <v>7</v>
      </c>
      <c r="C1416" s="88" t="s">
        <v>424</v>
      </c>
      <c r="D1416" s="79"/>
      <c r="E1416" s="79"/>
      <c r="F1416" s="90"/>
      <c r="G1416" s="84"/>
      <c r="H1416" s="87"/>
      <c r="I1416" s="84"/>
      <c r="J1416" s="87"/>
      <c r="K1416" s="84"/>
      <c r="L1416" s="87"/>
    </row>
    <row r="1417" spans="1:12" ht="12" customHeight="1" x14ac:dyDescent="0.35">
      <c r="A1417" s="134">
        <v>31100008</v>
      </c>
      <c r="B1417" s="84"/>
      <c r="C1417" s="85" t="str">
        <f>VLOOKUP(A1417,'DAFTAR HARGA'!A:D,3,FALSE)</f>
        <v>jam</v>
      </c>
      <c r="D1417" s="84" t="s">
        <v>418</v>
      </c>
      <c r="E1417" s="84">
        <f>VLOOKUP(A1417,'DAFTAR HARGA'!A:D,4,FALSE)</f>
        <v>449000</v>
      </c>
      <c r="F1417" s="128">
        <v>1.3599999999999999E-2</v>
      </c>
      <c r="G1417" s="87" t="e">
        <f>VLOOKUP(A1417,'DAFTAR HARGA'!A:D,5,FALSE)</f>
        <v>#REF!</v>
      </c>
      <c r="H1417" s="87" t="e">
        <f>F1417*G1417</f>
        <v>#REF!</v>
      </c>
      <c r="I1417" s="87"/>
      <c r="J1417" s="87" t="e">
        <f>H1417*I1417</f>
        <v>#REF!</v>
      </c>
      <c r="K1417" s="87"/>
      <c r="L1417" s="87" t="e">
        <f>J1417*K1417</f>
        <v>#REF!</v>
      </c>
    </row>
    <row r="1418" spans="1:12" ht="12" customHeight="1" x14ac:dyDescent="0.35">
      <c r="B1418" s="84"/>
      <c r="C1418" s="85"/>
      <c r="D1418" s="84"/>
      <c r="E1418" s="84"/>
      <c r="F1418" s="128"/>
      <c r="G1418" s="87"/>
      <c r="H1418" s="87">
        <f>F1418*G1418</f>
        <v>0</v>
      </c>
      <c r="I1418" s="87"/>
      <c r="J1418" s="87"/>
      <c r="K1418" s="87"/>
      <c r="L1418" s="87"/>
    </row>
    <row r="1419" spans="1:12" ht="12" customHeight="1" x14ac:dyDescent="0.35">
      <c r="B1419" s="84"/>
      <c r="C1419" s="85"/>
      <c r="D1419" s="84"/>
      <c r="E1419" s="84"/>
      <c r="F1419" s="128"/>
      <c r="G1419" s="87"/>
      <c r="H1419" s="87">
        <f>F1419*G1419</f>
        <v>0</v>
      </c>
      <c r="I1419" s="87"/>
      <c r="J1419" s="87"/>
      <c r="K1419" s="87"/>
      <c r="L1419" s="87"/>
    </row>
    <row r="1420" spans="1:12" ht="12" customHeight="1" x14ac:dyDescent="0.35">
      <c r="B1420" s="84"/>
      <c r="C1420" s="88"/>
      <c r="D1420" s="79"/>
      <c r="E1420" s="79"/>
      <c r="F1420" s="89" t="s">
        <v>425</v>
      </c>
      <c r="G1420" s="101"/>
      <c r="H1420" s="87" t="e">
        <f>SUM(H1417:H1419)</f>
        <v>#REF!</v>
      </c>
      <c r="I1420" s="101"/>
      <c r="J1420" s="87" t="e">
        <f>SUM(J1417)</f>
        <v>#REF!</v>
      </c>
      <c r="K1420" s="101"/>
      <c r="L1420" s="87" t="e">
        <f>SUM(L1417)</f>
        <v>#REF!</v>
      </c>
    </row>
    <row r="1421" spans="1:12" ht="12" customHeight="1" x14ac:dyDescent="0.35">
      <c r="B1421" s="84" t="s">
        <v>8</v>
      </c>
      <c r="C1421" s="103" t="s">
        <v>426</v>
      </c>
      <c r="D1421" s="104"/>
      <c r="E1421" s="104"/>
      <c r="F1421" s="104"/>
      <c r="G1421" s="105"/>
      <c r="H1421" s="87" t="e">
        <f>H1410+H1415+H1420</f>
        <v>#REF!</v>
      </c>
      <c r="I1421" s="105"/>
      <c r="J1421" s="87" t="e">
        <f>J1410+J1415+J1420</f>
        <v>#REF!</v>
      </c>
      <c r="K1421" s="105"/>
      <c r="L1421" s="87" t="e">
        <f>L1410+L1415+L1420</f>
        <v>#REF!</v>
      </c>
    </row>
    <row r="1422" spans="1:12" ht="12" customHeight="1" x14ac:dyDescent="0.35">
      <c r="B1422" s="84" t="s">
        <v>9</v>
      </c>
      <c r="C1422" s="455" t="s">
        <v>427</v>
      </c>
      <c r="D1422" s="455"/>
      <c r="E1422" s="455"/>
      <c r="F1422" s="95" t="str">
        <f>OP</f>
        <v>TANJUNG PALAS TENGAH</v>
      </c>
      <c r="G1422" s="85" t="s">
        <v>428</v>
      </c>
      <c r="H1422" s="87" t="e">
        <f>H1421*F1422</f>
        <v>#REF!</v>
      </c>
      <c r="I1422" s="85" t="s">
        <v>428</v>
      </c>
      <c r="J1422" s="87" t="e">
        <f>J1421*F1422</f>
        <v>#REF!</v>
      </c>
      <c r="K1422" s="85" t="s">
        <v>428</v>
      </c>
      <c r="L1422" s="87" t="e">
        <f>L1421*F1422</f>
        <v>#REF!</v>
      </c>
    </row>
    <row r="1423" spans="1:12" ht="12" customHeight="1" x14ac:dyDescent="0.35">
      <c r="B1423" s="84" t="s">
        <v>10</v>
      </c>
      <c r="C1423" s="103" t="s">
        <v>429</v>
      </c>
      <c r="D1423" s="104"/>
      <c r="E1423" s="104"/>
      <c r="F1423" s="104"/>
      <c r="G1423" s="105"/>
      <c r="H1423" s="96" t="e">
        <f>H1421+H1422</f>
        <v>#REF!</v>
      </c>
      <c r="I1423" s="97"/>
      <c r="J1423" s="96" t="e">
        <f>J1421+J1422</f>
        <v>#REF!</v>
      </c>
      <c r="K1423" s="97"/>
      <c r="L1423" s="96" t="e">
        <f>L1421+L1422</f>
        <v>#REF!</v>
      </c>
    </row>
    <row r="1425" spans="1:12" ht="37" customHeight="1" x14ac:dyDescent="0.35">
      <c r="B1425" s="76" t="s">
        <v>617</v>
      </c>
      <c r="C1425" s="458" t="s">
        <v>616</v>
      </c>
      <c r="D1425" s="459"/>
      <c r="E1425" s="459"/>
      <c r="F1425" s="459"/>
      <c r="G1425" s="456"/>
      <c r="H1425" s="457"/>
      <c r="I1425" s="455" t="s">
        <v>3</v>
      </c>
      <c r="J1425" s="455"/>
      <c r="K1425" s="455" t="s">
        <v>4</v>
      </c>
      <c r="L1425" s="455"/>
    </row>
    <row r="1426" spans="1:12" ht="12" customHeight="1" x14ac:dyDescent="0.35">
      <c r="B1426" s="451" t="s">
        <v>409</v>
      </c>
      <c r="C1426" s="451" t="s">
        <v>410</v>
      </c>
      <c r="D1426" s="452" t="s">
        <v>411</v>
      </c>
      <c r="E1426" s="451" t="s">
        <v>412</v>
      </c>
      <c r="F1426" s="451" t="s">
        <v>413</v>
      </c>
      <c r="G1426" s="77" t="s">
        <v>414</v>
      </c>
      <c r="H1426" s="77" t="s">
        <v>415</v>
      </c>
      <c r="I1426" s="78" t="s">
        <v>414</v>
      </c>
      <c r="J1426" s="79" t="s">
        <v>415</v>
      </c>
      <c r="K1426" s="79" t="s">
        <v>414</v>
      </c>
      <c r="L1426" s="79" t="s">
        <v>415</v>
      </c>
    </row>
    <row r="1427" spans="1:12" ht="12" customHeight="1" x14ac:dyDescent="0.35">
      <c r="B1427" s="451"/>
      <c r="C1427" s="451"/>
      <c r="D1427" s="453"/>
      <c r="E1427" s="451"/>
      <c r="F1427" s="451"/>
      <c r="G1427" s="77" t="s">
        <v>17</v>
      </c>
      <c r="H1427" s="77" t="s">
        <v>416</v>
      </c>
      <c r="I1427" s="78" t="s">
        <v>17</v>
      </c>
      <c r="J1427" s="79" t="s">
        <v>416</v>
      </c>
      <c r="K1427" s="79" t="s">
        <v>17</v>
      </c>
      <c r="L1427" s="79" t="s">
        <v>416</v>
      </c>
    </row>
    <row r="1428" spans="1:12" ht="12" customHeight="1" x14ac:dyDescent="0.35">
      <c r="B1428" s="451"/>
      <c r="C1428" s="451"/>
      <c r="D1428" s="454"/>
      <c r="E1428" s="451"/>
      <c r="F1428" s="451"/>
      <c r="G1428" s="106"/>
      <c r="H1428" s="77" t="s">
        <v>17</v>
      </c>
      <c r="I1428" s="94"/>
      <c r="J1428" s="79" t="s">
        <v>17</v>
      </c>
      <c r="K1428" s="85"/>
      <c r="L1428" s="79" t="s">
        <v>17</v>
      </c>
    </row>
    <row r="1429" spans="1:12" ht="12" customHeight="1" x14ac:dyDescent="0.35">
      <c r="B1429" s="80" t="s">
        <v>5</v>
      </c>
      <c r="C1429" s="81" t="s">
        <v>417</v>
      </c>
      <c r="D1429" s="82"/>
      <c r="E1429" s="82"/>
      <c r="F1429" s="82"/>
      <c r="G1429" s="82"/>
      <c r="H1429" s="82"/>
      <c r="I1429" s="83"/>
      <c r="J1429" s="83"/>
      <c r="K1429" s="83"/>
      <c r="L1429" s="83"/>
    </row>
    <row r="1430" spans="1:12" ht="12" customHeight="1" x14ac:dyDescent="0.35">
      <c r="A1430" s="134">
        <v>10131000</v>
      </c>
      <c r="B1430" s="84"/>
      <c r="C1430" s="85" t="str">
        <f>VLOOKUP(A1430,'DAFTAR HARGA'!A:D,3,FALSE)</f>
        <v>OJ</v>
      </c>
      <c r="D1430" s="84" t="s">
        <v>418</v>
      </c>
      <c r="E1430" s="84">
        <f>VLOOKUP(A1430,'DAFTAR HARGA'!A:D,4,FALSE)</f>
        <v>14375</v>
      </c>
      <c r="F1430" s="128">
        <v>4.07E-2</v>
      </c>
      <c r="G1430" s="87" t="e">
        <f>VLOOKUP(A1430,'DAFTAR HARGA'!A:D,5,FALSE)</f>
        <v>#REF!</v>
      </c>
      <c r="H1430" s="87" t="e">
        <f>F1430*G1430</f>
        <v>#REF!</v>
      </c>
      <c r="I1430" s="87">
        <v>91500</v>
      </c>
      <c r="J1430" s="87">
        <f>F1430*I1430</f>
        <v>3724.05</v>
      </c>
      <c r="K1430" s="87">
        <v>91500</v>
      </c>
      <c r="L1430" s="87">
        <f>F1430*K1430</f>
        <v>3724.05</v>
      </c>
    </row>
    <row r="1431" spans="1:12" ht="12" customHeight="1" x14ac:dyDescent="0.35">
      <c r="A1431" s="134">
        <v>10111000</v>
      </c>
      <c r="B1431" s="84"/>
      <c r="C1431" s="85" t="str">
        <f>VLOOKUP(A1431,'DAFTAR HARGA'!A:D,3,FALSE)</f>
        <v>OJ</v>
      </c>
      <c r="D1431" s="84" t="s">
        <v>418</v>
      </c>
      <c r="E1431" s="84">
        <f>VLOOKUP(A1431,'DAFTAR HARGA'!A:D,4,FALSE)</f>
        <v>18750</v>
      </c>
      <c r="F1431" s="128">
        <f>F1430/10</f>
        <v>4.0699999999999998E-3</v>
      </c>
      <c r="G1431" s="87" t="e">
        <f>VLOOKUP(A1431,'DAFTAR HARGA'!A:D,5,FALSE)</f>
        <v>#REF!</v>
      </c>
      <c r="H1431" s="87" t="e">
        <f>F1431*G1431</f>
        <v>#REF!</v>
      </c>
      <c r="I1431" s="87"/>
      <c r="J1431" s="87"/>
      <c r="K1431" s="87"/>
      <c r="L1431" s="87"/>
    </row>
    <row r="1432" spans="1:12" ht="12" customHeight="1" x14ac:dyDescent="0.35">
      <c r="B1432" s="84"/>
      <c r="C1432" s="85"/>
      <c r="D1432" s="84"/>
      <c r="E1432" s="84"/>
      <c r="F1432" s="128"/>
      <c r="G1432" s="87"/>
      <c r="H1432" s="87">
        <f>F1432*G1432</f>
        <v>0</v>
      </c>
      <c r="I1432" s="87">
        <v>78600</v>
      </c>
      <c r="J1432" s="87">
        <f>F1432*I1432</f>
        <v>0</v>
      </c>
      <c r="K1432" s="87">
        <v>78600</v>
      </c>
      <c r="L1432" s="87">
        <f>F1432*K1432</f>
        <v>0</v>
      </c>
    </row>
    <row r="1433" spans="1:12" ht="12" customHeight="1" x14ac:dyDescent="0.35">
      <c r="B1433" s="84"/>
      <c r="C1433" s="85"/>
      <c r="D1433" s="84"/>
      <c r="E1433" s="84"/>
      <c r="F1433" s="86"/>
      <c r="G1433" s="87"/>
      <c r="H1433" s="87">
        <f>F1433*G1433</f>
        <v>0</v>
      </c>
      <c r="I1433" s="87">
        <v>92500</v>
      </c>
      <c r="J1433" s="87">
        <f>F1433*I1433</f>
        <v>0</v>
      </c>
      <c r="K1433" s="87">
        <v>92500</v>
      </c>
      <c r="L1433" s="87">
        <f>F1433*K1433</f>
        <v>0</v>
      </c>
    </row>
    <row r="1434" spans="1:12" ht="12" customHeight="1" x14ac:dyDescent="0.35">
      <c r="B1434" s="84"/>
      <c r="C1434" s="85"/>
      <c r="D1434" s="84"/>
      <c r="E1434" s="84"/>
      <c r="F1434" s="86"/>
      <c r="G1434" s="87"/>
      <c r="H1434" s="87"/>
      <c r="I1434" s="87"/>
      <c r="J1434" s="87"/>
      <c r="K1434" s="87"/>
      <c r="L1434" s="87"/>
    </row>
    <row r="1435" spans="1:12" ht="12" customHeight="1" x14ac:dyDescent="0.35">
      <c r="B1435" s="84"/>
      <c r="C1435" s="88"/>
      <c r="D1435" s="79"/>
      <c r="E1435" s="79"/>
      <c r="F1435" s="89" t="s">
        <v>421</v>
      </c>
      <c r="G1435" s="101"/>
      <c r="H1435" s="87" t="e">
        <f>SUM(H1430:H1434)</f>
        <v>#REF!</v>
      </c>
      <c r="I1435" s="101"/>
      <c r="J1435" s="87">
        <f>SUM(J1432:J1434)</f>
        <v>0</v>
      </c>
      <c r="K1435" s="101"/>
      <c r="L1435" s="87">
        <f>SUM(L1432:L1434)</f>
        <v>0</v>
      </c>
    </row>
    <row r="1436" spans="1:12" ht="12" customHeight="1" x14ac:dyDescent="0.35">
      <c r="B1436" s="84" t="s">
        <v>6</v>
      </c>
      <c r="C1436" s="88" t="s">
        <v>422</v>
      </c>
      <c r="D1436" s="79"/>
      <c r="E1436" s="79"/>
      <c r="F1436" s="90"/>
      <c r="G1436" s="84"/>
      <c r="H1436" s="87"/>
      <c r="I1436" s="84"/>
      <c r="J1436" s="87"/>
      <c r="K1436" s="84"/>
      <c r="L1436" s="87"/>
    </row>
    <row r="1437" spans="1:12" ht="12" customHeight="1" x14ac:dyDescent="0.35">
      <c r="B1437" s="84"/>
      <c r="C1437" s="85"/>
      <c r="D1437" s="84"/>
      <c r="E1437" s="84"/>
      <c r="F1437" s="128"/>
      <c r="G1437" s="87"/>
      <c r="H1437" s="87">
        <f>F1437*G1437</f>
        <v>0</v>
      </c>
      <c r="I1437" s="87">
        <v>232500</v>
      </c>
      <c r="J1437" s="87">
        <f>F1437*I1437</f>
        <v>0</v>
      </c>
      <c r="K1437" s="87">
        <v>270000</v>
      </c>
      <c r="L1437" s="87">
        <f>F1437*K1437</f>
        <v>0</v>
      </c>
    </row>
    <row r="1438" spans="1:12" ht="12" customHeight="1" x14ac:dyDescent="0.35">
      <c r="B1438" s="84"/>
      <c r="C1438" s="88"/>
      <c r="D1438" s="79"/>
      <c r="E1438" s="84"/>
      <c r="F1438" s="102"/>
      <c r="G1438" s="87"/>
      <c r="H1438" s="87">
        <f>F1438*G1438</f>
        <v>0</v>
      </c>
      <c r="I1438" s="87">
        <v>1060</v>
      </c>
      <c r="J1438" s="87">
        <f>F1438*I1438</f>
        <v>0</v>
      </c>
      <c r="K1438" s="87">
        <v>1060</v>
      </c>
      <c r="L1438" s="87">
        <f>F1438*K1438</f>
        <v>0</v>
      </c>
    </row>
    <row r="1439" spans="1:12" ht="12" customHeight="1" x14ac:dyDescent="0.35">
      <c r="B1439" s="84"/>
      <c r="C1439" s="88"/>
      <c r="D1439" s="79"/>
      <c r="E1439" s="84"/>
      <c r="F1439" s="102"/>
      <c r="G1439" s="87"/>
      <c r="H1439" s="87">
        <f>F1439*G1439</f>
        <v>0</v>
      </c>
      <c r="I1439" s="87">
        <v>215000</v>
      </c>
      <c r="J1439" s="87">
        <f>F1439*I1439</f>
        <v>0</v>
      </c>
      <c r="K1439" s="87">
        <v>250000</v>
      </c>
      <c r="L1439" s="87">
        <f>F1439*K1439</f>
        <v>0</v>
      </c>
    </row>
    <row r="1440" spans="1:12" ht="12" customHeight="1" x14ac:dyDescent="0.35">
      <c r="B1440" s="84"/>
      <c r="C1440" s="88"/>
      <c r="D1440" s="79"/>
      <c r="E1440" s="79"/>
      <c r="F1440" s="89"/>
      <c r="G1440" s="101"/>
      <c r="H1440" s="87">
        <f>SUM(H1437:H1439)</f>
        <v>0</v>
      </c>
      <c r="I1440" s="101"/>
      <c r="J1440" s="87">
        <f>SUM(J1437:J1439)</f>
        <v>0</v>
      </c>
      <c r="K1440" s="101"/>
      <c r="L1440" s="87">
        <f>SUM(L1437:L1439)</f>
        <v>0</v>
      </c>
    </row>
    <row r="1441" spans="1:12" ht="12" customHeight="1" x14ac:dyDescent="0.35">
      <c r="B1441" s="84" t="s">
        <v>7</v>
      </c>
      <c r="C1441" s="88" t="s">
        <v>424</v>
      </c>
      <c r="D1441" s="79"/>
      <c r="E1441" s="79"/>
      <c r="F1441" s="90"/>
      <c r="G1441" s="84"/>
      <c r="H1441" s="87"/>
      <c r="I1441" s="84"/>
      <c r="J1441" s="87"/>
      <c r="K1441" s="84"/>
      <c r="L1441" s="87"/>
    </row>
    <row r="1442" spans="1:12" ht="12" customHeight="1" x14ac:dyDescent="0.35">
      <c r="A1442" s="134">
        <v>31100008</v>
      </c>
      <c r="B1442" s="84"/>
      <c r="C1442" s="85" t="str">
        <f>VLOOKUP(A1442,'DAFTAR HARGA'!A:D,3,FALSE)</f>
        <v>jam</v>
      </c>
      <c r="D1442" s="84" t="s">
        <v>418</v>
      </c>
      <c r="E1442" s="84">
        <f>VLOOKUP(A1442,'DAFTAR HARGA'!A:D,4,FALSE)</f>
        <v>449000</v>
      </c>
      <c r="F1442" s="128">
        <v>2.0400000000000001E-2</v>
      </c>
      <c r="G1442" s="87" t="e">
        <f>VLOOKUP(A1442,'DAFTAR HARGA'!A:D,5,FALSE)</f>
        <v>#REF!</v>
      </c>
      <c r="H1442" s="87" t="e">
        <f>F1442*G1442</f>
        <v>#REF!</v>
      </c>
      <c r="I1442" s="87"/>
      <c r="J1442" s="87" t="e">
        <f>H1442*I1442</f>
        <v>#REF!</v>
      </c>
      <c r="K1442" s="87"/>
      <c r="L1442" s="87" t="e">
        <f>J1442*K1442</f>
        <v>#REF!</v>
      </c>
    </row>
    <row r="1443" spans="1:12" ht="12" customHeight="1" x14ac:dyDescent="0.35">
      <c r="B1443" s="84"/>
      <c r="C1443" s="85"/>
      <c r="D1443" s="84"/>
      <c r="E1443" s="84"/>
      <c r="F1443" s="128"/>
      <c r="G1443" s="87"/>
      <c r="H1443" s="87">
        <f>F1443*G1443</f>
        <v>0</v>
      </c>
      <c r="I1443" s="87"/>
      <c r="J1443" s="87"/>
      <c r="K1443" s="87"/>
      <c r="L1443" s="87"/>
    </row>
    <row r="1444" spans="1:12" ht="12" customHeight="1" x14ac:dyDescent="0.35">
      <c r="B1444" s="84"/>
      <c r="C1444" s="85"/>
      <c r="D1444" s="84"/>
      <c r="E1444" s="84"/>
      <c r="F1444" s="128"/>
      <c r="G1444" s="87"/>
      <c r="H1444" s="87">
        <f>F1444*G1444</f>
        <v>0</v>
      </c>
      <c r="I1444" s="87"/>
      <c r="J1444" s="87"/>
      <c r="K1444" s="87"/>
      <c r="L1444" s="87"/>
    </row>
    <row r="1445" spans="1:12" ht="12" customHeight="1" x14ac:dyDescent="0.35">
      <c r="B1445" s="84"/>
      <c r="C1445" s="88"/>
      <c r="D1445" s="79"/>
      <c r="E1445" s="79"/>
      <c r="F1445" s="89" t="s">
        <v>425</v>
      </c>
      <c r="G1445" s="101"/>
      <c r="H1445" s="87" t="e">
        <f>SUM(H1442:H1444)</f>
        <v>#REF!</v>
      </c>
      <c r="I1445" s="101"/>
      <c r="J1445" s="87" t="e">
        <f>SUM(J1442)</f>
        <v>#REF!</v>
      </c>
      <c r="K1445" s="101"/>
      <c r="L1445" s="87" t="e">
        <f>SUM(L1442)</f>
        <v>#REF!</v>
      </c>
    </row>
    <row r="1446" spans="1:12" ht="12" customHeight="1" x14ac:dyDescent="0.35">
      <c r="B1446" s="84" t="s">
        <v>8</v>
      </c>
      <c r="C1446" s="103" t="s">
        <v>426</v>
      </c>
      <c r="D1446" s="104"/>
      <c r="E1446" s="104"/>
      <c r="F1446" s="104"/>
      <c r="G1446" s="105"/>
      <c r="H1446" s="87" t="e">
        <f>H1435+H1440+H1445</f>
        <v>#REF!</v>
      </c>
      <c r="I1446" s="105"/>
      <c r="J1446" s="87" t="e">
        <f>J1435+J1440+J1445</f>
        <v>#REF!</v>
      </c>
      <c r="K1446" s="105"/>
      <c r="L1446" s="87" t="e">
        <f>L1435+L1440+L1445</f>
        <v>#REF!</v>
      </c>
    </row>
    <row r="1447" spans="1:12" ht="12" customHeight="1" x14ac:dyDescent="0.35">
      <c r="B1447" s="84" t="s">
        <v>9</v>
      </c>
      <c r="C1447" s="455" t="s">
        <v>427</v>
      </c>
      <c r="D1447" s="455"/>
      <c r="E1447" s="455"/>
      <c r="F1447" s="95" t="str">
        <f>OP</f>
        <v>TANJUNG PALAS TENGAH</v>
      </c>
      <c r="G1447" s="85" t="s">
        <v>428</v>
      </c>
      <c r="H1447" s="87" t="e">
        <f>H1446*F1447</f>
        <v>#REF!</v>
      </c>
      <c r="I1447" s="85" t="s">
        <v>428</v>
      </c>
      <c r="J1447" s="87" t="e">
        <f>J1446*F1447</f>
        <v>#REF!</v>
      </c>
      <c r="K1447" s="85" t="s">
        <v>428</v>
      </c>
      <c r="L1447" s="87" t="e">
        <f>L1446*F1447</f>
        <v>#REF!</v>
      </c>
    </row>
    <row r="1448" spans="1:12" ht="12" customHeight="1" x14ac:dyDescent="0.35">
      <c r="B1448" s="84" t="s">
        <v>10</v>
      </c>
      <c r="C1448" s="103" t="s">
        <v>429</v>
      </c>
      <c r="D1448" s="104"/>
      <c r="E1448" s="104"/>
      <c r="F1448" s="104"/>
      <c r="G1448" s="105"/>
      <c r="H1448" s="96" t="e">
        <f>H1446+H1447</f>
        <v>#REF!</v>
      </c>
      <c r="I1448" s="97"/>
      <c r="J1448" s="96" t="e">
        <f>J1446+J1447</f>
        <v>#REF!</v>
      </c>
      <c r="K1448" s="97"/>
      <c r="L1448" s="96" t="e">
        <f>L1446+L1447</f>
        <v>#REF!</v>
      </c>
    </row>
    <row r="1450" spans="1:12" ht="37" customHeight="1" x14ac:dyDescent="0.35">
      <c r="B1450" s="76" t="s">
        <v>618</v>
      </c>
      <c r="C1450" s="458" t="s">
        <v>619</v>
      </c>
      <c r="D1450" s="459"/>
      <c r="E1450" s="459"/>
      <c r="F1450" s="459"/>
      <c r="G1450" s="456"/>
      <c r="H1450" s="457"/>
      <c r="I1450" s="455" t="s">
        <v>3</v>
      </c>
      <c r="J1450" s="455"/>
      <c r="K1450" s="455" t="s">
        <v>4</v>
      </c>
      <c r="L1450" s="455"/>
    </row>
    <row r="1451" spans="1:12" ht="12" customHeight="1" x14ac:dyDescent="0.35">
      <c r="B1451" s="451" t="s">
        <v>409</v>
      </c>
      <c r="C1451" s="451" t="s">
        <v>410</v>
      </c>
      <c r="D1451" s="452" t="s">
        <v>411</v>
      </c>
      <c r="E1451" s="451" t="s">
        <v>412</v>
      </c>
      <c r="F1451" s="451" t="s">
        <v>413</v>
      </c>
      <c r="G1451" s="77" t="s">
        <v>414</v>
      </c>
      <c r="H1451" s="77" t="s">
        <v>415</v>
      </c>
      <c r="I1451" s="78" t="s">
        <v>414</v>
      </c>
      <c r="J1451" s="79" t="s">
        <v>415</v>
      </c>
      <c r="K1451" s="79" t="s">
        <v>414</v>
      </c>
      <c r="L1451" s="79" t="s">
        <v>415</v>
      </c>
    </row>
    <row r="1452" spans="1:12" ht="12" customHeight="1" x14ac:dyDescent="0.35">
      <c r="B1452" s="451"/>
      <c r="C1452" s="451"/>
      <c r="D1452" s="453"/>
      <c r="E1452" s="451"/>
      <c r="F1452" s="451"/>
      <c r="G1452" s="77" t="s">
        <v>17</v>
      </c>
      <c r="H1452" s="77" t="s">
        <v>416</v>
      </c>
      <c r="I1452" s="78" t="s">
        <v>17</v>
      </c>
      <c r="J1452" s="79" t="s">
        <v>416</v>
      </c>
      <c r="K1452" s="79" t="s">
        <v>17</v>
      </c>
      <c r="L1452" s="79" t="s">
        <v>416</v>
      </c>
    </row>
    <row r="1453" spans="1:12" ht="12" customHeight="1" x14ac:dyDescent="0.35">
      <c r="B1453" s="451"/>
      <c r="C1453" s="451"/>
      <c r="D1453" s="454"/>
      <c r="E1453" s="451"/>
      <c r="F1453" s="451"/>
      <c r="G1453" s="106"/>
      <c r="H1453" s="77" t="s">
        <v>17</v>
      </c>
      <c r="I1453" s="94"/>
      <c r="J1453" s="79" t="s">
        <v>17</v>
      </c>
      <c r="K1453" s="85"/>
      <c r="L1453" s="79" t="s">
        <v>17</v>
      </c>
    </row>
    <row r="1454" spans="1:12" ht="12" customHeight="1" x14ac:dyDescent="0.35">
      <c r="B1454" s="80" t="s">
        <v>5</v>
      </c>
      <c r="C1454" s="81" t="s">
        <v>417</v>
      </c>
      <c r="D1454" s="82"/>
      <c r="E1454" s="82"/>
      <c r="F1454" s="82"/>
      <c r="G1454" s="82"/>
      <c r="H1454" s="82"/>
      <c r="I1454" s="83"/>
      <c r="J1454" s="83"/>
      <c r="K1454" s="83"/>
      <c r="L1454" s="83"/>
    </row>
    <row r="1455" spans="1:12" ht="12" customHeight="1" x14ac:dyDescent="0.35">
      <c r="A1455" s="134">
        <v>10131000</v>
      </c>
      <c r="B1455" s="84"/>
      <c r="C1455" s="85" t="str">
        <f>VLOOKUP(A1455,'DAFTAR HARGA'!A:D,3,FALSE)</f>
        <v>OJ</v>
      </c>
      <c r="D1455" s="84" t="s">
        <v>418</v>
      </c>
      <c r="E1455" s="84">
        <f>VLOOKUP(A1455,'DAFTAR HARGA'!A:D,4,FALSE)</f>
        <v>14375</v>
      </c>
      <c r="F1455" s="128">
        <v>0.16</v>
      </c>
      <c r="G1455" s="87" t="e">
        <f>VLOOKUP(A1455,'DAFTAR HARGA'!A:D,5,FALSE)</f>
        <v>#REF!</v>
      </c>
      <c r="H1455" s="87" t="e">
        <f>F1455*G1455</f>
        <v>#REF!</v>
      </c>
      <c r="I1455" s="87">
        <v>91500</v>
      </c>
      <c r="J1455" s="87">
        <f>F1455*I1455</f>
        <v>14640</v>
      </c>
      <c r="K1455" s="87">
        <v>91500</v>
      </c>
      <c r="L1455" s="87">
        <f>F1455*K1455</f>
        <v>14640</v>
      </c>
    </row>
    <row r="1456" spans="1:12" ht="12" customHeight="1" x14ac:dyDescent="0.35">
      <c r="A1456" s="134">
        <v>10121110</v>
      </c>
      <c r="B1456" s="84"/>
      <c r="C1456" s="85" t="str">
        <f>VLOOKUP(A1456,'DAFTAR HARGA'!A:D,3,FALSE)</f>
        <v>OJ</v>
      </c>
      <c r="D1456" s="84" t="s">
        <v>418</v>
      </c>
      <c r="E1456" s="84">
        <f>VLOOKUP(A1456,'DAFTAR HARGA'!A:D,4,FALSE)</f>
        <v>12500</v>
      </c>
      <c r="F1456" s="128">
        <v>0.04</v>
      </c>
      <c r="G1456" s="87" t="e">
        <f>VLOOKUP(A1456,'DAFTAR HARGA'!A:D,5,FALSE)</f>
        <v>#REF!</v>
      </c>
      <c r="H1456" s="87" t="e">
        <f>F1456*G1456</f>
        <v>#REF!</v>
      </c>
      <c r="I1456" s="87"/>
      <c r="J1456" s="87"/>
      <c r="K1456" s="87"/>
      <c r="L1456" s="87"/>
    </row>
    <row r="1457" spans="1:12" ht="12" customHeight="1" x14ac:dyDescent="0.35">
      <c r="A1457" s="134">
        <v>10111000</v>
      </c>
      <c r="B1457" s="84"/>
      <c r="C1457" s="85" t="str">
        <f>VLOOKUP(A1457,'DAFTAR HARGA'!A:D,3,FALSE)</f>
        <v>OJ</v>
      </c>
      <c r="D1457" s="84" t="s">
        <v>418</v>
      </c>
      <c r="E1457" s="84">
        <f>VLOOKUP(A1457,'DAFTAR HARGA'!A:D,4,FALSE)</f>
        <v>18750</v>
      </c>
      <c r="F1457" s="128">
        <f>F1456/10</f>
        <v>4.0000000000000001E-3</v>
      </c>
      <c r="G1457" s="87" t="e">
        <f>VLOOKUP(A1457,'DAFTAR HARGA'!A:D,5,FALSE)</f>
        <v>#REF!</v>
      </c>
      <c r="H1457" s="87" t="e">
        <f>F1457*G1457</f>
        <v>#REF!</v>
      </c>
      <c r="I1457" s="87">
        <v>78600</v>
      </c>
      <c r="J1457" s="87">
        <f>F1457*I1457</f>
        <v>314.40000000000003</v>
      </c>
      <c r="K1457" s="87">
        <v>78600</v>
      </c>
      <c r="L1457" s="87">
        <f>F1457*K1457</f>
        <v>314.40000000000003</v>
      </c>
    </row>
    <row r="1458" spans="1:12" ht="12" customHeight="1" x14ac:dyDescent="0.35">
      <c r="B1458" s="84"/>
      <c r="C1458" s="85"/>
      <c r="D1458" s="84"/>
      <c r="E1458" s="84"/>
      <c r="F1458" s="86"/>
      <c r="G1458" s="87"/>
      <c r="H1458" s="87">
        <f>F1458*G1458</f>
        <v>0</v>
      </c>
      <c r="I1458" s="87">
        <v>92500</v>
      </c>
      <c r="J1458" s="87">
        <f>F1458*I1458</f>
        <v>0</v>
      </c>
      <c r="K1458" s="87">
        <v>92500</v>
      </c>
      <c r="L1458" s="87">
        <f>F1458*K1458</f>
        <v>0</v>
      </c>
    </row>
    <row r="1459" spans="1:12" ht="12" customHeight="1" x14ac:dyDescent="0.35">
      <c r="B1459" s="84"/>
      <c r="C1459" s="85"/>
      <c r="D1459" s="84"/>
      <c r="E1459" s="84"/>
      <c r="F1459" s="86"/>
      <c r="G1459" s="87"/>
      <c r="H1459" s="87"/>
      <c r="I1459" s="87"/>
      <c r="J1459" s="87"/>
      <c r="K1459" s="87"/>
      <c r="L1459" s="87"/>
    </row>
    <row r="1460" spans="1:12" ht="12" customHeight="1" x14ac:dyDescent="0.35">
      <c r="B1460" s="84"/>
      <c r="C1460" s="88"/>
      <c r="D1460" s="79"/>
      <c r="E1460" s="79"/>
      <c r="F1460" s="89" t="s">
        <v>421</v>
      </c>
      <c r="G1460" s="101"/>
      <c r="H1460" s="87" t="e">
        <f>SUM(H1455:H1459)</f>
        <v>#REF!</v>
      </c>
      <c r="I1460" s="101"/>
      <c r="J1460" s="87">
        <f>SUM(J1457:J1459)</f>
        <v>314.40000000000003</v>
      </c>
      <c r="K1460" s="101"/>
      <c r="L1460" s="87">
        <f>SUM(L1457:L1459)</f>
        <v>314.40000000000003</v>
      </c>
    </row>
    <row r="1461" spans="1:12" ht="12" customHeight="1" x14ac:dyDescent="0.35">
      <c r="B1461" s="84" t="s">
        <v>6</v>
      </c>
      <c r="C1461" s="88" t="s">
        <v>422</v>
      </c>
      <c r="D1461" s="79"/>
      <c r="E1461" s="79"/>
      <c r="F1461" s="90"/>
      <c r="G1461" s="84"/>
      <c r="H1461" s="87"/>
      <c r="I1461" s="84"/>
      <c r="J1461" s="87"/>
      <c r="K1461" s="84"/>
      <c r="L1461" s="87"/>
    </row>
    <row r="1462" spans="1:12" ht="12" customHeight="1" x14ac:dyDescent="0.35">
      <c r="A1462" s="134">
        <v>211100114</v>
      </c>
      <c r="B1462" s="84"/>
      <c r="C1462" s="85" t="str">
        <f>VLOOKUP(A1462,'DAFTAR HARGA'!A:D,3,FALSE)</f>
        <v>m³</v>
      </c>
      <c r="D1462" s="84" t="s">
        <v>418</v>
      </c>
      <c r="E1462" s="84">
        <f>VLOOKUP(A1462,'DAFTAR HARGA'!A:D,4,FALSE)</f>
        <v>220000</v>
      </c>
      <c r="F1462" s="128">
        <v>0.25</v>
      </c>
      <c r="G1462" s="87" t="e">
        <f>VLOOKUP(A1462,'DAFTAR HARGA'!A:D,5,FALSE)</f>
        <v>#REF!</v>
      </c>
      <c r="H1462" s="87" t="e">
        <f t="shared" ref="H1462:H1467" si="0">F1462*G1462</f>
        <v>#REF!</v>
      </c>
      <c r="I1462" s="87">
        <v>232500</v>
      </c>
      <c r="J1462" s="87">
        <f t="shared" ref="J1462:J1467" si="1">F1462*I1462</f>
        <v>58125</v>
      </c>
      <c r="K1462" s="87">
        <v>270000</v>
      </c>
      <c r="L1462" s="87">
        <f t="shared" ref="L1462:L1467" si="2">F1462*K1462</f>
        <v>67500</v>
      </c>
    </row>
    <row r="1463" spans="1:12" ht="12" customHeight="1" x14ac:dyDescent="0.35">
      <c r="A1463" s="134">
        <v>211100111</v>
      </c>
      <c r="B1463" s="84"/>
      <c r="C1463" s="85" t="str">
        <f>VLOOKUP(A1463,'DAFTAR HARGA'!A:D,3,FALSE)</f>
        <v>bh</v>
      </c>
      <c r="D1463" s="84" t="s">
        <v>418</v>
      </c>
      <c r="E1463" s="84">
        <f>VLOOKUP(A1463,'DAFTAR HARGA'!A:D,4,FALSE)</f>
        <v>680</v>
      </c>
      <c r="F1463" s="128">
        <v>100</v>
      </c>
      <c r="G1463" s="87" t="e">
        <f>VLOOKUP(A1463,'DAFTAR HARGA'!A:D,5,FALSE)</f>
        <v>#REF!</v>
      </c>
      <c r="H1463" s="87" t="e">
        <f t="shared" si="0"/>
        <v>#REF!</v>
      </c>
      <c r="I1463" s="87">
        <v>1060</v>
      </c>
      <c r="J1463" s="87">
        <f t="shared" si="1"/>
        <v>106000</v>
      </c>
      <c r="K1463" s="87">
        <v>1060</v>
      </c>
      <c r="L1463" s="87">
        <f t="shared" si="2"/>
        <v>106000</v>
      </c>
    </row>
    <row r="1464" spans="1:12" ht="12" customHeight="1" x14ac:dyDescent="0.35">
      <c r="A1464" s="134">
        <v>211100102</v>
      </c>
      <c r="B1464" s="84"/>
      <c r="C1464" s="85" t="str">
        <f>VLOOKUP(A1464,'DAFTAR HARGA'!A:D,3,FALSE)</f>
        <v>m³</v>
      </c>
      <c r="D1464" s="84" t="s">
        <v>418</v>
      </c>
      <c r="E1464" s="84">
        <f>VLOOKUP(A1464,'DAFTAR HARGA'!A:D,4,FALSE)</f>
        <v>236600</v>
      </c>
      <c r="F1464" s="128">
        <v>0.8</v>
      </c>
      <c r="G1464" s="87" t="e">
        <f>VLOOKUP(A1464,'DAFTAR HARGA'!A:D,5,FALSE)</f>
        <v>#REF!</v>
      </c>
      <c r="H1464" s="87" t="e">
        <f t="shared" si="0"/>
        <v>#REF!</v>
      </c>
      <c r="I1464" s="87">
        <v>215000</v>
      </c>
      <c r="J1464" s="87">
        <f t="shared" si="1"/>
        <v>172000</v>
      </c>
      <c r="K1464" s="87">
        <v>250000</v>
      </c>
      <c r="L1464" s="87">
        <f t="shared" si="2"/>
        <v>200000</v>
      </c>
    </row>
    <row r="1465" spans="1:12" ht="12" customHeight="1" x14ac:dyDescent="0.35">
      <c r="A1465" s="134">
        <v>21905001</v>
      </c>
      <c r="B1465" s="84"/>
      <c r="C1465" s="85" t="str">
        <f>VLOOKUP(A1465,'DAFTAR HARGA'!A:D,3,FALSE)</f>
        <v>kg</v>
      </c>
      <c r="D1465" s="84" t="s">
        <v>418</v>
      </c>
      <c r="E1465" s="84">
        <f>VLOOKUP(A1465,'DAFTAR HARGA'!A:D,4,FALSE)</f>
        <v>13700</v>
      </c>
      <c r="F1465" s="128">
        <f t="shared" ref="F1465" si="3">F1464/10</f>
        <v>0.08</v>
      </c>
      <c r="G1465" s="87" t="e">
        <f>VLOOKUP(A1465,'DAFTAR HARGA'!A:D,5,FALSE)</f>
        <v>#REF!</v>
      </c>
      <c r="H1465" s="87" t="e">
        <f t="shared" si="0"/>
        <v>#REF!</v>
      </c>
      <c r="I1465" s="87">
        <v>232500</v>
      </c>
      <c r="J1465" s="87">
        <f t="shared" si="1"/>
        <v>18600</v>
      </c>
      <c r="K1465" s="87">
        <v>270000</v>
      </c>
      <c r="L1465" s="87">
        <f t="shared" si="2"/>
        <v>21600</v>
      </c>
    </row>
    <row r="1466" spans="1:12" ht="12" customHeight="1" x14ac:dyDescent="0.35">
      <c r="A1466" s="134">
        <v>21301000</v>
      </c>
      <c r="B1466" s="84"/>
      <c r="C1466" s="85" t="str">
        <f>VLOOKUP(A1466,'DAFTAR HARGA'!A:D,3,FALSE)</f>
        <v>Kg</v>
      </c>
      <c r="D1466" s="84" t="s">
        <v>418</v>
      </c>
      <c r="E1466" s="84">
        <f>VLOOKUP(A1466,'DAFTAR HARGA'!A:D,4,FALSE)</f>
        <v>1350</v>
      </c>
      <c r="F1466" s="128">
        <v>500</v>
      </c>
      <c r="G1466" s="87" t="e">
        <f>VLOOKUP(A1466,'DAFTAR HARGA'!A:D,5,FALSE)</f>
        <v>#REF!</v>
      </c>
      <c r="H1466" s="87" t="e">
        <f t="shared" si="0"/>
        <v>#REF!</v>
      </c>
      <c r="I1466" s="87">
        <v>1060</v>
      </c>
      <c r="J1466" s="87">
        <f t="shared" si="1"/>
        <v>530000</v>
      </c>
      <c r="K1466" s="87">
        <v>1060</v>
      </c>
      <c r="L1466" s="87">
        <f t="shared" si="2"/>
        <v>530000</v>
      </c>
    </row>
    <row r="1467" spans="1:12" ht="12" customHeight="1" x14ac:dyDescent="0.35">
      <c r="A1467" s="134">
        <v>21981018</v>
      </c>
      <c r="B1467" s="84"/>
      <c r="C1467" s="85" t="str">
        <f>VLOOKUP(A1467,'DAFTAR HARGA'!A:D,3,FALSE)</f>
        <v>btg</v>
      </c>
      <c r="D1467" s="84" t="s">
        <v>418</v>
      </c>
      <c r="E1467" s="84">
        <f>VLOOKUP(A1467,'DAFTAR HARGA'!A:D,4,FALSE)</f>
        <v>379200</v>
      </c>
      <c r="F1467" s="128">
        <v>1</v>
      </c>
      <c r="G1467" s="87" t="e">
        <f>VLOOKUP(A1467,'DAFTAR HARGA'!A:D,5,FALSE)</f>
        <v>#REF!</v>
      </c>
      <c r="H1467" s="87" t="e">
        <f t="shared" si="0"/>
        <v>#REF!</v>
      </c>
      <c r="I1467" s="87">
        <v>215000</v>
      </c>
      <c r="J1467" s="87">
        <f t="shared" si="1"/>
        <v>215000</v>
      </c>
      <c r="K1467" s="87">
        <v>250000</v>
      </c>
      <c r="L1467" s="87">
        <f t="shared" si="2"/>
        <v>250000</v>
      </c>
    </row>
    <row r="1468" spans="1:12" ht="12" customHeight="1" x14ac:dyDescent="0.35">
      <c r="A1468" s="134">
        <v>21981010</v>
      </c>
      <c r="B1468" s="84"/>
      <c r="C1468" s="85" t="str">
        <f>VLOOKUP(A1468,'DAFTAR HARGA'!A:D,3,FALSE)</f>
        <v>btg</v>
      </c>
      <c r="D1468" s="84" t="s">
        <v>418</v>
      </c>
      <c r="E1468" s="84">
        <f>VLOOKUP(A1468,'DAFTAR HARGA'!A:D,4,FALSE)</f>
        <v>53200</v>
      </c>
      <c r="F1468" s="128">
        <v>0.2</v>
      </c>
      <c r="G1468" s="87" t="e">
        <f>VLOOKUP(A1468,'DAFTAR HARGA'!A:D,5,FALSE)</f>
        <v>#REF!</v>
      </c>
      <c r="H1468" s="87"/>
      <c r="I1468" s="87"/>
      <c r="J1468" s="87"/>
      <c r="K1468" s="87"/>
      <c r="L1468" s="87"/>
    </row>
    <row r="1469" spans="1:12" ht="12" customHeight="1" x14ac:dyDescent="0.35">
      <c r="B1469" s="84"/>
      <c r="C1469" s="88"/>
      <c r="D1469" s="79"/>
      <c r="E1469" s="79"/>
      <c r="F1469" s="129" t="s">
        <v>423</v>
      </c>
      <c r="G1469" s="129"/>
      <c r="H1469" s="87" t="e">
        <f>SUM(H1462:H1468)</f>
        <v>#REF!</v>
      </c>
      <c r="I1469" s="101"/>
      <c r="J1469" s="87">
        <f>SUM(J1465:J1467)</f>
        <v>763600</v>
      </c>
      <c r="K1469" s="101"/>
      <c r="L1469" s="87">
        <f>SUM(L1465:L1467)</f>
        <v>801600</v>
      </c>
    </row>
    <row r="1470" spans="1:12" ht="12" customHeight="1" x14ac:dyDescent="0.35">
      <c r="B1470" s="84" t="s">
        <v>7</v>
      </c>
      <c r="C1470" s="88" t="s">
        <v>424</v>
      </c>
      <c r="D1470" s="79"/>
      <c r="E1470" s="79"/>
      <c r="F1470" s="90"/>
      <c r="G1470" s="84"/>
      <c r="H1470" s="87"/>
      <c r="I1470" s="84"/>
      <c r="J1470" s="87"/>
      <c r="K1470" s="84"/>
      <c r="L1470" s="87"/>
    </row>
    <row r="1471" spans="1:12" ht="12" customHeight="1" x14ac:dyDescent="0.35">
      <c r="A1471" s="134">
        <v>31100008</v>
      </c>
      <c r="B1471" s="84"/>
      <c r="C1471" s="85" t="str">
        <f>VLOOKUP(A1471,'DAFTAR HARGA'!A:D,3,FALSE)</f>
        <v>jam</v>
      </c>
      <c r="D1471" s="84" t="s">
        <v>418</v>
      </c>
      <c r="E1471" s="84">
        <f>VLOOKUP(A1471,'DAFTAR HARGA'!A:D,4,FALSE)</f>
        <v>449000</v>
      </c>
      <c r="F1471" s="128">
        <v>2.0400000000000001E-2</v>
      </c>
      <c r="G1471" s="87" t="e">
        <f>VLOOKUP(A1471,'DAFTAR HARGA'!A:D,5,FALSE)</f>
        <v>#REF!</v>
      </c>
      <c r="H1471" s="87" t="e">
        <f>F1471*G1471</f>
        <v>#REF!</v>
      </c>
      <c r="I1471" s="87"/>
      <c r="J1471" s="87" t="e">
        <f>H1471*I1471</f>
        <v>#REF!</v>
      </c>
      <c r="K1471" s="87"/>
      <c r="L1471" s="87" t="e">
        <f>J1471*K1471</f>
        <v>#REF!</v>
      </c>
    </row>
    <row r="1472" spans="1:12" ht="12" customHeight="1" x14ac:dyDescent="0.35">
      <c r="B1472" s="84"/>
      <c r="C1472" s="85"/>
      <c r="D1472" s="84"/>
      <c r="E1472" s="84"/>
      <c r="F1472" s="128"/>
      <c r="G1472" s="87"/>
      <c r="H1472" s="87">
        <f>F1472*G1472</f>
        <v>0</v>
      </c>
      <c r="I1472" s="87"/>
      <c r="J1472" s="87"/>
      <c r="K1472" s="87"/>
      <c r="L1472" s="87"/>
    </row>
    <row r="1473" spans="1:12" ht="12" customHeight="1" x14ac:dyDescent="0.35">
      <c r="B1473" s="84"/>
      <c r="C1473" s="85"/>
      <c r="D1473" s="84"/>
      <c r="E1473" s="84"/>
      <c r="F1473" s="128"/>
      <c r="G1473" s="87"/>
      <c r="H1473" s="87">
        <f>F1473*G1473</f>
        <v>0</v>
      </c>
      <c r="I1473" s="87"/>
      <c r="J1473" s="87"/>
      <c r="K1473" s="87"/>
      <c r="L1473" s="87"/>
    </row>
    <row r="1474" spans="1:12" ht="12" customHeight="1" x14ac:dyDescent="0.35">
      <c r="B1474" s="84"/>
      <c r="C1474" s="88"/>
      <c r="D1474" s="79"/>
      <c r="E1474" s="79"/>
      <c r="F1474" s="89" t="s">
        <v>425</v>
      </c>
      <c r="G1474" s="101"/>
      <c r="H1474" s="87" t="e">
        <f>SUM(H1471:H1473)</f>
        <v>#REF!</v>
      </c>
      <c r="I1474" s="101"/>
      <c r="J1474" s="87" t="e">
        <f>SUM(J1471)</f>
        <v>#REF!</v>
      </c>
      <c r="K1474" s="101"/>
      <c r="L1474" s="87" t="e">
        <f>SUM(L1471)</f>
        <v>#REF!</v>
      </c>
    </row>
    <row r="1475" spans="1:12" ht="12" customHeight="1" x14ac:dyDescent="0.35">
      <c r="B1475" s="84" t="s">
        <v>8</v>
      </c>
      <c r="C1475" s="103" t="s">
        <v>426</v>
      </c>
      <c r="D1475" s="104"/>
      <c r="E1475" s="104"/>
      <c r="F1475" s="104"/>
      <c r="G1475" s="105"/>
      <c r="H1475" s="87" t="e">
        <f>H1460+H1469+H1474</f>
        <v>#REF!</v>
      </c>
      <c r="I1475" s="105"/>
      <c r="J1475" s="87" t="e">
        <f>J1460+J1469+J1474</f>
        <v>#REF!</v>
      </c>
      <c r="K1475" s="105"/>
      <c r="L1475" s="87" t="e">
        <f>L1460+L1469+L1474</f>
        <v>#REF!</v>
      </c>
    </row>
    <row r="1476" spans="1:12" ht="12" customHeight="1" x14ac:dyDescent="0.35">
      <c r="B1476" s="84" t="s">
        <v>9</v>
      </c>
      <c r="C1476" s="455" t="s">
        <v>427</v>
      </c>
      <c r="D1476" s="455"/>
      <c r="E1476" s="455"/>
      <c r="F1476" s="95" t="str">
        <f>OP</f>
        <v>TANJUNG PALAS TENGAH</v>
      </c>
      <c r="G1476" s="85" t="s">
        <v>428</v>
      </c>
      <c r="H1476" s="87" t="e">
        <f>H1475*F1476</f>
        <v>#REF!</v>
      </c>
      <c r="I1476" s="85" t="s">
        <v>428</v>
      </c>
      <c r="J1476" s="87" t="e">
        <f>J1475*F1476</f>
        <v>#REF!</v>
      </c>
      <c r="K1476" s="85" t="s">
        <v>428</v>
      </c>
      <c r="L1476" s="87" t="e">
        <f>L1475*F1476</f>
        <v>#REF!</v>
      </c>
    </row>
    <row r="1477" spans="1:12" ht="12" customHeight="1" x14ac:dyDescent="0.35">
      <c r="B1477" s="84" t="s">
        <v>10</v>
      </c>
      <c r="C1477" s="103" t="s">
        <v>429</v>
      </c>
      <c r="D1477" s="104"/>
      <c r="E1477" s="104"/>
      <c r="F1477" s="104"/>
      <c r="G1477" s="105"/>
      <c r="H1477" s="96" t="e">
        <f>H1475+H1476</f>
        <v>#REF!</v>
      </c>
      <c r="I1477" s="97"/>
      <c r="J1477" s="96" t="e">
        <f>J1475+J1476</f>
        <v>#REF!</v>
      </c>
      <c r="K1477" s="97"/>
      <c r="L1477" s="96" t="e">
        <f>L1475+L1476</f>
        <v>#REF!</v>
      </c>
    </row>
    <row r="1479" spans="1:12" ht="37" customHeight="1" x14ac:dyDescent="0.35">
      <c r="B1479" s="76" t="s">
        <v>623</v>
      </c>
      <c r="C1479" s="458" t="s">
        <v>624</v>
      </c>
      <c r="D1479" s="459"/>
      <c r="E1479" s="459"/>
      <c r="F1479" s="459"/>
      <c r="G1479" s="456"/>
      <c r="H1479" s="457"/>
      <c r="I1479" s="455" t="s">
        <v>3</v>
      </c>
      <c r="J1479" s="455"/>
      <c r="K1479" s="455" t="s">
        <v>4</v>
      </c>
      <c r="L1479" s="455"/>
    </row>
    <row r="1480" spans="1:12" ht="12" customHeight="1" x14ac:dyDescent="0.35">
      <c r="B1480" s="451" t="s">
        <v>409</v>
      </c>
      <c r="C1480" s="451" t="s">
        <v>410</v>
      </c>
      <c r="D1480" s="452" t="s">
        <v>411</v>
      </c>
      <c r="E1480" s="451" t="s">
        <v>412</v>
      </c>
      <c r="F1480" s="451" t="s">
        <v>413</v>
      </c>
      <c r="G1480" s="77" t="s">
        <v>414</v>
      </c>
      <c r="H1480" s="77" t="s">
        <v>415</v>
      </c>
      <c r="I1480" s="78" t="s">
        <v>414</v>
      </c>
      <c r="J1480" s="79" t="s">
        <v>415</v>
      </c>
      <c r="K1480" s="79" t="s">
        <v>414</v>
      </c>
      <c r="L1480" s="79" t="s">
        <v>415</v>
      </c>
    </row>
    <row r="1481" spans="1:12" ht="12" customHeight="1" x14ac:dyDescent="0.35">
      <c r="B1481" s="451"/>
      <c r="C1481" s="451"/>
      <c r="D1481" s="453"/>
      <c r="E1481" s="451"/>
      <c r="F1481" s="451"/>
      <c r="G1481" s="77" t="s">
        <v>17</v>
      </c>
      <c r="H1481" s="77" t="s">
        <v>416</v>
      </c>
      <c r="I1481" s="78" t="s">
        <v>17</v>
      </c>
      <c r="J1481" s="79" t="s">
        <v>416</v>
      </c>
      <c r="K1481" s="79" t="s">
        <v>17</v>
      </c>
      <c r="L1481" s="79" t="s">
        <v>416</v>
      </c>
    </row>
    <row r="1482" spans="1:12" ht="12" customHeight="1" x14ac:dyDescent="0.35">
      <c r="B1482" s="451"/>
      <c r="C1482" s="451"/>
      <c r="D1482" s="454"/>
      <c r="E1482" s="451"/>
      <c r="F1482" s="451"/>
      <c r="G1482" s="106"/>
      <c r="H1482" s="77" t="s">
        <v>17</v>
      </c>
      <c r="I1482" s="94"/>
      <c r="J1482" s="79" t="s">
        <v>17</v>
      </c>
      <c r="K1482" s="85"/>
      <c r="L1482" s="79" t="s">
        <v>17</v>
      </c>
    </row>
    <row r="1483" spans="1:12" ht="12" customHeight="1" x14ac:dyDescent="0.35">
      <c r="B1483" s="80" t="s">
        <v>5</v>
      </c>
      <c r="C1483" s="81" t="s">
        <v>417</v>
      </c>
      <c r="D1483" s="82"/>
      <c r="E1483" s="82"/>
      <c r="F1483" s="82"/>
      <c r="G1483" s="82"/>
      <c r="H1483" s="82"/>
      <c r="I1483" s="83"/>
      <c r="J1483" s="83"/>
      <c r="K1483" s="83"/>
      <c r="L1483" s="83"/>
    </row>
    <row r="1484" spans="1:12" ht="12" customHeight="1" x14ac:dyDescent="0.35">
      <c r="A1484" s="134">
        <v>10131000</v>
      </c>
      <c r="B1484" s="84"/>
      <c r="C1484" s="85" t="str">
        <f>VLOOKUP(A1484,'DAFTAR HARGA'!A:D,3,FALSE)</f>
        <v>OJ</v>
      </c>
      <c r="D1484" s="84" t="s">
        <v>418</v>
      </c>
      <c r="E1484" s="84">
        <f>VLOOKUP(A1484,'DAFTAR HARGA'!A:D,4,FALSE)</f>
        <v>14375</v>
      </c>
      <c r="F1484" s="128">
        <v>0.16</v>
      </c>
      <c r="G1484" s="87" t="e">
        <f>VLOOKUP(A1484,'DAFTAR HARGA'!A:D,5,FALSE)</f>
        <v>#REF!</v>
      </c>
      <c r="H1484" s="87" t="e">
        <f>F1484*G1484</f>
        <v>#REF!</v>
      </c>
      <c r="I1484" s="87">
        <v>91500</v>
      </c>
      <c r="J1484" s="87">
        <f>F1484*I1484</f>
        <v>14640</v>
      </c>
      <c r="K1484" s="87">
        <v>91500</v>
      </c>
      <c r="L1484" s="87">
        <f>F1484*K1484</f>
        <v>14640</v>
      </c>
    </row>
    <row r="1485" spans="1:12" ht="12" customHeight="1" x14ac:dyDescent="0.35">
      <c r="A1485" s="134">
        <v>10111000</v>
      </c>
      <c r="B1485" s="84"/>
      <c r="C1485" s="85" t="str">
        <f>VLOOKUP(A1485,'DAFTAR HARGA'!A:D,3,FALSE)</f>
        <v>OJ</v>
      </c>
      <c r="D1485" s="84" t="s">
        <v>418</v>
      </c>
      <c r="E1485" s="84">
        <f>VLOOKUP(A1485,'DAFTAR HARGA'!A:D,4,FALSE)</f>
        <v>18750</v>
      </c>
      <c r="F1485" s="128">
        <f>F1484/10</f>
        <v>1.6E-2</v>
      </c>
      <c r="G1485" s="87" t="e">
        <f>VLOOKUP(A1485,'DAFTAR HARGA'!A:D,5,FALSE)</f>
        <v>#REF!</v>
      </c>
      <c r="H1485" s="87" t="e">
        <f>F1485*G1485</f>
        <v>#REF!</v>
      </c>
      <c r="I1485" s="87">
        <v>78600</v>
      </c>
      <c r="J1485" s="87">
        <f>F1485*I1485</f>
        <v>1257.6000000000001</v>
      </c>
      <c r="K1485" s="87">
        <v>78600</v>
      </c>
      <c r="L1485" s="87">
        <f>F1485*K1485</f>
        <v>1257.6000000000001</v>
      </c>
    </row>
    <row r="1486" spans="1:12" ht="12" customHeight="1" x14ac:dyDescent="0.35">
      <c r="B1486" s="84"/>
      <c r="C1486" s="85"/>
      <c r="D1486" s="84"/>
      <c r="E1486" s="84"/>
      <c r="F1486" s="86"/>
      <c r="G1486" s="87"/>
      <c r="H1486" s="87">
        <f>F1486*G1486</f>
        <v>0</v>
      </c>
      <c r="I1486" s="87">
        <v>92500</v>
      </c>
      <c r="J1486" s="87">
        <f>F1486*I1486</f>
        <v>0</v>
      </c>
      <c r="K1486" s="87">
        <v>92500</v>
      </c>
      <c r="L1486" s="87">
        <f>F1486*K1486</f>
        <v>0</v>
      </c>
    </row>
    <row r="1487" spans="1:12" ht="12" customHeight="1" x14ac:dyDescent="0.35">
      <c r="B1487" s="84"/>
      <c r="C1487" s="85"/>
      <c r="D1487" s="84"/>
      <c r="E1487" s="84"/>
      <c r="F1487" s="86"/>
      <c r="G1487" s="87"/>
      <c r="H1487" s="87"/>
      <c r="I1487" s="87"/>
      <c r="J1487" s="87"/>
      <c r="K1487" s="87"/>
      <c r="L1487" s="87"/>
    </row>
    <row r="1488" spans="1:12" ht="12" customHeight="1" x14ac:dyDescent="0.35">
      <c r="B1488" s="84"/>
      <c r="C1488" s="88"/>
      <c r="D1488" s="79"/>
      <c r="E1488" s="79"/>
      <c r="F1488" s="89" t="s">
        <v>421</v>
      </c>
      <c r="G1488" s="101"/>
      <c r="H1488" s="87" t="e">
        <f>SUM(H1484:H1487)</f>
        <v>#REF!</v>
      </c>
      <c r="I1488" s="101"/>
      <c r="J1488" s="87">
        <f>SUM(J1485:J1487)</f>
        <v>1257.6000000000001</v>
      </c>
      <c r="K1488" s="101"/>
      <c r="L1488" s="87">
        <f>SUM(L1485:L1487)</f>
        <v>1257.6000000000001</v>
      </c>
    </row>
    <row r="1489" spans="1:12" ht="12" customHeight="1" x14ac:dyDescent="0.35">
      <c r="B1489" s="84" t="s">
        <v>6</v>
      </c>
      <c r="C1489" s="88" t="s">
        <v>422</v>
      </c>
      <c r="D1489" s="79"/>
      <c r="E1489" s="79"/>
      <c r="F1489" s="90"/>
      <c r="G1489" s="84"/>
      <c r="H1489" s="87"/>
      <c r="I1489" s="84"/>
      <c r="J1489" s="87"/>
      <c r="K1489" s="84"/>
      <c r="L1489" s="87"/>
    </row>
    <row r="1490" spans="1:12" ht="12" customHeight="1" x14ac:dyDescent="0.35">
      <c r="B1490" s="84"/>
      <c r="C1490" s="85"/>
      <c r="D1490" s="84"/>
      <c r="E1490" s="84"/>
      <c r="F1490" s="128"/>
      <c r="G1490" s="87"/>
      <c r="H1490" s="87">
        <f>F1490*G1490</f>
        <v>0</v>
      </c>
      <c r="I1490" s="87">
        <v>232500</v>
      </c>
      <c r="J1490" s="87">
        <f>F1490*I1490</f>
        <v>0</v>
      </c>
      <c r="K1490" s="87">
        <v>270000</v>
      </c>
      <c r="L1490" s="87">
        <f>F1490*K1490</f>
        <v>0</v>
      </c>
    </row>
    <row r="1491" spans="1:12" ht="12" customHeight="1" x14ac:dyDescent="0.35">
      <c r="B1491" s="84"/>
      <c r="C1491" s="85"/>
      <c r="D1491" s="84"/>
      <c r="E1491" s="84"/>
      <c r="F1491" s="128"/>
      <c r="G1491" s="87"/>
      <c r="H1491" s="87">
        <f>F1491*G1491</f>
        <v>0</v>
      </c>
      <c r="I1491" s="87">
        <v>1060</v>
      </c>
      <c r="J1491" s="87">
        <f>F1491*I1491</f>
        <v>0</v>
      </c>
      <c r="K1491" s="87">
        <v>1060</v>
      </c>
      <c r="L1491" s="87">
        <f>F1491*K1491</f>
        <v>0</v>
      </c>
    </row>
    <row r="1492" spans="1:12" ht="12" customHeight="1" x14ac:dyDescent="0.35">
      <c r="B1492" s="84"/>
      <c r="C1492" s="85"/>
      <c r="D1492" s="84"/>
      <c r="E1492" s="84"/>
      <c r="F1492" s="128"/>
      <c r="G1492" s="87"/>
      <c r="H1492" s="87">
        <f>F1492*G1492</f>
        <v>0</v>
      </c>
      <c r="I1492" s="87">
        <v>215000</v>
      </c>
      <c r="J1492" s="87">
        <f>F1492*I1492</f>
        <v>0</v>
      </c>
      <c r="K1492" s="87">
        <v>250000</v>
      </c>
      <c r="L1492" s="87">
        <f>F1492*K1492</f>
        <v>0</v>
      </c>
    </row>
    <row r="1493" spans="1:12" ht="12" customHeight="1" x14ac:dyDescent="0.35">
      <c r="B1493" s="84"/>
      <c r="C1493" s="85"/>
      <c r="D1493" s="84"/>
      <c r="E1493" s="84"/>
      <c r="F1493" s="128"/>
      <c r="G1493" s="87"/>
      <c r="H1493" s="87"/>
      <c r="I1493" s="87"/>
      <c r="J1493" s="87"/>
      <c r="K1493" s="87"/>
      <c r="L1493" s="87"/>
    </row>
    <row r="1494" spans="1:12" ht="12" customHeight="1" x14ac:dyDescent="0.35">
      <c r="B1494" s="84"/>
      <c r="C1494" s="88"/>
      <c r="D1494" s="79"/>
      <c r="E1494" s="79"/>
      <c r="F1494" s="129" t="s">
        <v>423</v>
      </c>
      <c r="G1494" s="129"/>
      <c r="H1494" s="87">
        <f>SUM(H1490:H1493)</f>
        <v>0</v>
      </c>
      <c r="I1494" s="101"/>
      <c r="J1494" s="87" t="e">
        <f>SUM(#REF!)</f>
        <v>#REF!</v>
      </c>
      <c r="K1494" s="101"/>
      <c r="L1494" s="87" t="e">
        <f>SUM(#REF!)</f>
        <v>#REF!</v>
      </c>
    </row>
    <row r="1495" spans="1:12" ht="12" customHeight="1" x14ac:dyDescent="0.35">
      <c r="B1495" s="84" t="s">
        <v>7</v>
      </c>
      <c r="C1495" s="88" t="s">
        <v>424</v>
      </c>
      <c r="D1495" s="79"/>
      <c r="E1495" s="79"/>
      <c r="F1495" s="90"/>
      <c r="G1495" s="84"/>
      <c r="H1495" s="87"/>
      <c r="I1495" s="84"/>
      <c r="J1495" s="87"/>
      <c r="K1495" s="84"/>
      <c r="L1495" s="87"/>
    </row>
    <row r="1496" spans="1:12" ht="12" customHeight="1" x14ac:dyDescent="0.35">
      <c r="A1496" s="134">
        <v>31110029</v>
      </c>
      <c r="B1496" s="84"/>
      <c r="C1496" s="85" t="str">
        <f>VLOOKUP(A1496,'DAFTAR HARGA'!A:D,3,FALSE)</f>
        <v>jam</v>
      </c>
      <c r="D1496" s="84" t="s">
        <v>418</v>
      </c>
      <c r="E1496" s="84">
        <f>VLOOKUP(A1496,'DAFTAR HARGA'!A:D,4,FALSE)</f>
        <v>200000</v>
      </c>
      <c r="F1496" s="128">
        <v>0.14019999999999999</v>
      </c>
      <c r="G1496" s="87" t="e">
        <f>VLOOKUP(A1496,'DAFTAR HARGA'!A:D,5,FALSE)</f>
        <v>#REF!</v>
      </c>
      <c r="H1496" s="87" t="e">
        <f>F1496*G1496</f>
        <v>#REF!</v>
      </c>
      <c r="I1496" s="87"/>
      <c r="J1496" s="87" t="e">
        <f>H1496*I1496</f>
        <v>#REF!</v>
      </c>
      <c r="K1496" s="87"/>
      <c r="L1496" s="87" t="e">
        <f>J1496*K1496</f>
        <v>#REF!</v>
      </c>
    </row>
    <row r="1497" spans="1:12" ht="12" customHeight="1" x14ac:dyDescent="0.35">
      <c r="A1497" s="134">
        <v>31100008</v>
      </c>
      <c r="B1497" s="84"/>
      <c r="C1497" s="85" t="str">
        <f>VLOOKUP(A1497,'DAFTAR HARGA'!A:D,3,FALSE)</f>
        <v>jam</v>
      </c>
      <c r="D1497" s="84" t="s">
        <v>418</v>
      </c>
      <c r="E1497" s="84">
        <f>VLOOKUP(A1497,'DAFTAR HARGA'!A:D,4,FALSE)</f>
        <v>449000</v>
      </c>
      <c r="F1497" s="128">
        <f>F1496</f>
        <v>0.14019999999999999</v>
      </c>
      <c r="G1497" s="87" t="e">
        <f>VLOOKUP(A1497,'DAFTAR HARGA'!A:D,5,FALSE)</f>
        <v>#REF!</v>
      </c>
      <c r="H1497" s="87" t="e">
        <f t="shared" ref="H1497:H1498" si="4">F1497*G1497</f>
        <v>#REF!</v>
      </c>
      <c r="I1497" s="87"/>
      <c r="J1497" s="87"/>
      <c r="K1497" s="87"/>
      <c r="L1497" s="87"/>
    </row>
    <row r="1498" spans="1:12" ht="12" customHeight="1" x14ac:dyDescent="0.35">
      <c r="A1498" s="134" t="s">
        <v>572</v>
      </c>
      <c r="B1498" s="84"/>
      <c r="C1498" s="85" t="str">
        <f>VLOOKUP(A1498,'DAFTAR HARGA'!A:D,3,FALSE)</f>
        <v>jam</v>
      </c>
      <c r="D1498" s="84" t="s">
        <v>418</v>
      </c>
      <c r="E1498" s="84">
        <f>VLOOKUP(A1498,'DAFTAR HARGA'!A:D,4,FALSE)</f>
        <v>290400</v>
      </c>
      <c r="F1498" s="128">
        <v>7.0099999999999996E-2</v>
      </c>
      <c r="G1498" s="87" t="e">
        <f>VLOOKUP(A1498,'DAFTAR HARGA'!A:D,5,FALSE)</f>
        <v>#REF!</v>
      </c>
      <c r="H1498" s="87" t="e">
        <f t="shared" si="4"/>
        <v>#REF!</v>
      </c>
      <c r="I1498" s="87"/>
      <c r="J1498" s="87"/>
      <c r="K1498" s="87"/>
      <c r="L1498" s="87"/>
    </row>
    <row r="1499" spans="1:12" ht="12" customHeight="1" x14ac:dyDescent="0.35">
      <c r="B1499" s="84"/>
      <c r="C1499" s="85"/>
      <c r="D1499" s="84"/>
      <c r="E1499" s="84"/>
      <c r="F1499" s="128"/>
      <c r="G1499" s="87"/>
      <c r="H1499" s="87">
        <f>F1499*G1499</f>
        <v>0</v>
      </c>
      <c r="I1499" s="87"/>
      <c r="J1499" s="87"/>
      <c r="K1499" s="87"/>
      <c r="L1499" s="87"/>
    </row>
    <row r="1500" spans="1:12" ht="12" customHeight="1" x14ac:dyDescent="0.35">
      <c r="B1500" s="84"/>
      <c r="C1500" s="88"/>
      <c r="D1500" s="79"/>
      <c r="E1500" s="79"/>
      <c r="F1500" s="89" t="s">
        <v>425</v>
      </c>
      <c r="G1500" s="101"/>
      <c r="H1500" s="87" t="e">
        <f>SUM(H1496:H1499)</f>
        <v>#REF!</v>
      </c>
      <c r="I1500" s="101"/>
      <c r="J1500" s="87" t="e">
        <f>SUM(J1496)</f>
        <v>#REF!</v>
      </c>
      <c r="K1500" s="101"/>
      <c r="L1500" s="87" t="e">
        <f>SUM(L1496)</f>
        <v>#REF!</v>
      </c>
    </row>
    <row r="1501" spans="1:12" ht="12" customHeight="1" x14ac:dyDescent="0.35">
      <c r="B1501" s="84" t="s">
        <v>8</v>
      </c>
      <c r="C1501" s="103" t="s">
        <v>426</v>
      </c>
      <c r="D1501" s="104"/>
      <c r="E1501" s="104"/>
      <c r="F1501" s="104"/>
      <c r="G1501" s="105"/>
      <c r="H1501" s="87" t="e">
        <f>H1488+H1494+H1500</f>
        <v>#REF!</v>
      </c>
      <c r="I1501" s="105"/>
      <c r="J1501" s="87" t="e">
        <f>J1488+J1494+J1500</f>
        <v>#REF!</v>
      </c>
      <c r="K1501" s="105"/>
      <c r="L1501" s="87" t="e">
        <f>L1488+L1494+L1500</f>
        <v>#REF!</v>
      </c>
    </row>
    <row r="1502" spans="1:12" ht="12" customHeight="1" x14ac:dyDescent="0.35">
      <c r="B1502" s="84" t="s">
        <v>9</v>
      </c>
      <c r="C1502" s="455" t="s">
        <v>427</v>
      </c>
      <c r="D1502" s="455"/>
      <c r="E1502" s="455"/>
      <c r="F1502" s="95" t="str">
        <f>OP</f>
        <v>TANJUNG PALAS TENGAH</v>
      </c>
      <c r="G1502" s="85" t="s">
        <v>428</v>
      </c>
      <c r="H1502" s="87" t="e">
        <f>H1501*F1502</f>
        <v>#REF!</v>
      </c>
      <c r="I1502" s="85" t="s">
        <v>428</v>
      </c>
      <c r="J1502" s="87" t="e">
        <f>J1501*F1502</f>
        <v>#REF!</v>
      </c>
      <c r="K1502" s="85" t="s">
        <v>428</v>
      </c>
      <c r="L1502" s="87" t="e">
        <f>L1501*F1502</f>
        <v>#REF!</v>
      </c>
    </row>
    <row r="1503" spans="1:12" ht="12" customHeight="1" x14ac:dyDescent="0.35">
      <c r="B1503" s="84" t="s">
        <v>10</v>
      </c>
      <c r="C1503" s="103" t="s">
        <v>429</v>
      </c>
      <c r="D1503" s="104"/>
      <c r="E1503" s="104"/>
      <c r="F1503" s="104"/>
      <c r="G1503" s="105"/>
      <c r="H1503" s="96" t="e">
        <f>H1501+H1502</f>
        <v>#REF!</v>
      </c>
      <c r="I1503" s="97"/>
      <c r="J1503" s="96" t="e">
        <f>J1501+J1502</f>
        <v>#REF!</v>
      </c>
      <c r="K1503" s="97"/>
      <c r="L1503" s="96" t="e">
        <f>L1501+L1502</f>
        <v>#REF!</v>
      </c>
    </row>
    <row r="1505" spans="1:12" ht="37" customHeight="1" x14ac:dyDescent="0.35">
      <c r="B1505" s="76" t="s">
        <v>628</v>
      </c>
      <c r="C1505" s="458" t="s">
        <v>644</v>
      </c>
      <c r="D1505" s="459"/>
      <c r="E1505" s="459"/>
      <c r="F1505" s="459"/>
      <c r="G1505" s="456"/>
      <c r="H1505" s="457"/>
      <c r="I1505" s="455" t="s">
        <v>3</v>
      </c>
      <c r="J1505" s="455"/>
      <c r="K1505" s="455" t="s">
        <v>4</v>
      </c>
      <c r="L1505" s="455"/>
    </row>
    <row r="1506" spans="1:12" ht="12" customHeight="1" x14ac:dyDescent="0.35">
      <c r="B1506" s="451" t="s">
        <v>409</v>
      </c>
      <c r="C1506" s="451" t="s">
        <v>410</v>
      </c>
      <c r="D1506" s="452" t="s">
        <v>411</v>
      </c>
      <c r="E1506" s="451" t="s">
        <v>412</v>
      </c>
      <c r="F1506" s="451" t="s">
        <v>413</v>
      </c>
      <c r="G1506" s="77" t="s">
        <v>414</v>
      </c>
      <c r="H1506" s="77" t="s">
        <v>415</v>
      </c>
      <c r="I1506" s="78" t="s">
        <v>414</v>
      </c>
      <c r="J1506" s="79" t="s">
        <v>415</v>
      </c>
      <c r="K1506" s="79" t="s">
        <v>414</v>
      </c>
      <c r="L1506" s="79" t="s">
        <v>415</v>
      </c>
    </row>
    <row r="1507" spans="1:12" ht="12" customHeight="1" x14ac:dyDescent="0.35">
      <c r="B1507" s="451"/>
      <c r="C1507" s="451"/>
      <c r="D1507" s="453"/>
      <c r="E1507" s="451"/>
      <c r="F1507" s="451"/>
      <c r="G1507" s="77" t="s">
        <v>17</v>
      </c>
      <c r="H1507" s="77" t="s">
        <v>416</v>
      </c>
      <c r="I1507" s="78" t="s">
        <v>17</v>
      </c>
      <c r="J1507" s="79" t="s">
        <v>416</v>
      </c>
      <c r="K1507" s="79" t="s">
        <v>17</v>
      </c>
      <c r="L1507" s="79" t="s">
        <v>416</v>
      </c>
    </row>
    <row r="1508" spans="1:12" ht="12" customHeight="1" x14ac:dyDescent="0.35">
      <c r="B1508" s="451"/>
      <c r="C1508" s="451"/>
      <c r="D1508" s="454"/>
      <c r="E1508" s="451"/>
      <c r="F1508" s="451"/>
      <c r="G1508" s="106"/>
      <c r="H1508" s="77" t="s">
        <v>17</v>
      </c>
      <c r="I1508" s="94"/>
      <c r="J1508" s="79" t="s">
        <v>17</v>
      </c>
      <c r="K1508" s="85"/>
      <c r="L1508" s="79" t="s">
        <v>17</v>
      </c>
    </row>
    <row r="1509" spans="1:12" ht="12" customHeight="1" x14ac:dyDescent="0.35">
      <c r="B1509" s="80" t="s">
        <v>5</v>
      </c>
      <c r="C1509" s="81" t="s">
        <v>417</v>
      </c>
      <c r="D1509" s="82"/>
      <c r="E1509" s="82"/>
      <c r="F1509" s="82"/>
      <c r="G1509" s="82"/>
      <c r="H1509" s="82"/>
      <c r="I1509" s="83"/>
      <c r="J1509" s="83"/>
      <c r="K1509" s="83"/>
      <c r="L1509" s="83"/>
    </row>
    <row r="1510" spans="1:12" ht="12" customHeight="1" x14ac:dyDescent="0.35">
      <c r="A1510" s="134">
        <v>10130000</v>
      </c>
      <c r="B1510" s="84"/>
      <c r="C1510" s="85" t="str">
        <f>VLOOKUP(A1510,'DAFTAR HARGA'!A:D,3,FALSE)</f>
        <v>OH</v>
      </c>
      <c r="D1510" s="84" t="s">
        <v>418</v>
      </c>
      <c r="E1510" s="84">
        <f>VLOOKUP(A1510,'DAFTAR HARGA'!A:D,4,FALSE)</f>
        <v>115000</v>
      </c>
      <c r="F1510" s="128">
        <v>1.5</v>
      </c>
      <c r="G1510" s="87" t="e">
        <f>VLOOKUP(A1510,'DAFTAR HARGA'!A:D,5,FALSE)</f>
        <v>#REF!</v>
      </c>
      <c r="H1510" s="87" t="e">
        <f>F1510*G1510</f>
        <v>#REF!</v>
      </c>
      <c r="I1510" s="87">
        <v>91500</v>
      </c>
      <c r="J1510" s="87">
        <f>F1510*I1510</f>
        <v>137250</v>
      </c>
      <c r="K1510" s="87">
        <v>91500</v>
      </c>
      <c r="L1510" s="87">
        <f>F1510*K1510</f>
        <v>137250</v>
      </c>
    </row>
    <row r="1511" spans="1:12" ht="12" customHeight="1" x14ac:dyDescent="0.35">
      <c r="A1511" s="134">
        <v>10143000</v>
      </c>
      <c r="B1511" s="84"/>
      <c r="C1511" s="85" t="str">
        <f>VLOOKUP(A1511,'DAFTAR HARGA'!A:D,3,FALSE)</f>
        <v>OH</v>
      </c>
      <c r="D1511" s="84" t="s">
        <v>418</v>
      </c>
      <c r="E1511" s="84">
        <f>VLOOKUP(A1511,'DAFTAR HARGA'!A:D,4,FALSE)</f>
        <v>236600</v>
      </c>
      <c r="F1511" s="128">
        <v>0.5</v>
      </c>
      <c r="G1511" s="87" t="e">
        <f>VLOOKUP(A1511,'DAFTAR HARGA'!A:D,5,FALSE)</f>
        <v>#REF!</v>
      </c>
      <c r="H1511" s="87" t="e">
        <f>F1511*G1511</f>
        <v>#REF!</v>
      </c>
      <c r="I1511" s="87"/>
      <c r="J1511" s="87"/>
      <c r="K1511" s="87"/>
      <c r="L1511" s="87"/>
    </row>
    <row r="1512" spans="1:12" ht="12" customHeight="1" x14ac:dyDescent="0.35">
      <c r="A1512" s="134">
        <v>10110000</v>
      </c>
      <c r="B1512" s="84"/>
      <c r="C1512" s="85" t="str">
        <f>VLOOKUP(A1512,'DAFTAR HARGA'!A:D,3,FALSE)</f>
        <v>OH</v>
      </c>
      <c r="D1512" s="84" t="s">
        <v>418</v>
      </c>
      <c r="E1512" s="84">
        <f>VLOOKUP(A1512,'DAFTAR HARGA'!A:D,4,FALSE)</f>
        <v>150000</v>
      </c>
      <c r="F1512" s="128">
        <v>0.15</v>
      </c>
      <c r="G1512" s="87" t="e">
        <f>VLOOKUP(A1512,'DAFTAR HARGA'!A:D,5,FALSE)</f>
        <v>#REF!</v>
      </c>
      <c r="H1512" s="87" t="e">
        <f>F1512*G1512</f>
        <v>#REF!</v>
      </c>
      <c r="I1512" s="87">
        <v>78600</v>
      </c>
      <c r="J1512" s="87">
        <f>F1512*I1512</f>
        <v>11790</v>
      </c>
      <c r="K1512" s="87">
        <v>78600</v>
      </c>
      <c r="L1512" s="87">
        <f>F1512*K1512</f>
        <v>11790</v>
      </c>
    </row>
    <row r="1513" spans="1:12" ht="12" customHeight="1" x14ac:dyDescent="0.35">
      <c r="B1513" s="84"/>
      <c r="C1513" s="85"/>
      <c r="D1513" s="84"/>
      <c r="E1513" s="84"/>
      <c r="F1513" s="86"/>
      <c r="G1513" s="87"/>
      <c r="H1513" s="87">
        <f>F1513*G1513</f>
        <v>0</v>
      </c>
      <c r="I1513" s="87">
        <v>92500</v>
      </c>
      <c r="J1513" s="87">
        <f>F1513*I1513</f>
        <v>0</v>
      </c>
      <c r="K1513" s="87">
        <v>92500</v>
      </c>
      <c r="L1513" s="87">
        <f>F1513*K1513</f>
        <v>0</v>
      </c>
    </row>
    <row r="1514" spans="1:12" ht="12" customHeight="1" x14ac:dyDescent="0.35">
      <c r="B1514" s="84"/>
      <c r="C1514" s="85"/>
      <c r="D1514" s="84"/>
      <c r="E1514" s="84"/>
      <c r="F1514" s="86"/>
      <c r="G1514" s="87"/>
      <c r="H1514" s="87"/>
      <c r="I1514" s="87"/>
      <c r="J1514" s="87"/>
      <c r="K1514" s="87"/>
      <c r="L1514" s="87"/>
    </row>
    <row r="1515" spans="1:12" ht="12" customHeight="1" x14ac:dyDescent="0.35">
      <c r="B1515" s="84"/>
      <c r="C1515" s="88"/>
      <c r="D1515" s="79"/>
      <c r="E1515" s="79"/>
      <c r="F1515" s="89" t="s">
        <v>421</v>
      </c>
      <c r="G1515" s="101"/>
      <c r="H1515" s="87" t="e">
        <f>SUM(H1510:H1514)</f>
        <v>#REF!</v>
      </c>
      <c r="I1515" s="101"/>
      <c r="J1515" s="87">
        <f>SUM(J1512:J1514)</f>
        <v>11790</v>
      </c>
      <c r="K1515" s="101"/>
      <c r="L1515" s="87">
        <f>SUM(L1512:L1514)</f>
        <v>11790</v>
      </c>
    </row>
    <row r="1516" spans="1:12" ht="12" customHeight="1" x14ac:dyDescent="0.35">
      <c r="B1516" s="84" t="s">
        <v>6</v>
      </c>
      <c r="C1516" s="88" t="s">
        <v>422</v>
      </c>
      <c r="D1516" s="79"/>
      <c r="E1516" s="79"/>
      <c r="F1516" s="90"/>
      <c r="G1516" s="84"/>
      <c r="H1516" s="87"/>
      <c r="I1516" s="84"/>
      <c r="J1516" s="87"/>
      <c r="K1516" s="84"/>
      <c r="L1516" s="87"/>
    </row>
    <row r="1517" spans="1:12" ht="12" customHeight="1" x14ac:dyDescent="0.35">
      <c r="A1517" s="134">
        <v>211100102</v>
      </c>
      <c r="B1517" s="84"/>
      <c r="C1517" s="85" t="str">
        <f>VLOOKUP(A1517,'DAFTAR HARGA'!A:D,3,FALSE)</f>
        <v>m³</v>
      </c>
      <c r="D1517" s="84" t="s">
        <v>418</v>
      </c>
      <c r="E1517" s="84">
        <f>VLOOKUP(A1517,'DAFTAR HARGA'!A:D,4,FALSE)</f>
        <v>236600</v>
      </c>
      <c r="F1517" s="128">
        <v>1.2</v>
      </c>
      <c r="G1517" s="87" t="e">
        <f>VLOOKUP(A1517,'DAFTAR HARGA'!A:D,5,FALSE)</f>
        <v>#REF!</v>
      </c>
      <c r="H1517" s="87" t="e">
        <f>F1517*G1517</f>
        <v>#REF!</v>
      </c>
      <c r="I1517" s="87">
        <v>232500</v>
      </c>
      <c r="J1517" s="87">
        <f>F1517*I1517</f>
        <v>279000</v>
      </c>
      <c r="K1517" s="87">
        <v>270000</v>
      </c>
      <c r="L1517" s="87">
        <f>F1517*K1517</f>
        <v>324000</v>
      </c>
    </row>
    <row r="1518" spans="1:12" ht="12" customHeight="1" x14ac:dyDescent="0.35">
      <c r="A1518" s="134">
        <v>211100113</v>
      </c>
      <c r="B1518" s="84"/>
      <c r="C1518" s="85" t="str">
        <f>VLOOKUP(A1518,'DAFTAR HARGA'!A:D,3,FALSE)</f>
        <v>m³</v>
      </c>
      <c r="D1518" s="84" t="s">
        <v>418</v>
      </c>
      <c r="E1518" s="84">
        <f>VLOOKUP(A1518,'DAFTAR HARGA'!A:D,4,FALSE)</f>
        <v>217500</v>
      </c>
      <c r="F1518" s="128">
        <v>0.44</v>
      </c>
      <c r="G1518" s="87" t="e">
        <f>VLOOKUP(A1518,'DAFTAR HARGA'!A:D,5,FALSE)</f>
        <v>#REF!</v>
      </c>
      <c r="H1518" s="87" t="e">
        <f>F1518*G1518</f>
        <v>#REF!</v>
      </c>
      <c r="I1518" s="87">
        <v>1060</v>
      </c>
      <c r="J1518" s="87">
        <f>F1518*I1518</f>
        <v>466.4</v>
      </c>
      <c r="K1518" s="87">
        <v>1060</v>
      </c>
      <c r="L1518" s="87">
        <f>F1518*K1518</f>
        <v>466.4</v>
      </c>
    </row>
    <row r="1519" spans="1:12" ht="12" customHeight="1" x14ac:dyDescent="0.35">
      <c r="A1519" s="134">
        <v>21301000</v>
      </c>
      <c r="B1519" s="84"/>
      <c r="C1519" s="85" t="str">
        <f>VLOOKUP(A1519,'DAFTAR HARGA'!A:D,3,FALSE)</f>
        <v>Kg</v>
      </c>
      <c r="D1519" s="84" t="s">
        <v>418</v>
      </c>
      <c r="E1519" s="84">
        <f>VLOOKUP(A1519,'DAFTAR HARGA'!A:D,4,FALSE)</f>
        <v>1350</v>
      </c>
      <c r="F1519" s="128">
        <v>252</v>
      </c>
      <c r="G1519" s="87" t="e">
        <f>VLOOKUP(A1519,'DAFTAR HARGA'!A:D,5,FALSE)</f>
        <v>#REF!</v>
      </c>
      <c r="H1519" s="87" t="e">
        <f>F1519*G1519</f>
        <v>#REF!</v>
      </c>
      <c r="I1519" s="87">
        <v>215000</v>
      </c>
      <c r="J1519" s="87">
        <f>F1519*I1519</f>
        <v>54180000</v>
      </c>
      <c r="K1519" s="87">
        <v>250000</v>
      </c>
      <c r="L1519" s="87">
        <f>F1519*K1519</f>
        <v>63000000</v>
      </c>
    </row>
    <row r="1520" spans="1:12" ht="12" customHeight="1" x14ac:dyDescent="0.35">
      <c r="B1520" s="84"/>
      <c r="C1520" s="85"/>
      <c r="D1520" s="84"/>
      <c r="E1520" s="84"/>
      <c r="F1520" s="128"/>
      <c r="G1520" s="87"/>
      <c r="H1520" s="87"/>
      <c r="I1520" s="87"/>
      <c r="J1520" s="87"/>
      <c r="K1520" s="87"/>
      <c r="L1520" s="87"/>
    </row>
    <row r="1521" spans="1:12" ht="12" customHeight="1" x14ac:dyDescent="0.35">
      <c r="B1521" s="84"/>
      <c r="C1521" s="88"/>
      <c r="D1521" s="79"/>
      <c r="E1521" s="79"/>
      <c r="F1521" s="129" t="s">
        <v>423</v>
      </c>
      <c r="G1521" s="129"/>
      <c r="H1521" s="87" t="e">
        <f>SUM(H1517:H1520)</f>
        <v>#REF!</v>
      </c>
      <c r="I1521" s="101"/>
      <c r="J1521" s="87" t="e">
        <f>SUM(#REF!)</f>
        <v>#REF!</v>
      </c>
      <c r="K1521" s="101"/>
      <c r="L1521" s="87" t="e">
        <f>SUM(#REF!)</f>
        <v>#REF!</v>
      </c>
    </row>
    <row r="1522" spans="1:12" ht="12" customHeight="1" x14ac:dyDescent="0.35">
      <c r="B1522" s="84" t="s">
        <v>7</v>
      </c>
      <c r="C1522" s="88" t="s">
        <v>424</v>
      </c>
      <c r="D1522" s="79"/>
      <c r="E1522" s="79"/>
      <c r="F1522" s="90"/>
      <c r="G1522" s="84"/>
      <c r="H1522" s="87"/>
      <c r="I1522" s="84"/>
      <c r="J1522" s="87"/>
      <c r="K1522" s="84"/>
      <c r="L1522" s="87"/>
    </row>
    <row r="1523" spans="1:12" ht="12" customHeight="1" x14ac:dyDescent="0.35">
      <c r="B1523" s="84"/>
      <c r="C1523" s="85"/>
      <c r="D1523" s="84"/>
      <c r="E1523" s="84"/>
      <c r="F1523" s="128"/>
      <c r="G1523" s="87"/>
      <c r="H1523" s="87">
        <f>F1523*G1523</f>
        <v>0</v>
      </c>
      <c r="I1523" s="87"/>
      <c r="J1523" s="87">
        <f>H1523*I1523</f>
        <v>0</v>
      </c>
      <c r="K1523" s="87"/>
      <c r="L1523" s="87">
        <f>J1523*K1523</f>
        <v>0</v>
      </c>
    </row>
    <row r="1524" spans="1:12" ht="12" customHeight="1" x14ac:dyDescent="0.35">
      <c r="B1524" s="84"/>
      <c r="C1524" s="85"/>
      <c r="D1524" s="84"/>
      <c r="E1524" s="84"/>
      <c r="F1524" s="128"/>
      <c r="G1524" s="87"/>
      <c r="H1524" s="87">
        <f>F1524*G1524</f>
        <v>0</v>
      </c>
      <c r="I1524" s="87"/>
      <c r="J1524" s="87"/>
      <c r="K1524" s="87"/>
      <c r="L1524" s="87"/>
    </row>
    <row r="1525" spans="1:12" ht="12" customHeight="1" x14ac:dyDescent="0.35">
      <c r="B1525" s="84"/>
      <c r="C1525" s="88"/>
      <c r="D1525" s="79"/>
      <c r="E1525" s="79"/>
      <c r="F1525" s="89" t="s">
        <v>425</v>
      </c>
      <c r="G1525" s="101"/>
      <c r="H1525" s="87">
        <f>SUM(H1523:H1524)</f>
        <v>0</v>
      </c>
      <c r="I1525" s="101"/>
      <c r="J1525" s="87">
        <f>SUM(J1523)</f>
        <v>0</v>
      </c>
      <c r="K1525" s="101"/>
      <c r="L1525" s="87">
        <f>SUM(L1523)</f>
        <v>0</v>
      </c>
    </row>
    <row r="1526" spans="1:12" ht="12" customHeight="1" x14ac:dyDescent="0.35">
      <c r="B1526" s="84" t="s">
        <v>8</v>
      </c>
      <c r="C1526" s="103" t="s">
        <v>426</v>
      </c>
      <c r="D1526" s="104"/>
      <c r="E1526" s="104"/>
      <c r="F1526" s="104"/>
      <c r="G1526" s="105"/>
      <c r="H1526" s="87" t="e">
        <f>H1515+H1521+H1525</f>
        <v>#REF!</v>
      </c>
      <c r="I1526" s="105"/>
      <c r="J1526" s="87" t="e">
        <f>J1515+J1521+J1525</f>
        <v>#REF!</v>
      </c>
      <c r="K1526" s="105"/>
      <c r="L1526" s="87" t="e">
        <f>L1515+L1521+L1525</f>
        <v>#REF!</v>
      </c>
    </row>
    <row r="1527" spans="1:12" ht="12" customHeight="1" x14ac:dyDescent="0.35">
      <c r="B1527" s="84" t="s">
        <v>9</v>
      </c>
      <c r="C1527" s="455" t="s">
        <v>427</v>
      </c>
      <c r="D1527" s="455"/>
      <c r="E1527" s="455"/>
      <c r="F1527" s="95" t="str">
        <f>OP</f>
        <v>TANJUNG PALAS TENGAH</v>
      </c>
      <c r="G1527" s="85" t="s">
        <v>428</v>
      </c>
      <c r="H1527" s="87" t="e">
        <f>H1526*F1527</f>
        <v>#REF!</v>
      </c>
      <c r="I1527" s="85" t="s">
        <v>428</v>
      </c>
      <c r="J1527" s="87" t="e">
        <f>J1526*F1527</f>
        <v>#REF!</v>
      </c>
      <c r="K1527" s="85" t="s">
        <v>428</v>
      </c>
      <c r="L1527" s="87" t="e">
        <f>L1526*F1527</f>
        <v>#REF!</v>
      </c>
    </row>
    <row r="1528" spans="1:12" ht="12" customHeight="1" x14ac:dyDescent="0.35">
      <c r="B1528" s="84" t="s">
        <v>10</v>
      </c>
      <c r="C1528" s="103" t="s">
        <v>429</v>
      </c>
      <c r="D1528" s="104"/>
      <c r="E1528" s="104"/>
      <c r="F1528" s="104"/>
      <c r="G1528" s="105"/>
      <c r="H1528" s="96" t="e">
        <f>H1526+H1527</f>
        <v>#REF!</v>
      </c>
      <c r="I1528" s="97"/>
      <c r="J1528" s="96" t="e">
        <f>J1526+J1527</f>
        <v>#REF!</v>
      </c>
      <c r="K1528" s="97"/>
      <c r="L1528" s="96" t="e">
        <f>L1526+L1527</f>
        <v>#REF!</v>
      </c>
    </row>
    <row r="1530" spans="1:12" ht="37" customHeight="1" x14ac:dyDescent="0.35">
      <c r="B1530" s="76" t="s">
        <v>631</v>
      </c>
      <c r="C1530" s="458" t="s">
        <v>645</v>
      </c>
      <c r="D1530" s="459"/>
      <c r="E1530" s="459"/>
      <c r="F1530" s="459"/>
      <c r="G1530" s="456"/>
      <c r="H1530" s="457"/>
      <c r="I1530" s="455" t="s">
        <v>3</v>
      </c>
      <c r="J1530" s="455"/>
      <c r="K1530" s="455" t="s">
        <v>4</v>
      </c>
      <c r="L1530" s="455"/>
    </row>
    <row r="1531" spans="1:12" ht="12" customHeight="1" x14ac:dyDescent="0.35">
      <c r="B1531" s="451" t="s">
        <v>409</v>
      </c>
      <c r="C1531" s="451" t="s">
        <v>410</v>
      </c>
      <c r="D1531" s="452" t="s">
        <v>411</v>
      </c>
      <c r="E1531" s="451" t="s">
        <v>412</v>
      </c>
      <c r="F1531" s="451" t="s">
        <v>413</v>
      </c>
      <c r="G1531" s="77" t="s">
        <v>414</v>
      </c>
      <c r="H1531" s="77" t="s">
        <v>415</v>
      </c>
      <c r="I1531" s="78" t="s">
        <v>414</v>
      </c>
      <c r="J1531" s="79" t="s">
        <v>415</v>
      </c>
      <c r="K1531" s="79" t="s">
        <v>414</v>
      </c>
      <c r="L1531" s="79" t="s">
        <v>415</v>
      </c>
    </row>
    <row r="1532" spans="1:12" ht="12" customHeight="1" x14ac:dyDescent="0.35">
      <c r="B1532" s="451"/>
      <c r="C1532" s="451"/>
      <c r="D1532" s="453"/>
      <c r="E1532" s="451"/>
      <c r="F1532" s="451"/>
      <c r="G1532" s="77" t="s">
        <v>17</v>
      </c>
      <c r="H1532" s="77" t="s">
        <v>416</v>
      </c>
      <c r="I1532" s="78" t="s">
        <v>17</v>
      </c>
      <c r="J1532" s="79" t="s">
        <v>416</v>
      </c>
      <c r="K1532" s="79" t="s">
        <v>17</v>
      </c>
      <c r="L1532" s="79" t="s">
        <v>416</v>
      </c>
    </row>
    <row r="1533" spans="1:12" ht="12" customHeight="1" x14ac:dyDescent="0.35">
      <c r="B1533" s="451"/>
      <c r="C1533" s="451"/>
      <c r="D1533" s="454"/>
      <c r="E1533" s="451"/>
      <c r="F1533" s="451"/>
      <c r="G1533" s="106"/>
      <c r="H1533" s="77" t="s">
        <v>17</v>
      </c>
      <c r="I1533" s="94"/>
      <c r="J1533" s="79" t="s">
        <v>17</v>
      </c>
      <c r="K1533" s="85"/>
      <c r="L1533" s="79" t="s">
        <v>17</v>
      </c>
    </row>
    <row r="1534" spans="1:12" ht="12" customHeight="1" x14ac:dyDescent="0.35">
      <c r="B1534" s="80" t="s">
        <v>5</v>
      </c>
      <c r="C1534" s="81" t="s">
        <v>417</v>
      </c>
      <c r="D1534" s="82"/>
      <c r="E1534" s="82"/>
      <c r="F1534" s="82"/>
      <c r="G1534" s="82"/>
      <c r="H1534" s="82"/>
      <c r="I1534" s="83"/>
      <c r="J1534" s="83"/>
      <c r="K1534" s="83"/>
      <c r="L1534" s="83"/>
    </row>
    <row r="1535" spans="1:12" ht="12" customHeight="1" x14ac:dyDescent="0.35">
      <c r="A1535" s="134">
        <v>10130000</v>
      </c>
      <c r="B1535" s="84"/>
      <c r="C1535" s="85" t="str">
        <f>VLOOKUP(A1535,'DAFTAR HARGA'!A:D,3,FALSE)</f>
        <v>OH</v>
      </c>
      <c r="D1535" s="84" t="s">
        <v>418</v>
      </c>
      <c r="E1535" s="84">
        <f>VLOOKUP(A1535,'DAFTAR HARGA'!A:D,4,FALSE)</f>
        <v>115000</v>
      </c>
      <c r="F1535" s="128">
        <v>2.5874000000000001</v>
      </c>
      <c r="G1535" s="87" t="e">
        <f>VLOOKUP(A1535,'DAFTAR HARGA'!A:D,5,FALSE)</f>
        <v>#REF!</v>
      </c>
      <c r="H1535" s="87" t="e">
        <f>F1535*G1535</f>
        <v>#REF!</v>
      </c>
      <c r="I1535" s="87">
        <v>91500</v>
      </c>
      <c r="J1535" s="87">
        <f>F1535*I1535</f>
        <v>236747.1</v>
      </c>
      <c r="K1535" s="87">
        <v>91500</v>
      </c>
      <c r="L1535" s="87">
        <f>F1535*K1535</f>
        <v>236747.1</v>
      </c>
    </row>
    <row r="1536" spans="1:12" ht="12" customHeight="1" x14ac:dyDescent="0.35">
      <c r="A1536" s="134">
        <v>10143000</v>
      </c>
      <c r="B1536" s="84"/>
      <c r="C1536" s="85" t="str">
        <f>VLOOKUP(A1536,'DAFTAR HARGA'!A:D,3,FALSE)</f>
        <v>OH</v>
      </c>
      <c r="D1536" s="84" t="s">
        <v>418</v>
      </c>
      <c r="E1536" s="84">
        <f>VLOOKUP(A1536,'DAFTAR HARGA'!A:D,4,FALSE)</f>
        <v>236600</v>
      </c>
      <c r="F1536" s="128">
        <v>0.86240000000000006</v>
      </c>
      <c r="G1536" s="87" t="e">
        <f>VLOOKUP(A1536,'DAFTAR HARGA'!A:D,5,FALSE)</f>
        <v>#REF!</v>
      </c>
      <c r="H1536" s="87" t="e">
        <f>F1536*G1536</f>
        <v>#REF!</v>
      </c>
      <c r="I1536" s="87"/>
      <c r="J1536" s="87"/>
      <c r="K1536" s="87"/>
      <c r="L1536" s="87"/>
    </row>
    <row r="1537" spans="1:12" ht="12" customHeight="1" x14ac:dyDescent="0.35">
      <c r="A1537" s="134">
        <v>10110000</v>
      </c>
      <c r="B1537" s="84"/>
      <c r="C1537" s="85" t="str">
        <f>VLOOKUP(A1537,'DAFTAR HARGA'!A:D,3,FALSE)</f>
        <v>OH</v>
      </c>
      <c r="D1537" s="84" t="s">
        <v>418</v>
      </c>
      <c r="E1537" s="84">
        <f>VLOOKUP(A1537,'DAFTAR HARGA'!A:D,4,FALSE)</f>
        <v>150000</v>
      </c>
      <c r="F1537" s="128">
        <v>0.25869999999999999</v>
      </c>
      <c r="G1537" s="87" t="e">
        <f>VLOOKUP(A1537,'DAFTAR HARGA'!A:D,5,FALSE)</f>
        <v>#REF!</v>
      </c>
      <c r="H1537" s="87" t="e">
        <f>F1537*G1537</f>
        <v>#REF!</v>
      </c>
      <c r="I1537" s="87">
        <v>78600</v>
      </c>
      <c r="J1537" s="87">
        <f>F1537*I1537</f>
        <v>20333.82</v>
      </c>
      <c r="K1537" s="87">
        <v>78600</v>
      </c>
      <c r="L1537" s="87">
        <f>F1537*K1537</f>
        <v>20333.82</v>
      </c>
    </row>
    <row r="1538" spans="1:12" ht="12" customHeight="1" x14ac:dyDescent="0.35">
      <c r="B1538" s="84"/>
      <c r="C1538" s="85"/>
      <c r="D1538" s="84"/>
      <c r="E1538" s="84"/>
      <c r="F1538" s="86"/>
      <c r="G1538" s="87"/>
      <c r="H1538" s="87">
        <f>F1538*G1538</f>
        <v>0</v>
      </c>
      <c r="I1538" s="87">
        <v>92500</v>
      </c>
      <c r="J1538" s="87">
        <f>F1538*I1538</f>
        <v>0</v>
      </c>
      <c r="K1538" s="87">
        <v>92500</v>
      </c>
      <c r="L1538" s="87">
        <f>F1538*K1538</f>
        <v>0</v>
      </c>
    </row>
    <row r="1539" spans="1:12" ht="12" customHeight="1" x14ac:dyDescent="0.35">
      <c r="B1539" s="84"/>
      <c r="C1539" s="85"/>
      <c r="D1539" s="84"/>
      <c r="E1539" s="84"/>
      <c r="F1539" s="86"/>
      <c r="G1539" s="87"/>
      <c r="H1539" s="87"/>
      <c r="I1539" s="87"/>
      <c r="J1539" s="87"/>
      <c r="K1539" s="87"/>
      <c r="L1539" s="87"/>
    </row>
    <row r="1540" spans="1:12" ht="12" customHeight="1" x14ac:dyDescent="0.35">
      <c r="B1540" s="84"/>
      <c r="C1540" s="88"/>
      <c r="D1540" s="79"/>
      <c r="E1540" s="79"/>
      <c r="F1540" s="89" t="s">
        <v>421</v>
      </c>
      <c r="G1540" s="101"/>
      <c r="H1540" s="87" t="e">
        <f>SUM(H1535:H1539)</f>
        <v>#REF!</v>
      </c>
      <c r="I1540" s="101"/>
      <c r="J1540" s="87">
        <f>SUM(J1537:J1539)</f>
        <v>20333.82</v>
      </c>
      <c r="K1540" s="101"/>
      <c r="L1540" s="87">
        <f>SUM(L1537:L1539)</f>
        <v>20333.82</v>
      </c>
    </row>
    <row r="1541" spans="1:12" ht="12" customHeight="1" x14ac:dyDescent="0.35">
      <c r="B1541" s="84" t="s">
        <v>6</v>
      </c>
      <c r="C1541" s="88" t="s">
        <v>422</v>
      </c>
      <c r="D1541" s="79"/>
      <c r="E1541" s="79"/>
      <c r="F1541" s="90"/>
      <c r="G1541" s="84"/>
      <c r="H1541" s="87"/>
      <c r="I1541" s="84"/>
      <c r="J1541" s="87"/>
      <c r="K1541" s="84"/>
      <c r="L1541" s="87"/>
    </row>
    <row r="1542" spans="1:12" ht="12" customHeight="1" x14ac:dyDescent="0.35">
      <c r="A1542" s="134">
        <v>211100102</v>
      </c>
      <c r="B1542" s="84"/>
      <c r="C1542" s="85" t="str">
        <f>VLOOKUP(A1542,'DAFTAR HARGA'!A:D,3,FALSE)</f>
        <v>m³</v>
      </c>
      <c r="D1542" s="84" t="s">
        <v>418</v>
      </c>
      <c r="E1542" s="84">
        <f>VLOOKUP(A1542,'DAFTAR HARGA'!A:D,4,FALSE)</f>
        <v>236600</v>
      </c>
      <c r="F1542" s="128">
        <v>1.2</v>
      </c>
      <c r="G1542" s="87" t="e">
        <f>VLOOKUP(A1542,'DAFTAR HARGA'!A:D,5,FALSE)</f>
        <v>#REF!</v>
      </c>
      <c r="H1542" s="87" t="e">
        <f>F1542*G1542</f>
        <v>#REF!</v>
      </c>
      <c r="I1542" s="87">
        <v>232500</v>
      </c>
      <c r="J1542" s="87">
        <f>F1542*I1542</f>
        <v>279000</v>
      </c>
      <c r="K1542" s="87">
        <v>270000</v>
      </c>
      <c r="L1542" s="87">
        <f>F1542*K1542</f>
        <v>324000</v>
      </c>
    </row>
    <row r="1543" spans="1:12" ht="12" customHeight="1" x14ac:dyDescent="0.35">
      <c r="A1543" s="134">
        <v>211100113</v>
      </c>
      <c r="B1543" s="84"/>
      <c r="C1543" s="85" t="str">
        <f>VLOOKUP(A1543,'DAFTAR HARGA'!A:D,3,FALSE)</f>
        <v>m³</v>
      </c>
      <c r="D1543" s="84" t="s">
        <v>418</v>
      </c>
      <c r="E1543" s="84">
        <f>VLOOKUP(A1543,'DAFTAR HARGA'!A:D,4,FALSE)</f>
        <v>217500</v>
      </c>
      <c r="F1543" s="128">
        <v>0.44</v>
      </c>
      <c r="G1543" s="87" t="e">
        <f>VLOOKUP(A1543,'DAFTAR HARGA'!A:D,5,FALSE)</f>
        <v>#REF!</v>
      </c>
      <c r="H1543" s="87" t="e">
        <f>F1543*G1543</f>
        <v>#REF!</v>
      </c>
      <c r="I1543" s="87">
        <v>1060</v>
      </c>
      <c r="J1543" s="87">
        <f>F1543*I1543</f>
        <v>466.4</v>
      </c>
      <c r="K1543" s="87">
        <v>1060</v>
      </c>
      <c r="L1543" s="87">
        <f>F1543*K1543</f>
        <v>466.4</v>
      </c>
    </row>
    <row r="1544" spans="1:12" ht="12" customHeight="1" x14ac:dyDescent="0.35">
      <c r="A1544" s="134">
        <v>21301000</v>
      </c>
      <c r="B1544" s="84"/>
      <c r="C1544" s="85" t="str">
        <f>VLOOKUP(A1544,'DAFTAR HARGA'!A:D,3,FALSE)</f>
        <v>Kg</v>
      </c>
      <c r="D1544" s="84" t="s">
        <v>418</v>
      </c>
      <c r="E1544" s="84">
        <f>VLOOKUP(A1544,'DAFTAR HARGA'!A:D,4,FALSE)</f>
        <v>1350</v>
      </c>
      <c r="F1544" s="128">
        <v>252</v>
      </c>
      <c r="G1544" s="87" t="e">
        <f>VLOOKUP(A1544,'DAFTAR HARGA'!A:D,5,FALSE)</f>
        <v>#REF!</v>
      </c>
      <c r="H1544" s="87" t="e">
        <f>F1544*G1544</f>
        <v>#REF!</v>
      </c>
      <c r="I1544" s="87">
        <v>215000</v>
      </c>
      <c r="J1544" s="87">
        <f>F1544*I1544</f>
        <v>54180000</v>
      </c>
      <c r="K1544" s="87">
        <v>250000</v>
      </c>
      <c r="L1544" s="87">
        <f>F1544*K1544</f>
        <v>63000000</v>
      </c>
    </row>
    <row r="1545" spans="1:12" ht="12" customHeight="1" x14ac:dyDescent="0.35">
      <c r="B1545" s="84"/>
      <c r="C1545" s="85"/>
      <c r="D1545" s="84"/>
      <c r="E1545" s="84"/>
      <c r="F1545" s="128"/>
      <c r="G1545" s="87"/>
      <c r="H1545" s="87"/>
      <c r="I1545" s="87"/>
      <c r="J1545" s="87"/>
      <c r="K1545" s="87"/>
      <c r="L1545" s="87"/>
    </row>
    <row r="1546" spans="1:12" ht="12" customHeight="1" x14ac:dyDescent="0.35">
      <c r="B1546" s="84"/>
      <c r="C1546" s="88"/>
      <c r="D1546" s="79"/>
      <c r="E1546" s="79"/>
      <c r="F1546" s="129" t="s">
        <v>423</v>
      </c>
      <c r="G1546" s="129"/>
      <c r="H1546" s="87" t="e">
        <f>SUM(H1542:H1545)</f>
        <v>#REF!</v>
      </c>
      <c r="I1546" s="101"/>
      <c r="J1546" s="87" t="e">
        <f>SUM(#REF!)</f>
        <v>#REF!</v>
      </c>
      <c r="K1546" s="101"/>
      <c r="L1546" s="87" t="e">
        <f>SUM(#REF!)</f>
        <v>#REF!</v>
      </c>
    </row>
    <row r="1547" spans="1:12" ht="12" customHeight="1" x14ac:dyDescent="0.35">
      <c r="B1547" s="84" t="s">
        <v>7</v>
      </c>
      <c r="C1547" s="88" t="s">
        <v>424</v>
      </c>
      <c r="D1547" s="79"/>
      <c r="E1547" s="79"/>
      <c r="F1547" s="90"/>
      <c r="G1547" s="84"/>
      <c r="H1547" s="87"/>
      <c r="I1547" s="84"/>
      <c r="J1547" s="87"/>
      <c r="K1547" s="84"/>
      <c r="L1547" s="87"/>
    </row>
    <row r="1548" spans="1:12" ht="12" customHeight="1" x14ac:dyDescent="0.35">
      <c r="B1548" s="84"/>
      <c r="C1548" s="85"/>
      <c r="D1548" s="84"/>
      <c r="E1548" s="84"/>
      <c r="F1548" s="128"/>
      <c r="G1548" s="87"/>
      <c r="H1548" s="87">
        <f>F1548*G1548</f>
        <v>0</v>
      </c>
      <c r="I1548" s="87"/>
      <c r="J1548" s="87">
        <f>H1548*I1548</f>
        <v>0</v>
      </c>
      <c r="K1548" s="87"/>
      <c r="L1548" s="87">
        <f>J1548*K1548</f>
        <v>0</v>
      </c>
    </row>
    <row r="1549" spans="1:12" ht="12" customHeight="1" x14ac:dyDescent="0.35">
      <c r="B1549" s="84"/>
      <c r="C1549" s="85"/>
      <c r="D1549" s="84"/>
      <c r="E1549" s="84"/>
      <c r="F1549" s="128"/>
      <c r="G1549" s="87"/>
      <c r="H1549" s="87">
        <f>F1549*G1549</f>
        <v>0</v>
      </c>
      <c r="I1549" s="87"/>
      <c r="J1549" s="87"/>
      <c r="K1549" s="87"/>
      <c r="L1549" s="87"/>
    </row>
    <row r="1550" spans="1:12" ht="12" customHeight="1" x14ac:dyDescent="0.35">
      <c r="B1550" s="84"/>
      <c r="C1550" s="88"/>
      <c r="D1550" s="79"/>
      <c r="E1550" s="79"/>
      <c r="F1550" s="89" t="s">
        <v>425</v>
      </c>
      <c r="G1550" s="101"/>
      <c r="H1550" s="87">
        <f>SUM(H1548:H1549)</f>
        <v>0</v>
      </c>
      <c r="I1550" s="101"/>
      <c r="J1550" s="87">
        <f>SUM(J1548)</f>
        <v>0</v>
      </c>
      <c r="K1550" s="101"/>
      <c r="L1550" s="87">
        <f>SUM(L1548)</f>
        <v>0</v>
      </c>
    </row>
    <row r="1551" spans="1:12" ht="12" customHeight="1" x14ac:dyDescent="0.35">
      <c r="B1551" s="84" t="s">
        <v>8</v>
      </c>
      <c r="C1551" s="103" t="s">
        <v>426</v>
      </c>
      <c r="D1551" s="104"/>
      <c r="E1551" s="104"/>
      <c r="F1551" s="104"/>
      <c r="G1551" s="105"/>
      <c r="H1551" s="87" t="e">
        <f>H1540+H1546+H1550</f>
        <v>#REF!</v>
      </c>
      <c r="I1551" s="105"/>
      <c r="J1551" s="87" t="e">
        <f>J1540+J1546+J1550</f>
        <v>#REF!</v>
      </c>
      <c r="K1551" s="105"/>
      <c r="L1551" s="87" t="e">
        <f>L1540+L1546+L1550</f>
        <v>#REF!</v>
      </c>
    </row>
    <row r="1552" spans="1:12" ht="12" customHeight="1" x14ac:dyDescent="0.35">
      <c r="B1552" s="84" t="s">
        <v>9</v>
      </c>
      <c r="C1552" s="455" t="s">
        <v>427</v>
      </c>
      <c r="D1552" s="455"/>
      <c r="E1552" s="455"/>
      <c r="F1552" s="95" t="str">
        <f>OP</f>
        <v>TANJUNG PALAS TENGAH</v>
      </c>
      <c r="G1552" s="85" t="s">
        <v>428</v>
      </c>
      <c r="H1552" s="87" t="e">
        <f>H1551*F1552</f>
        <v>#REF!</v>
      </c>
      <c r="I1552" s="85" t="s">
        <v>428</v>
      </c>
      <c r="J1552" s="87" t="e">
        <f>J1551*F1552</f>
        <v>#REF!</v>
      </c>
      <c r="K1552" s="85" t="s">
        <v>428</v>
      </c>
      <c r="L1552" s="87" t="e">
        <f>L1551*F1552</f>
        <v>#REF!</v>
      </c>
    </row>
    <row r="1553" spans="1:12" ht="12" customHeight="1" x14ac:dyDescent="0.35">
      <c r="B1553" s="84" t="s">
        <v>10</v>
      </c>
      <c r="C1553" s="103" t="s">
        <v>429</v>
      </c>
      <c r="D1553" s="104"/>
      <c r="E1553" s="104"/>
      <c r="F1553" s="104"/>
      <c r="G1553" s="105"/>
      <c r="H1553" s="96" t="e">
        <f>H1551+H1552</f>
        <v>#REF!</v>
      </c>
      <c r="I1553" s="97"/>
      <c r="J1553" s="96" t="e">
        <f>J1551+J1552</f>
        <v>#REF!</v>
      </c>
      <c r="K1553" s="97"/>
      <c r="L1553" s="96" t="e">
        <f>L1551+L1552</f>
        <v>#REF!</v>
      </c>
    </row>
    <row r="1555" spans="1:12" ht="37" customHeight="1" x14ac:dyDescent="0.35">
      <c r="B1555" s="76" t="s">
        <v>632</v>
      </c>
      <c r="C1555" s="458" t="s">
        <v>646</v>
      </c>
      <c r="D1555" s="459"/>
      <c r="E1555" s="459"/>
      <c r="F1555" s="459"/>
      <c r="G1555" s="456"/>
      <c r="H1555" s="457"/>
      <c r="I1555" s="455" t="s">
        <v>3</v>
      </c>
      <c r="J1555" s="455"/>
      <c r="K1555" s="455" t="s">
        <v>4</v>
      </c>
      <c r="L1555" s="455"/>
    </row>
    <row r="1556" spans="1:12" ht="12" customHeight="1" x14ac:dyDescent="0.35">
      <c r="B1556" s="451" t="s">
        <v>409</v>
      </c>
      <c r="C1556" s="451" t="s">
        <v>410</v>
      </c>
      <c r="D1556" s="452" t="s">
        <v>411</v>
      </c>
      <c r="E1556" s="451" t="s">
        <v>412</v>
      </c>
      <c r="F1556" s="451" t="s">
        <v>413</v>
      </c>
      <c r="G1556" s="77" t="s">
        <v>414</v>
      </c>
      <c r="H1556" s="77" t="s">
        <v>415</v>
      </c>
      <c r="I1556" s="78" t="s">
        <v>414</v>
      </c>
      <c r="J1556" s="79" t="s">
        <v>415</v>
      </c>
      <c r="K1556" s="79" t="s">
        <v>414</v>
      </c>
      <c r="L1556" s="79" t="s">
        <v>415</v>
      </c>
    </row>
    <row r="1557" spans="1:12" ht="12" customHeight="1" x14ac:dyDescent="0.35">
      <c r="B1557" s="451"/>
      <c r="C1557" s="451"/>
      <c r="D1557" s="453"/>
      <c r="E1557" s="451"/>
      <c r="F1557" s="451"/>
      <c r="G1557" s="77" t="s">
        <v>17</v>
      </c>
      <c r="H1557" s="77" t="s">
        <v>416</v>
      </c>
      <c r="I1557" s="78" t="s">
        <v>17</v>
      </c>
      <c r="J1557" s="79" t="s">
        <v>416</v>
      </c>
      <c r="K1557" s="79" t="s">
        <v>17</v>
      </c>
      <c r="L1557" s="79" t="s">
        <v>416</v>
      </c>
    </row>
    <row r="1558" spans="1:12" ht="12" customHeight="1" x14ac:dyDescent="0.35">
      <c r="B1558" s="451"/>
      <c r="C1558" s="451"/>
      <c r="D1558" s="454"/>
      <c r="E1558" s="451"/>
      <c r="F1558" s="451"/>
      <c r="G1558" s="106"/>
      <c r="H1558" s="77" t="s">
        <v>17</v>
      </c>
      <c r="I1558" s="94"/>
      <c r="J1558" s="79" t="s">
        <v>17</v>
      </c>
      <c r="K1558" s="85"/>
      <c r="L1558" s="79" t="s">
        <v>17</v>
      </c>
    </row>
    <row r="1559" spans="1:12" ht="12" customHeight="1" x14ac:dyDescent="0.35">
      <c r="B1559" s="80" t="s">
        <v>5</v>
      </c>
      <c r="C1559" s="81" t="s">
        <v>417</v>
      </c>
      <c r="D1559" s="82"/>
      <c r="E1559" s="82"/>
      <c r="F1559" s="82"/>
      <c r="G1559" s="82"/>
      <c r="H1559" s="82"/>
      <c r="I1559" s="83"/>
      <c r="J1559" s="83"/>
      <c r="K1559" s="83"/>
      <c r="L1559" s="83"/>
    </row>
    <row r="1560" spans="1:12" ht="12" customHeight="1" x14ac:dyDescent="0.35">
      <c r="A1560" s="134">
        <v>10130000</v>
      </c>
      <c r="B1560" s="84"/>
      <c r="C1560" s="85" t="str">
        <f>VLOOKUP(A1560,'DAFTAR HARGA'!A:D,3,FALSE)</f>
        <v>OH</v>
      </c>
      <c r="D1560" s="84" t="s">
        <v>418</v>
      </c>
      <c r="E1560" s="84">
        <f>VLOOKUP(A1560,'DAFTAR HARGA'!A:D,4,FALSE)</f>
        <v>115000</v>
      </c>
      <c r="F1560" s="128">
        <v>1</v>
      </c>
      <c r="G1560" s="87" t="e">
        <f>VLOOKUP(A1560,'DAFTAR HARGA'!A:D,5,FALSE)</f>
        <v>#REF!</v>
      </c>
      <c r="H1560" s="87" t="e">
        <f>F1560*G1560</f>
        <v>#REF!</v>
      </c>
      <c r="I1560" s="87">
        <v>91500</v>
      </c>
      <c r="J1560" s="87">
        <f>F1560*I1560</f>
        <v>91500</v>
      </c>
      <c r="K1560" s="87">
        <v>91500</v>
      </c>
      <c r="L1560" s="87">
        <f>F1560*K1560</f>
        <v>91500</v>
      </c>
    </row>
    <row r="1561" spans="1:12" ht="12" customHeight="1" x14ac:dyDescent="0.35">
      <c r="A1561" s="134">
        <v>10143000</v>
      </c>
      <c r="B1561" s="84"/>
      <c r="C1561" s="85" t="str">
        <f>VLOOKUP(A1561,'DAFTAR HARGA'!A:D,3,FALSE)</f>
        <v>OH</v>
      </c>
      <c r="D1561" s="84" t="s">
        <v>418</v>
      </c>
      <c r="E1561" s="84">
        <f>VLOOKUP(A1561,'DAFTAR HARGA'!A:D,4,FALSE)</f>
        <v>236600</v>
      </c>
      <c r="F1561" s="128">
        <v>0.5</v>
      </c>
      <c r="G1561" s="87" t="e">
        <f>VLOOKUP(A1561,'DAFTAR HARGA'!A:D,5,FALSE)</f>
        <v>#REF!</v>
      </c>
      <c r="H1561" s="87" t="e">
        <f>F1561*G1561</f>
        <v>#REF!</v>
      </c>
      <c r="I1561" s="87"/>
      <c r="J1561" s="87"/>
      <c r="K1561" s="87"/>
      <c r="L1561" s="87"/>
    </row>
    <row r="1562" spans="1:12" ht="12" customHeight="1" x14ac:dyDescent="0.35">
      <c r="A1562" s="134">
        <v>10110000</v>
      </c>
      <c r="B1562" s="84"/>
      <c r="C1562" s="85" t="str">
        <f>VLOOKUP(A1562,'DAFTAR HARGA'!A:D,3,FALSE)</f>
        <v>OH</v>
      </c>
      <c r="D1562" s="84" t="s">
        <v>418</v>
      </c>
      <c r="E1562" s="84">
        <f>VLOOKUP(A1562,'DAFTAR HARGA'!A:D,4,FALSE)</f>
        <v>150000</v>
      </c>
      <c r="F1562" s="128">
        <v>0.1</v>
      </c>
      <c r="G1562" s="87" t="e">
        <f>VLOOKUP(A1562,'DAFTAR HARGA'!A:D,5,FALSE)</f>
        <v>#REF!</v>
      </c>
      <c r="H1562" s="87" t="e">
        <f>F1562*G1562</f>
        <v>#REF!</v>
      </c>
      <c r="I1562" s="87">
        <v>78600</v>
      </c>
      <c r="J1562" s="87">
        <f>F1562*I1562</f>
        <v>7860</v>
      </c>
      <c r="K1562" s="87">
        <v>78600</v>
      </c>
      <c r="L1562" s="87">
        <f>F1562*K1562</f>
        <v>7860</v>
      </c>
    </row>
    <row r="1563" spans="1:12" ht="12" customHeight="1" x14ac:dyDescent="0.35">
      <c r="B1563" s="84"/>
      <c r="C1563" s="85"/>
      <c r="D1563" s="84"/>
      <c r="E1563" s="84"/>
      <c r="F1563" s="86"/>
      <c r="G1563" s="87"/>
      <c r="H1563" s="87">
        <f>F1563*G1563</f>
        <v>0</v>
      </c>
      <c r="I1563" s="87">
        <v>92500</v>
      </c>
      <c r="J1563" s="87">
        <f>F1563*I1563</f>
        <v>0</v>
      </c>
      <c r="K1563" s="87">
        <v>92500</v>
      </c>
      <c r="L1563" s="87">
        <f>F1563*K1563</f>
        <v>0</v>
      </c>
    </row>
    <row r="1564" spans="1:12" ht="12" customHeight="1" x14ac:dyDescent="0.35">
      <c r="B1564" s="84"/>
      <c r="C1564" s="85"/>
      <c r="D1564" s="84"/>
      <c r="E1564" s="84"/>
      <c r="F1564" s="86"/>
      <c r="G1564" s="87"/>
      <c r="H1564" s="87"/>
      <c r="I1564" s="87"/>
      <c r="J1564" s="87"/>
      <c r="K1564" s="87"/>
      <c r="L1564" s="87"/>
    </row>
    <row r="1565" spans="1:12" ht="12" customHeight="1" x14ac:dyDescent="0.35">
      <c r="B1565" s="84"/>
      <c r="C1565" s="88"/>
      <c r="D1565" s="79"/>
      <c r="E1565" s="79"/>
      <c r="F1565" s="89" t="s">
        <v>421</v>
      </c>
      <c r="G1565" s="101"/>
      <c r="H1565" s="87" t="e">
        <f>SUM(H1560:H1564)</f>
        <v>#REF!</v>
      </c>
      <c r="I1565" s="101"/>
      <c r="J1565" s="87">
        <f>SUM(J1562:J1564)</f>
        <v>7860</v>
      </c>
      <c r="K1565" s="101"/>
      <c r="L1565" s="87">
        <f>SUM(L1562:L1564)</f>
        <v>7860</v>
      </c>
    </row>
    <row r="1566" spans="1:12" ht="12" customHeight="1" x14ac:dyDescent="0.35">
      <c r="B1566" s="84" t="s">
        <v>6</v>
      </c>
      <c r="C1566" s="88" t="s">
        <v>422</v>
      </c>
      <c r="D1566" s="79"/>
      <c r="E1566" s="79"/>
      <c r="F1566" s="90"/>
      <c r="G1566" s="84"/>
      <c r="H1566" s="87"/>
      <c r="I1566" s="84"/>
      <c r="J1566" s="87"/>
      <c r="K1566" s="84"/>
      <c r="L1566" s="87"/>
    </row>
    <row r="1567" spans="1:12" ht="12" customHeight="1" x14ac:dyDescent="0.35">
      <c r="A1567" s="134">
        <v>211100102</v>
      </c>
      <c r="B1567" s="84"/>
      <c r="C1567" s="85" t="str">
        <f>VLOOKUP(A1567,'DAFTAR HARGA'!A:D,3,FALSE)</f>
        <v>m³</v>
      </c>
      <c r="D1567" s="84" t="s">
        <v>418</v>
      </c>
      <c r="E1567" s="84">
        <f>VLOOKUP(A1567,'DAFTAR HARGA'!A:D,4,FALSE)</f>
        <v>236600</v>
      </c>
      <c r="F1567" s="128">
        <v>1.2</v>
      </c>
      <c r="G1567" s="87" t="e">
        <f>VLOOKUP(A1567,'DAFTAR HARGA'!A:D,5,FALSE)</f>
        <v>#REF!</v>
      </c>
      <c r="H1567" s="87" t="e">
        <f>F1567*G1567</f>
        <v>#REF!</v>
      </c>
      <c r="I1567" s="87">
        <v>232500</v>
      </c>
      <c r="J1567" s="87">
        <f>F1567*I1567</f>
        <v>279000</v>
      </c>
      <c r="K1567" s="87">
        <v>270000</v>
      </c>
      <c r="L1567" s="87">
        <f>F1567*K1567</f>
        <v>324000</v>
      </c>
    </row>
    <row r="1568" spans="1:12" ht="12" customHeight="1" x14ac:dyDescent="0.35">
      <c r="A1568" s="134">
        <v>211100113</v>
      </c>
      <c r="B1568" s="84"/>
      <c r="C1568" s="85" t="str">
        <f>VLOOKUP(A1568,'DAFTAR HARGA'!A:D,3,FALSE)</f>
        <v>m³</v>
      </c>
      <c r="D1568" s="84" t="s">
        <v>418</v>
      </c>
      <c r="E1568" s="84">
        <f>VLOOKUP(A1568,'DAFTAR HARGA'!A:D,4,FALSE)</f>
        <v>217500</v>
      </c>
      <c r="F1568" s="128">
        <v>0.44</v>
      </c>
      <c r="G1568" s="87" t="e">
        <f>VLOOKUP(A1568,'DAFTAR HARGA'!A:D,5,FALSE)</f>
        <v>#REF!</v>
      </c>
      <c r="H1568" s="87" t="e">
        <f>F1568*G1568</f>
        <v>#REF!</v>
      </c>
      <c r="I1568" s="87">
        <v>1060</v>
      </c>
      <c r="J1568" s="87">
        <f>F1568*I1568</f>
        <v>466.4</v>
      </c>
      <c r="K1568" s="87">
        <v>1060</v>
      </c>
      <c r="L1568" s="87">
        <f>F1568*K1568</f>
        <v>466.4</v>
      </c>
    </row>
    <row r="1569" spans="1:12" ht="12" customHeight="1" x14ac:dyDescent="0.35">
      <c r="A1569" s="134">
        <v>21301000</v>
      </c>
      <c r="B1569" s="84"/>
      <c r="C1569" s="85" t="str">
        <f>VLOOKUP(A1569,'DAFTAR HARGA'!A:D,3,FALSE)</f>
        <v>Kg</v>
      </c>
      <c r="D1569" s="84" t="s">
        <v>418</v>
      </c>
      <c r="E1569" s="84">
        <f>VLOOKUP(A1569,'DAFTAR HARGA'!A:D,4,FALSE)</f>
        <v>1350</v>
      </c>
      <c r="F1569" s="128">
        <v>252</v>
      </c>
      <c r="G1569" s="87" t="e">
        <f>VLOOKUP(A1569,'DAFTAR HARGA'!A:D,5,FALSE)</f>
        <v>#REF!</v>
      </c>
      <c r="H1569" s="87" t="e">
        <f>F1569*G1569</f>
        <v>#REF!</v>
      </c>
      <c r="I1569" s="87">
        <v>215000</v>
      </c>
      <c r="J1569" s="87">
        <f>F1569*I1569</f>
        <v>54180000</v>
      </c>
      <c r="K1569" s="87">
        <v>250000</v>
      </c>
      <c r="L1569" s="87">
        <f>F1569*K1569</f>
        <v>63000000</v>
      </c>
    </row>
    <row r="1570" spans="1:12" ht="12" customHeight="1" x14ac:dyDescent="0.35">
      <c r="B1570" s="84"/>
      <c r="C1570" s="85"/>
      <c r="D1570" s="84"/>
      <c r="E1570" s="84"/>
      <c r="F1570" s="128"/>
      <c r="G1570" s="87"/>
      <c r="H1570" s="87"/>
      <c r="I1570" s="87"/>
      <c r="J1570" s="87"/>
      <c r="K1570" s="87"/>
      <c r="L1570" s="87"/>
    </row>
    <row r="1571" spans="1:12" ht="12" customHeight="1" x14ac:dyDescent="0.35">
      <c r="B1571" s="84"/>
      <c r="C1571" s="88"/>
      <c r="D1571" s="79"/>
      <c r="E1571" s="79"/>
      <c r="F1571" s="129" t="s">
        <v>423</v>
      </c>
      <c r="G1571" s="129"/>
      <c r="H1571" s="87" t="e">
        <f>SUM(H1567:H1570)</f>
        <v>#REF!</v>
      </c>
      <c r="I1571" s="101"/>
      <c r="J1571" s="87" t="e">
        <f>SUM(#REF!)</f>
        <v>#REF!</v>
      </c>
      <c r="K1571" s="101"/>
      <c r="L1571" s="87" t="e">
        <f>SUM(#REF!)</f>
        <v>#REF!</v>
      </c>
    </row>
    <row r="1572" spans="1:12" ht="12" customHeight="1" x14ac:dyDescent="0.35">
      <c r="B1572" s="84" t="s">
        <v>7</v>
      </c>
      <c r="C1572" s="88" t="s">
        <v>424</v>
      </c>
      <c r="D1572" s="79"/>
      <c r="E1572" s="79"/>
      <c r="F1572" s="90"/>
      <c r="G1572" s="84"/>
      <c r="H1572" s="87"/>
      <c r="I1572" s="84"/>
      <c r="J1572" s="87"/>
      <c r="K1572" s="84"/>
      <c r="L1572" s="87"/>
    </row>
    <row r="1573" spans="1:12" ht="12" customHeight="1" x14ac:dyDescent="0.35">
      <c r="A1573" s="134">
        <v>31100004</v>
      </c>
      <c r="B1573" s="84"/>
      <c r="C1573" s="85" t="str">
        <f>VLOOKUP(A1573,'DAFTAR HARGA'!A:D,3,FALSE)</f>
        <v>hari</v>
      </c>
      <c r="D1573" s="84" t="s">
        <v>418</v>
      </c>
      <c r="E1573" s="84">
        <f>VLOOKUP(A1573,'DAFTAR HARGA'!A:D,4,FALSE)</f>
        <v>1151000</v>
      </c>
      <c r="F1573" s="128">
        <v>4.4299999999999999E-2</v>
      </c>
      <c r="G1573" s="87" t="e">
        <f>VLOOKUP(A1573,'DAFTAR HARGA'!A:D,5,FALSE)</f>
        <v>#REF!</v>
      </c>
      <c r="H1573" s="87" t="e">
        <f>F1573*G1573</f>
        <v>#REF!</v>
      </c>
      <c r="I1573" s="87"/>
      <c r="J1573" s="87" t="e">
        <f>H1573*I1573</f>
        <v>#REF!</v>
      </c>
      <c r="K1573" s="87"/>
      <c r="L1573" s="87" t="e">
        <f>J1573*K1573</f>
        <v>#REF!</v>
      </c>
    </row>
    <row r="1574" spans="1:12" ht="12" customHeight="1" x14ac:dyDescent="0.35">
      <c r="B1574" s="84"/>
      <c r="C1574" s="85"/>
      <c r="D1574" s="84"/>
      <c r="E1574" s="84"/>
      <c r="F1574" s="128"/>
      <c r="G1574" s="87"/>
      <c r="H1574" s="87">
        <f>F1574*G1574</f>
        <v>0</v>
      </c>
      <c r="I1574" s="87"/>
      <c r="J1574" s="87"/>
      <c r="K1574" s="87"/>
      <c r="L1574" s="87"/>
    </row>
    <row r="1575" spans="1:12" ht="12" customHeight="1" x14ac:dyDescent="0.35">
      <c r="B1575" s="84"/>
      <c r="C1575" s="88"/>
      <c r="D1575" s="79"/>
      <c r="E1575" s="79"/>
      <c r="F1575" s="89" t="s">
        <v>425</v>
      </c>
      <c r="G1575" s="101"/>
      <c r="H1575" s="87" t="e">
        <f>SUM(H1573:H1574)</f>
        <v>#REF!</v>
      </c>
      <c r="I1575" s="101"/>
      <c r="J1575" s="87" t="e">
        <f>SUM(J1573)</f>
        <v>#REF!</v>
      </c>
      <c r="K1575" s="101"/>
      <c r="L1575" s="87" t="e">
        <f>SUM(L1573)</f>
        <v>#REF!</v>
      </c>
    </row>
    <row r="1576" spans="1:12" ht="12" customHeight="1" x14ac:dyDescent="0.35">
      <c r="B1576" s="84" t="s">
        <v>8</v>
      </c>
      <c r="C1576" s="103" t="s">
        <v>426</v>
      </c>
      <c r="D1576" s="104"/>
      <c r="E1576" s="104"/>
      <c r="F1576" s="104"/>
      <c r="G1576" s="105"/>
      <c r="H1576" s="87" t="e">
        <f>H1565+H1571+H1575</f>
        <v>#REF!</v>
      </c>
      <c r="I1576" s="105"/>
      <c r="J1576" s="87" t="e">
        <f>J1565+J1571+J1575</f>
        <v>#REF!</v>
      </c>
      <c r="K1576" s="105"/>
      <c r="L1576" s="87" t="e">
        <f>L1565+L1571+L1575</f>
        <v>#REF!</v>
      </c>
    </row>
    <row r="1577" spans="1:12" ht="12" customHeight="1" x14ac:dyDescent="0.35">
      <c r="B1577" s="84" t="s">
        <v>9</v>
      </c>
      <c r="C1577" s="455" t="s">
        <v>427</v>
      </c>
      <c r="D1577" s="455"/>
      <c r="E1577" s="455"/>
      <c r="F1577" s="95" t="str">
        <f>OP</f>
        <v>TANJUNG PALAS TENGAH</v>
      </c>
      <c r="G1577" s="85" t="s">
        <v>428</v>
      </c>
      <c r="H1577" s="87" t="e">
        <f>H1576*F1577</f>
        <v>#REF!</v>
      </c>
      <c r="I1577" s="85" t="s">
        <v>428</v>
      </c>
      <c r="J1577" s="87" t="e">
        <f>J1576*F1577</f>
        <v>#REF!</v>
      </c>
      <c r="K1577" s="85" t="s">
        <v>428</v>
      </c>
      <c r="L1577" s="87" t="e">
        <f>L1576*F1577</f>
        <v>#REF!</v>
      </c>
    </row>
    <row r="1578" spans="1:12" ht="12" customHeight="1" x14ac:dyDescent="0.35">
      <c r="B1578" s="84" t="s">
        <v>10</v>
      </c>
      <c r="C1578" s="103" t="s">
        <v>429</v>
      </c>
      <c r="D1578" s="104"/>
      <c r="E1578" s="104"/>
      <c r="F1578" s="104"/>
      <c r="G1578" s="105"/>
      <c r="H1578" s="96" t="e">
        <f>H1576+H1577</f>
        <v>#REF!</v>
      </c>
      <c r="I1578" s="97"/>
      <c r="J1578" s="96" t="e">
        <f>J1576+J1577</f>
        <v>#REF!</v>
      </c>
      <c r="K1578" s="97"/>
      <c r="L1578" s="96" t="e">
        <f>L1576+L1577</f>
        <v>#REF!</v>
      </c>
    </row>
    <row r="1580" spans="1:12" ht="37" customHeight="1" x14ac:dyDescent="0.35">
      <c r="B1580" s="76" t="s">
        <v>633</v>
      </c>
      <c r="C1580" s="458" t="s">
        <v>647</v>
      </c>
      <c r="D1580" s="459"/>
      <c r="E1580" s="459"/>
      <c r="F1580" s="459"/>
      <c r="G1580" s="456"/>
      <c r="H1580" s="457"/>
      <c r="I1580" s="455" t="s">
        <v>3</v>
      </c>
      <c r="J1580" s="455"/>
      <c r="K1580" s="455" t="s">
        <v>4</v>
      </c>
      <c r="L1580" s="455"/>
    </row>
    <row r="1581" spans="1:12" ht="12" customHeight="1" x14ac:dyDescent="0.35">
      <c r="B1581" s="451" t="s">
        <v>409</v>
      </c>
      <c r="C1581" s="451" t="s">
        <v>410</v>
      </c>
      <c r="D1581" s="452" t="s">
        <v>411</v>
      </c>
      <c r="E1581" s="451" t="s">
        <v>412</v>
      </c>
      <c r="F1581" s="451" t="s">
        <v>413</v>
      </c>
      <c r="G1581" s="77" t="s">
        <v>414</v>
      </c>
      <c r="H1581" s="77" t="s">
        <v>415</v>
      </c>
      <c r="I1581" s="78" t="s">
        <v>414</v>
      </c>
      <c r="J1581" s="79" t="s">
        <v>415</v>
      </c>
      <c r="K1581" s="79" t="s">
        <v>414</v>
      </c>
      <c r="L1581" s="79" t="s">
        <v>415</v>
      </c>
    </row>
    <row r="1582" spans="1:12" ht="12" customHeight="1" x14ac:dyDescent="0.35">
      <c r="B1582" s="451"/>
      <c r="C1582" s="451"/>
      <c r="D1582" s="453"/>
      <c r="E1582" s="451"/>
      <c r="F1582" s="451"/>
      <c r="G1582" s="77" t="s">
        <v>17</v>
      </c>
      <c r="H1582" s="77" t="s">
        <v>416</v>
      </c>
      <c r="I1582" s="78" t="s">
        <v>17</v>
      </c>
      <c r="J1582" s="79" t="s">
        <v>416</v>
      </c>
      <c r="K1582" s="79" t="s">
        <v>17</v>
      </c>
      <c r="L1582" s="79" t="s">
        <v>416</v>
      </c>
    </row>
    <row r="1583" spans="1:12" ht="12" customHeight="1" x14ac:dyDescent="0.35">
      <c r="B1583" s="451"/>
      <c r="C1583" s="451"/>
      <c r="D1583" s="454"/>
      <c r="E1583" s="451"/>
      <c r="F1583" s="451"/>
      <c r="G1583" s="106"/>
      <c r="H1583" s="77" t="s">
        <v>17</v>
      </c>
      <c r="I1583" s="94"/>
      <c r="J1583" s="79" t="s">
        <v>17</v>
      </c>
      <c r="K1583" s="85"/>
      <c r="L1583" s="79" t="s">
        <v>17</v>
      </c>
    </row>
    <row r="1584" spans="1:12" ht="12" customHeight="1" x14ac:dyDescent="0.35">
      <c r="B1584" s="80" t="s">
        <v>5</v>
      </c>
      <c r="C1584" s="81" t="s">
        <v>417</v>
      </c>
      <c r="D1584" s="82"/>
      <c r="E1584" s="82"/>
      <c r="F1584" s="82"/>
      <c r="G1584" s="82"/>
      <c r="H1584" s="82"/>
      <c r="I1584" s="83"/>
      <c r="J1584" s="83"/>
      <c r="K1584" s="83"/>
      <c r="L1584" s="83"/>
    </row>
    <row r="1585" spans="1:12" ht="12" customHeight="1" x14ac:dyDescent="0.35">
      <c r="A1585" s="134">
        <v>10130000</v>
      </c>
      <c r="B1585" s="84"/>
      <c r="C1585" s="85" t="str">
        <f>VLOOKUP(A1585,'DAFTAR HARGA'!A:D,3,FALSE)</f>
        <v>OH</v>
      </c>
      <c r="D1585" s="84" t="s">
        <v>418</v>
      </c>
      <c r="E1585" s="84">
        <f>VLOOKUP(A1585,'DAFTAR HARGA'!A:D,4,FALSE)</f>
        <v>115000</v>
      </c>
      <c r="F1585" s="128">
        <v>2.0874000000000001</v>
      </c>
      <c r="G1585" s="87" t="e">
        <f>VLOOKUP(A1585,'DAFTAR HARGA'!A:D,5,FALSE)</f>
        <v>#REF!</v>
      </c>
      <c r="H1585" s="87" t="e">
        <f>F1585*G1585</f>
        <v>#REF!</v>
      </c>
      <c r="I1585" s="87">
        <v>91500</v>
      </c>
      <c r="J1585" s="87">
        <f>F1585*I1585</f>
        <v>190997.1</v>
      </c>
      <c r="K1585" s="87">
        <v>91500</v>
      </c>
      <c r="L1585" s="87">
        <f>F1585*K1585</f>
        <v>190997.1</v>
      </c>
    </row>
    <row r="1586" spans="1:12" ht="12" customHeight="1" x14ac:dyDescent="0.35">
      <c r="A1586" s="134">
        <v>10143000</v>
      </c>
      <c r="B1586" s="84"/>
      <c r="C1586" s="85" t="str">
        <f>VLOOKUP(A1586,'DAFTAR HARGA'!A:D,3,FALSE)</f>
        <v>OH</v>
      </c>
      <c r="D1586" s="84" t="s">
        <v>418</v>
      </c>
      <c r="E1586" s="84">
        <f>VLOOKUP(A1586,'DAFTAR HARGA'!A:D,4,FALSE)</f>
        <v>236600</v>
      </c>
      <c r="F1586" s="128">
        <v>1.0437000000000001</v>
      </c>
      <c r="G1586" s="87" t="e">
        <f>VLOOKUP(A1586,'DAFTAR HARGA'!A:D,5,FALSE)</f>
        <v>#REF!</v>
      </c>
      <c r="H1586" s="87" t="e">
        <f>F1586*G1586</f>
        <v>#REF!</v>
      </c>
      <c r="I1586" s="87"/>
      <c r="J1586" s="87"/>
      <c r="K1586" s="87"/>
      <c r="L1586" s="87"/>
    </row>
    <row r="1587" spans="1:12" ht="12" customHeight="1" x14ac:dyDescent="0.35">
      <c r="A1587" s="134">
        <v>10110000</v>
      </c>
      <c r="B1587" s="84"/>
      <c r="C1587" s="85" t="str">
        <f>VLOOKUP(A1587,'DAFTAR HARGA'!A:D,3,FALSE)</f>
        <v>OH</v>
      </c>
      <c r="D1587" s="84" t="s">
        <v>418</v>
      </c>
      <c r="E1587" s="84">
        <f>VLOOKUP(A1587,'DAFTAR HARGA'!A:D,4,FALSE)</f>
        <v>150000</v>
      </c>
      <c r="F1587" s="128">
        <f>F1585/10</f>
        <v>0.20874000000000001</v>
      </c>
      <c r="G1587" s="87" t="e">
        <f>VLOOKUP(A1587,'DAFTAR HARGA'!A:D,5,FALSE)</f>
        <v>#REF!</v>
      </c>
      <c r="H1587" s="87" t="e">
        <f>F1587*G1587</f>
        <v>#REF!</v>
      </c>
      <c r="I1587" s="87">
        <v>78600</v>
      </c>
      <c r="J1587" s="87">
        <f>F1587*I1587</f>
        <v>16406.964</v>
      </c>
      <c r="K1587" s="87">
        <v>78600</v>
      </c>
      <c r="L1587" s="87">
        <f>F1587*K1587</f>
        <v>16406.964</v>
      </c>
    </row>
    <row r="1588" spans="1:12" ht="12" customHeight="1" x14ac:dyDescent="0.35">
      <c r="B1588" s="84"/>
      <c r="C1588" s="85"/>
      <c r="D1588" s="84"/>
      <c r="E1588" s="84"/>
      <c r="F1588" s="86"/>
      <c r="G1588" s="87"/>
      <c r="H1588" s="87">
        <f>F1588*G1588</f>
        <v>0</v>
      </c>
      <c r="I1588" s="87">
        <v>92500</v>
      </c>
      <c r="J1588" s="87">
        <f>F1588*I1588</f>
        <v>0</v>
      </c>
      <c r="K1588" s="87">
        <v>92500</v>
      </c>
      <c r="L1588" s="87">
        <f>F1588*K1588</f>
        <v>0</v>
      </c>
    </row>
    <row r="1589" spans="1:12" ht="12" customHeight="1" x14ac:dyDescent="0.35">
      <c r="B1589" s="84"/>
      <c r="C1589" s="85"/>
      <c r="D1589" s="84"/>
      <c r="E1589" s="84"/>
      <c r="F1589" s="86"/>
      <c r="G1589" s="87"/>
      <c r="H1589" s="87"/>
      <c r="I1589" s="87"/>
      <c r="J1589" s="87"/>
      <c r="K1589" s="87"/>
      <c r="L1589" s="87"/>
    </row>
    <row r="1590" spans="1:12" ht="12" customHeight="1" x14ac:dyDescent="0.35">
      <c r="B1590" s="84"/>
      <c r="C1590" s="88"/>
      <c r="D1590" s="79"/>
      <c r="E1590" s="79"/>
      <c r="F1590" s="89" t="s">
        <v>421</v>
      </c>
      <c r="G1590" s="101"/>
      <c r="H1590" s="87" t="e">
        <f>SUM(H1585:H1589)</f>
        <v>#REF!</v>
      </c>
      <c r="I1590" s="101"/>
      <c r="J1590" s="87">
        <f>SUM(J1587:J1589)</f>
        <v>16406.964</v>
      </c>
      <c r="K1590" s="101"/>
      <c r="L1590" s="87">
        <f>SUM(L1587:L1589)</f>
        <v>16406.964</v>
      </c>
    </row>
    <row r="1591" spans="1:12" ht="12" customHeight="1" x14ac:dyDescent="0.35">
      <c r="B1591" s="84" t="s">
        <v>6</v>
      </c>
      <c r="C1591" s="88" t="s">
        <v>422</v>
      </c>
      <c r="D1591" s="79"/>
      <c r="E1591" s="79"/>
      <c r="F1591" s="90"/>
      <c r="G1591" s="84"/>
      <c r="H1591" s="87"/>
      <c r="I1591" s="84"/>
      <c r="J1591" s="87"/>
      <c r="K1591" s="84"/>
      <c r="L1591" s="87"/>
    </row>
    <row r="1592" spans="1:12" ht="12" customHeight="1" x14ac:dyDescent="0.35">
      <c r="A1592" s="134">
        <v>211100102</v>
      </c>
      <c r="B1592" s="84"/>
      <c r="C1592" s="85" t="str">
        <f>VLOOKUP(A1592,'DAFTAR HARGA'!A:D,3,FALSE)</f>
        <v>m³</v>
      </c>
      <c r="D1592" s="84" t="s">
        <v>418</v>
      </c>
      <c r="E1592" s="84">
        <f>VLOOKUP(A1592,'DAFTAR HARGA'!A:D,4,FALSE)</f>
        <v>236600</v>
      </c>
      <c r="F1592" s="128">
        <v>1.2</v>
      </c>
      <c r="G1592" s="87" t="e">
        <f>VLOOKUP(A1592,'DAFTAR HARGA'!A:D,5,FALSE)</f>
        <v>#REF!</v>
      </c>
      <c r="H1592" s="87" t="e">
        <f>F1592*G1592</f>
        <v>#REF!</v>
      </c>
      <c r="I1592" s="87">
        <v>232500</v>
      </c>
      <c r="J1592" s="87">
        <f>F1592*I1592</f>
        <v>279000</v>
      </c>
      <c r="K1592" s="87">
        <v>270000</v>
      </c>
      <c r="L1592" s="87">
        <f>F1592*K1592</f>
        <v>324000</v>
      </c>
    </row>
    <row r="1593" spans="1:12" ht="12" customHeight="1" x14ac:dyDescent="0.35">
      <c r="A1593" s="134">
        <v>211100113</v>
      </c>
      <c r="B1593" s="84"/>
      <c r="C1593" s="85" t="str">
        <f>VLOOKUP(A1593,'DAFTAR HARGA'!A:D,3,FALSE)</f>
        <v>m³</v>
      </c>
      <c r="D1593" s="84" t="s">
        <v>418</v>
      </c>
      <c r="E1593" s="84">
        <f>VLOOKUP(A1593,'DAFTAR HARGA'!A:D,4,FALSE)</f>
        <v>217500</v>
      </c>
      <c r="F1593" s="128">
        <v>0.44</v>
      </c>
      <c r="G1593" s="87" t="e">
        <f>VLOOKUP(A1593,'DAFTAR HARGA'!A:D,5,FALSE)</f>
        <v>#REF!</v>
      </c>
      <c r="H1593" s="87" t="e">
        <f>F1593*G1593</f>
        <v>#REF!</v>
      </c>
      <c r="I1593" s="87">
        <v>1060</v>
      </c>
      <c r="J1593" s="87">
        <f>F1593*I1593</f>
        <v>466.4</v>
      </c>
      <c r="K1593" s="87">
        <v>1060</v>
      </c>
      <c r="L1593" s="87">
        <f>F1593*K1593</f>
        <v>466.4</v>
      </c>
    </row>
    <row r="1594" spans="1:12" ht="12" customHeight="1" x14ac:dyDescent="0.35">
      <c r="A1594" s="134">
        <v>21301000</v>
      </c>
      <c r="B1594" s="84"/>
      <c r="C1594" s="85" t="str">
        <f>VLOOKUP(A1594,'DAFTAR HARGA'!A:D,3,FALSE)</f>
        <v>Kg</v>
      </c>
      <c r="D1594" s="84" t="s">
        <v>418</v>
      </c>
      <c r="E1594" s="84">
        <f>VLOOKUP(A1594,'DAFTAR HARGA'!A:D,4,FALSE)</f>
        <v>1350</v>
      </c>
      <c r="F1594" s="128">
        <v>252</v>
      </c>
      <c r="G1594" s="87" t="e">
        <f>VLOOKUP(A1594,'DAFTAR HARGA'!A:D,5,FALSE)</f>
        <v>#REF!</v>
      </c>
      <c r="H1594" s="87" t="e">
        <f>F1594*G1594</f>
        <v>#REF!</v>
      </c>
      <c r="I1594" s="87">
        <v>215000</v>
      </c>
      <c r="J1594" s="87">
        <f>F1594*I1594</f>
        <v>54180000</v>
      </c>
      <c r="K1594" s="87">
        <v>250000</v>
      </c>
      <c r="L1594" s="87">
        <f>F1594*K1594</f>
        <v>63000000</v>
      </c>
    </row>
    <row r="1595" spans="1:12" ht="12" customHeight="1" x14ac:dyDescent="0.35">
      <c r="B1595" s="84"/>
      <c r="C1595" s="85"/>
      <c r="D1595" s="84"/>
      <c r="E1595" s="84"/>
      <c r="F1595" s="128"/>
      <c r="G1595" s="87"/>
      <c r="H1595" s="87"/>
      <c r="I1595" s="87"/>
      <c r="J1595" s="87"/>
      <c r="K1595" s="87"/>
      <c r="L1595" s="87"/>
    </row>
    <row r="1596" spans="1:12" ht="12" customHeight="1" x14ac:dyDescent="0.35">
      <c r="B1596" s="84"/>
      <c r="C1596" s="88"/>
      <c r="D1596" s="79"/>
      <c r="E1596" s="79"/>
      <c r="F1596" s="129" t="s">
        <v>423</v>
      </c>
      <c r="G1596" s="129"/>
      <c r="H1596" s="87" t="e">
        <f>SUM(H1592:H1595)</f>
        <v>#REF!</v>
      </c>
      <c r="I1596" s="101"/>
      <c r="J1596" s="87" t="e">
        <f>SUM(#REF!)</f>
        <v>#REF!</v>
      </c>
      <c r="K1596" s="101"/>
      <c r="L1596" s="87" t="e">
        <f>SUM(#REF!)</f>
        <v>#REF!</v>
      </c>
    </row>
    <row r="1597" spans="1:12" ht="12" customHeight="1" x14ac:dyDescent="0.35">
      <c r="B1597" s="84" t="s">
        <v>7</v>
      </c>
      <c r="C1597" s="88" t="s">
        <v>424</v>
      </c>
      <c r="D1597" s="79"/>
      <c r="E1597" s="79"/>
      <c r="F1597" s="90"/>
      <c r="G1597" s="84"/>
      <c r="H1597" s="87"/>
      <c r="I1597" s="84"/>
      <c r="J1597" s="87"/>
      <c r="K1597" s="84"/>
      <c r="L1597" s="87"/>
    </row>
    <row r="1598" spans="1:12" ht="12" customHeight="1" x14ac:dyDescent="0.35">
      <c r="A1598" s="134">
        <v>31100004</v>
      </c>
      <c r="B1598" s="84"/>
      <c r="C1598" s="85" t="str">
        <f>VLOOKUP(A1598,'DAFTAR HARGA'!A:D,3,FALSE)</f>
        <v>hari</v>
      </c>
      <c r="D1598" s="84" t="s">
        <v>418</v>
      </c>
      <c r="E1598" s="84">
        <f>VLOOKUP(A1598,'DAFTAR HARGA'!A:D,4,FALSE)</f>
        <v>1151000</v>
      </c>
      <c r="F1598" s="128">
        <v>4.4299999999999999E-2</v>
      </c>
      <c r="G1598" s="87" t="e">
        <f>VLOOKUP(A1598,'DAFTAR HARGA'!A:D,5,FALSE)</f>
        <v>#REF!</v>
      </c>
      <c r="H1598" s="87" t="e">
        <f>F1598*G1598</f>
        <v>#REF!</v>
      </c>
      <c r="I1598" s="87"/>
      <c r="J1598" s="87" t="e">
        <f>H1598*I1598</f>
        <v>#REF!</v>
      </c>
      <c r="K1598" s="87"/>
      <c r="L1598" s="87" t="e">
        <f>J1598*K1598</f>
        <v>#REF!</v>
      </c>
    </row>
    <row r="1599" spans="1:12" ht="12" customHeight="1" x14ac:dyDescent="0.35">
      <c r="B1599" s="84"/>
      <c r="C1599" s="85"/>
      <c r="D1599" s="84"/>
      <c r="E1599" s="84"/>
      <c r="F1599" s="128"/>
      <c r="G1599" s="87"/>
      <c r="H1599" s="87">
        <f>F1599*G1599</f>
        <v>0</v>
      </c>
      <c r="I1599" s="87"/>
      <c r="J1599" s="87"/>
      <c r="K1599" s="87"/>
      <c r="L1599" s="87"/>
    </row>
    <row r="1600" spans="1:12" ht="12" customHeight="1" x14ac:dyDescent="0.35">
      <c r="B1600" s="84"/>
      <c r="C1600" s="88"/>
      <c r="D1600" s="79"/>
      <c r="E1600" s="79"/>
      <c r="F1600" s="89" t="s">
        <v>425</v>
      </c>
      <c r="G1600" s="101"/>
      <c r="H1600" s="87" t="e">
        <f>SUM(H1598:H1599)</f>
        <v>#REF!</v>
      </c>
      <c r="I1600" s="101"/>
      <c r="J1600" s="87" t="e">
        <f>SUM(J1598)</f>
        <v>#REF!</v>
      </c>
      <c r="K1600" s="101"/>
      <c r="L1600" s="87" t="e">
        <f>SUM(L1598)</f>
        <v>#REF!</v>
      </c>
    </row>
    <row r="1601" spans="1:12" ht="12" customHeight="1" x14ac:dyDescent="0.35">
      <c r="B1601" s="84" t="s">
        <v>8</v>
      </c>
      <c r="C1601" s="103" t="s">
        <v>426</v>
      </c>
      <c r="D1601" s="104"/>
      <c r="E1601" s="104"/>
      <c r="F1601" s="104"/>
      <c r="G1601" s="105"/>
      <c r="H1601" s="87" t="e">
        <f>H1590+H1596+H1600</f>
        <v>#REF!</v>
      </c>
      <c r="I1601" s="105"/>
      <c r="J1601" s="87" t="e">
        <f>J1590+J1596+J1600</f>
        <v>#REF!</v>
      </c>
      <c r="K1601" s="105"/>
      <c r="L1601" s="87" t="e">
        <f>L1590+L1596+L1600</f>
        <v>#REF!</v>
      </c>
    </row>
    <row r="1602" spans="1:12" ht="12" customHeight="1" x14ac:dyDescent="0.35">
      <c r="B1602" s="84" t="s">
        <v>9</v>
      </c>
      <c r="C1602" s="455" t="s">
        <v>427</v>
      </c>
      <c r="D1602" s="455"/>
      <c r="E1602" s="455"/>
      <c r="F1602" s="95" t="str">
        <f>OP</f>
        <v>TANJUNG PALAS TENGAH</v>
      </c>
      <c r="G1602" s="85" t="s">
        <v>428</v>
      </c>
      <c r="H1602" s="87" t="e">
        <f>H1601*F1602</f>
        <v>#REF!</v>
      </c>
      <c r="I1602" s="85" t="s">
        <v>428</v>
      </c>
      <c r="J1602" s="87" t="e">
        <f>J1601*F1602</f>
        <v>#REF!</v>
      </c>
      <c r="K1602" s="85" t="s">
        <v>428</v>
      </c>
      <c r="L1602" s="87" t="e">
        <f>L1601*F1602</f>
        <v>#REF!</v>
      </c>
    </row>
    <row r="1603" spans="1:12" ht="12" customHeight="1" x14ac:dyDescent="0.35">
      <c r="B1603" s="84" t="s">
        <v>10</v>
      </c>
      <c r="C1603" s="103" t="s">
        <v>429</v>
      </c>
      <c r="D1603" s="104"/>
      <c r="E1603" s="104"/>
      <c r="F1603" s="104"/>
      <c r="G1603" s="105"/>
      <c r="H1603" s="96" t="e">
        <f>H1601+H1602</f>
        <v>#REF!</v>
      </c>
      <c r="I1603" s="97"/>
      <c r="J1603" s="96" t="e">
        <f>J1601+J1602</f>
        <v>#REF!</v>
      </c>
      <c r="K1603" s="97"/>
      <c r="L1603" s="96" t="e">
        <f>L1601+L1602</f>
        <v>#REF!</v>
      </c>
    </row>
    <row r="1605" spans="1:12" ht="37" customHeight="1" x14ac:dyDescent="0.35">
      <c r="B1605" s="76" t="s">
        <v>634</v>
      </c>
      <c r="C1605" s="458" t="s">
        <v>649</v>
      </c>
      <c r="D1605" s="459"/>
      <c r="E1605" s="459"/>
      <c r="F1605" s="459"/>
      <c r="G1605" s="456"/>
      <c r="H1605" s="457"/>
      <c r="I1605" s="455" t="s">
        <v>3</v>
      </c>
      <c r="J1605" s="455"/>
      <c r="K1605" s="455" t="s">
        <v>4</v>
      </c>
      <c r="L1605" s="455"/>
    </row>
    <row r="1606" spans="1:12" ht="12" customHeight="1" x14ac:dyDescent="0.35">
      <c r="B1606" s="451" t="s">
        <v>409</v>
      </c>
      <c r="C1606" s="451" t="s">
        <v>410</v>
      </c>
      <c r="D1606" s="452" t="s">
        <v>411</v>
      </c>
      <c r="E1606" s="451" t="s">
        <v>412</v>
      </c>
      <c r="F1606" s="451" t="s">
        <v>413</v>
      </c>
      <c r="G1606" s="77" t="s">
        <v>414</v>
      </c>
      <c r="H1606" s="77" t="s">
        <v>415</v>
      </c>
      <c r="I1606" s="78" t="s">
        <v>414</v>
      </c>
      <c r="J1606" s="79" t="s">
        <v>415</v>
      </c>
      <c r="K1606" s="79" t="s">
        <v>414</v>
      </c>
      <c r="L1606" s="79" t="s">
        <v>415</v>
      </c>
    </row>
    <row r="1607" spans="1:12" ht="12" customHeight="1" x14ac:dyDescent="0.35">
      <c r="B1607" s="451"/>
      <c r="C1607" s="451"/>
      <c r="D1607" s="453"/>
      <c r="E1607" s="451"/>
      <c r="F1607" s="451"/>
      <c r="G1607" s="77" t="s">
        <v>17</v>
      </c>
      <c r="H1607" s="77" t="s">
        <v>416</v>
      </c>
      <c r="I1607" s="78" t="s">
        <v>17</v>
      </c>
      <c r="J1607" s="79" t="s">
        <v>416</v>
      </c>
      <c r="K1607" s="79" t="s">
        <v>17</v>
      </c>
      <c r="L1607" s="79" t="s">
        <v>416</v>
      </c>
    </row>
    <row r="1608" spans="1:12" ht="12" customHeight="1" x14ac:dyDescent="0.35">
      <c r="B1608" s="451"/>
      <c r="C1608" s="451"/>
      <c r="D1608" s="454"/>
      <c r="E1608" s="451"/>
      <c r="F1608" s="451"/>
      <c r="G1608" s="106"/>
      <c r="H1608" s="77" t="s">
        <v>17</v>
      </c>
      <c r="I1608" s="94"/>
      <c r="J1608" s="79" t="s">
        <v>17</v>
      </c>
      <c r="K1608" s="85"/>
      <c r="L1608" s="79" t="s">
        <v>17</v>
      </c>
    </row>
    <row r="1609" spans="1:12" ht="12" customHeight="1" x14ac:dyDescent="0.35">
      <c r="B1609" s="80" t="s">
        <v>5</v>
      </c>
      <c r="C1609" s="81" t="s">
        <v>417</v>
      </c>
      <c r="D1609" s="82"/>
      <c r="E1609" s="82"/>
      <c r="F1609" s="82"/>
      <c r="G1609" s="82"/>
      <c r="H1609" s="82"/>
      <c r="I1609" s="83"/>
      <c r="J1609" s="83"/>
      <c r="K1609" s="83"/>
      <c r="L1609" s="83"/>
    </row>
    <row r="1610" spans="1:12" ht="12" customHeight="1" x14ac:dyDescent="0.35">
      <c r="A1610" s="134">
        <v>10130000</v>
      </c>
      <c r="B1610" s="84"/>
      <c r="C1610" s="85" t="str">
        <f>VLOOKUP(A1610,'DAFTAR HARGA'!A:D,3,FALSE)</f>
        <v>OH</v>
      </c>
      <c r="D1610" s="84" t="s">
        <v>418</v>
      </c>
      <c r="E1610" s="84">
        <f>VLOOKUP(A1610,'DAFTAR HARGA'!A:D,4,FALSE)</f>
        <v>115000</v>
      </c>
      <c r="F1610" s="128">
        <v>1.5</v>
      </c>
      <c r="G1610" s="87" t="e">
        <f>VLOOKUP(A1610,'DAFTAR HARGA'!A:D,5,FALSE)</f>
        <v>#REF!</v>
      </c>
      <c r="H1610" s="87" t="e">
        <f>F1610*G1610</f>
        <v>#REF!</v>
      </c>
      <c r="I1610" s="87">
        <v>91500</v>
      </c>
      <c r="J1610" s="87">
        <f>F1610*I1610</f>
        <v>137250</v>
      </c>
      <c r="K1610" s="87">
        <v>91500</v>
      </c>
      <c r="L1610" s="87">
        <f>F1610*K1610</f>
        <v>137250</v>
      </c>
    </row>
    <row r="1611" spans="1:12" ht="12" customHeight="1" x14ac:dyDescent="0.35">
      <c r="A1611" s="134">
        <v>10143000</v>
      </c>
      <c r="B1611" s="84"/>
      <c r="C1611" s="85" t="str">
        <f>VLOOKUP(A1611,'DAFTAR HARGA'!A:D,3,FALSE)</f>
        <v>OH</v>
      </c>
      <c r="D1611" s="84" t="s">
        <v>418</v>
      </c>
      <c r="E1611" s="84">
        <f>VLOOKUP(A1611,'DAFTAR HARGA'!A:D,4,FALSE)</f>
        <v>236600</v>
      </c>
      <c r="F1611" s="128">
        <v>0.5</v>
      </c>
      <c r="G1611" s="87" t="e">
        <f>VLOOKUP(A1611,'DAFTAR HARGA'!A:D,5,FALSE)</f>
        <v>#REF!</v>
      </c>
      <c r="H1611" s="87" t="e">
        <f>F1611*G1611</f>
        <v>#REF!</v>
      </c>
      <c r="I1611" s="87"/>
      <c r="J1611" s="87"/>
      <c r="K1611" s="87"/>
      <c r="L1611" s="87"/>
    </row>
    <row r="1612" spans="1:12" ht="12" customHeight="1" x14ac:dyDescent="0.35">
      <c r="A1612" s="134">
        <v>10110000</v>
      </c>
      <c r="B1612" s="84"/>
      <c r="C1612" s="85" t="str">
        <f>VLOOKUP(A1612,'DAFTAR HARGA'!A:D,3,FALSE)</f>
        <v>OH</v>
      </c>
      <c r="D1612" s="84" t="s">
        <v>418</v>
      </c>
      <c r="E1612" s="84">
        <f>VLOOKUP(A1612,'DAFTAR HARGA'!A:D,4,FALSE)</f>
        <v>150000</v>
      </c>
      <c r="F1612" s="128">
        <v>0.15</v>
      </c>
      <c r="G1612" s="87" t="e">
        <f>VLOOKUP(A1612,'DAFTAR HARGA'!A:D,5,FALSE)</f>
        <v>#REF!</v>
      </c>
      <c r="H1612" s="87" t="e">
        <f>F1612*G1612</f>
        <v>#REF!</v>
      </c>
      <c r="I1612" s="87">
        <v>78600</v>
      </c>
      <c r="J1612" s="87">
        <f>F1612*I1612</f>
        <v>11790</v>
      </c>
      <c r="K1612" s="87">
        <v>78600</v>
      </c>
      <c r="L1612" s="87">
        <f>F1612*K1612</f>
        <v>11790</v>
      </c>
    </row>
    <row r="1613" spans="1:12" ht="12" customHeight="1" x14ac:dyDescent="0.35">
      <c r="B1613" s="84"/>
      <c r="C1613" s="85"/>
      <c r="D1613" s="84"/>
      <c r="E1613" s="84"/>
      <c r="F1613" s="86"/>
      <c r="G1613" s="87"/>
      <c r="H1613" s="87">
        <f>F1613*G1613</f>
        <v>0</v>
      </c>
      <c r="I1613" s="87">
        <v>92500</v>
      </c>
      <c r="J1613" s="87">
        <f>F1613*I1613</f>
        <v>0</v>
      </c>
      <c r="K1613" s="87">
        <v>92500</v>
      </c>
      <c r="L1613" s="87">
        <f>F1613*K1613</f>
        <v>0</v>
      </c>
    </row>
    <row r="1614" spans="1:12" ht="12" customHeight="1" x14ac:dyDescent="0.35">
      <c r="B1614" s="84"/>
      <c r="C1614" s="85"/>
      <c r="D1614" s="84"/>
      <c r="E1614" s="84"/>
      <c r="F1614" s="86"/>
      <c r="G1614" s="87"/>
      <c r="H1614" s="87"/>
      <c r="I1614" s="87"/>
      <c r="J1614" s="87"/>
      <c r="K1614" s="87"/>
      <c r="L1614" s="87"/>
    </row>
    <row r="1615" spans="1:12" ht="12" customHeight="1" x14ac:dyDescent="0.35">
      <c r="B1615" s="84"/>
      <c r="C1615" s="88"/>
      <c r="D1615" s="79"/>
      <c r="E1615" s="79"/>
      <c r="F1615" s="89" t="s">
        <v>421</v>
      </c>
      <c r="G1615" s="101"/>
      <c r="H1615" s="87" t="e">
        <f>SUM(H1610:H1614)</f>
        <v>#REF!</v>
      </c>
      <c r="I1615" s="101"/>
      <c r="J1615" s="87">
        <f>SUM(J1612:J1614)</f>
        <v>11790</v>
      </c>
      <c r="K1615" s="101"/>
      <c r="L1615" s="87">
        <f>SUM(L1612:L1614)</f>
        <v>11790</v>
      </c>
    </row>
    <row r="1616" spans="1:12" ht="12" customHeight="1" x14ac:dyDescent="0.35">
      <c r="B1616" s="84" t="s">
        <v>6</v>
      </c>
      <c r="C1616" s="88" t="s">
        <v>422</v>
      </c>
      <c r="D1616" s="79"/>
      <c r="E1616" s="79"/>
      <c r="F1616" s="90"/>
      <c r="G1616" s="84"/>
      <c r="H1616" s="87"/>
      <c r="I1616" s="84"/>
      <c r="J1616" s="87"/>
      <c r="K1616" s="84"/>
      <c r="L1616" s="87"/>
    </row>
    <row r="1617" spans="1:12" ht="12" customHeight="1" x14ac:dyDescent="0.35">
      <c r="A1617" s="134">
        <v>211100102</v>
      </c>
      <c r="B1617" s="84"/>
      <c r="C1617" s="85" t="str">
        <f>VLOOKUP(A1617,'DAFTAR HARGA'!A:D,3,FALSE)</f>
        <v>m³</v>
      </c>
      <c r="D1617" s="84" t="s">
        <v>418</v>
      </c>
      <c r="E1617" s="84">
        <f>VLOOKUP(A1617,'DAFTAR HARGA'!A:D,4,FALSE)</f>
        <v>236600</v>
      </c>
      <c r="F1617" s="128">
        <v>1.2</v>
      </c>
      <c r="G1617" s="87" t="e">
        <f>VLOOKUP(A1617,'DAFTAR HARGA'!A:D,5,FALSE)</f>
        <v>#REF!</v>
      </c>
      <c r="H1617" s="87" t="e">
        <f>F1617*G1617</f>
        <v>#REF!</v>
      </c>
      <c r="I1617" s="87">
        <v>232500</v>
      </c>
      <c r="J1617" s="87">
        <f>F1617*I1617</f>
        <v>279000</v>
      </c>
      <c r="K1617" s="87">
        <v>270000</v>
      </c>
      <c r="L1617" s="87">
        <f>F1617*K1617</f>
        <v>324000</v>
      </c>
    </row>
    <row r="1618" spans="1:12" ht="12" customHeight="1" x14ac:dyDescent="0.35">
      <c r="A1618" s="134">
        <v>211100113</v>
      </c>
      <c r="B1618" s="84"/>
      <c r="C1618" s="85" t="str">
        <f>VLOOKUP(A1618,'DAFTAR HARGA'!A:D,3,FALSE)</f>
        <v>m³</v>
      </c>
      <c r="D1618" s="84" t="s">
        <v>418</v>
      </c>
      <c r="E1618" s="84">
        <f>VLOOKUP(A1618,'DAFTAR HARGA'!A:D,4,FALSE)</f>
        <v>217500</v>
      </c>
      <c r="F1618" s="128">
        <v>0.48499999999999999</v>
      </c>
      <c r="G1618" s="87" t="e">
        <f>VLOOKUP(A1618,'DAFTAR HARGA'!A:D,5,FALSE)</f>
        <v>#REF!</v>
      </c>
      <c r="H1618" s="87" t="e">
        <f>F1618*G1618</f>
        <v>#REF!</v>
      </c>
      <c r="I1618" s="87">
        <v>1060</v>
      </c>
      <c r="J1618" s="87">
        <f>F1618*I1618</f>
        <v>514.1</v>
      </c>
      <c r="K1618" s="87">
        <v>1060</v>
      </c>
      <c r="L1618" s="87">
        <f>F1618*K1618</f>
        <v>514.1</v>
      </c>
    </row>
    <row r="1619" spans="1:12" ht="12" customHeight="1" x14ac:dyDescent="0.35">
      <c r="A1619" s="134">
        <v>21301000</v>
      </c>
      <c r="B1619" s="84"/>
      <c r="C1619" s="85" t="str">
        <f>VLOOKUP(A1619,'DAFTAR HARGA'!A:D,3,FALSE)</f>
        <v>Kg</v>
      </c>
      <c r="D1619" s="84" t="s">
        <v>418</v>
      </c>
      <c r="E1619" s="84">
        <f>VLOOKUP(A1619,'DAFTAR HARGA'!A:D,4,FALSE)</f>
        <v>1350</v>
      </c>
      <c r="F1619" s="128">
        <v>202</v>
      </c>
      <c r="G1619" s="87" t="e">
        <f>VLOOKUP(A1619,'DAFTAR HARGA'!A:D,5,FALSE)</f>
        <v>#REF!</v>
      </c>
      <c r="H1619" s="87" t="e">
        <f>F1619*G1619</f>
        <v>#REF!</v>
      </c>
      <c r="I1619" s="87">
        <v>215000</v>
      </c>
      <c r="J1619" s="87">
        <f>F1619*I1619</f>
        <v>43430000</v>
      </c>
      <c r="K1619" s="87">
        <v>250000</v>
      </c>
      <c r="L1619" s="87">
        <f>F1619*K1619</f>
        <v>50500000</v>
      </c>
    </row>
    <row r="1620" spans="1:12" ht="12" customHeight="1" x14ac:dyDescent="0.35">
      <c r="B1620" s="84"/>
      <c r="C1620" s="85"/>
      <c r="D1620" s="84"/>
      <c r="E1620" s="84"/>
      <c r="F1620" s="128"/>
      <c r="G1620" s="87"/>
      <c r="H1620" s="87"/>
      <c r="I1620" s="87"/>
      <c r="J1620" s="87"/>
      <c r="K1620" s="87"/>
      <c r="L1620" s="87"/>
    </row>
    <row r="1621" spans="1:12" ht="12" customHeight="1" x14ac:dyDescent="0.35">
      <c r="B1621" s="84"/>
      <c r="C1621" s="88"/>
      <c r="D1621" s="79"/>
      <c r="E1621" s="79"/>
      <c r="F1621" s="129" t="s">
        <v>423</v>
      </c>
      <c r="G1621" s="129"/>
      <c r="H1621" s="87" t="e">
        <f>SUM(H1617:H1620)</f>
        <v>#REF!</v>
      </c>
      <c r="I1621" s="101"/>
      <c r="J1621" s="87" t="e">
        <f>SUM(#REF!)</f>
        <v>#REF!</v>
      </c>
      <c r="K1621" s="101"/>
      <c r="L1621" s="87" t="e">
        <f>SUM(#REF!)</f>
        <v>#REF!</v>
      </c>
    </row>
    <row r="1622" spans="1:12" ht="12" customHeight="1" x14ac:dyDescent="0.35">
      <c r="B1622" s="84" t="s">
        <v>7</v>
      </c>
      <c r="C1622" s="88" t="s">
        <v>424</v>
      </c>
      <c r="D1622" s="79"/>
      <c r="E1622" s="79"/>
      <c r="F1622" s="90"/>
      <c r="G1622" s="84"/>
      <c r="H1622" s="87"/>
      <c r="I1622" s="84"/>
      <c r="J1622" s="87"/>
      <c r="K1622" s="84"/>
      <c r="L1622" s="87"/>
    </row>
    <row r="1623" spans="1:12" ht="12" customHeight="1" x14ac:dyDescent="0.35">
      <c r="B1623" s="84"/>
      <c r="C1623" s="85"/>
      <c r="D1623" s="84"/>
      <c r="E1623" s="84"/>
      <c r="F1623" s="128"/>
      <c r="G1623" s="87"/>
      <c r="H1623" s="87">
        <f>F1623*G1623</f>
        <v>0</v>
      </c>
      <c r="I1623" s="87"/>
      <c r="J1623" s="87">
        <f>H1623*I1623</f>
        <v>0</v>
      </c>
      <c r="K1623" s="87"/>
      <c r="L1623" s="87">
        <f>J1623*K1623</f>
        <v>0</v>
      </c>
    </row>
    <row r="1624" spans="1:12" ht="12" customHeight="1" x14ac:dyDescent="0.35">
      <c r="B1624" s="84"/>
      <c r="C1624" s="85"/>
      <c r="D1624" s="84"/>
      <c r="E1624" s="84"/>
      <c r="F1624" s="128"/>
      <c r="G1624" s="87"/>
      <c r="H1624" s="87">
        <f>F1624*G1624</f>
        <v>0</v>
      </c>
      <c r="I1624" s="87"/>
      <c r="J1624" s="87"/>
      <c r="K1624" s="87"/>
      <c r="L1624" s="87"/>
    </row>
    <row r="1625" spans="1:12" ht="12" customHeight="1" x14ac:dyDescent="0.35">
      <c r="B1625" s="84"/>
      <c r="C1625" s="88"/>
      <c r="D1625" s="79"/>
      <c r="E1625" s="79"/>
      <c r="F1625" s="89" t="s">
        <v>425</v>
      </c>
      <c r="G1625" s="101"/>
      <c r="H1625" s="87">
        <f>SUM(H1623:H1624)</f>
        <v>0</v>
      </c>
      <c r="I1625" s="101"/>
      <c r="J1625" s="87">
        <f>SUM(J1623)</f>
        <v>0</v>
      </c>
      <c r="K1625" s="101"/>
      <c r="L1625" s="87">
        <f>SUM(L1623)</f>
        <v>0</v>
      </c>
    </row>
    <row r="1626" spans="1:12" ht="12" customHeight="1" x14ac:dyDescent="0.35">
      <c r="B1626" s="84" t="s">
        <v>8</v>
      </c>
      <c r="C1626" s="103" t="s">
        <v>426</v>
      </c>
      <c r="D1626" s="104"/>
      <c r="E1626" s="104"/>
      <c r="F1626" s="104"/>
      <c r="G1626" s="105"/>
      <c r="H1626" s="87" t="e">
        <f>H1615+H1621+H1625</f>
        <v>#REF!</v>
      </c>
      <c r="I1626" s="105"/>
      <c r="J1626" s="87" t="e">
        <f>J1615+J1621+J1625</f>
        <v>#REF!</v>
      </c>
      <c r="K1626" s="105"/>
      <c r="L1626" s="87" t="e">
        <f>L1615+L1621+L1625</f>
        <v>#REF!</v>
      </c>
    </row>
    <row r="1627" spans="1:12" ht="12" customHeight="1" x14ac:dyDescent="0.35">
      <c r="B1627" s="84" t="s">
        <v>9</v>
      </c>
      <c r="C1627" s="455" t="s">
        <v>427</v>
      </c>
      <c r="D1627" s="455"/>
      <c r="E1627" s="455"/>
      <c r="F1627" s="95" t="str">
        <f>OP</f>
        <v>TANJUNG PALAS TENGAH</v>
      </c>
      <c r="G1627" s="85" t="s">
        <v>428</v>
      </c>
      <c r="H1627" s="87" t="e">
        <f>H1626*F1627</f>
        <v>#REF!</v>
      </c>
      <c r="I1627" s="85" t="s">
        <v>428</v>
      </c>
      <c r="J1627" s="87" t="e">
        <f>J1626*F1627</f>
        <v>#REF!</v>
      </c>
      <c r="K1627" s="85" t="s">
        <v>428</v>
      </c>
      <c r="L1627" s="87" t="e">
        <f>L1626*F1627</f>
        <v>#REF!</v>
      </c>
    </row>
    <row r="1628" spans="1:12" ht="12" customHeight="1" x14ac:dyDescent="0.35">
      <c r="B1628" s="84" t="s">
        <v>10</v>
      </c>
      <c r="C1628" s="103" t="s">
        <v>429</v>
      </c>
      <c r="D1628" s="104"/>
      <c r="E1628" s="104"/>
      <c r="F1628" s="104"/>
      <c r="G1628" s="105"/>
      <c r="H1628" s="96" t="e">
        <f>H1626+H1627</f>
        <v>#REF!</v>
      </c>
      <c r="I1628" s="97"/>
      <c r="J1628" s="96" t="e">
        <f>J1626+J1627</f>
        <v>#REF!</v>
      </c>
      <c r="K1628" s="97"/>
      <c r="L1628" s="96" t="e">
        <f>L1626+L1627</f>
        <v>#REF!</v>
      </c>
    </row>
    <row r="1630" spans="1:12" ht="37" customHeight="1" x14ac:dyDescent="0.35">
      <c r="B1630" s="76" t="s">
        <v>635</v>
      </c>
      <c r="C1630" s="458" t="s">
        <v>650</v>
      </c>
      <c r="D1630" s="459"/>
      <c r="E1630" s="459"/>
      <c r="F1630" s="459"/>
      <c r="G1630" s="456"/>
      <c r="H1630" s="457"/>
      <c r="I1630" s="455" t="s">
        <v>3</v>
      </c>
      <c r="J1630" s="455"/>
      <c r="K1630" s="455" t="s">
        <v>4</v>
      </c>
      <c r="L1630" s="455"/>
    </row>
    <row r="1631" spans="1:12" ht="12" customHeight="1" x14ac:dyDescent="0.35">
      <c r="B1631" s="451" t="s">
        <v>409</v>
      </c>
      <c r="C1631" s="451" t="s">
        <v>410</v>
      </c>
      <c r="D1631" s="452" t="s">
        <v>411</v>
      </c>
      <c r="E1631" s="451" t="s">
        <v>412</v>
      </c>
      <c r="F1631" s="451" t="s">
        <v>413</v>
      </c>
      <c r="G1631" s="77" t="s">
        <v>414</v>
      </c>
      <c r="H1631" s="77" t="s">
        <v>415</v>
      </c>
      <c r="I1631" s="78" t="s">
        <v>414</v>
      </c>
      <c r="J1631" s="79" t="s">
        <v>415</v>
      </c>
      <c r="K1631" s="79" t="s">
        <v>414</v>
      </c>
      <c r="L1631" s="79" t="s">
        <v>415</v>
      </c>
    </row>
    <row r="1632" spans="1:12" ht="12" customHeight="1" x14ac:dyDescent="0.35">
      <c r="B1632" s="451"/>
      <c r="C1632" s="451"/>
      <c r="D1632" s="453"/>
      <c r="E1632" s="451"/>
      <c r="F1632" s="451"/>
      <c r="G1632" s="77" t="s">
        <v>17</v>
      </c>
      <c r="H1632" s="77" t="s">
        <v>416</v>
      </c>
      <c r="I1632" s="78" t="s">
        <v>17</v>
      </c>
      <c r="J1632" s="79" t="s">
        <v>416</v>
      </c>
      <c r="K1632" s="79" t="s">
        <v>17</v>
      </c>
      <c r="L1632" s="79" t="s">
        <v>416</v>
      </c>
    </row>
    <row r="1633" spans="1:12" ht="12" customHeight="1" x14ac:dyDescent="0.35">
      <c r="B1633" s="451"/>
      <c r="C1633" s="451"/>
      <c r="D1633" s="454"/>
      <c r="E1633" s="451"/>
      <c r="F1633" s="451"/>
      <c r="G1633" s="106"/>
      <c r="H1633" s="77" t="s">
        <v>17</v>
      </c>
      <c r="I1633" s="94"/>
      <c r="J1633" s="79" t="s">
        <v>17</v>
      </c>
      <c r="K1633" s="85"/>
      <c r="L1633" s="79" t="s">
        <v>17</v>
      </c>
    </row>
    <row r="1634" spans="1:12" ht="12" customHeight="1" x14ac:dyDescent="0.35">
      <c r="B1634" s="80" t="s">
        <v>5</v>
      </c>
      <c r="C1634" s="81" t="s">
        <v>417</v>
      </c>
      <c r="D1634" s="82"/>
      <c r="E1634" s="82"/>
      <c r="F1634" s="82"/>
      <c r="G1634" s="82"/>
      <c r="H1634" s="82"/>
      <c r="I1634" s="83"/>
      <c r="J1634" s="83"/>
      <c r="K1634" s="83"/>
      <c r="L1634" s="83"/>
    </row>
    <row r="1635" spans="1:12" ht="12" customHeight="1" x14ac:dyDescent="0.35">
      <c r="A1635" s="134">
        <v>10130000</v>
      </c>
      <c r="B1635" s="84"/>
      <c r="C1635" s="85" t="str">
        <f>VLOOKUP(A1635,'DAFTAR HARGA'!A:D,3,FALSE)</f>
        <v>OH</v>
      </c>
      <c r="D1635" s="84" t="s">
        <v>418</v>
      </c>
      <c r="E1635" s="84">
        <f>VLOOKUP(A1635,'DAFTAR HARGA'!A:D,4,FALSE)</f>
        <v>115000</v>
      </c>
      <c r="F1635" s="128">
        <v>2.5874000000000001</v>
      </c>
      <c r="G1635" s="87" t="e">
        <f>VLOOKUP(A1635,'DAFTAR HARGA'!A:D,5,FALSE)</f>
        <v>#REF!</v>
      </c>
      <c r="H1635" s="87" t="e">
        <f>F1635*G1635</f>
        <v>#REF!</v>
      </c>
      <c r="I1635" s="87">
        <v>91500</v>
      </c>
      <c r="J1635" s="87">
        <f>F1635*I1635</f>
        <v>236747.1</v>
      </c>
      <c r="K1635" s="87">
        <v>91500</v>
      </c>
      <c r="L1635" s="87">
        <f>F1635*K1635</f>
        <v>236747.1</v>
      </c>
    </row>
    <row r="1636" spans="1:12" ht="12" customHeight="1" x14ac:dyDescent="0.35">
      <c r="A1636" s="134">
        <v>10143000</v>
      </c>
      <c r="B1636" s="84"/>
      <c r="C1636" s="85" t="str">
        <f>VLOOKUP(A1636,'DAFTAR HARGA'!A:D,3,FALSE)</f>
        <v>OH</v>
      </c>
      <c r="D1636" s="84" t="s">
        <v>418</v>
      </c>
      <c r="E1636" s="84">
        <f>VLOOKUP(A1636,'DAFTAR HARGA'!A:D,4,FALSE)</f>
        <v>236600</v>
      </c>
      <c r="F1636" s="128">
        <v>0.86240000000000006</v>
      </c>
      <c r="G1636" s="87" t="e">
        <f>VLOOKUP(A1636,'DAFTAR HARGA'!A:D,5,FALSE)</f>
        <v>#REF!</v>
      </c>
      <c r="H1636" s="87" t="e">
        <f>F1636*G1636</f>
        <v>#REF!</v>
      </c>
      <c r="I1636" s="87"/>
      <c r="J1636" s="87"/>
      <c r="K1636" s="87"/>
      <c r="L1636" s="87"/>
    </row>
    <row r="1637" spans="1:12" ht="12" customHeight="1" x14ac:dyDescent="0.35">
      <c r="A1637" s="134">
        <v>10110000</v>
      </c>
      <c r="B1637" s="84"/>
      <c r="C1637" s="85" t="str">
        <f>VLOOKUP(A1637,'DAFTAR HARGA'!A:D,3,FALSE)</f>
        <v>OH</v>
      </c>
      <c r="D1637" s="84" t="s">
        <v>418</v>
      </c>
      <c r="E1637" s="84">
        <f>VLOOKUP(A1637,'DAFTAR HARGA'!A:D,4,FALSE)</f>
        <v>150000</v>
      </c>
      <c r="F1637" s="128">
        <v>0.25869999999999999</v>
      </c>
      <c r="G1637" s="87" t="e">
        <f>VLOOKUP(A1637,'DAFTAR HARGA'!A:D,5,FALSE)</f>
        <v>#REF!</v>
      </c>
      <c r="H1637" s="87" t="e">
        <f>F1637*G1637</f>
        <v>#REF!</v>
      </c>
      <c r="I1637" s="87">
        <v>78600</v>
      </c>
      <c r="J1637" s="87">
        <f>F1637*I1637</f>
        <v>20333.82</v>
      </c>
      <c r="K1637" s="87">
        <v>78600</v>
      </c>
      <c r="L1637" s="87">
        <f>F1637*K1637</f>
        <v>20333.82</v>
      </c>
    </row>
    <row r="1638" spans="1:12" ht="12" customHeight="1" x14ac:dyDescent="0.35">
      <c r="B1638" s="84"/>
      <c r="C1638" s="85"/>
      <c r="D1638" s="84"/>
      <c r="E1638" s="84"/>
      <c r="F1638" s="86"/>
      <c r="G1638" s="87"/>
      <c r="H1638" s="87">
        <f>F1638*G1638</f>
        <v>0</v>
      </c>
      <c r="I1638" s="87">
        <v>92500</v>
      </c>
      <c r="J1638" s="87">
        <f>F1638*I1638</f>
        <v>0</v>
      </c>
      <c r="K1638" s="87">
        <v>92500</v>
      </c>
      <c r="L1638" s="87">
        <f>F1638*K1638</f>
        <v>0</v>
      </c>
    </row>
    <row r="1639" spans="1:12" ht="12" customHeight="1" x14ac:dyDescent="0.35">
      <c r="B1639" s="84"/>
      <c r="C1639" s="85"/>
      <c r="D1639" s="84"/>
      <c r="E1639" s="84"/>
      <c r="F1639" s="86"/>
      <c r="G1639" s="87"/>
      <c r="H1639" s="87"/>
      <c r="I1639" s="87"/>
      <c r="J1639" s="87"/>
      <c r="K1639" s="87"/>
      <c r="L1639" s="87"/>
    </row>
    <row r="1640" spans="1:12" ht="12" customHeight="1" x14ac:dyDescent="0.35">
      <c r="B1640" s="84"/>
      <c r="C1640" s="88"/>
      <c r="D1640" s="79"/>
      <c r="E1640" s="79"/>
      <c r="F1640" s="89" t="s">
        <v>421</v>
      </c>
      <c r="G1640" s="101"/>
      <c r="H1640" s="87" t="e">
        <f>SUM(H1635:H1639)</f>
        <v>#REF!</v>
      </c>
      <c r="I1640" s="101"/>
      <c r="J1640" s="87">
        <f>SUM(J1637:J1639)</f>
        <v>20333.82</v>
      </c>
      <c r="K1640" s="101"/>
      <c r="L1640" s="87">
        <f>SUM(L1637:L1639)</f>
        <v>20333.82</v>
      </c>
    </row>
    <row r="1641" spans="1:12" ht="12" customHeight="1" x14ac:dyDescent="0.35">
      <c r="B1641" s="84" t="s">
        <v>6</v>
      </c>
      <c r="C1641" s="88" t="s">
        <v>422</v>
      </c>
      <c r="D1641" s="79"/>
      <c r="E1641" s="79"/>
      <c r="F1641" s="90"/>
      <c r="G1641" s="84"/>
      <c r="H1641" s="87"/>
      <c r="I1641" s="84"/>
      <c r="J1641" s="87"/>
      <c r="K1641" s="84"/>
      <c r="L1641" s="87"/>
    </row>
    <row r="1642" spans="1:12" ht="12" customHeight="1" x14ac:dyDescent="0.35">
      <c r="A1642" s="134">
        <v>211100102</v>
      </c>
      <c r="B1642" s="84"/>
      <c r="C1642" s="85" t="str">
        <f>VLOOKUP(A1642,'DAFTAR HARGA'!A:D,3,FALSE)</f>
        <v>m³</v>
      </c>
      <c r="D1642" s="84" t="s">
        <v>418</v>
      </c>
      <c r="E1642" s="84">
        <f>VLOOKUP(A1642,'DAFTAR HARGA'!A:D,4,FALSE)</f>
        <v>236600</v>
      </c>
      <c r="F1642" s="128">
        <v>1.2</v>
      </c>
      <c r="G1642" s="87" t="e">
        <f>VLOOKUP(A1642,'DAFTAR HARGA'!A:D,5,FALSE)</f>
        <v>#REF!</v>
      </c>
      <c r="H1642" s="87" t="e">
        <f>F1642*G1642</f>
        <v>#REF!</v>
      </c>
      <c r="I1642" s="87">
        <v>232500</v>
      </c>
      <c r="J1642" s="87">
        <f>F1642*I1642</f>
        <v>279000</v>
      </c>
      <c r="K1642" s="87">
        <v>270000</v>
      </c>
      <c r="L1642" s="87">
        <f>F1642*K1642</f>
        <v>324000</v>
      </c>
    </row>
    <row r="1643" spans="1:12" ht="12" customHeight="1" x14ac:dyDescent="0.35">
      <c r="A1643" s="134">
        <v>211100113</v>
      </c>
      <c r="B1643" s="84"/>
      <c r="C1643" s="85" t="str">
        <f>VLOOKUP(A1643,'DAFTAR HARGA'!A:D,3,FALSE)</f>
        <v>m³</v>
      </c>
      <c r="D1643" s="84" t="s">
        <v>418</v>
      </c>
      <c r="E1643" s="84">
        <f>VLOOKUP(A1643,'DAFTAR HARGA'!A:D,4,FALSE)</f>
        <v>217500</v>
      </c>
      <c r="F1643" s="128">
        <v>0.48499999999999999</v>
      </c>
      <c r="G1643" s="87" t="e">
        <f>VLOOKUP(A1643,'DAFTAR HARGA'!A:D,5,FALSE)</f>
        <v>#REF!</v>
      </c>
      <c r="H1643" s="87" t="e">
        <f>F1643*G1643</f>
        <v>#REF!</v>
      </c>
      <c r="I1643" s="87">
        <v>1060</v>
      </c>
      <c r="J1643" s="87">
        <f>F1643*I1643</f>
        <v>514.1</v>
      </c>
      <c r="K1643" s="87">
        <v>1060</v>
      </c>
      <c r="L1643" s="87">
        <f>F1643*K1643</f>
        <v>514.1</v>
      </c>
    </row>
    <row r="1644" spans="1:12" ht="12" customHeight="1" x14ac:dyDescent="0.35">
      <c r="A1644" s="134">
        <v>21301000</v>
      </c>
      <c r="B1644" s="84"/>
      <c r="C1644" s="85" t="str">
        <f>VLOOKUP(A1644,'DAFTAR HARGA'!A:D,3,FALSE)</f>
        <v>Kg</v>
      </c>
      <c r="D1644" s="84" t="s">
        <v>418</v>
      </c>
      <c r="E1644" s="84">
        <f>VLOOKUP(A1644,'DAFTAR HARGA'!A:D,4,FALSE)</f>
        <v>1350</v>
      </c>
      <c r="F1644" s="128">
        <v>202</v>
      </c>
      <c r="G1644" s="87" t="e">
        <f>VLOOKUP(A1644,'DAFTAR HARGA'!A:D,5,FALSE)</f>
        <v>#REF!</v>
      </c>
      <c r="H1644" s="87" t="e">
        <f>F1644*G1644</f>
        <v>#REF!</v>
      </c>
      <c r="I1644" s="87">
        <v>215000</v>
      </c>
      <c r="J1644" s="87">
        <f>F1644*I1644</f>
        <v>43430000</v>
      </c>
      <c r="K1644" s="87">
        <v>250000</v>
      </c>
      <c r="L1644" s="87">
        <f>F1644*K1644</f>
        <v>50500000</v>
      </c>
    </row>
    <row r="1645" spans="1:12" ht="12" customHeight="1" x14ac:dyDescent="0.35">
      <c r="B1645" s="84"/>
      <c r="C1645" s="85"/>
      <c r="D1645" s="84"/>
      <c r="E1645" s="84"/>
      <c r="F1645" s="128"/>
      <c r="G1645" s="87"/>
      <c r="H1645" s="87"/>
      <c r="I1645" s="87"/>
      <c r="J1645" s="87"/>
      <c r="K1645" s="87"/>
      <c r="L1645" s="87"/>
    </row>
    <row r="1646" spans="1:12" ht="12" customHeight="1" x14ac:dyDescent="0.35">
      <c r="B1646" s="84"/>
      <c r="C1646" s="88"/>
      <c r="D1646" s="79"/>
      <c r="E1646" s="79"/>
      <c r="F1646" s="129" t="s">
        <v>423</v>
      </c>
      <c r="G1646" s="129"/>
      <c r="H1646" s="87" t="e">
        <f>SUM(H1642:H1645)</f>
        <v>#REF!</v>
      </c>
      <c r="I1646" s="101"/>
      <c r="J1646" s="87" t="e">
        <f>SUM(#REF!)</f>
        <v>#REF!</v>
      </c>
      <c r="K1646" s="101"/>
      <c r="L1646" s="87" t="e">
        <f>SUM(#REF!)</f>
        <v>#REF!</v>
      </c>
    </row>
    <row r="1647" spans="1:12" ht="12" customHeight="1" x14ac:dyDescent="0.35">
      <c r="B1647" s="84" t="s">
        <v>7</v>
      </c>
      <c r="C1647" s="88" t="s">
        <v>424</v>
      </c>
      <c r="D1647" s="79"/>
      <c r="E1647" s="79"/>
      <c r="F1647" s="90"/>
      <c r="G1647" s="84"/>
      <c r="H1647" s="87"/>
      <c r="I1647" s="84"/>
      <c r="J1647" s="87"/>
      <c r="K1647" s="84"/>
      <c r="L1647" s="87"/>
    </row>
    <row r="1648" spans="1:12" ht="12" customHeight="1" x14ac:dyDescent="0.35">
      <c r="B1648" s="84"/>
      <c r="C1648" s="85"/>
      <c r="D1648" s="84"/>
      <c r="E1648" s="84"/>
      <c r="F1648" s="128"/>
      <c r="G1648" s="87"/>
      <c r="H1648" s="87">
        <f>F1648*G1648</f>
        <v>0</v>
      </c>
      <c r="I1648" s="87"/>
      <c r="J1648" s="87">
        <f>H1648*I1648</f>
        <v>0</v>
      </c>
      <c r="K1648" s="87"/>
      <c r="L1648" s="87">
        <f>J1648*K1648</f>
        <v>0</v>
      </c>
    </row>
    <row r="1649" spans="1:12" ht="12" customHeight="1" x14ac:dyDescent="0.35">
      <c r="B1649" s="84"/>
      <c r="C1649" s="85"/>
      <c r="D1649" s="84"/>
      <c r="E1649" s="84"/>
      <c r="F1649" s="128"/>
      <c r="G1649" s="87"/>
      <c r="H1649" s="87">
        <f>F1649*G1649</f>
        <v>0</v>
      </c>
      <c r="I1649" s="87"/>
      <c r="J1649" s="87"/>
      <c r="K1649" s="87"/>
      <c r="L1649" s="87"/>
    </row>
    <row r="1650" spans="1:12" ht="12" customHeight="1" x14ac:dyDescent="0.35">
      <c r="B1650" s="84"/>
      <c r="C1650" s="88"/>
      <c r="D1650" s="79"/>
      <c r="E1650" s="79"/>
      <c r="F1650" s="89" t="s">
        <v>425</v>
      </c>
      <c r="G1650" s="101"/>
      <c r="H1650" s="87">
        <f>SUM(H1648:H1649)</f>
        <v>0</v>
      </c>
      <c r="I1650" s="101"/>
      <c r="J1650" s="87">
        <f>SUM(J1648)</f>
        <v>0</v>
      </c>
      <c r="K1650" s="101"/>
      <c r="L1650" s="87">
        <f>SUM(L1648)</f>
        <v>0</v>
      </c>
    </row>
    <row r="1651" spans="1:12" ht="12" customHeight="1" x14ac:dyDescent="0.35">
      <c r="B1651" s="84" t="s">
        <v>8</v>
      </c>
      <c r="C1651" s="103" t="s">
        <v>426</v>
      </c>
      <c r="D1651" s="104"/>
      <c r="E1651" s="104"/>
      <c r="F1651" s="104"/>
      <c r="G1651" s="105"/>
      <c r="H1651" s="87" t="e">
        <f>H1640+H1646+H1650</f>
        <v>#REF!</v>
      </c>
      <c r="I1651" s="105"/>
      <c r="J1651" s="87" t="e">
        <f>J1640+J1646+J1650</f>
        <v>#REF!</v>
      </c>
      <c r="K1651" s="105"/>
      <c r="L1651" s="87" t="e">
        <f>L1640+L1646+L1650</f>
        <v>#REF!</v>
      </c>
    </row>
    <row r="1652" spans="1:12" ht="12" customHeight="1" x14ac:dyDescent="0.35">
      <c r="B1652" s="84" t="s">
        <v>9</v>
      </c>
      <c r="C1652" s="455" t="s">
        <v>427</v>
      </c>
      <c r="D1652" s="455"/>
      <c r="E1652" s="455"/>
      <c r="F1652" s="95" t="str">
        <f>OP</f>
        <v>TANJUNG PALAS TENGAH</v>
      </c>
      <c r="G1652" s="85" t="s">
        <v>428</v>
      </c>
      <c r="H1652" s="87" t="e">
        <f>H1651*F1652</f>
        <v>#REF!</v>
      </c>
      <c r="I1652" s="85" t="s">
        <v>428</v>
      </c>
      <c r="J1652" s="87" t="e">
        <f>J1651*F1652</f>
        <v>#REF!</v>
      </c>
      <c r="K1652" s="85" t="s">
        <v>428</v>
      </c>
      <c r="L1652" s="87" t="e">
        <f>L1651*F1652</f>
        <v>#REF!</v>
      </c>
    </row>
    <row r="1653" spans="1:12" ht="12" customHeight="1" x14ac:dyDescent="0.35">
      <c r="B1653" s="84" t="s">
        <v>10</v>
      </c>
      <c r="C1653" s="103" t="s">
        <v>429</v>
      </c>
      <c r="D1653" s="104"/>
      <c r="E1653" s="104"/>
      <c r="F1653" s="104"/>
      <c r="G1653" s="105"/>
      <c r="H1653" s="96" t="e">
        <f>H1651+H1652</f>
        <v>#REF!</v>
      </c>
      <c r="I1653" s="97"/>
      <c r="J1653" s="96" t="e">
        <f>J1651+J1652</f>
        <v>#REF!</v>
      </c>
      <c r="K1653" s="97"/>
      <c r="L1653" s="96" t="e">
        <f>L1651+L1652</f>
        <v>#REF!</v>
      </c>
    </row>
    <row r="1655" spans="1:12" ht="37" customHeight="1" x14ac:dyDescent="0.35">
      <c r="B1655" s="76" t="s">
        <v>636</v>
      </c>
      <c r="C1655" s="458" t="s">
        <v>651</v>
      </c>
      <c r="D1655" s="459"/>
      <c r="E1655" s="459"/>
      <c r="F1655" s="459"/>
      <c r="G1655" s="456"/>
      <c r="H1655" s="457"/>
      <c r="I1655" s="455" t="s">
        <v>3</v>
      </c>
      <c r="J1655" s="455"/>
      <c r="K1655" s="455" t="s">
        <v>4</v>
      </c>
      <c r="L1655" s="455"/>
    </row>
    <row r="1656" spans="1:12" ht="12" customHeight="1" x14ac:dyDescent="0.35">
      <c r="B1656" s="451" t="s">
        <v>409</v>
      </c>
      <c r="C1656" s="451" t="s">
        <v>410</v>
      </c>
      <c r="D1656" s="452" t="s">
        <v>411</v>
      </c>
      <c r="E1656" s="451" t="s">
        <v>412</v>
      </c>
      <c r="F1656" s="451" t="s">
        <v>413</v>
      </c>
      <c r="G1656" s="77" t="s">
        <v>414</v>
      </c>
      <c r="H1656" s="77" t="s">
        <v>415</v>
      </c>
      <c r="I1656" s="78" t="s">
        <v>414</v>
      </c>
      <c r="J1656" s="79" t="s">
        <v>415</v>
      </c>
      <c r="K1656" s="79" t="s">
        <v>414</v>
      </c>
      <c r="L1656" s="79" t="s">
        <v>415</v>
      </c>
    </row>
    <row r="1657" spans="1:12" ht="12" customHeight="1" x14ac:dyDescent="0.35">
      <c r="B1657" s="451"/>
      <c r="C1657" s="451"/>
      <c r="D1657" s="453"/>
      <c r="E1657" s="451"/>
      <c r="F1657" s="451"/>
      <c r="G1657" s="77" t="s">
        <v>17</v>
      </c>
      <c r="H1657" s="77" t="s">
        <v>416</v>
      </c>
      <c r="I1657" s="78" t="s">
        <v>17</v>
      </c>
      <c r="J1657" s="79" t="s">
        <v>416</v>
      </c>
      <c r="K1657" s="79" t="s">
        <v>17</v>
      </c>
      <c r="L1657" s="79" t="s">
        <v>416</v>
      </c>
    </row>
    <row r="1658" spans="1:12" ht="12" customHeight="1" x14ac:dyDescent="0.35">
      <c r="B1658" s="451"/>
      <c r="C1658" s="451"/>
      <c r="D1658" s="454"/>
      <c r="E1658" s="451"/>
      <c r="F1658" s="451"/>
      <c r="G1658" s="106"/>
      <c r="H1658" s="77" t="s">
        <v>17</v>
      </c>
      <c r="I1658" s="94"/>
      <c r="J1658" s="79" t="s">
        <v>17</v>
      </c>
      <c r="K1658" s="85"/>
      <c r="L1658" s="79" t="s">
        <v>17</v>
      </c>
    </row>
    <row r="1659" spans="1:12" ht="12" customHeight="1" x14ac:dyDescent="0.35">
      <c r="B1659" s="80" t="s">
        <v>5</v>
      </c>
      <c r="C1659" s="81" t="s">
        <v>417</v>
      </c>
      <c r="D1659" s="82"/>
      <c r="E1659" s="82"/>
      <c r="F1659" s="82"/>
      <c r="G1659" s="82"/>
      <c r="H1659" s="82"/>
      <c r="I1659" s="83"/>
      <c r="J1659" s="83"/>
      <c r="K1659" s="83"/>
      <c r="L1659" s="83"/>
    </row>
    <row r="1660" spans="1:12" ht="12" customHeight="1" x14ac:dyDescent="0.35">
      <c r="A1660" s="134">
        <v>10130000</v>
      </c>
      <c r="B1660" s="84"/>
      <c r="C1660" s="85" t="str">
        <f>VLOOKUP(A1660,'DAFTAR HARGA'!A:D,3,FALSE)</f>
        <v>OH</v>
      </c>
      <c r="D1660" s="84" t="s">
        <v>418</v>
      </c>
      <c r="E1660" s="84">
        <f>VLOOKUP(A1660,'DAFTAR HARGA'!A:D,4,FALSE)</f>
        <v>115000</v>
      </c>
      <c r="F1660" s="128">
        <v>1</v>
      </c>
      <c r="G1660" s="87" t="e">
        <f>VLOOKUP(A1660,'DAFTAR HARGA'!A:D,5,FALSE)</f>
        <v>#REF!</v>
      </c>
      <c r="H1660" s="87" t="e">
        <f>F1660*G1660</f>
        <v>#REF!</v>
      </c>
      <c r="I1660" s="87">
        <v>91500</v>
      </c>
      <c r="J1660" s="87">
        <f>F1660*I1660</f>
        <v>91500</v>
      </c>
      <c r="K1660" s="87">
        <v>91500</v>
      </c>
      <c r="L1660" s="87">
        <f>F1660*K1660</f>
        <v>91500</v>
      </c>
    </row>
    <row r="1661" spans="1:12" ht="12" customHeight="1" x14ac:dyDescent="0.35">
      <c r="A1661" s="134">
        <v>10143000</v>
      </c>
      <c r="B1661" s="84"/>
      <c r="C1661" s="85" t="str">
        <f>VLOOKUP(A1661,'DAFTAR HARGA'!A:D,3,FALSE)</f>
        <v>OH</v>
      </c>
      <c r="D1661" s="84" t="s">
        <v>418</v>
      </c>
      <c r="E1661" s="84">
        <f>VLOOKUP(A1661,'DAFTAR HARGA'!A:D,4,FALSE)</f>
        <v>236600</v>
      </c>
      <c r="F1661" s="128">
        <v>0.5</v>
      </c>
      <c r="G1661" s="87" t="e">
        <f>VLOOKUP(A1661,'DAFTAR HARGA'!A:D,5,FALSE)</f>
        <v>#REF!</v>
      </c>
      <c r="H1661" s="87" t="e">
        <f>F1661*G1661</f>
        <v>#REF!</v>
      </c>
      <c r="I1661" s="87"/>
      <c r="J1661" s="87"/>
      <c r="K1661" s="87"/>
      <c r="L1661" s="87"/>
    </row>
    <row r="1662" spans="1:12" ht="12" customHeight="1" x14ac:dyDescent="0.35">
      <c r="A1662" s="134">
        <v>10110000</v>
      </c>
      <c r="B1662" s="84"/>
      <c r="C1662" s="85" t="str">
        <f>VLOOKUP(A1662,'DAFTAR HARGA'!A:D,3,FALSE)</f>
        <v>OH</v>
      </c>
      <c r="D1662" s="84" t="s">
        <v>418</v>
      </c>
      <c r="E1662" s="84">
        <f>VLOOKUP(A1662,'DAFTAR HARGA'!A:D,4,FALSE)</f>
        <v>150000</v>
      </c>
      <c r="F1662" s="128">
        <v>0.1</v>
      </c>
      <c r="G1662" s="87" t="e">
        <f>VLOOKUP(A1662,'DAFTAR HARGA'!A:D,5,FALSE)</f>
        <v>#REF!</v>
      </c>
      <c r="H1662" s="87" t="e">
        <f>F1662*G1662</f>
        <v>#REF!</v>
      </c>
      <c r="I1662" s="87">
        <v>78600</v>
      </c>
      <c r="J1662" s="87">
        <f>F1662*I1662</f>
        <v>7860</v>
      </c>
      <c r="K1662" s="87">
        <v>78600</v>
      </c>
      <c r="L1662" s="87">
        <f>F1662*K1662</f>
        <v>7860</v>
      </c>
    </row>
    <row r="1663" spans="1:12" ht="12" customHeight="1" x14ac:dyDescent="0.35">
      <c r="B1663" s="84"/>
      <c r="C1663" s="85"/>
      <c r="D1663" s="84"/>
      <c r="E1663" s="84"/>
      <c r="F1663" s="86"/>
      <c r="G1663" s="87"/>
      <c r="H1663" s="87">
        <f>F1663*G1663</f>
        <v>0</v>
      </c>
      <c r="I1663" s="87">
        <v>92500</v>
      </c>
      <c r="J1663" s="87">
        <f>F1663*I1663</f>
        <v>0</v>
      </c>
      <c r="K1663" s="87">
        <v>92500</v>
      </c>
      <c r="L1663" s="87">
        <f>F1663*K1663</f>
        <v>0</v>
      </c>
    </row>
    <row r="1664" spans="1:12" ht="12" customHeight="1" x14ac:dyDescent="0.35">
      <c r="B1664" s="84"/>
      <c r="C1664" s="85"/>
      <c r="D1664" s="84"/>
      <c r="E1664" s="84"/>
      <c r="F1664" s="86"/>
      <c r="G1664" s="87"/>
      <c r="H1664" s="87"/>
      <c r="I1664" s="87"/>
      <c r="J1664" s="87"/>
      <c r="K1664" s="87"/>
      <c r="L1664" s="87"/>
    </row>
    <row r="1665" spans="1:12" ht="12" customHeight="1" x14ac:dyDescent="0.35">
      <c r="B1665" s="84"/>
      <c r="C1665" s="88"/>
      <c r="D1665" s="79"/>
      <c r="E1665" s="79"/>
      <c r="F1665" s="89" t="s">
        <v>421</v>
      </c>
      <c r="G1665" s="101"/>
      <c r="H1665" s="87" t="e">
        <f>SUM(H1660:H1664)</f>
        <v>#REF!</v>
      </c>
      <c r="I1665" s="101"/>
      <c r="J1665" s="87">
        <f>SUM(J1662:J1664)</f>
        <v>7860</v>
      </c>
      <c r="K1665" s="101"/>
      <c r="L1665" s="87">
        <f>SUM(L1662:L1664)</f>
        <v>7860</v>
      </c>
    </row>
    <row r="1666" spans="1:12" ht="12" customHeight="1" x14ac:dyDescent="0.35">
      <c r="B1666" s="84" t="s">
        <v>6</v>
      </c>
      <c r="C1666" s="88" t="s">
        <v>422</v>
      </c>
      <c r="D1666" s="79"/>
      <c r="E1666" s="79"/>
      <c r="F1666" s="90"/>
      <c r="G1666" s="84"/>
      <c r="H1666" s="87"/>
      <c r="I1666" s="84"/>
      <c r="J1666" s="87"/>
      <c r="K1666" s="84"/>
      <c r="L1666" s="87"/>
    </row>
    <row r="1667" spans="1:12" ht="12" customHeight="1" x14ac:dyDescent="0.35">
      <c r="A1667" s="134">
        <v>211100102</v>
      </c>
      <c r="B1667" s="84"/>
      <c r="C1667" s="85" t="str">
        <f>VLOOKUP(A1667,'DAFTAR HARGA'!A:D,3,FALSE)</f>
        <v>m³</v>
      </c>
      <c r="D1667" s="84" t="s">
        <v>418</v>
      </c>
      <c r="E1667" s="84">
        <f>VLOOKUP(A1667,'DAFTAR HARGA'!A:D,4,FALSE)</f>
        <v>236600</v>
      </c>
      <c r="F1667" s="128">
        <v>1.2</v>
      </c>
      <c r="G1667" s="87" t="e">
        <f>VLOOKUP(A1667,'DAFTAR HARGA'!A:D,5,FALSE)</f>
        <v>#REF!</v>
      </c>
      <c r="H1667" s="87" t="e">
        <f>F1667*G1667</f>
        <v>#REF!</v>
      </c>
      <c r="I1667" s="87">
        <v>232500</v>
      </c>
      <c r="J1667" s="87">
        <f>F1667*I1667</f>
        <v>279000</v>
      </c>
      <c r="K1667" s="87">
        <v>270000</v>
      </c>
      <c r="L1667" s="87">
        <f>F1667*K1667</f>
        <v>324000</v>
      </c>
    </row>
    <row r="1668" spans="1:12" ht="12" customHeight="1" x14ac:dyDescent="0.35">
      <c r="A1668" s="134">
        <v>211100113</v>
      </c>
      <c r="B1668" s="84"/>
      <c r="C1668" s="85" t="str">
        <f>VLOOKUP(A1668,'DAFTAR HARGA'!A:D,3,FALSE)</f>
        <v>m³</v>
      </c>
      <c r="D1668" s="84" t="s">
        <v>418</v>
      </c>
      <c r="E1668" s="84">
        <f>VLOOKUP(A1668,'DAFTAR HARGA'!A:D,4,FALSE)</f>
        <v>217500</v>
      </c>
      <c r="F1668" s="128">
        <v>0.48499999999999999</v>
      </c>
      <c r="G1668" s="87" t="e">
        <f>VLOOKUP(A1668,'DAFTAR HARGA'!A:D,5,FALSE)</f>
        <v>#REF!</v>
      </c>
      <c r="H1668" s="87" t="e">
        <f>F1668*G1668</f>
        <v>#REF!</v>
      </c>
      <c r="I1668" s="87">
        <v>1060</v>
      </c>
      <c r="J1668" s="87">
        <f>F1668*I1668</f>
        <v>514.1</v>
      </c>
      <c r="K1668" s="87">
        <v>1060</v>
      </c>
      <c r="L1668" s="87">
        <f>F1668*K1668</f>
        <v>514.1</v>
      </c>
    </row>
    <row r="1669" spans="1:12" ht="12" customHeight="1" x14ac:dyDescent="0.35">
      <c r="A1669" s="134">
        <v>21301000</v>
      </c>
      <c r="B1669" s="84"/>
      <c r="C1669" s="85" t="str">
        <f>VLOOKUP(A1669,'DAFTAR HARGA'!A:D,3,FALSE)</f>
        <v>Kg</v>
      </c>
      <c r="D1669" s="84" t="s">
        <v>418</v>
      </c>
      <c r="E1669" s="84">
        <f>VLOOKUP(A1669,'DAFTAR HARGA'!A:D,4,FALSE)</f>
        <v>1350</v>
      </c>
      <c r="F1669" s="128">
        <v>202</v>
      </c>
      <c r="G1669" s="87" t="e">
        <f>VLOOKUP(A1669,'DAFTAR HARGA'!A:D,5,FALSE)</f>
        <v>#REF!</v>
      </c>
      <c r="H1669" s="87" t="e">
        <f>F1669*G1669</f>
        <v>#REF!</v>
      </c>
      <c r="I1669" s="87">
        <v>215000</v>
      </c>
      <c r="J1669" s="87">
        <f>F1669*I1669</f>
        <v>43430000</v>
      </c>
      <c r="K1669" s="87">
        <v>250000</v>
      </c>
      <c r="L1669" s="87">
        <f>F1669*K1669</f>
        <v>50500000</v>
      </c>
    </row>
    <row r="1670" spans="1:12" ht="12" customHeight="1" x14ac:dyDescent="0.35">
      <c r="B1670" s="84"/>
      <c r="C1670" s="85"/>
      <c r="D1670" s="84"/>
      <c r="E1670" s="84"/>
      <c r="F1670" s="128"/>
      <c r="G1670" s="87"/>
      <c r="H1670" s="87"/>
      <c r="I1670" s="87"/>
      <c r="J1670" s="87"/>
      <c r="K1670" s="87"/>
      <c r="L1670" s="87"/>
    </row>
    <row r="1671" spans="1:12" ht="12" customHeight="1" x14ac:dyDescent="0.35">
      <c r="B1671" s="84"/>
      <c r="C1671" s="88"/>
      <c r="D1671" s="79"/>
      <c r="E1671" s="79"/>
      <c r="F1671" s="129" t="s">
        <v>423</v>
      </c>
      <c r="G1671" s="129"/>
      <c r="H1671" s="87" t="e">
        <f>SUM(H1667:H1670)</f>
        <v>#REF!</v>
      </c>
      <c r="I1671" s="101"/>
      <c r="J1671" s="87" t="e">
        <f>SUM(#REF!)</f>
        <v>#REF!</v>
      </c>
      <c r="K1671" s="101"/>
      <c r="L1671" s="87" t="e">
        <f>SUM(#REF!)</f>
        <v>#REF!</v>
      </c>
    </row>
    <row r="1672" spans="1:12" ht="12" customHeight="1" x14ac:dyDescent="0.35">
      <c r="B1672" s="84" t="s">
        <v>7</v>
      </c>
      <c r="C1672" s="88" t="s">
        <v>424</v>
      </c>
      <c r="D1672" s="79"/>
      <c r="E1672" s="79"/>
      <c r="F1672" s="90"/>
      <c r="G1672" s="84"/>
      <c r="H1672" s="87"/>
      <c r="I1672" s="84"/>
      <c r="J1672" s="87"/>
      <c r="K1672" s="84"/>
      <c r="L1672" s="87"/>
    </row>
    <row r="1673" spans="1:12" ht="12" customHeight="1" x14ac:dyDescent="0.35">
      <c r="A1673" s="134">
        <v>31100004</v>
      </c>
      <c r="B1673" s="84"/>
      <c r="C1673" s="85" t="str">
        <f>VLOOKUP(A1673,'DAFTAR HARGA'!A:D,3,FALSE)</f>
        <v>hari</v>
      </c>
      <c r="D1673" s="84" t="s">
        <v>418</v>
      </c>
      <c r="E1673" s="84">
        <f>VLOOKUP(A1673,'DAFTAR HARGA'!A:D,4,FALSE)</f>
        <v>1151000</v>
      </c>
      <c r="F1673" s="128">
        <v>4.4299999999999999E-2</v>
      </c>
      <c r="G1673" s="87" t="e">
        <f>VLOOKUP(A1673,'DAFTAR HARGA'!A:D,5,FALSE)</f>
        <v>#REF!</v>
      </c>
      <c r="H1673" s="87" t="e">
        <f>F1673*G1673</f>
        <v>#REF!</v>
      </c>
      <c r="I1673" s="87"/>
      <c r="J1673" s="87" t="e">
        <f>H1673*I1673</f>
        <v>#REF!</v>
      </c>
      <c r="K1673" s="87"/>
      <c r="L1673" s="87" t="e">
        <f>J1673*K1673</f>
        <v>#REF!</v>
      </c>
    </row>
    <row r="1674" spans="1:12" ht="12" customHeight="1" x14ac:dyDescent="0.35">
      <c r="B1674" s="84"/>
      <c r="C1674" s="85"/>
      <c r="D1674" s="84"/>
      <c r="E1674" s="84"/>
      <c r="F1674" s="128"/>
      <c r="G1674" s="87"/>
      <c r="H1674" s="87">
        <f>F1674*G1674</f>
        <v>0</v>
      </c>
      <c r="I1674" s="87"/>
      <c r="J1674" s="87"/>
      <c r="K1674" s="87"/>
      <c r="L1674" s="87"/>
    </row>
    <row r="1675" spans="1:12" ht="12" customHeight="1" x14ac:dyDescent="0.35">
      <c r="B1675" s="84"/>
      <c r="C1675" s="88"/>
      <c r="D1675" s="79"/>
      <c r="E1675" s="79"/>
      <c r="F1675" s="89" t="s">
        <v>425</v>
      </c>
      <c r="G1675" s="101"/>
      <c r="H1675" s="87" t="e">
        <f>SUM(H1673:H1674)</f>
        <v>#REF!</v>
      </c>
      <c r="I1675" s="101"/>
      <c r="J1675" s="87" t="e">
        <f>SUM(J1673)</f>
        <v>#REF!</v>
      </c>
      <c r="K1675" s="101"/>
      <c r="L1675" s="87" t="e">
        <f>SUM(L1673)</f>
        <v>#REF!</v>
      </c>
    </row>
    <row r="1676" spans="1:12" ht="12" customHeight="1" x14ac:dyDescent="0.35">
      <c r="B1676" s="84" t="s">
        <v>8</v>
      </c>
      <c r="C1676" s="103" t="s">
        <v>426</v>
      </c>
      <c r="D1676" s="104"/>
      <c r="E1676" s="104"/>
      <c r="F1676" s="104"/>
      <c r="G1676" s="105"/>
      <c r="H1676" s="87" t="e">
        <f>H1665+H1671+H1675</f>
        <v>#REF!</v>
      </c>
      <c r="I1676" s="105"/>
      <c r="J1676" s="87" t="e">
        <f>J1665+J1671+J1675</f>
        <v>#REF!</v>
      </c>
      <c r="K1676" s="105"/>
      <c r="L1676" s="87" t="e">
        <f>L1665+L1671+L1675</f>
        <v>#REF!</v>
      </c>
    </row>
    <row r="1677" spans="1:12" ht="12" customHeight="1" x14ac:dyDescent="0.35">
      <c r="B1677" s="84" t="s">
        <v>9</v>
      </c>
      <c r="C1677" s="455" t="s">
        <v>427</v>
      </c>
      <c r="D1677" s="455"/>
      <c r="E1677" s="455"/>
      <c r="F1677" s="95" t="str">
        <f>OP</f>
        <v>TANJUNG PALAS TENGAH</v>
      </c>
      <c r="G1677" s="85" t="s">
        <v>428</v>
      </c>
      <c r="H1677" s="87" t="e">
        <f>H1676*F1677</f>
        <v>#REF!</v>
      </c>
      <c r="I1677" s="85" t="s">
        <v>428</v>
      </c>
      <c r="J1677" s="87" t="e">
        <f>J1676*F1677</f>
        <v>#REF!</v>
      </c>
      <c r="K1677" s="85" t="s">
        <v>428</v>
      </c>
      <c r="L1677" s="87" t="e">
        <f>L1676*F1677</f>
        <v>#REF!</v>
      </c>
    </row>
    <row r="1678" spans="1:12" ht="12" customHeight="1" x14ac:dyDescent="0.35">
      <c r="B1678" s="84" t="s">
        <v>10</v>
      </c>
      <c r="C1678" s="103" t="s">
        <v>429</v>
      </c>
      <c r="D1678" s="104"/>
      <c r="E1678" s="104"/>
      <c r="F1678" s="104"/>
      <c r="G1678" s="105"/>
      <c r="H1678" s="96" t="e">
        <f>H1676+H1677</f>
        <v>#REF!</v>
      </c>
      <c r="I1678" s="97"/>
      <c r="J1678" s="96" t="e">
        <f>J1676+J1677</f>
        <v>#REF!</v>
      </c>
      <c r="K1678" s="97"/>
      <c r="L1678" s="96" t="e">
        <f>L1676+L1677</f>
        <v>#REF!</v>
      </c>
    </row>
    <row r="1680" spans="1:12" ht="37" customHeight="1" x14ac:dyDescent="0.35">
      <c r="B1680" s="76" t="s">
        <v>637</v>
      </c>
      <c r="C1680" s="458" t="s">
        <v>652</v>
      </c>
      <c r="D1680" s="459"/>
      <c r="E1680" s="459"/>
      <c r="F1680" s="459"/>
      <c r="G1680" s="456"/>
      <c r="H1680" s="457"/>
      <c r="I1680" s="455" t="s">
        <v>3</v>
      </c>
      <c r="J1680" s="455"/>
      <c r="K1680" s="455" t="s">
        <v>4</v>
      </c>
      <c r="L1680" s="455"/>
    </row>
    <row r="1681" spans="1:12" ht="12" customHeight="1" x14ac:dyDescent="0.35">
      <c r="B1681" s="451" t="s">
        <v>409</v>
      </c>
      <c r="C1681" s="451" t="s">
        <v>410</v>
      </c>
      <c r="D1681" s="452" t="s">
        <v>411</v>
      </c>
      <c r="E1681" s="451" t="s">
        <v>412</v>
      </c>
      <c r="F1681" s="451" t="s">
        <v>413</v>
      </c>
      <c r="G1681" s="77" t="s">
        <v>414</v>
      </c>
      <c r="H1681" s="77" t="s">
        <v>415</v>
      </c>
      <c r="I1681" s="78" t="s">
        <v>414</v>
      </c>
      <c r="J1681" s="79" t="s">
        <v>415</v>
      </c>
      <c r="K1681" s="79" t="s">
        <v>414</v>
      </c>
      <c r="L1681" s="79" t="s">
        <v>415</v>
      </c>
    </row>
    <row r="1682" spans="1:12" ht="12" customHeight="1" x14ac:dyDescent="0.35">
      <c r="B1682" s="451"/>
      <c r="C1682" s="451"/>
      <c r="D1682" s="453"/>
      <c r="E1682" s="451"/>
      <c r="F1682" s="451"/>
      <c r="G1682" s="77" t="s">
        <v>17</v>
      </c>
      <c r="H1682" s="77" t="s">
        <v>416</v>
      </c>
      <c r="I1682" s="78" t="s">
        <v>17</v>
      </c>
      <c r="J1682" s="79" t="s">
        <v>416</v>
      </c>
      <c r="K1682" s="79" t="s">
        <v>17</v>
      </c>
      <c r="L1682" s="79" t="s">
        <v>416</v>
      </c>
    </row>
    <row r="1683" spans="1:12" ht="12" customHeight="1" x14ac:dyDescent="0.35">
      <c r="B1683" s="451"/>
      <c r="C1683" s="451"/>
      <c r="D1683" s="454"/>
      <c r="E1683" s="451"/>
      <c r="F1683" s="451"/>
      <c r="G1683" s="106"/>
      <c r="H1683" s="77" t="s">
        <v>17</v>
      </c>
      <c r="I1683" s="94"/>
      <c r="J1683" s="79" t="s">
        <v>17</v>
      </c>
      <c r="K1683" s="85"/>
      <c r="L1683" s="79" t="s">
        <v>17</v>
      </c>
    </row>
    <row r="1684" spans="1:12" ht="12" customHeight="1" x14ac:dyDescent="0.35">
      <c r="B1684" s="80" t="s">
        <v>5</v>
      </c>
      <c r="C1684" s="81" t="s">
        <v>417</v>
      </c>
      <c r="D1684" s="82"/>
      <c r="E1684" s="82"/>
      <c r="F1684" s="82"/>
      <c r="G1684" s="82"/>
      <c r="H1684" s="82"/>
      <c r="I1684" s="83"/>
      <c r="J1684" s="83"/>
      <c r="K1684" s="83"/>
      <c r="L1684" s="83"/>
    </row>
    <row r="1685" spans="1:12" ht="12" customHeight="1" x14ac:dyDescent="0.35">
      <c r="A1685" s="134">
        <v>10130000</v>
      </c>
      <c r="B1685" s="84"/>
      <c r="C1685" s="85" t="str">
        <f>VLOOKUP(A1685,'DAFTAR HARGA'!A:D,3,FALSE)</f>
        <v>OH</v>
      </c>
      <c r="D1685" s="84" t="s">
        <v>418</v>
      </c>
      <c r="E1685" s="84">
        <f>VLOOKUP(A1685,'DAFTAR HARGA'!A:D,4,FALSE)</f>
        <v>115000</v>
      </c>
      <c r="F1685" s="128">
        <v>2.0874000000000001</v>
      </c>
      <c r="G1685" s="87" t="e">
        <f>VLOOKUP(A1685,'DAFTAR HARGA'!A:D,5,FALSE)</f>
        <v>#REF!</v>
      </c>
      <c r="H1685" s="87" t="e">
        <f>F1685*G1685</f>
        <v>#REF!</v>
      </c>
      <c r="I1685" s="87">
        <v>91500</v>
      </c>
      <c r="J1685" s="87">
        <f>F1685*I1685</f>
        <v>190997.1</v>
      </c>
      <c r="K1685" s="87">
        <v>91500</v>
      </c>
      <c r="L1685" s="87">
        <f>F1685*K1685</f>
        <v>190997.1</v>
      </c>
    </row>
    <row r="1686" spans="1:12" ht="12" customHeight="1" x14ac:dyDescent="0.35">
      <c r="A1686" s="134">
        <v>10143000</v>
      </c>
      <c r="B1686" s="84"/>
      <c r="C1686" s="85" t="str">
        <f>VLOOKUP(A1686,'DAFTAR HARGA'!A:D,3,FALSE)</f>
        <v>OH</v>
      </c>
      <c r="D1686" s="84" t="s">
        <v>418</v>
      </c>
      <c r="E1686" s="84">
        <f>VLOOKUP(A1686,'DAFTAR HARGA'!A:D,4,FALSE)</f>
        <v>236600</v>
      </c>
      <c r="F1686" s="128">
        <v>1.0437000000000001</v>
      </c>
      <c r="G1686" s="87" t="e">
        <f>VLOOKUP(A1686,'DAFTAR HARGA'!A:D,5,FALSE)</f>
        <v>#REF!</v>
      </c>
      <c r="H1686" s="87" t="e">
        <f>F1686*G1686</f>
        <v>#REF!</v>
      </c>
      <c r="I1686" s="87"/>
      <c r="J1686" s="87"/>
      <c r="K1686" s="87"/>
      <c r="L1686" s="87"/>
    </row>
    <row r="1687" spans="1:12" ht="12" customHeight="1" x14ac:dyDescent="0.35">
      <c r="A1687" s="134">
        <v>10110000</v>
      </c>
      <c r="B1687" s="84"/>
      <c r="C1687" s="85" t="str">
        <f>VLOOKUP(A1687,'DAFTAR HARGA'!A:D,3,FALSE)</f>
        <v>OH</v>
      </c>
      <c r="D1687" s="84" t="s">
        <v>418</v>
      </c>
      <c r="E1687" s="84">
        <f>VLOOKUP(A1687,'DAFTAR HARGA'!A:D,4,FALSE)</f>
        <v>150000</v>
      </c>
      <c r="F1687" s="128">
        <f>F1685/10</f>
        <v>0.20874000000000001</v>
      </c>
      <c r="G1687" s="87" t="e">
        <f>VLOOKUP(A1687,'DAFTAR HARGA'!A:D,5,FALSE)</f>
        <v>#REF!</v>
      </c>
      <c r="H1687" s="87" t="e">
        <f>F1687*G1687</f>
        <v>#REF!</v>
      </c>
      <c r="I1687" s="87">
        <v>78600</v>
      </c>
      <c r="J1687" s="87">
        <f>F1687*I1687</f>
        <v>16406.964</v>
      </c>
      <c r="K1687" s="87">
        <v>78600</v>
      </c>
      <c r="L1687" s="87">
        <f>F1687*K1687</f>
        <v>16406.964</v>
      </c>
    </row>
    <row r="1688" spans="1:12" ht="12" customHeight="1" x14ac:dyDescent="0.35">
      <c r="B1688" s="84"/>
      <c r="C1688" s="85"/>
      <c r="D1688" s="84"/>
      <c r="E1688" s="84"/>
      <c r="F1688" s="86"/>
      <c r="G1688" s="87"/>
      <c r="H1688" s="87">
        <f>F1688*G1688</f>
        <v>0</v>
      </c>
      <c r="I1688" s="87">
        <v>92500</v>
      </c>
      <c r="J1688" s="87">
        <f>F1688*I1688</f>
        <v>0</v>
      </c>
      <c r="K1688" s="87">
        <v>92500</v>
      </c>
      <c r="L1688" s="87">
        <f>F1688*K1688</f>
        <v>0</v>
      </c>
    </row>
    <row r="1689" spans="1:12" ht="12" customHeight="1" x14ac:dyDescent="0.35">
      <c r="B1689" s="84"/>
      <c r="C1689" s="85"/>
      <c r="D1689" s="84"/>
      <c r="E1689" s="84"/>
      <c r="F1689" s="86"/>
      <c r="G1689" s="87"/>
      <c r="H1689" s="87"/>
      <c r="I1689" s="87"/>
      <c r="J1689" s="87"/>
      <c r="K1689" s="87"/>
      <c r="L1689" s="87"/>
    </row>
    <row r="1690" spans="1:12" ht="12" customHeight="1" x14ac:dyDescent="0.35">
      <c r="B1690" s="84"/>
      <c r="C1690" s="88"/>
      <c r="D1690" s="79"/>
      <c r="E1690" s="79"/>
      <c r="F1690" s="89" t="s">
        <v>421</v>
      </c>
      <c r="G1690" s="101"/>
      <c r="H1690" s="87" t="e">
        <f>SUM(H1685:H1689)</f>
        <v>#REF!</v>
      </c>
      <c r="I1690" s="101"/>
      <c r="J1690" s="87">
        <f>SUM(J1687:J1689)</f>
        <v>16406.964</v>
      </c>
      <c r="K1690" s="101"/>
      <c r="L1690" s="87">
        <f>SUM(L1687:L1689)</f>
        <v>16406.964</v>
      </c>
    </row>
    <row r="1691" spans="1:12" ht="12" customHeight="1" x14ac:dyDescent="0.35">
      <c r="B1691" s="84" t="s">
        <v>6</v>
      </c>
      <c r="C1691" s="88" t="s">
        <v>422</v>
      </c>
      <c r="D1691" s="79"/>
      <c r="E1691" s="79"/>
      <c r="F1691" s="90"/>
      <c r="G1691" s="84"/>
      <c r="H1691" s="87"/>
      <c r="I1691" s="84"/>
      <c r="J1691" s="87"/>
      <c r="K1691" s="84"/>
      <c r="L1691" s="87"/>
    </row>
    <row r="1692" spans="1:12" ht="12" customHeight="1" x14ac:dyDescent="0.35">
      <c r="A1692" s="134">
        <v>211100102</v>
      </c>
      <c r="B1692" s="84"/>
      <c r="C1692" s="85" t="str">
        <f>VLOOKUP(A1692,'DAFTAR HARGA'!A:D,3,FALSE)</f>
        <v>m³</v>
      </c>
      <c r="D1692" s="84" t="s">
        <v>418</v>
      </c>
      <c r="E1692" s="84">
        <f>VLOOKUP(A1692,'DAFTAR HARGA'!A:D,4,FALSE)</f>
        <v>236600</v>
      </c>
      <c r="F1692" s="128">
        <v>1.2</v>
      </c>
      <c r="G1692" s="87" t="e">
        <f>VLOOKUP(A1692,'DAFTAR HARGA'!A:D,5,FALSE)</f>
        <v>#REF!</v>
      </c>
      <c r="H1692" s="87" t="e">
        <f>F1692*G1692</f>
        <v>#REF!</v>
      </c>
      <c r="I1692" s="87">
        <v>232500</v>
      </c>
      <c r="J1692" s="87">
        <f>F1692*I1692</f>
        <v>279000</v>
      </c>
      <c r="K1692" s="87">
        <v>270000</v>
      </c>
      <c r="L1692" s="87">
        <f>F1692*K1692</f>
        <v>324000</v>
      </c>
    </row>
    <row r="1693" spans="1:12" ht="12" customHeight="1" x14ac:dyDescent="0.35">
      <c r="A1693" s="134">
        <v>211100113</v>
      </c>
      <c r="B1693" s="84"/>
      <c r="C1693" s="85" t="str">
        <f>VLOOKUP(A1693,'DAFTAR HARGA'!A:D,3,FALSE)</f>
        <v>m³</v>
      </c>
      <c r="D1693" s="84" t="s">
        <v>418</v>
      </c>
      <c r="E1693" s="84">
        <f>VLOOKUP(A1693,'DAFTAR HARGA'!A:D,4,FALSE)</f>
        <v>217500</v>
      </c>
      <c r="F1693" s="128">
        <v>0.48499999999999999</v>
      </c>
      <c r="G1693" s="87" t="e">
        <f>VLOOKUP(A1693,'DAFTAR HARGA'!A:D,5,FALSE)</f>
        <v>#REF!</v>
      </c>
      <c r="H1693" s="87" t="e">
        <f>F1693*G1693</f>
        <v>#REF!</v>
      </c>
      <c r="I1693" s="87">
        <v>1060</v>
      </c>
      <c r="J1693" s="87">
        <f>F1693*I1693</f>
        <v>514.1</v>
      </c>
      <c r="K1693" s="87">
        <v>1060</v>
      </c>
      <c r="L1693" s="87">
        <f>F1693*K1693</f>
        <v>514.1</v>
      </c>
    </row>
    <row r="1694" spans="1:12" ht="12" customHeight="1" x14ac:dyDescent="0.35">
      <c r="A1694" s="134">
        <v>21301000</v>
      </c>
      <c r="B1694" s="84"/>
      <c r="C1694" s="85" t="str">
        <f>VLOOKUP(A1694,'DAFTAR HARGA'!A:D,3,FALSE)</f>
        <v>Kg</v>
      </c>
      <c r="D1694" s="84" t="s">
        <v>418</v>
      </c>
      <c r="E1694" s="84">
        <f>VLOOKUP(A1694,'DAFTAR HARGA'!A:D,4,FALSE)</f>
        <v>1350</v>
      </c>
      <c r="F1694" s="128">
        <v>202</v>
      </c>
      <c r="G1694" s="87" t="e">
        <f>VLOOKUP(A1694,'DAFTAR HARGA'!A:D,5,FALSE)</f>
        <v>#REF!</v>
      </c>
      <c r="H1694" s="87" t="e">
        <f>F1694*G1694</f>
        <v>#REF!</v>
      </c>
      <c r="I1694" s="87">
        <v>215000</v>
      </c>
      <c r="J1694" s="87">
        <f>F1694*I1694</f>
        <v>43430000</v>
      </c>
      <c r="K1694" s="87">
        <v>250000</v>
      </c>
      <c r="L1694" s="87">
        <f>F1694*K1694</f>
        <v>50500000</v>
      </c>
    </row>
    <row r="1695" spans="1:12" ht="12" customHeight="1" x14ac:dyDescent="0.35">
      <c r="B1695" s="84"/>
      <c r="C1695" s="85"/>
      <c r="D1695" s="84"/>
      <c r="E1695" s="84"/>
      <c r="F1695" s="128"/>
      <c r="G1695" s="87"/>
      <c r="H1695" s="87"/>
      <c r="I1695" s="87"/>
      <c r="J1695" s="87"/>
      <c r="K1695" s="87"/>
      <c r="L1695" s="87"/>
    </row>
    <row r="1696" spans="1:12" ht="12" customHeight="1" x14ac:dyDescent="0.35">
      <c r="B1696" s="84"/>
      <c r="C1696" s="88"/>
      <c r="D1696" s="79"/>
      <c r="E1696" s="79"/>
      <c r="F1696" s="129" t="s">
        <v>423</v>
      </c>
      <c r="G1696" s="129"/>
      <c r="H1696" s="87" t="e">
        <f>SUM(H1692:H1695)</f>
        <v>#REF!</v>
      </c>
      <c r="I1696" s="101"/>
      <c r="J1696" s="87" t="e">
        <f>SUM(#REF!)</f>
        <v>#REF!</v>
      </c>
      <c r="K1696" s="101"/>
      <c r="L1696" s="87" t="e">
        <f>SUM(#REF!)</f>
        <v>#REF!</v>
      </c>
    </row>
    <row r="1697" spans="1:12" ht="12" customHeight="1" x14ac:dyDescent="0.35">
      <c r="B1697" s="84" t="s">
        <v>7</v>
      </c>
      <c r="C1697" s="88" t="s">
        <v>424</v>
      </c>
      <c r="D1697" s="79"/>
      <c r="E1697" s="79"/>
      <c r="F1697" s="90"/>
      <c r="G1697" s="84"/>
      <c r="H1697" s="87"/>
      <c r="I1697" s="84"/>
      <c r="J1697" s="87"/>
      <c r="K1697" s="84"/>
      <c r="L1697" s="87"/>
    </row>
    <row r="1698" spans="1:12" ht="12" customHeight="1" x14ac:dyDescent="0.35">
      <c r="A1698" s="134">
        <v>31100004</v>
      </c>
      <c r="B1698" s="84"/>
      <c r="C1698" s="85" t="str">
        <f>VLOOKUP(A1698,'DAFTAR HARGA'!A:D,3,FALSE)</f>
        <v>hari</v>
      </c>
      <c r="D1698" s="84" t="s">
        <v>418</v>
      </c>
      <c r="E1698" s="84">
        <f>VLOOKUP(A1698,'DAFTAR HARGA'!A:D,4,FALSE)</f>
        <v>1151000</v>
      </c>
      <c r="F1698" s="128">
        <v>4.4299999999999999E-2</v>
      </c>
      <c r="G1698" s="87" t="e">
        <f>VLOOKUP(A1698,'DAFTAR HARGA'!A:D,5,FALSE)</f>
        <v>#REF!</v>
      </c>
      <c r="H1698" s="87" t="e">
        <f>F1698*G1698</f>
        <v>#REF!</v>
      </c>
      <c r="I1698" s="87"/>
      <c r="J1698" s="87" t="e">
        <f>H1698*I1698</f>
        <v>#REF!</v>
      </c>
      <c r="K1698" s="87"/>
      <c r="L1698" s="87" t="e">
        <f>J1698*K1698</f>
        <v>#REF!</v>
      </c>
    </row>
    <row r="1699" spans="1:12" ht="12" customHeight="1" x14ac:dyDescent="0.35">
      <c r="B1699" s="84"/>
      <c r="C1699" s="85"/>
      <c r="D1699" s="84"/>
      <c r="E1699" s="84"/>
      <c r="F1699" s="128"/>
      <c r="G1699" s="87"/>
      <c r="H1699" s="87">
        <f>F1699*G1699</f>
        <v>0</v>
      </c>
      <c r="I1699" s="87"/>
      <c r="J1699" s="87"/>
      <c r="K1699" s="87"/>
      <c r="L1699" s="87"/>
    </row>
    <row r="1700" spans="1:12" ht="12" customHeight="1" x14ac:dyDescent="0.35">
      <c r="B1700" s="84"/>
      <c r="C1700" s="88"/>
      <c r="D1700" s="79"/>
      <c r="E1700" s="79"/>
      <c r="F1700" s="89" t="s">
        <v>425</v>
      </c>
      <c r="G1700" s="101"/>
      <c r="H1700" s="87" t="e">
        <f>SUM(H1698:H1699)</f>
        <v>#REF!</v>
      </c>
      <c r="I1700" s="101"/>
      <c r="J1700" s="87" t="e">
        <f>SUM(J1698)</f>
        <v>#REF!</v>
      </c>
      <c r="K1700" s="101"/>
      <c r="L1700" s="87" t="e">
        <f>SUM(L1698)</f>
        <v>#REF!</v>
      </c>
    </row>
    <row r="1701" spans="1:12" ht="12" customHeight="1" x14ac:dyDescent="0.35">
      <c r="B1701" s="84" t="s">
        <v>8</v>
      </c>
      <c r="C1701" s="103" t="s">
        <v>426</v>
      </c>
      <c r="D1701" s="104"/>
      <c r="E1701" s="104"/>
      <c r="F1701" s="104"/>
      <c r="G1701" s="105"/>
      <c r="H1701" s="87" t="e">
        <f>H1690+H1696+H1700</f>
        <v>#REF!</v>
      </c>
      <c r="I1701" s="105"/>
      <c r="J1701" s="87" t="e">
        <f>J1690+J1696+J1700</f>
        <v>#REF!</v>
      </c>
      <c r="K1701" s="105"/>
      <c r="L1701" s="87" t="e">
        <f>L1690+L1696+L1700</f>
        <v>#REF!</v>
      </c>
    </row>
    <row r="1702" spans="1:12" ht="12" customHeight="1" x14ac:dyDescent="0.35">
      <c r="B1702" s="84" t="s">
        <v>9</v>
      </c>
      <c r="C1702" s="455" t="s">
        <v>427</v>
      </c>
      <c r="D1702" s="455"/>
      <c r="E1702" s="455"/>
      <c r="F1702" s="95" t="str">
        <f>OP</f>
        <v>TANJUNG PALAS TENGAH</v>
      </c>
      <c r="G1702" s="85" t="s">
        <v>428</v>
      </c>
      <c r="H1702" s="87" t="e">
        <f>H1701*F1702</f>
        <v>#REF!</v>
      </c>
      <c r="I1702" s="85" t="s">
        <v>428</v>
      </c>
      <c r="J1702" s="87" t="e">
        <f>J1701*F1702</f>
        <v>#REF!</v>
      </c>
      <c r="K1702" s="85" t="s">
        <v>428</v>
      </c>
      <c r="L1702" s="87" t="e">
        <f>L1701*F1702</f>
        <v>#REF!</v>
      </c>
    </row>
    <row r="1703" spans="1:12" ht="12" customHeight="1" x14ac:dyDescent="0.35">
      <c r="B1703" s="84" t="s">
        <v>10</v>
      </c>
      <c r="C1703" s="103" t="s">
        <v>429</v>
      </c>
      <c r="D1703" s="104"/>
      <c r="E1703" s="104"/>
      <c r="F1703" s="104"/>
      <c r="G1703" s="105"/>
      <c r="H1703" s="96" t="e">
        <f>H1701+H1702</f>
        <v>#REF!</v>
      </c>
      <c r="I1703" s="97"/>
      <c r="J1703" s="96" t="e">
        <f>J1701+J1702</f>
        <v>#REF!</v>
      </c>
      <c r="K1703" s="97"/>
      <c r="L1703" s="96" t="e">
        <f>L1701+L1702</f>
        <v>#REF!</v>
      </c>
    </row>
    <row r="1705" spans="1:12" ht="37" customHeight="1" x14ac:dyDescent="0.35">
      <c r="B1705" s="76" t="s">
        <v>663</v>
      </c>
      <c r="C1705" s="458" t="s">
        <v>664</v>
      </c>
      <c r="D1705" s="459"/>
      <c r="E1705" s="459"/>
      <c r="F1705" s="459"/>
      <c r="G1705" s="456"/>
      <c r="H1705" s="457"/>
      <c r="I1705" s="455" t="s">
        <v>3</v>
      </c>
      <c r="J1705" s="455"/>
      <c r="K1705" s="455" t="s">
        <v>4</v>
      </c>
      <c r="L1705" s="455"/>
    </row>
    <row r="1706" spans="1:12" ht="12" customHeight="1" x14ac:dyDescent="0.35">
      <c r="B1706" s="451" t="s">
        <v>409</v>
      </c>
      <c r="C1706" s="451" t="s">
        <v>410</v>
      </c>
      <c r="D1706" s="452" t="s">
        <v>411</v>
      </c>
      <c r="E1706" s="451" t="s">
        <v>412</v>
      </c>
      <c r="F1706" s="451" t="s">
        <v>413</v>
      </c>
      <c r="G1706" s="77" t="s">
        <v>414</v>
      </c>
      <c r="H1706" s="77" t="s">
        <v>415</v>
      </c>
      <c r="I1706" s="78" t="s">
        <v>414</v>
      </c>
      <c r="J1706" s="79" t="s">
        <v>415</v>
      </c>
      <c r="K1706" s="79" t="s">
        <v>414</v>
      </c>
      <c r="L1706" s="79" t="s">
        <v>415</v>
      </c>
    </row>
    <row r="1707" spans="1:12" ht="12" customHeight="1" x14ac:dyDescent="0.35">
      <c r="B1707" s="451"/>
      <c r="C1707" s="451"/>
      <c r="D1707" s="453"/>
      <c r="E1707" s="451"/>
      <c r="F1707" s="451"/>
      <c r="G1707" s="77" t="s">
        <v>17</v>
      </c>
      <c r="H1707" s="77" t="s">
        <v>416</v>
      </c>
      <c r="I1707" s="78" t="s">
        <v>17</v>
      </c>
      <c r="J1707" s="79" t="s">
        <v>416</v>
      </c>
      <c r="K1707" s="79" t="s">
        <v>17</v>
      </c>
      <c r="L1707" s="79" t="s">
        <v>416</v>
      </c>
    </row>
    <row r="1708" spans="1:12" ht="12" customHeight="1" x14ac:dyDescent="0.35">
      <c r="B1708" s="451"/>
      <c r="C1708" s="451"/>
      <c r="D1708" s="454"/>
      <c r="E1708" s="451"/>
      <c r="F1708" s="451"/>
      <c r="G1708" s="106"/>
      <c r="H1708" s="77" t="s">
        <v>17</v>
      </c>
      <c r="I1708" s="94"/>
      <c r="J1708" s="79" t="s">
        <v>17</v>
      </c>
      <c r="K1708" s="85"/>
      <c r="L1708" s="79" t="s">
        <v>17</v>
      </c>
    </row>
    <row r="1709" spans="1:12" ht="12" customHeight="1" x14ac:dyDescent="0.35">
      <c r="B1709" s="80" t="s">
        <v>5</v>
      </c>
      <c r="C1709" s="81" t="s">
        <v>417</v>
      </c>
      <c r="D1709" s="82"/>
      <c r="E1709" s="82"/>
      <c r="F1709" s="82"/>
      <c r="G1709" s="82"/>
      <c r="H1709" s="82"/>
      <c r="I1709" s="83"/>
      <c r="J1709" s="83"/>
      <c r="K1709" s="83"/>
      <c r="L1709" s="83"/>
    </row>
    <row r="1710" spans="1:12" ht="12" customHeight="1" x14ac:dyDescent="0.35">
      <c r="A1710" s="134">
        <v>10130000</v>
      </c>
      <c r="B1710" s="84"/>
      <c r="C1710" s="85" t="str">
        <f>VLOOKUP(A1710,'DAFTAR HARGA'!A:D,3,FALSE)</f>
        <v>OH</v>
      </c>
      <c r="D1710" s="84" t="s">
        <v>418</v>
      </c>
      <c r="E1710" s="84">
        <f>VLOOKUP(A1710,'DAFTAR HARGA'!A:D,4,FALSE)</f>
        <v>115000</v>
      </c>
      <c r="F1710" s="128">
        <v>1.5</v>
      </c>
      <c r="G1710" s="87" t="e">
        <f>VLOOKUP(A1710,'DAFTAR HARGA'!A:D,5,FALSE)</f>
        <v>#REF!</v>
      </c>
      <c r="H1710" s="87" t="e">
        <f>F1710*G1710</f>
        <v>#REF!</v>
      </c>
      <c r="I1710" s="87">
        <v>91500</v>
      </c>
      <c r="J1710" s="87">
        <f>F1710*I1710</f>
        <v>137250</v>
      </c>
      <c r="K1710" s="87">
        <v>91500</v>
      </c>
      <c r="L1710" s="87">
        <f>F1710*K1710</f>
        <v>137250</v>
      </c>
    </row>
    <row r="1711" spans="1:12" ht="12" customHeight="1" x14ac:dyDescent="0.35">
      <c r="A1711" s="134">
        <v>10143000</v>
      </c>
      <c r="B1711" s="84"/>
      <c r="C1711" s="85" t="str">
        <f>VLOOKUP(A1711,'DAFTAR HARGA'!A:D,3,FALSE)</f>
        <v>OH</v>
      </c>
      <c r="D1711" s="84" t="s">
        <v>418</v>
      </c>
      <c r="E1711" s="84">
        <f>VLOOKUP(A1711,'DAFTAR HARGA'!A:D,4,FALSE)</f>
        <v>236600</v>
      </c>
      <c r="F1711" s="128">
        <v>0.5</v>
      </c>
      <c r="G1711" s="87" t="e">
        <f>VLOOKUP(A1711,'DAFTAR HARGA'!A:D,5,FALSE)</f>
        <v>#REF!</v>
      </c>
      <c r="H1711" s="87" t="e">
        <f>F1711*G1711</f>
        <v>#REF!</v>
      </c>
      <c r="I1711" s="87"/>
      <c r="J1711" s="87"/>
      <c r="K1711" s="87"/>
      <c r="L1711" s="87"/>
    </row>
    <row r="1712" spans="1:12" ht="12" customHeight="1" x14ac:dyDescent="0.35">
      <c r="A1712" s="134">
        <v>10110000</v>
      </c>
      <c r="B1712" s="84"/>
      <c r="C1712" s="85" t="str">
        <f>VLOOKUP(A1712,'DAFTAR HARGA'!A:D,3,FALSE)</f>
        <v>OH</v>
      </c>
      <c r="D1712" s="84" t="s">
        <v>418</v>
      </c>
      <c r="E1712" s="84">
        <f>VLOOKUP(A1712,'DAFTAR HARGA'!A:D,4,FALSE)</f>
        <v>150000</v>
      </c>
      <c r="F1712" s="128">
        <f>F1710/10</f>
        <v>0.15</v>
      </c>
      <c r="G1712" s="87" t="e">
        <f>VLOOKUP(A1712,'DAFTAR HARGA'!A:D,5,FALSE)</f>
        <v>#REF!</v>
      </c>
      <c r="H1712" s="87" t="e">
        <f>F1712*G1712</f>
        <v>#REF!</v>
      </c>
      <c r="I1712" s="87">
        <v>78600</v>
      </c>
      <c r="J1712" s="87">
        <f>F1712*I1712</f>
        <v>11790</v>
      </c>
      <c r="K1712" s="87">
        <v>78600</v>
      </c>
      <c r="L1712" s="87">
        <f>F1712*K1712</f>
        <v>11790</v>
      </c>
    </row>
    <row r="1713" spans="1:12" ht="12" customHeight="1" x14ac:dyDescent="0.35">
      <c r="B1713" s="84"/>
      <c r="C1713" s="85"/>
      <c r="D1713" s="84"/>
      <c r="E1713" s="84"/>
      <c r="F1713" s="86"/>
      <c r="G1713" s="87"/>
      <c r="H1713" s="87">
        <f>F1713*G1713</f>
        <v>0</v>
      </c>
      <c r="I1713" s="87">
        <v>92500</v>
      </c>
      <c r="J1713" s="87">
        <f>F1713*I1713</f>
        <v>0</v>
      </c>
      <c r="K1713" s="87">
        <v>92500</v>
      </c>
      <c r="L1713" s="87">
        <f>F1713*K1713</f>
        <v>0</v>
      </c>
    </row>
    <row r="1714" spans="1:12" ht="12" customHeight="1" x14ac:dyDescent="0.35">
      <c r="B1714" s="84"/>
      <c r="C1714" s="85"/>
      <c r="D1714" s="84"/>
      <c r="E1714" s="84"/>
      <c r="F1714" s="86"/>
      <c r="G1714" s="87"/>
      <c r="H1714" s="87"/>
      <c r="I1714" s="87"/>
      <c r="J1714" s="87"/>
      <c r="K1714" s="87"/>
      <c r="L1714" s="87"/>
    </row>
    <row r="1715" spans="1:12" ht="12" customHeight="1" x14ac:dyDescent="0.35">
      <c r="B1715" s="84"/>
      <c r="C1715" s="88"/>
      <c r="D1715" s="79"/>
      <c r="E1715" s="79"/>
      <c r="F1715" s="89" t="s">
        <v>421</v>
      </c>
      <c r="G1715" s="101"/>
      <c r="H1715" s="87" t="e">
        <f>SUM(H1710:H1714)</f>
        <v>#REF!</v>
      </c>
      <c r="I1715" s="101"/>
      <c r="J1715" s="87">
        <f>SUM(J1712:J1714)</f>
        <v>11790</v>
      </c>
      <c r="K1715" s="101"/>
      <c r="L1715" s="87">
        <f>SUM(L1712:L1714)</f>
        <v>11790</v>
      </c>
    </row>
    <row r="1716" spans="1:12" ht="12" customHeight="1" x14ac:dyDescent="0.35">
      <c r="B1716" s="84" t="s">
        <v>6</v>
      </c>
      <c r="C1716" s="88" t="s">
        <v>422</v>
      </c>
      <c r="D1716" s="79"/>
      <c r="E1716" s="79"/>
      <c r="F1716" s="90"/>
      <c r="G1716" s="84"/>
      <c r="H1716" s="87"/>
      <c r="I1716" s="84"/>
      <c r="J1716" s="87"/>
      <c r="K1716" s="84"/>
      <c r="L1716" s="87"/>
    </row>
    <row r="1717" spans="1:12" ht="12" customHeight="1" x14ac:dyDescent="0.35">
      <c r="A1717" s="134">
        <v>211100102</v>
      </c>
      <c r="B1717" s="84"/>
      <c r="C1717" s="85" t="str">
        <f>VLOOKUP(A1717,'DAFTAR HARGA'!A:D,3,FALSE)</f>
        <v>m³</v>
      </c>
      <c r="D1717" s="84" t="s">
        <v>418</v>
      </c>
      <c r="E1717" s="84">
        <f>VLOOKUP(A1717,'DAFTAR HARGA'!A:D,4,FALSE)</f>
        <v>236600</v>
      </c>
      <c r="F1717" s="128">
        <v>1.2</v>
      </c>
      <c r="G1717" s="87" t="e">
        <f>VLOOKUP(A1717,'DAFTAR HARGA'!A:D,5,FALSE)</f>
        <v>#REF!</v>
      </c>
      <c r="H1717" s="87" t="e">
        <f>F1717*G1717</f>
        <v>#REF!</v>
      </c>
      <c r="I1717" s="87">
        <v>232500</v>
      </c>
      <c r="J1717" s="87">
        <f>F1717*I1717</f>
        <v>279000</v>
      </c>
      <c r="K1717" s="87">
        <v>270000</v>
      </c>
      <c r="L1717" s="87">
        <f>F1717*K1717</f>
        <v>324000</v>
      </c>
    </row>
    <row r="1718" spans="1:12" ht="12" customHeight="1" x14ac:dyDescent="0.35">
      <c r="A1718" s="134">
        <v>211100113</v>
      </c>
      <c r="B1718" s="84"/>
      <c r="C1718" s="85" t="str">
        <f>VLOOKUP(A1718,'DAFTAR HARGA'!A:D,3,FALSE)</f>
        <v>m³</v>
      </c>
      <c r="D1718" s="84" t="s">
        <v>418</v>
      </c>
      <c r="E1718" s="84">
        <f>VLOOKUP(A1718,'DAFTAR HARGA'!A:D,4,FALSE)</f>
        <v>217500</v>
      </c>
      <c r="F1718" s="128">
        <v>0.52</v>
      </c>
      <c r="G1718" s="87" t="e">
        <f>VLOOKUP(A1718,'DAFTAR HARGA'!A:D,5,FALSE)</f>
        <v>#REF!</v>
      </c>
      <c r="H1718" s="87" t="e">
        <f>F1718*G1718</f>
        <v>#REF!</v>
      </c>
      <c r="I1718" s="87">
        <v>1060</v>
      </c>
      <c r="J1718" s="87">
        <f>F1718*I1718</f>
        <v>551.20000000000005</v>
      </c>
      <c r="K1718" s="87">
        <v>1060</v>
      </c>
      <c r="L1718" s="87">
        <f>F1718*K1718</f>
        <v>551.20000000000005</v>
      </c>
    </row>
    <row r="1719" spans="1:12" ht="12" customHeight="1" x14ac:dyDescent="0.35">
      <c r="A1719" s="134">
        <v>21301000</v>
      </c>
      <c r="B1719" s="84"/>
      <c r="C1719" s="85" t="str">
        <f>VLOOKUP(A1719,'DAFTAR HARGA'!A:D,3,FALSE)</f>
        <v>Kg</v>
      </c>
      <c r="D1719" s="84" t="s">
        <v>418</v>
      </c>
      <c r="E1719" s="84">
        <f>VLOOKUP(A1719,'DAFTAR HARGA'!A:D,4,FALSE)</f>
        <v>1350</v>
      </c>
      <c r="F1719" s="128">
        <v>163</v>
      </c>
      <c r="G1719" s="87" t="e">
        <f>VLOOKUP(A1719,'DAFTAR HARGA'!A:D,5,FALSE)</f>
        <v>#REF!</v>
      </c>
      <c r="H1719" s="87" t="e">
        <f>F1719*G1719</f>
        <v>#REF!</v>
      </c>
      <c r="I1719" s="87">
        <v>215000</v>
      </c>
      <c r="J1719" s="87">
        <f>F1719*I1719</f>
        <v>35045000</v>
      </c>
      <c r="K1719" s="87">
        <v>250000</v>
      </c>
      <c r="L1719" s="87">
        <f>F1719*K1719</f>
        <v>40750000</v>
      </c>
    </row>
    <row r="1720" spans="1:12" ht="12" customHeight="1" x14ac:dyDescent="0.35">
      <c r="B1720" s="84"/>
      <c r="C1720" s="85"/>
      <c r="D1720" s="84"/>
      <c r="E1720" s="84"/>
      <c r="F1720" s="128"/>
      <c r="G1720" s="87"/>
      <c r="H1720" s="87"/>
      <c r="I1720" s="87"/>
      <c r="J1720" s="87"/>
      <c r="K1720" s="87"/>
      <c r="L1720" s="87"/>
    </row>
    <row r="1721" spans="1:12" ht="12" customHeight="1" x14ac:dyDescent="0.35">
      <c r="B1721" s="84"/>
      <c r="C1721" s="88"/>
      <c r="D1721" s="79"/>
      <c r="E1721" s="79"/>
      <c r="F1721" s="129" t="s">
        <v>423</v>
      </c>
      <c r="G1721" s="129"/>
      <c r="H1721" s="87" t="e">
        <f>SUM(H1717:H1720)</f>
        <v>#REF!</v>
      </c>
      <c r="I1721" s="101"/>
      <c r="J1721" s="87" t="e">
        <f>SUM(#REF!)</f>
        <v>#REF!</v>
      </c>
      <c r="K1721" s="101"/>
      <c r="L1721" s="87" t="e">
        <f>SUM(#REF!)</f>
        <v>#REF!</v>
      </c>
    </row>
    <row r="1722" spans="1:12" ht="12" customHeight="1" x14ac:dyDescent="0.35">
      <c r="B1722" s="84" t="s">
        <v>7</v>
      </c>
      <c r="C1722" s="88" t="s">
        <v>424</v>
      </c>
      <c r="D1722" s="79"/>
      <c r="E1722" s="79"/>
      <c r="F1722" s="90"/>
      <c r="G1722" s="84"/>
      <c r="H1722" s="87"/>
      <c r="I1722" s="84"/>
      <c r="J1722" s="87"/>
      <c r="K1722" s="84"/>
      <c r="L1722" s="87"/>
    </row>
    <row r="1723" spans="1:12" ht="12" customHeight="1" x14ac:dyDescent="0.35">
      <c r="B1723" s="84"/>
      <c r="C1723" s="85"/>
      <c r="D1723" s="84"/>
      <c r="E1723" s="84"/>
      <c r="F1723" s="128"/>
      <c r="G1723" s="87"/>
      <c r="H1723" s="87">
        <f>F1723*G1723</f>
        <v>0</v>
      </c>
      <c r="I1723" s="87"/>
      <c r="J1723" s="87">
        <f>H1723*I1723</f>
        <v>0</v>
      </c>
      <c r="K1723" s="87"/>
      <c r="L1723" s="87">
        <f>J1723*K1723</f>
        <v>0</v>
      </c>
    </row>
    <row r="1724" spans="1:12" ht="12" customHeight="1" x14ac:dyDescent="0.35">
      <c r="B1724" s="84"/>
      <c r="C1724" s="85"/>
      <c r="D1724" s="84"/>
      <c r="E1724" s="84"/>
      <c r="F1724" s="128"/>
      <c r="G1724" s="87"/>
      <c r="H1724" s="87">
        <f>F1724*G1724</f>
        <v>0</v>
      </c>
      <c r="I1724" s="87"/>
      <c r="J1724" s="87"/>
      <c r="K1724" s="87"/>
      <c r="L1724" s="87"/>
    </row>
    <row r="1725" spans="1:12" ht="12" customHeight="1" x14ac:dyDescent="0.35">
      <c r="B1725" s="84"/>
      <c r="C1725" s="88"/>
      <c r="D1725" s="79"/>
      <c r="E1725" s="79"/>
      <c r="F1725" s="89" t="s">
        <v>425</v>
      </c>
      <c r="G1725" s="101"/>
      <c r="H1725" s="87">
        <f>SUM(H1723:H1724)</f>
        <v>0</v>
      </c>
      <c r="I1725" s="101"/>
      <c r="J1725" s="87">
        <f>SUM(J1723)</f>
        <v>0</v>
      </c>
      <c r="K1725" s="101"/>
      <c r="L1725" s="87">
        <f>SUM(L1723)</f>
        <v>0</v>
      </c>
    </row>
    <row r="1726" spans="1:12" ht="12" customHeight="1" x14ac:dyDescent="0.35">
      <c r="B1726" s="84" t="s">
        <v>8</v>
      </c>
      <c r="C1726" s="103" t="s">
        <v>426</v>
      </c>
      <c r="D1726" s="104"/>
      <c r="E1726" s="104"/>
      <c r="F1726" s="104"/>
      <c r="G1726" s="105"/>
      <c r="H1726" s="87" t="e">
        <f>H1715+H1721+H1725</f>
        <v>#REF!</v>
      </c>
      <c r="I1726" s="105"/>
      <c r="J1726" s="87" t="e">
        <f>J1715+J1721+J1725</f>
        <v>#REF!</v>
      </c>
      <c r="K1726" s="105"/>
      <c r="L1726" s="87" t="e">
        <f>L1715+L1721+L1725</f>
        <v>#REF!</v>
      </c>
    </row>
    <row r="1727" spans="1:12" ht="12" customHeight="1" x14ac:dyDescent="0.35">
      <c r="B1727" s="84" t="s">
        <v>9</v>
      </c>
      <c r="C1727" s="455" t="s">
        <v>427</v>
      </c>
      <c r="D1727" s="455"/>
      <c r="E1727" s="455"/>
      <c r="F1727" s="95" t="str">
        <f>OP</f>
        <v>TANJUNG PALAS TENGAH</v>
      </c>
      <c r="G1727" s="85" t="s">
        <v>428</v>
      </c>
      <c r="H1727" s="87" t="e">
        <f>H1726*F1727</f>
        <v>#REF!</v>
      </c>
      <c r="I1727" s="85" t="s">
        <v>428</v>
      </c>
      <c r="J1727" s="87" t="e">
        <f>J1726*F1727</f>
        <v>#REF!</v>
      </c>
      <c r="K1727" s="85" t="s">
        <v>428</v>
      </c>
      <c r="L1727" s="87" t="e">
        <f>L1726*F1727</f>
        <v>#REF!</v>
      </c>
    </row>
    <row r="1728" spans="1:12" ht="12" customHeight="1" x14ac:dyDescent="0.35">
      <c r="B1728" s="84" t="s">
        <v>10</v>
      </c>
      <c r="C1728" s="103" t="s">
        <v>429</v>
      </c>
      <c r="D1728" s="104"/>
      <c r="E1728" s="104"/>
      <c r="F1728" s="104"/>
      <c r="G1728" s="105"/>
      <c r="H1728" s="96" t="e">
        <f>H1726+H1727</f>
        <v>#REF!</v>
      </c>
      <c r="I1728" s="97"/>
      <c r="J1728" s="96" t="e">
        <f>J1726+J1727</f>
        <v>#REF!</v>
      </c>
      <c r="K1728" s="97"/>
      <c r="L1728" s="96" t="e">
        <f>L1726+L1727</f>
        <v>#REF!</v>
      </c>
    </row>
    <row r="1730" spans="1:12" ht="37" customHeight="1" x14ac:dyDescent="0.35">
      <c r="B1730" s="76" t="s">
        <v>666</v>
      </c>
      <c r="C1730" s="458" t="s">
        <v>665</v>
      </c>
      <c r="D1730" s="459"/>
      <c r="E1730" s="459"/>
      <c r="F1730" s="459"/>
      <c r="G1730" s="456"/>
      <c r="H1730" s="457"/>
      <c r="I1730" s="455" t="s">
        <v>3</v>
      </c>
      <c r="J1730" s="455"/>
      <c r="K1730" s="455" t="s">
        <v>4</v>
      </c>
      <c r="L1730" s="455"/>
    </row>
    <row r="1731" spans="1:12" ht="12" customHeight="1" x14ac:dyDescent="0.35">
      <c r="B1731" s="451" t="s">
        <v>409</v>
      </c>
      <c r="C1731" s="451" t="s">
        <v>410</v>
      </c>
      <c r="D1731" s="452" t="s">
        <v>411</v>
      </c>
      <c r="E1731" s="451" t="s">
        <v>412</v>
      </c>
      <c r="F1731" s="451" t="s">
        <v>413</v>
      </c>
      <c r="G1731" s="77" t="s">
        <v>414</v>
      </c>
      <c r="H1731" s="77" t="s">
        <v>415</v>
      </c>
      <c r="I1731" s="78" t="s">
        <v>414</v>
      </c>
      <c r="J1731" s="79" t="s">
        <v>415</v>
      </c>
      <c r="K1731" s="79" t="s">
        <v>414</v>
      </c>
      <c r="L1731" s="79" t="s">
        <v>415</v>
      </c>
    </row>
    <row r="1732" spans="1:12" ht="12" customHeight="1" x14ac:dyDescent="0.35">
      <c r="B1732" s="451"/>
      <c r="C1732" s="451"/>
      <c r="D1732" s="453"/>
      <c r="E1732" s="451"/>
      <c r="F1732" s="451"/>
      <c r="G1732" s="77" t="s">
        <v>17</v>
      </c>
      <c r="H1732" s="77" t="s">
        <v>416</v>
      </c>
      <c r="I1732" s="78" t="s">
        <v>17</v>
      </c>
      <c r="J1732" s="79" t="s">
        <v>416</v>
      </c>
      <c r="K1732" s="79" t="s">
        <v>17</v>
      </c>
      <c r="L1732" s="79" t="s">
        <v>416</v>
      </c>
    </row>
    <row r="1733" spans="1:12" ht="12" customHeight="1" x14ac:dyDescent="0.35">
      <c r="B1733" s="451"/>
      <c r="C1733" s="451"/>
      <c r="D1733" s="454"/>
      <c r="E1733" s="451"/>
      <c r="F1733" s="451"/>
      <c r="G1733" s="106"/>
      <c r="H1733" s="77" t="s">
        <v>17</v>
      </c>
      <c r="I1733" s="94"/>
      <c r="J1733" s="79" t="s">
        <v>17</v>
      </c>
      <c r="K1733" s="85"/>
      <c r="L1733" s="79" t="s">
        <v>17</v>
      </c>
    </row>
    <row r="1734" spans="1:12" ht="12" customHeight="1" x14ac:dyDescent="0.35">
      <c r="B1734" s="80" t="s">
        <v>5</v>
      </c>
      <c r="C1734" s="81" t="s">
        <v>417</v>
      </c>
      <c r="D1734" s="82"/>
      <c r="E1734" s="82"/>
      <c r="F1734" s="82"/>
      <c r="G1734" s="82"/>
      <c r="H1734" s="82"/>
      <c r="I1734" s="83"/>
      <c r="J1734" s="83"/>
      <c r="K1734" s="83"/>
      <c r="L1734" s="83"/>
    </row>
    <row r="1735" spans="1:12" ht="12" customHeight="1" x14ac:dyDescent="0.35">
      <c r="A1735" s="134">
        <v>10130000</v>
      </c>
      <c r="B1735" s="84"/>
      <c r="C1735" s="85" t="str">
        <f>VLOOKUP(A1735,'DAFTAR HARGA'!A:D,3,FALSE)</f>
        <v>OH</v>
      </c>
      <c r="D1735" s="84" t="s">
        <v>418</v>
      </c>
      <c r="E1735" s="84">
        <f>VLOOKUP(A1735,'DAFTAR HARGA'!A:D,4,FALSE)</f>
        <v>115000</v>
      </c>
      <c r="F1735" s="128">
        <v>1</v>
      </c>
      <c r="G1735" s="87" t="e">
        <f>VLOOKUP(A1735,'DAFTAR HARGA'!A:D,5,FALSE)</f>
        <v>#REF!</v>
      </c>
      <c r="H1735" s="87" t="e">
        <f>F1735*G1735</f>
        <v>#REF!</v>
      </c>
      <c r="I1735" s="87">
        <v>91500</v>
      </c>
      <c r="J1735" s="87">
        <f>F1735*I1735</f>
        <v>91500</v>
      </c>
      <c r="K1735" s="87">
        <v>91500</v>
      </c>
      <c r="L1735" s="87">
        <f>F1735*K1735</f>
        <v>91500</v>
      </c>
    </row>
    <row r="1736" spans="1:12" ht="12" customHeight="1" x14ac:dyDescent="0.35">
      <c r="A1736" s="134">
        <v>10143000</v>
      </c>
      <c r="B1736" s="84"/>
      <c r="C1736" s="85" t="str">
        <f>VLOOKUP(A1736,'DAFTAR HARGA'!A:D,3,FALSE)</f>
        <v>OH</v>
      </c>
      <c r="D1736" s="84" t="s">
        <v>418</v>
      </c>
      <c r="E1736" s="84">
        <f>VLOOKUP(A1736,'DAFTAR HARGA'!A:D,4,FALSE)</f>
        <v>236600</v>
      </c>
      <c r="F1736" s="128">
        <v>0.5</v>
      </c>
      <c r="G1736" s="87" t="e">
        <f>VLOOKUP(A1736,'DAFTAR HARGA'!A:D,5,FALSE)</f>
        <v>#REF!</v>
      </c>
      <c r="H1736" s="87" t="e">
        <f>F1736*G1736</f>
        <v>#REF!</v>
      </c>
      <c r="I1736" s="87"/>
      <c r="J1736" s="87"/>
      <c r="K1736" s="87"/>
      <c r="L1736" s="87"/>
    </row>
    <row r="1737" spans="1:12" ht="12" customHeight="1" x14ac:dyDescent="0.35">
      <c r="A1737" s="134">
        <v>10110000</v>
      </c>
      <c r="B1737" s="84"/>
      <c r="C1737" s="85" t="str">
        <f>VLOOKUP(A1737,'DAFTAR HARGA'!A:D,3,FALSE)</f>
        <v>OH</v>
      </c>
      <c r="D1737" s="84" t="s">
        <v>418</v>
      </c>
      <c r="E1737" s="84">
        <f>VLOOKUP(A1737,'DAFTAR HARGA'!A:D,4,FALSE)</f>
        <v>150000</v>
      </c>
      <c r="F1737" s="128">
        <v>0.1</v>
      </c>
      <c r="G1737" s="87" t="e">
        <f>VLOOKUP(A1737,'DAFTAR HARGA'!A:D,5,FALSE)</f>
        <v>#REF!</v>
      </c>
      <c r="H1737" s="87" t="e">
        <f>F1737*G1737</f>
        <v>#REF!</v>
      </c>
      <c r="I1737" s="87">
        <v>78600</v>
      </c>
      <c r="J1737" s="87">
        <f>F1737*I1737</f>
        <v>7860</v>
      </c>
      <c r="K1737" s="87">
        <v>78600</v>
      </c>
      <c r="L1737" s="87">
        <f>F1737*K1737</f>
        <v>7860</v>
      </c>
    </row>
    <row r="1738" spans="1:12" ht="12" customHeight="1" x14ac:dyDescent="0.35">
      <c r="B1738" s="84"/>
      <c r="C1738" s="85"/>
      <c r="D1738" s="84"/>
      <c r="E1738" s="84"/>
      <c r="F1738" s="86"/>
      <c r="G1738" s="87"/>
      <c r="H1738" s="87">
        <f>F1738*G1738</f>
        <v>0</v>
      </c>
      <c r="I1738" s="87">
        <v>92500</v>
      </c>
      <c r="J1738" s="87">
        <f>F1738*I1738</f>
        <v>0</v>
      </c>
      <c r="K1738" s="87">
        <v>92500</v>
      </c>
      <c r="L1738" s="87">
        <f>F1738*K1738</f>
        <v>0</v>
      </c>
    </row>
    <row r="1739" spans="1:12" ht="12" customHeight="1" x14ac:dyDescent="0.35">
      <c r="B1739" s="84"/>
      <c r="C1739" s="85"/>
      <c r="D1739" s="84"/>
      <c r="E1739" s="84"/>
      <c r="F1739" s="86"/>
      <c r="G1739" s="87"/>
      <c r="H1739" s="87"/>
      <c r="I1739" s="87"/>
      <c r="J1739" s="87"/>
      <c r="K1739" s="87"/>
      <c r="L1739" s="87"/>
    </row>
    <row r="1740" spans="1:12" ht="12" customHeight="1" x14ac:dyDescent="0.35">
      <c r="B1740" s="84"/>
      <c r="C1740" s="88"/>
      <c r="D1740" s="79"/>
      <c r="E1740" s="79"/>
      <c r="F1740" s="89" t="s">
        <v>421</v>
      </c>
      <c r="G1740" s="101"/>
      <c r="H1740" s="87" t="e">
        <f>SUM(H1735:H1739)</f>
        <v>#REF!</v>
      </c>
      <c r="I1740" s="101"/>
      <c r="J1740" s="87">
        <f>SUM(J1737:J1739)</f>
        <v>7860</v>
      </c>
      <c r="K1740" s="101"/>
      <c r="L1740" s="87">
        <f>SUM(L1737:L1739)</f>
        <v>7860</v>
      </c>
    </row>
    <row r="1741" spans="1:12" ht="12" customHeight="1" x14ac:dyDescent="0.35">
      <c r="B1741" s="84" t="s">
        <v>6</v>
      </c>
      <c r="C1741" s="88" t="s">
        <v>422</v>
      </c>
      <c r="D1741" s="79"/>
      <c r="E1741" s="79"/>
      <c r="F1741" s="90"/>
      <c r="G1741" s="84"/>
      <c r="H1741" s="87"/>
      <c r="I1741" s="84"/>
      <c r="J1741" s="87"/>
      <c r="K1741" s="84"/>
      <c r="L1741" s="87"/>
    </row>
    <row r="1742" spans="1:12" ht="12" customHeight="1" x14ac:dyDescent="0.35">
      <c r="A1742" s="134">
        <v>211100102</v>
      </c>
      <c r="B1742" s="84"/>
      <c r="C1742" s="85" t="str">
        <f>VLOOKUP(A1742,'DAFTAR HARGA'!A:D,3,FALSE)</f>
        <v>m³</v>
      </c>
      <c r="D1742" s="84" t="s">
        <v>418</v>
      </c>
      <c r="E1742" s="84">
        <f>VLOOKUP(A1742,'DAFTAR HARGA'!A:D,4,FALSE)</f>
        <v>236600</v>
      </c>
      <c r="F1742" s="128">
        <v>1.2</v>
      </c>
      <c r="G1742" s="87" t="e">
        <f>VLOOKUP(A1742,'DAFTAR HARGA'!A:D,5,FALSE)</f>
        <v>#REF!</v>
      </c>
      <c r="H1742" s="87" t="e">
        <f>F1742*G1742</f>
        <v>#REF!</v>
      </c>
      <c r="I1742" s="87">
        <v>232500</v>
      </c>
      <c r="J1742" s="87">
        <f>F1742*I1742</f>
        <v>279000</v>
      </c>
      <c r="K1742" s="87">
        <v>270000</v>
      </c>
      <c r="L1742" s="87">
        <f>F1742*K1742</f>
        <v>324000</v>
      </c>
    </row>
    <row r="1743" spans="1:12" ht="12" customHeight="1" x14ac:dyDescent="0.35">
      <c r="A1743" s="134">
        <v>211100113</v>
      </c>
      <c r="B1743" s="84"/>
      <c r="C1743" s="85" t="str">
        <f>VLOOKUP(A1743,'DAFTAR HARGA'!A:D,3,FALSE)</f>
        <v>m³</v>
      </c>
      <c r="D1743" s="84" t="s">
        <v>418</v>
      </c>
      <c r="E1743" s="84">
        <f>VLOOKUP(A1743,'DAFTAR HARGA'!A:D,4,FALSE)</f>
        <v>217500</v>
      </c>
      <c r="F1743" s="128">
        <v>0.52</v>
      </c>
      <c r="G1743" s="87" t="e">
        <f>VLOOKUP(A1743,'DAFTAR HARGA'!A:D,5,FALSE)</f>
        <v>#REF!</v>
      </c>
      <c r="H1743" s="87" t="e">
        <f>F1743*G1743</f>
        <v>#REF!</v>
      </c>
      <c r="I1743" s="87">
        <v>1060</v>
      </c>
      <c r="J1743" s="87">
        <f>F1743*I1743</f>
        <v>551.20000000000005</v>
      </c>
      <c r="K1743" s="87">
        <v>1060</v>
      </c>
      <c r="L1743" s="87">
        <f>F1743*K1743</f>
        <v>551.20000000000005</v>
      </c>
    </row>
    <row r="1744" spans="1:12" ht="12" customHeight="1" x14ac:dyDescent="0.35">
      <c r="A1744" s="134">
        <v>21301000</v>
      </c>
      <c r="B1744" s="84"/>
      <c r="C1744" s="85" t="str">
        <f>VLOOKUP(A1744,'DAFTAR HARGA'!A:D,3,FALSE)</f>
        <v>Kg</v>
      </c>
      <c r="D1744" s="84" t="s">
        <v>418</v>
      </c>
      <c r="E1744" s="84">
        <f>VLOOKUP(A1744,'DAFTAR HARGA'!A:D,4,FALSE)</f>
        <v>1350</v>
      </c>
      <c r="F1744" s="128">
        <v>163</v>
      </c>
      <c r="G1744" s="87" t="e">
        <f>VLOOKUP(A1744,'DAFTAR HARGA'!A:D,5,FALSE)</f>
        <v>#REF!</v>
      </c>
      <c r="H1744" s="87" t="e">
        <f>F1744*G1744</f>
        <v>#REF!</v>
      </c>
      <c r="I1744" s="87">
        <v>215000</v>
      </c>
      <c r="J1744" s="87">
        <f>F1744*I1744</f>
        <v>35045000</v>
      </c>
      <c r="K1744" s="87">
        <v>250000</v>
      </c>
      <c r="L1744" s="87">
        <f>F1744*K1744</f>
        <v>40750000</v>
      </c>
    </row>
    <row r="1745" spans="1:12" ht="12" customHeight="1" x14ac:dyDescent="0.35">
      <c r="B1745" s="84"/>
      <c r="C1745" s="85"/>
      <c r="D1745" s="84"/>
      <c r="E1745" s="84"/>
      <c r="F1745" s="128"/>
      <c r="G1745" s="87"/>
      <c r="H1745" s="87"/>
      <c r="I1745" s="87"/>
      <c r="J1745" s="87"/>
      <c r="K1745" s="87"/>
      <c r="L1745" s="87"/>
    </row>
    <row r="1746" spans="1:12" ht="12" customHeight="1" x14ac:dyDescent="0.35">
      <c r="B1746" s="84"/>
      <c r="C1746" s="88"/>
      <c r="D1746" s="79"/>
      <c r="E1746" s="79"/>
      <c r="F1746" s="129" t="s">
        <v>423</v>
      </c>
      <c r="G1746" s="129"/>
      <c r="H1746" s="87" t="e">
        <f>SUM(H1742:H1745)</f>
        <v>#REF!</v>
      </c>
      <c r="I1746" s="101"/>
      <c r="J1746" s="87" t="e">
        <f>SUM(#REF!)</f>
        <v>#REF!</v>
      </c>
      <c r="K1746" s="101"/>
      <c r="L1746" s="87" t="e">
        <f>SUM(#REF!)</f>
        <v>#REF!</v>
      </c>
    </row>
    <row r="1747" spans="1:12" ht="12" customHeight="1" x14ac:dyDescent="0.35">
      <c r="B1747" s="84" t="s">
        <v>7</v>
      </c>
      <c r="C1747" s="88" t="s">
        <v>424</v>
      </c>
      <c r="D1747" s="79"/>
      <c r="E1747" s="79"/>
      <c r="F1747" s="90"/>
      <c r="G1747" s="84"/>
      <c r="H1747" s="87"/>
      <c r="I1747" s="84"/>
      <c r="J1747" s="87"/>
      <c r="K1747" s="84"/>
      <c r="L1747" s="87"/>
    </row>
    <row r="1748" spans="1:12" ht="12" customHeight="1" x14ac:dyDescent="0.35">
      <c r="A1748" s="134">
        <v>31100004</v>
      </c>
      <c r="B1748" s="84"/>
      <c r="C1748" s="85" t="str">
        <f>VLOOKUP(A1748,'DAFTAR HARGA'!A:D,3,FALSE)</f>
        <v>hari</v>
      </c>
      <c r="D1748" s="84" t="s">
        <v>418</v>
      </c>
      <c r="E1748" s="84">
        <f>VLOOKUP(A1748,'DAFTAR HARGA'!A:D,4,FALSE)</f>
        <v>1151000</v>
      </c>
      <c r="F1748" s="128">
        <v>4.4299999999999999E-2</v>
      </c>
      <c r="G1748" s="87" t="e">
        <f>VLOOKUP(A1748,'DAFTAR HARGA'!A:D,5,FALSE)</f>
        <v>#REF!</v>
      </c>
      <c r="H1748" s="87" t="e">
        <f>F1748*G1748</f>
        <v>#REF!</v>
      </c>
      <c r="I1748" s="87"/>
      <c r="J1748" s="87" t="e">
        <f>H1748*I1748</f>
        <v>#REF!</v>
      </c>
      <c r="K1748" s="87"/>
      <c r="L1748" s="87" t="e">
        <f>J1748*K1748</f>
        <v>#REF!</v>
      </c>
    </row>
    <row r="1749" spans="1:12" ht="12" customHeight="1" x14ac:dyDescent="0.35">
      <c r="B1749" s="84"/>
      <c r="C1749" s="85"/>
      <c r="D1749" s="84"/>
      <c r="E1749" s="84"/>
      <c r="F1749" s="128"/>
      <c r="G1749" s="87"/>
      <c r="H1749" s="87">
        <f>F1749*G1749</f>
        <v>0</v>
      </c>
      <c r="I1749" s="87"/>
      <c r="J1749" s="87"/>
      <c r="K1749" s="87"/>
      <c r="L1749" s="87"/>
    </row>
    <row r="1750" spans="1:12" ht="12" customHeight="1" x14ac:dyDescent="0.35">
      <c r="B1750" s="84"/>
      <c r="C1750" s="88"/>
      <c r="D1750" s="79"/>
      <c r="E1750" s="79"/>
      <c r="F1750" s="89" t="s">
        <v>425</v>
      </c>
      <c r="G1750" s="101"/>
      <c r="H1750" s="87" t="e">
        <f>SUM(H1748:H1749)</f>
        <v>#REF!</v>
      </c>
      <c r="I1750" s="101"/>
      <c r="J1750" s="87" t="e">
        <f>SUM(J1748)</f>
        <v>#REF!</v>
      </c>
      <c r="K1750" s="101"/>
      <c r="L1750" s="87" t="e">
        <f>SUM(L1748)</f>
        <v>#REF!</v>
      </c>
    </row>
    <row r="1751" spans="1:12" ht="12" customHeight="1" x14ac:dyDescent="0.35">
      <c r="B1751" s="84" t="s">
        <v>8</v>
      </c>
      <c r="C1751" s="103" t="s">
        <v>426</v>
      </c>
      <c r="D1751" s="104"/>
      <c r="E1751" s="104"/>
      <c r="F1751" s="104"/>
      <c r="G1751" s="105"/>
      <c r="H1751" s="87" t="e">
        <f>H1740+H1746+H1750</f>
        <v>#REF!</v>
      </c>
      <c r="I1751" s="105"/>
      <c r="J1751" s="87" t="e">
        <f>J1740+J1746+J1750</f>
        <v>#REF!</v>
      </c>
      <c r="K1751" s="105"/>
      <c r="L1751" s="87" t="e">
        <f>L1740+L1746+L1750</f>
        <v>#REF!</v>
      </c>
    </row>
    <row r="1752" spans="1:12" ht="12" customHeight="1" x14ac:dyDescent="0.35">
      <c r="B1752" s="84" t="s">
        <v>9</v>
      </c>
      <c r="C1752" s="455" t="s">
        <v>427</v>
      </c>
      <c r="D1752" s="455"/>
      <c r="E1752" s="455"/>
      <c r="F1752" s="95" t="str">
        <f>OP</f>
        <v>TANJUNG PALAS TENGAH</v>
      </c>
      <c r="G1752" s="85" t="s">
        <v>428</v>
      </c>
      <c r="H1752" s="87" t="e">
        <f>H1751*F1752</f>
        <v>#REF!</v>
      </c>
      <c r="I1752" s="85" t="s">
        <v>428</v>
      </c>
      <c r="J1752" s="87" t="e">
        <f>J1751*F1752</f>
        <v>#REF!</v>
      </c>
      <c r="K1752" s="85" t="s">
        <v>428</v>
      </c>
      <c r="L1752" s="87" t="e">
        <f>L1751*F1752</f>
        <v>#REF!</v>
      </c>
    </row>
    <row r="1753" spans="1:12" ht="12" customHeight="1" x14ac:dyDescent="0.35">
      <c r="B1753" s="84" t="s">
        <v>10</v>
      </c>
      <c r="C1753" s="103" t="s">
        <v>429</v>
      </c>
      <c r="D1753" s="104"/>
      <c r="E1753" s="104"/>
      <c r="F1753" s="104"/>
      <c r="G1753" s="105"/>
      <c r="H1753" s="96" t="e">
        <f>H1751+H1752</f>
        <v>#REF!</v>
      </c>
      <c r="I1753" s="97"/>
      <c r="J1753" s="96" t="e">
        <f>J1751+J1752</f>
        <v>#REF!</v>
      </c>
      <c r="K1753" s="97"/>
      <c r="L1753" s="96" t="e">
        <f>L1751+L1752</f>
        <v>#REF!</v>
      </c>
    </row>
    <row r="1755" spans="1:12" ht="37" customHeight="1" x14ac:dyDescent="0.35">
      <c r="B1755" s="76" t="s">
        <v>638</v>
      </c>
      <c r="C1755" s="458" t="s">
        <v>639</v>
      </c>
      <c r="D1755" s="459"/>
      <c r="E1755" s="459"/>
      <c r="F1755" s="459"/>
      <c r="G1755" s="456"/>
      <c r="H1755" s="457"/>
      <c r="I1755" s="455" t="s">
        <v>3</v>
      </c>
      <c r="J1755" s="455"/>
      <c r="K1755" s="455" t="s">
        <v>4</v>
      </c>
      <c r="L1755" s="455"/>
    </row>
    <row r="1756" spans="1:12" ht="12" customHeight="1" x14ac:dyDescent="0.35">
      <c r="B1756" s="451" t="s">
        <v>409</v>
      </c>
      <c r="C1756" s="451" t="s">
        <v>410</v>
      </c>
      <c r="D1756" s="452" t="s">
        <v>411</v>
      </c>
      <c r="E1756" s="451" t="s">
        <v>412</v>
      </c>
      <c r="F1756" s="451" t="s">
        <v>413</v>
      </c>
      <c r="G1756" s="77" t="s">
        <v>414</v>
      </c>
      <c r="H1756" s="77" t="s">
        <v>415</v>
      </c>
      <c r="I1756" s="78" t="s">
        <v>414</v>
      </c>
      <c r="J1756" s="79" t="s">
        <v>415</v>
      </c>
      <c r="K1756" s="79" t="s">
        <v>414</v>
      </c>
      <c r="L1756" s="79" t="s">
        <v>415</v>
      </c>
    </row>
    <row r="1757" spans="1:12" ht="12" customHeight="1" x14ac:dyDescent="0.35">
      <c r="B1757" s="451"/>
      <c r="C1757" s="451"/>
      <c r="D1757" s="453"/>
      <c r="E1757" s="451"/>
      <c r="F1757" s="451"/>
      <c r="G1757" s="77" t="s">
        <v>17</v>
      </c>
      <c r="H1757" s="77" t="s">
        <v>416</v>
      </c>
      <c r="I1757" s="78" t="s">
        <v>17</v>
      </c>
      <c r="J1757" s="79" t="s">
        <v>416</v>
      </c>
      <c r="K1757" s="79" t="s">
        <v>17</v>
      </c>
      <c r="L1757" s="79" t="s">
        <v>416</v>
      </c>
    </row>
    <row r="1758" spans="1:12" ht="12" customHeight="1" x14ac:dyDescent="0.35">
      <c r="B1758" s="451"/>
      <c r="C1758" s="451"/>
      <c r="D1758" s="454"/>
      <c r="E1758" s="451"/>
      <c r="F1758" s="451"/>
      <c r="G1758" s="106"/>
      <c r="H1758" s="77" t="s">
        <v>17</v>
      </c>
      <c r="I1758" s="94"/>
      <c r="J1758" s="79" t="s">
        <v>17</v>
      </c>
      <c r="K1758" s="85"/>
      <c r="L1758" s="79" t="s">
        <v>17</v>
      </c>
    </row>
    <row r="1759" spans="1:12" ht="12" customHeight="1" x14ac:dyDescent="0.35">
      <c r="B1759" s="80" t="s">
        <v>5</v>
      </c>
      <c r="C1759" s="81" t="s">
        <v>417</v>
      </c>
      <c r="D1759" s="82"/>
      <c r="E1759" s="82"/>
      <c r="F1759" s="82"/>
      <c r="G1759" s="82"/>
      <c r="H1759" s="82"/>
      <c r="I1759" s="83"/>
      <c r="J1759" s="83"/>
      <c r="K1759" s="83"/>
      <c r="L1759" s="83"/>
    </row>
    <row r="1760" spans="1:12" ht="12" customHeight="1" x14ac:dyDescent="0.35">
      <c r="A1760" s="134">
        <v>10130000</v>
      </c>
      <c r="B1760" s="84"/>
      <c r="C1760" s="85" t="str">
        <f>VLOOKUP(A1760,'DAFTAR HARGA'!A:D,3,FALSE)</f>
        <v>OH</v>
      </c>
      <c r="D1760" s="84" t="s">
        <v>418</v>
      </c>
      <c r="E1760" s="84">
        <f>VLOOKUP(A1760,'DAFTAR HARGA'!A:D,4,FALSE)</f>
        <v>115000</v>
      </c>
      <c r="F1760" s="128">
        <v>0.2</v>
      </c>
      <c r="G1760" s="87" t="e">
        <f>VLOOKUP(A1760,'DAFTAR HARGA'!A:D,5,FALSE)</f>
        <v>#REF!</v>
      </c>
      <c r="H1760" s="87" t="e">
        <f>F1760*G1760</f>
        <v>#REF!</v>
      </c>
      <c r="I1760" s="87">
        <v>91500</v>
      </c>
      <c r="J1760" s="87">
        <f>F1760*I1760</f>
        <v>18300</v>
      </c>
      <c r="K1760" s="87">
        <v>91500</v>
      </c>
      <c r="L1760" s="87">
        <f>F1760*K1760</f>
        <v>18300</v>
      </c>
    </row>
    <row r="1761" spans="1:12" ht="12" customHeight="1" x14ac:dyDescent="0.35">
      <c r="A1761" s="134">
        <v>10143000</v>
      </c>
      <c r="B1761" s="84"/>
      <c r="C1761" s="85" t="str">
        <f>VLOOKUP(A1761,'DAFTAR HARGA'!A:D,3,FALSE)</f>
        <v>OH</v>
      </c>
      <c r="D1761" s="84" t="s">
        <v>418</v>
      </c>
      <c r="E1761" s="84">
        <f>VLOOKUP(A1761,'DAFTAR HARGA'!A:D,4,FALSE)</f>
        <v>236600</v>
      </c>
      <c r="F1761" s="128"/>
      <c r="G1761" s="87" t="e">
        <f>VLOOKUP(A1761,'DAFTAR HARGA'!A:D,5,FALSE)</f>
        <v>#REF!</v>
      </c>
      <c r="H1761" s="87" t="e">
        <f>F1761*G1761</f>
        <v>#REF!</v>
      </c>
      <c r="I1761" s="87"/>
      <c r="J1761" s="87"/>
      <c r="K1761" s="87"/>
      <c r="L1761" s="87"/>
    </row>
    <row r="1762" spans="1:12" ht="12" customHeight="1" x14ac:dyDescent="0.35">
      <c r="A1762" s="134">
        <v>10110000</v>
      </c>
      <c r="B1762" s="84"/>
      <c r="C1762" s="85" t="str">
        <f>VLOOKUP(A1762,'DAFTAR HARGA'!A:D,3,FALSE)</f>
        <v>OH</v>
      </c>
      <c r="D1762" s="84" t="s">
        <v>418</v>
      </c>
      <c r="E1762" s="84">
        <f>VLOOKUP(A1762,'DAFTAR HARGA'!A:D,4,FALSE)</f>
        <v>150000</v>
      </c>
      <c r="F1762" s="128">
        <f>F1760/10</f>
        <v>0.02</v>
      </c>
      <c r="G1762" s="87" t="e">
        <f>VLOOKUP(A1762,'DAFTAR HARGA'!A:D,5,FALSE)</f>
        <v>#REF!</v>
      </c>
      <c r="H1762" s="87" t="e">
        <f>F1762*G1762</f>
        <v>#REF!</v>
      </c>
      <c r="I1762" s="87">
        <v>78600</v>
      </c>
      <c r="J1762" s="87">
        <f>F1762*I1762</f>
        <v>1572</v>
      </c>
      <c r="K1762" s="87">
        <v>78600</v>
      </c>
      <c r="L1762" s="87">
        <f>F1762*K1762</f>
        <v>1572</v>
      </c>
    </row>
    <row r="1763" spans="1:12" ht="12" customHeight="1" x14ac:dyDescent="0.35">
      <c r="B1763" s="84"/>
      <c r="C1763" s="85"/>
      <c r="D1763" s="84"/>
      <c r="E1763" s="84"/>
      <c r="F1763" s="86"/>
      <c r="G1763" s="87"/>
      <c r="H1763" s="87">
        <f>F1763*G1763</f>
        <v>0</v>
      </c>
      <c r="I1763" s="87">
        <v>92500</v>
      </c>
      <c r="J1763" s="87">
        <f>F1763*I1763</f>
        <v>0</v>
      </c>
      <c r="K1763" s="87">
        <v>92500</v>
      </c>
      <c r="L1763" s="87">
        <f>F1763*K1763</f>
        <v>0</v>
      </c>
    </row>
    <row r="1764" spans="1:12" ht="12" customHeight="1" x14ac:dyDescent="0.35">
      <c r="B1764" s="84"/>
      <c r="C1764" s="85"/>
      <c r="D1764" s="84"/>
      <c r="E1764" s="84"/>
      <c r="F1764" s="86"/>
      <c r="G1764" s="87"/>
      <c r="H1764" s="87"/>
      <c r="I1764" s="87"/>
      <c r="J1764" s="87"/>
      <c r="K1764" s="87"/>
      <c r="L1764" s="87"/>
    </row>
    <row r="1765" spans="1:12" ht="12" customHeight="1" x14ac:dyDescent="0.35">
      <c r="B1765" s="84"/>
      <c r="C1765" s="88"/>
      <c r="D1765" s="79"/>
      <c r="E1765" s="79"/>
      <c r="F1765" s="89" t="s">
        <v>421</v>
      </c>
      <c r="G1765" s="101"/>
      <c r="H1765" s="87" t="e">
        <f>SUM(H1760:H1764)</f>
        <v>#REF!</v>
      </c>
      <c r="I1765" s="101"/>
      <c r="J1765" s="87">
        <f>SUM(J1762:J1764)</f>
        <v>1572</v>
      </c>
      <c r="K1765" s="101"/>
      <c r="L1765" s="87">
        <f>SUM(L1762:L1764)</f>
        <v>1572</v>
      </c>
    </row>
    <row r="1766" spans="1:12" ht="12" customHeight="1" x14ac:dyDescent="0.35">
      <c r="B1766" s="84" t="s">
        <v>6</v>
      </c>
      <c r="C1766" s="88" t="s">
        <v>422</v>
      </c>
      <c r="D1766" s="79"/>
      <c r="E1766" s="79"/>
      <c r="F1766" s="90"/>
      <c r="G1766" s="84"/>
      <c r="H1766" s="87"/>
      <c r="I1766" s="84"/>
      <c r="J1766" s="87"/>
      <c r="K1766" s="84"/>
      <c r="L1766" s="87"/>
    </row>
    <row r="1767" spans="1:12" ht="12" customHeight="1" x14ac:dyDescent="0.35">
      <c r="B1767" s="84"/>
      <c r="C1767" s="85"/>
      <c r="D1767" s="84"/>
      <c r="E1767" s="84"/>
      <c r="F1767" s="128"/>
      <c r="G1767" s="87"/>
      <c r="H1767" s="87">
        <f>F1767*G1767</f>
        <v>0</v>
      </c>
      <c r="I1767" s="87">
        <v>232500</v>
      </c>
      <c r="J1767" s="87">
        <f>F1767*I1767</f>
        <v>0</v>
      </c>
      <c r="K1767" s="87">
        <v>270000</v>
      </c>
      <c r="L1767" s="87">
        <f>F1767*K1767</f>
        <v>0</v>
      </c>
    </row>
    <row r="1768" spans="1:12" ht="12" customHeight="1" x14ac:dyDescent="0.35">
      <c r="B1768" s="84"/>
      <c r="C1768" s="85"/>
      <c r="D1768" s="84"/>
      <c r="E1768" s="84"/>
      <c r="F1768" s="128"/>
      <c r="G1768" s="87"/>
      <c r="H1768" s="87">
        <f>F1768*G1768</f>
        <v>0</v>
      </c>
      <c r="I1768" s="87">
        <v>1060</v>
      </c>
      <c r="J1768" s="87">
        <f>F1768*I1768</f>
        <v>0</v>
      </c>
      <c r="K1768" s="87">
        <v>1060</v>
      </c>
      <c r="L1768" s="87">
        <f>F1768*K1768</f>
        <v>0</v>
      </c>
    </row>
    <row r="1769" spans="1:12" ht="12" customHeight="1" x14ac:dyDescent="0.35">
      <c r="B1769" s="84"/>
      <c r="C1769" s="85"/>
      <c r="D1769" s="84"/>
      <c r="E1769" s="84"/>
      <c r="F1769" s="128"/>
      <c r="G1769" s="87"/>
      <c r="H1769" s="87">
        <f>F1769*G1769</f>
        <v>0</v>
      </c>
      <c r="I1769" s="87">
        <v>215000</v>
      </c>
      <c r="J1769" s="87">
        <f>F1769*I1769</f>
        <v>0</v>
      </c>
      <c r="K1769" s="87">
        <v>250000</v>
      </c>
      <c r="L1769" s="87">
        <f>F1769*K1769</f>
        <v>0</v>
      </c>
    </row>
    <row r="1770" spans="1:12" ht="12" customHeight="1" x14ac:dyDescent="0.35">
      <c r="B1770" s="84"/>
      <c r="C1770" s="85"/>
      <c r="D1770" s="84"/>
      <c r="E1770" s="84"/>
      <c r="F1770" s="128"/>
      <c r="G1770" s="87"/>
      <c r="H1770" s="87"/>
      <c r="I1770" s="87"/>
      <c r="J1770" s="87"/>
      <c r="K1770" s="87"/>
      <c r="L1770" s="87"/>
    </row>
    <row r="1771" spans="1:12" ht="12" customHeight="1" x14ac:dyDescent="0.35">
      <c r="B1771" s="84"/>
      <c r="C1771" s="88"/>
      <c r="D1771" s="79"/>
      <c r="E1771" s="79"/>
      <c r="F1771" s="129" t="s">
        <v>423</v>
      </c>
      <c r="G1771" s="129"/>
      <c r="H1771" s="87">
        <f>SUM(H1767:H1770)</f>
        <v>0</v>
      </c>
      <c r="I1771" s="101"/>
      <c r="J1771" s="87" t="e">
        <f>SUM(#REF!)</f>
        <v>#REF!</v>
      </c>
      <c r="K1771" s="101"/>
      <c r="L1771" s="87" t="e">
        <f>SUM(#REF!)</f>
        <v>#REF!</v>
      </c>
    </row>
    <row r="1772" spans="1:12" ht="12" customHeight="1" x14ac:dyDescent="0.35">
      <c r="B1772" s="84" t="s">
        <v>7</v>
      </c>
      <c r="C1772" s="88" t="s">
        <v>424</v>
      </c>
      <c r="D1772" s="79"/>
      <c r="E1772" s="79"/>
      <c r="F1772" s="90"/>
      <c r="G1772" s="84"/>
      <c r="H1772" s="87"/>
      <c r="I1772" s="84"/>
      <c r="J1772" s="87"/>
      <c r="K1772" s="84"/>
      <c r="L1772" s="87"/>
    </row>
    <row r="1773" spans="1:12" ht="12" customHeight="1" x14ac:dyDescent="0.35">
      <c r="A1773" s="134">
        <v>31210000</v>
      </c>
      <c r="B1773" s="84"/>
      <c r="C1773" s="85" t="str">
        <f>VLOOKUP(A1773,'DAFTAR HARGA'!A:D,3,FALSE)</f>
        <v>hari</v>
      </c>
      <c r="D1773" s="84" t="s">
        <v>418</v>
      </c>
      <c r="E1773" s="84">
        <f>VLOOKUP(A1773,'DAFTAR HARGA'!A:D,4,FALSE)</f>
        <v>250000</v>
      </c>
      <c r="F1773" s="128">
        <v>0.04</v>
      </c>
      <c r="G1773" s="87" t="e">
        <f>VLOOKUP(A1773,'DAFTAR HARGA'!A:D,5,FALSE)</f>
        <v>#REF!</v>
      </c>
      <c r="H1773" s="87" t="e">
        <f>F1773*G1773</f>
        <v>#REF!</v>
      </c>
      <c r="I1773" s="87"/>
      <c r="J1773" s="87" t="e">
        <f>H1773*I1773</f>
        <v>#REF!</v>
      </c>
      <c r="K1773" s="87"/>
      <c r="L1773" s="87" t="e">
        <f>J1773*K1773</f>
        <v>#REF!</v>
      </c>
    </row>
    <row r="1774" spans="1:12" ht="12" customHeight="1" x14ac:dyDescent="0.35">
      <c r="B1774" s="84"/>
      <c r="C1774" s="85"/>
      <c r="D1774" s="84"/>
      <c r="E1774" s="84"/>
      <c r="F1774" s="128"/>
      <c r="G1774" s="87"/>
      <c r="H1774" s="87"/>
      <c r="I1774" s="87"/>
      <c r="J1774" s="87"/>
      <c r="K1774" s="87"/>
      <c r="L1774" s="87"/>
    </row>
    <row r="1775" spans="1:12" ht="12" customHeight="1" x14ac:dyDescent="0.35">
      <c r="B1775" s="84"/>
      <c r="C1775" s="85"/>
      <c r="D1775" s="84"/>
      <c r="E1775" s="84"/>
      <c r="F1775" s="128"/>
      <c r="G1775" s="87"/>
      <c r="H1775" s="87">
        <f>F1775*G1775</f>
        <v>0</v>
      </c>
      <c r="I1775" s="87"/>
      <c r="J1775" s="87"/>
      <c r="K1775" s="87"/>
      <c r="L1775" s="87"/>
    </row>
    <row r="1776" spans="1:12" ht="12" customHeight="1" x14ac:dyDescent="0.35">
      <c r="B1776" s="84"/>
      <c r="C1776" s="88"/>
      <c r="D1776" s="79"/>
      <c r="E1776" s="79"/>
      <c r="F1776" s="89" t="s">
        <v>425</v>
      </c>
      <c r="G1776" s="101"/>
      <c r="H1776" s="87" t="e">
        <f>SUM(H1773:H1775)</f>
        <v>#REF!</v>
      </c>
      <c r="I1776" s="101"/>
      <c r="J1776" s="87" t="e">
        <f>SUM(J1773)</f>
        <v>#REF!</v>
      </c>
      <c r="K1776" s="101"/>
      <c r="L1776" s="87" t="e">
        <f>SUM(L1773)</f>
        <v>#REF!</v>
      </c>
    </row>
    <row r="1777" spans="1:12" ht="12" customHeight="1" x14ac:dyDescent="0.35">
      <c r="B1777" s="84" t="s">
        <v>8</v>
      </c>
      <c r="C1777" s="103" t="s">
        <v>426</v>
      </c>
      <c r="D1777" s="104"/>
      <c r="E1777" s="104"/>
      <c r="F1777" s="104"/>
      <c r="G1777" s="105"/>
      <c r="H1777" s="87" t="e">
        <f>H1765+H1771+H1776</f>
        <v>#REF!</v>
      </c>
      <c r="I1777" s="105"/>
      <c r="J1777" s="87" t="e">
        <f>J1765+J1771+J1776</f>
        <v>#REF!</v>
      </c>
      <c r="K1777" s="105"/>
      <c r="L1777" s="87" t="e">
        <f>L1765+L1771+L1776</f>
        <v>#REF!</v>
      </c>
    </row>
    <row r="1778" spans="1:12" ht="12" customHeight="1" x14ac:dyDescent="0.35">
      <c r="B1778" s="84" t="s">
        <v>9</v>
      </c>
      <c r="C1778" s="455" t="s">
        <v>427</v>
      </c>
      <c r="D1778" s="455"/>
      <c r="E1778" s="455"/>
      <c r="F1778" s="95" t="str">
        <f>OP</f>
        <v>TANJUNG PALAS TENGAH</v>
      </c>
      <c r="G1778" s="85" t="s">
        <v>428</v>
      </c>
      <c r="H1778" s="87" t="e">
        <f>H1777*F1778</f>
        <v>#REF!</v>
      </c>
      <c r="I1778" s="85" t="s">
        <v>428</v>
      </c>
      <c r="J1778" s="87" t="e">
        <f>J1777*F1778</f>
        <v>#REF!</v>
      </c>
      <c r="K1778" s="85" t="s">
        <v>428</v>
      </c>
      <c r="L1778" s="87" t="e">
        <f>L1777*F1778</f>
        <v>#REF!</v>
      </c>
    </row>
    <row r="1779" spans="1:12" ht="12" customHeight="1" x14ac:dyDescent="0.35">
      <c r="B1779" s="84" t="s">
        <v>10</v>
      </c>
      <c r="C1779" s="103" t="s">
        <v>429</v>
      </c>
      <c r="D1779" s="104"/>
      <c r="E1779" s="104"/>
      <c r="F1779" s="104"/>
      <c r="G1779" s="105"/>
      <c r="H1779" s="96" t="e">
        <f>H1777+H1778</f>
        <v>#REF!</v>
      </c>
      <c r="I1779" s="97"/>
      <c r="J1779" s="96" t="e">
        <f>J1777+J1778</f>
        <v>#REF!</v>
      </c>
      <c r="K1779" s="97"/>
      <c r="L1779" s="96" t="e">
        <f>L1777+L1778</f>
        <v>#REF!</v>
      </c>
    </row>
    <row r="1781" spans="1:12" ht="37" customHeight="1" x14ac:dyDescent="0.35">
      <c r="B1781" s="76" t="s">
        <v>640</v>
      </c>
      <c r="C1781" s="458" t="s">
        <v>648</v>
      </c>
      <c r="D1781" s="459"/>
      <c r="E1781" s="459"/>
      <c r="F1781" s="459"/>
      <c r="G1781" s="456"/>
      <c r="H1781" s="457"/>
      <c r="I1781" s="455" t="s">
        <v>3</v>
      </c>
      <c r="J1781" s="455"/>
      <c r="K1781" s="455" t="s">
        <v>4</v>
      </c>
      <c r="L1781" s="455"/>
    </row>
    <row r="1782" spans="1:12" ht="12" customHeight="1" x14ac:dyDescent="0.35">
      <c r="B1782" s="451" t="s">
        <v>409</v>
      </c>
      <c r="C1782" s="451" t="s">
        <v>410</v>
      </c>
      <c r="D1782" s="452" t="s">
        <v>411</v>
      </c>
      <c r="E1782" s="451" t="s">
        <v>412</v>
      </c>
      <c r="F1782" s="451" t="s">
        <v>413</v>
      </c>
      <c r="G1782" s="77" t="s">
        <v>414</v>
      </c>
      <c r="H1782" s="77" t="s">
        <v>415</v>
      </c>
      <c r="I1782" s="78" t="s">
        <v>414</v>
      </c>
      <c r="J1782" s="79" t="s">
        <v>415</v>
      </c>
      <c r="K1782" s="79" t="s">
        <v>414</v>
      </c>
      <c r="L1782" s="79" t="s">
        <v>415</v>
      </c>
    </row>
    <row r="1783" spans="1:12" ht="12" customHeight="1" x14ac:dyDescent="0.35">
      <c r="B1783" s="451"/>
      <c r="C1783" s="451"/>
      <c r="D1783" s="453"/>
      <c r="E1783" s="451"/>
      <c r="F1783" s="451"/>
      <c r="G1783" s="77" t="s">
        <v>17</v>
      </c>
      <c r="H1783" s="77" t="s">
        <v>416</v>
      </c>
      <c r="I1783" s="78" t="s">
        <v>17</v>
      </c>
      <c r="J1783" s="79" t="s">
        <v>416</v>
      </c>
      <c r="K1783" s="79" t="s">
        <v>17</v>
      </c>
      <c r="L1783" s="79" t="s">
        <v>416</v>
      </c>
    </row>
    <row r="1784" spans="1:12" ht="12" customHeight="1" x14ac:dyDescent="0.35">
      <c r="B1784" s="451"/>
      <c r="C1784" s="451"/>
      <c r="D1784" s="454"/>
      <c r="E1784" s="451"/>
      <c r="F1784" s="451"/>
      <c r="G1784" s="106"/>
      <c r="H1784" s="77" t="s">
        <v>17</v>
      </c>
      <c r="I1784" s="94"/>
      <c r="J1784" s="79" t="s">
        <v>17</v>
      </c>
      <c r="K1784" s="85"/>
      <c r="L1784" s="79" t="s">
        <v>17</v>
      </c>
    </row>
    <row r="1785" spans="1:12" ht="12" customHeight="1" x14ac:dyDescent="0.35">
      <c r="B1785" s="80" t="s">
        <v>5</v>
      </c>
      <c r="C1785" s="81" t="s">
        <v>417</v>
      </c>
      <c r="D1785" s="82"/>
      <c r="E1785" s="82"/>
      <c r="F1785" s="82"/>
      <c r="G1785" s="82"/>
      <c r="H1785" s="82"/>
      <c r="I1785" s="83"/>
      <c r="J1785" s="83"/>
      <c r="K1785" s="83"/>
      <c r="L1785" s="83"/>
    </row>
    <row r="1786" spans="1:12" ht="12" customHeight="1" x14ac:dyDescent="0.35">
      <c r="A1786" s="134">
        <v>10130000</v>
      </c>
      <c r="B1786" s="84"/>
      <c r="C1786" s="85" t="str">
        <f>VLOOKUP(A1786,'DAFTAR HARGA'!A:D,3,FALSE)</f>
        <v>OH</v>
      </c>
      <c r="D1786" s="84" t="s">
        <v>418</v>
      </c>
      <c r="E1786" s="84">
        <f>VLOOKUP(A1786,'DAFTAR HARGA'!A:D,4,FALSE)</f>
        <v>115000</v>
      </c>
      <c r="F1786" s="128">
        <v>1.35</v>
      </c>
      <c r="G1786" s="87" t="e">
        <f>VLOOKUP(A1786,'DAFTAR HARGA'!A:D,5,FALSE)</f>
        <v>#REF!</v>
      </c>
      <c r="H1786" s="87" t="e">
        <f>F1786*G1786</f>
        <v>#REF!</v>
      </c>
      <c r="I1786" s="87">
        <v>91500</v>
      </c>
      <c r="J1786" s="87">
        <f>F1786*I1786</f>
        <v>123525.00000000001</v>
      </c>
      <c r="K1786" s="87">
        <v>91500</v>
      </c>
      <c r="L1786" s="87">
        <f>F1786*K1786</f>
        <v>123525.00000000001</v>
      </c>
    </row>
    <row r="1787" spans="1:12" ht="12" customHeight="1" x14ac:dyDescent="0.35">
      <c r="A1787" s="134">
        <v>10143000</v>
      </c>
      <c r="B1787" s="84"/>
      <c r="C1787" s="85" t="str">
        <f>VLOOKUP(A1787,'DAFTAR HARGA'!A:D,3,FALSE)</f>
        <v>OH</v>
      </c>
      <c r="D1787" s="84" t="s">
        <v>418</v>
      </c>
      <c r="E1787" s="84">
        <f>VLOOKUP(A1787,'DAFTAR HARGA'!A:D,4,FALSE)</f>
        <v>236600</v>
      </c>
      <c r="F1787" s="128">
        <v>0.67500000000000004</v>
      </c>
      <c r="G1787" s="87" t="e">
        <f>VLOOKUP(A1787,'DAFTAR HARGA'!A:D,5,FALSE)</f>
        <v>#REF!</v>
      </c>
      <c r="H1787" s="87" t="e">
        <f>F1787*G1787</f>
        <v>#REF!</v>
      </c>
      <c r="I1787" s="87"/>
      <c r="J1787" s="87"/>
      <c r="K1787" s="87"/>
      <c r="L1787" s="87"/>
    </row>
    <row r="1788" spans="1:12" ht="12" customHeight="1" x14ac:dyDescent="0.35">
      <c r="A1788" s="134">
        <v>10110000</v>
      </c>
      <c r="B1788" s="84"/>
      <c r="C1788" s="85" t="str">
        <f>VLOOKUP(A1788,'DAFTAR HARGA'!A:D,3,FALSE)</f>
        <v>OH</v>
      </c>
      <c r="D1788" s="84" t="s">
        <v>418</v>
      </c>
      <c r="E1788" s="84">
        <f>VLOOKUP(A1788,'DAFTAR HARGA'!A:D,4,FALSE)</f>
        <v>150000</v>
      </c>
      <c r="F1788" s="128">
        <f>F1786/10</f>
        <v>0.13500000000000001</v>
      </c>
      <c r="G1788" s="87" t="e">
        <f>VLOOKUP(A1788,'DAFTAR HARGA'!A:D,5,FALSE)</f>
        <v>#REF!</v>
      </c>
      <c r="H1788" s="87" t="e">
        <f>F1788*G1788</f>
        <v>#REF!</v>
      </c>
      <c r="I1788" s="87">
        <v>78600</v>
      </c>
      <c r="J1788" s="87">
        <f>F1788*I1788</f>
        <v>10611</v>
      </c>
      <c r="K1788" s="87">
        <v>78600</v>
      </c>
      <c r="L1788" s="87">
        <f>F1788*K1788</f>
        <v>10611</v>
      </c>
    </row>
    <row r="1789" spans="1:12" ht="12" customHeight="1" x14ac:dyDescent="0.35">
      <c r="B1789" s="84"/>
      <c r="C1789" s="85"/>
      <c r="D1789" s="84"/>
      <c r="E1789" s="84"/>
      <c r="F1789" s="86"/>
      <c r="G1789" s="87"/>
      <c r="H1789" s="87">
        <f>F1789*G1789</f>
        <v>0</v>
      </c>
      <c r="I1789" s="87">
        <v>92500</v>
      </c>
      <c r="J1789" s="87">
        <f>F1789*I1789</f>
        <v>0</v>
      </c>
      <c r="K1789" s="87">
        <v>92500</v>
      </c>
      <c r="L1789" s="87">
        <f>F1789*K1789</f>
        <v>0</v>
      </c>
    </row>
    <row r="1790" spans="1:12" ht="12" customHeight="1" x14ac:dyDescent="0.35">
      <c r="B1790" s="84"/>
      <c r="C1790" s="85"/>
      <c r="D1790" s="84"/>
      <c r="E1790" s="84"/>
      <c r="F1790" s="86"/>
      <c r="G1790" s="87"/>
      <c r="H1790" s="87"/>
      <c r="I1790" s="87"/>
      <c r="J1790" s="87"/>
      <c r="K1790" s="87"/>
      <c r="L1790" s="87"/>
    </row>
    <row r="1791" spans="1:12" ht="12" customHeight="1" x14ac:dyDescent="0.35">
      <c r="B1791" s="84"/>
      <c r="C1791" s="88"/>
      <c r="D1791" s="79"/>
      <c r="E1791" s="79"/>
      <c r="F1791" s="89" t="s">
        <v>421</v>
      </c>
      <c r="G1791" s="101"/>
      <c r="H1791" s="87" t="e">
        <f>SUM(H1786:H1790)</f>
        <v>#REF!</v>
      </c>
      <c r="I1791" s="101"/>
      <c r="J1791" s="87">
        <f>SUM(J1788:J1790)</f>
        <v>10611</v>
      </c>
      <c r="K1791" s="101"/>
      <c r="L1791" s="87">
        <f>SUM(L1788:L1790)</f>
        <v>10611</v>
      </c>
    </row>
    <row r="1792" spans="1:12" ht="12" customHeight="1" x14ac:dyDescent="0.35">
      <c r="B1792" s="84" t="s">
        <v>6</v>
      </c>
      <c r="C1792" s="88" t="s">
        <v>422</v>
      </c>
      <c r="D1792" s="79"/>
      <c r="E1792" s="79"/>
      <c r="F1792" s="90"/>
      <c r="G1792" s="84"/>
      <c r="H1792" s="87"/>
      <c r="I1792" s="84"/>
      <c r="J1792" s="87"/>
      <c r="K1792" s="84"/>
      <c r="L1792" s="87"/>
    </row>
    <row r="1793" spans="1:12" ht="12" customHeight="1" x14ac:dyDescent="0.35">
      <c r="A1793" s="134">
        <v>211100111</v>
      </c>
      <c r="B1793" s="84"/>
      <c r="C1793" s="85" t="str">
        <f>VLOOKUP(A1793,'DAFTAR HARGA'!A:D,3,FALSE)</f>
        <v>bh</v>
      </c>
      <c r="D1793" s="84" t="s">
        <v>418</v>
      </c>
      <c r="E1793" s="84">
        <f>VLOOKUP(A1793,'DAFTAR HARGA'!A:D,4,FALSE)</f>
        <v>680</v>
      </c>
      <c r="F1793" s="128">
        <v>512</v>
      </c>
      <c r="G1793" s="87" t="e">
        <f>VLOOKUP(A1793,'DAFTAR HARGA'!A:D,5,FALSE)</f>
        <v>#REF!</v>
      </c>
      <c r="H1793" s="87" t="e">
        <f>F1793*G1793</f>
        <v>#REF!</v>
      </c>
      <c r="I1793" s="87">
        <v>232500</v>
      </c>
      <c r="J1793" s="87">
        <f>F1793*I1793</f>
        <v>119040000</v>
      </c>
      <c r="K1793" s="87">
        <v>270000</v>
      </c>
      <c r="L1793" s="87">
        <f>F1793*K1793</f>
        <v>138240000</v>
      </c>
    </row>
    <row r="1794" spans="1:12" ht="12" customHeight="1" x14ac:dyDescent="0.35">
      <c r="A1794" s="134">
        <v>211100113</v>
      </c>
      <c r="B1794" s="84"/>
      <c r="C1794" s="85" t="str">
        <f>VLOOKUP(A1794,'DAFTAR HARGA'!A:D,3,FALSE)</f>
        <v>m³</v>
      </c>
      <c r="D1794" s="84" t="s">
        <v>418</v>
      </c>
      <c r="E1794" s="84">
        <f>VLOOKUP(A1794,'DAFTAR HARGA'!A:D,4,FALSE)</f>
        <v>217500</v>
      </c>
      <c r="F1794" s="128">
        <v>0.26290000000000002</v>
      </c>
      <c r="G1794" s="87" t="e">
        <f>VLOOKUP(A1794,'DAFTAR HARGA'!A:D,5,FALSE)</f>
        <v>#REF!</v>
      </c>
      <c r="H1794" s="87" t="e">
        <f>F1794*G1794</f>
        <v>#REF!</v>
      </c>
      <c r="I1794" s="87">
        <v>1060</v>
      </c>
      <c r="J1794" s="87">
        <f>F1794*I1794</f>
        <v>278.67400000000004</v>
      </c>
      <c r="K1794" s="87">
        <v>1060</v>
      </c>
      <c r="L1794" s="87">
        <f>F1794*K1794</f>
        <v>278.67400000000004</v>
      </c>
    </row>
    <row r="1795" spans="1:12" ht="12" customHeight="1" x14ac:dyDescent="0.35">
      <c r="A1795" s="134">
        <v>21301000</v>
      </c>
      <c r="B1795" s="84"/>
      <c r="C1795" s="85" t="str">
        <f>VLOOKUP(A1795,'DAFTAR HARGA'!A:D,3,FALSE)</f>
        <v>Kg</v>
      </c>
      <c r="D1795" s="84" t="s">
        <v>418</v>
      </c>
      <c r="E1795" s="84">
        <f>VLOOKUP(A1795,'DAFTAR HARGA'!A:D,4,FALSE)</f>
        <v>1350</v>
      </c>
      <c r="F1795" s="128">
        <v>168</v>
      </c>
      <c r="G1795" s="87" t="e">
        <f>VLOOKUP(A1795,'DAFTAR HARGA'!A:D,5,FALSE)</f>
        <v>#REF!</v>
      </c>
      <c r="H1795" s="87" t="e">
        <f>F1795*G1795</f>
        <v>#REF!</v>
      </c>
      <c r="I1795" s="87">
        <v>215000</v>
      </c>
      <c r="J1795" s="87">
        <f>F1795*I1795</f>
        <v>36120000</v>
      </c>
      <c r="K1795" s="87">
        <v>250000</v>
      </c>
      <c r="L1795" s="87">
        <f>F1795*K1795</f>
        <v>42000000</v>
      </c>
    </row>
    <row r="1796" spans="1:12" ht="12" customHeight="1" x14ac:dyDescent="0.35">
      <c r="B1796" s="84"/>
      <c r="C1796" s="85"/>
      <c r="D1796" s="84"/>
      <c r="E1796" s="84"/>
      <c r="F1796" s="128"/>
      <c r="G1796" s="87"/>
      <c r="H1796" s="87"/>
      <c r="I1796" s="87"/>
      <c r="J1796" s="87"/>
      <c r="K1796" s="87"/>
      <c r="L1796" s="87"/>
    </row>
    <row r="1797" spans="1:12" ht="12" customHeight="1" x14ac:dyDescent="0.35">
      <c r="B1797" s="84"/>
      <c r="C1797" s="88"/>
      <c r="D1797" s="79"/>
      <c r="E1797" s="79"/>
      <c r="F1797" s="129" t="s">
        <v>423</v>
      </c>
      <c r="G1797" s="129"/>
      <c r="H1797" s="87" t="e">
        <f>SUM(H1793:H1796)</f>
        <v>#REF!</v>
      </c>
      <c r="I1797" s="101"/>
      <c r="J1797" s="87" t="e">
        <f>SUM(#REF!)</f>
        <v>#REF!</v>
      </c>
      <c r="K1797" s="101"/>
      <c r="L1797" s="87" t="e">
        <f>SUM(#REF!)</f>
        <v>#REF!</v>
      </c>
    </row>
    <row r="1798" spans="1:12" ht="12" customHeight="1" x14ac:dyDescent="0.35">
      <c r="B1798" s="84" t="s">
        <v>7</v>
      </c>
      <c r="C1798" s="88" t="s">
        <v>424</v>
      </c>
      <c r="D1798" s="79"/>
      <c r="E1798" s="79"/>
      <c r="F1798" s="90"/>
      <c r="G1798" s="84"/>
      <c r="H1798" s="87"/>
      <c r="I1798" s="84"/>
      <c r="J1798" s="87"/>
      <c r="K1798" s="84"/>
      <c r="L1798" s="87"/>
    </row>
    <row r="1799" spans="1:12" ht="12" customHeight="1" x14ac:dyDescent="0.35">
      <c r="A1799" s="134">
        <v>31100004</v>
      </c>
      <c r="B1799" s="84"/>
      <c r="C1799" s="85" t="str">
        <f>VLOOKUP(A1799,'DAFTAR HARGA'!A:D,3,FALSE)</f>
        <v>hari</v>
      </c>
      <c r="D1799" s="84" t="s">
        <v>418</v>
      </c>
      <c r="E1799" s="84">
        <f>VLOOKUP(A1799,'DAFTAR HARGA'!A:D,4,FALSE)</f>
        <v>1151000</v>
      </c>
      <c r="F1799" s="128"/>
      <c r="G1799" s="87" t="e">
        <f>VLOOKUP(A1799,'DAFTAR HARGA'!A:D,5,FALSE)</f>
        <v>#REF!</v>
      </c>
      <c r="H1799" s="87" t="e">
        <f>F1799*G1799</f>
        <v>#REF!</v>
      </c>
      <c r="I1799" s="87"/>
      <c r="J1799" s="87" t="e">
        <f>H1799*I1799</f>
        <v>#REF!</v>
      </c>
      <c r="K1799" s="87"/>
      <c r="L1799" s="87" t="e">
        <f>J1799*K1799</f>
        <v>#REF!</v>
      </c>
    </row>
    <row r="1800" spans="1:12" ht="12" customHeight="1" x14ac:dyDescent="0.35">
      <c r="B1800" s="84"/>
      <c r="C1800" s="85"/>
      <c r="D1800" s="84"/>
      <c r="E1800" s="84"/>
      <c r="F1800" s="128"/>
      <c r="G1800" s="87"/>
      <c r="H1800" s="87">
        <f>F1800*G1800</f>
        <v>0</v>
      </c>
      <c r="I1800" s="87"/>
      <c r="J1800" s="87"/>
      <c r="K1800" s="87"/>
      <c r="L1800" s="87"/>
    </row>
    <row r="1801" spans="1:12" ht="12" customHeight="1" x14ac:dyDescent="0.35">
      <c r="B1801" s="84"/>
      <c r="C1801" s="88"/>
      <c r="D1801" s="79"/>
      <c r="E1801" s="79"/>
      <c r="F1801" s="89" t="s">
        <v>425</v>
      </c>
      <c r="G1801" s="101"/>
      <c r="H1801" s="87" t="e">
        <f>SUM(H1799:H1800)</f>
        <v>#REF!</v>
      </c>
      <c r="I1801" s="101"/>
      <c r="J1801" s="87" t="e">
        <f>SUM(J1799)</f>
        <v>#REF!</v>
      </c>
      <c r="K1801" s="101"/>
      <c r="L1801" s="87" t="e">
        <f>SUM(L1799)</f>
        <v>#REF!</v>
      </c>
    </row>
    <row r="1802" spans="1:12" ht="12" customHeight="1" x14ac:dyDescent="0.35">
      <c r="B1802" s="84" t="s">
        <v>8</v>
      </c>
      <c r="C1802" s="103" t="s">
        <v>426</v>
      </c>
      <c r="D1802" s="104"/>
      <c r="E1802" s="104"/>
      <c r="F1802" s="104"/>
      <c r="G1802" s="105"/>
      <c r="H1802" s="87" t="e">
        <f>H1791+H1797+H1801</f>
        <v>#REF!</v>
      </c>
      <c r="I1802" s="105"/>
      <c r="J1802" s="87" t="e">
        <f>J1791+J1797+J1801</f>
        <v>#REF!</v>
      </c>
      <c r="K1802" s="105"/>
      <c r="L1802" s="87" t="e">
        <f>L1791+L1797+L1801</f>
        <v>#REF!</v>
      </c>
    </row>
    <row r="1803" spans="1:12" ht="12" customHeight="1" x14ac:dyDescent="0.35">
      <c r="B1803" s="84" t="s">
        <v>9</v>
      </c>
      <c r="C1803" s="455" t="s">
        <v>427</v>
      </c>
      <c r="D1803" s="455"/>
      <c r="E1803" s="455"/>
      <c r="F1803" s="95" t="str">
        <f>OP</f>
        <v>TANJUNG PALAS TENGAH</v>
      </c>
      <c r="G1803" s="85" t="s">
        <v>428</v>
      </c>
      <c r="H1803" s="87" t="e">
        <f>H1802*F1803</f>
        <v>#REF!</v>
      </c>
      <c r="I1803" s="85" t="s">
        <v>428</v>
      </c>
      <c r="J1803" s="87" t="e">
        <f>J1802*F1803</f>
        <v>#REF!</v>
      </c>
      <c r="K1803" s="85" t="s">
        <v>428</v>
      </c>
      <c r="L1803" s="87" t="e">
        <f>L1802*F1803</f>
        <v>#REF!</v>
      </c>
    </row>
    <row r="1804" spans="1:12" ht="12" customHeight="1" x14ac:dyDescent="0.35">
      <c r="B1804" s="84" t="s">
        <v>10</v>
      </c>
      <c r="C1804" s="103" t="s">
        <v>429</v>
      </c>
      <c r="D1804" s="104"/>
      <c r="E1804" s="104"/>
      <c r="F1804" s="104"/>
      <c r="G1804" s="105"/>
      <c r="H1804" s="96" t="e">
        <f>H1802+H1803</f>
        <v>#REF!</v>
      </c>
      <c r="I1804" s="97"/>
      <c r="J1804" s="96" t="e">
        <f>J1802+J1803</f>
        <v>#REF!</v>
      </c>
      <c r="K1804" s="97"/>
      <c r="L1804" s="96" t="e">
        <f>L1802+L1803</f>
        <v>#REF!</v>
      </c>
    </row>
    <row r="1806" spans="1:12" ht="37" customHeight="1" x14ac:dyDescent="0.35">
      <c r="B1806" s="76" t="s">
        <v>641</v>
      </c>
      <c r="C1806" s="458" t="s">
        <v>648</v>
      </c>
      <c r="D1806" s="459"/>
      <c r="E1806" s="459"/>
      <c r="F1806" s="459"/>
      <c r="G1806" s="456"/>
      <c r="H1806" s="457"/>
      <c r="I1806" s="455" t="s">
        <v>3</v>
      </c>
      <c r="J1806" s="455"/>
      <c r="K1806" s="455" t="s">
        <v>4</v>
      </c>
      <c r="L1806" s="455"/>
    </row>
    <row r="1807" spans="1:12" ht="12" customHeight="1" x14ac:dyDescent="0.35">
      <c r="B1807" s="451" t="s">
        <v>409</v>
      </c>
      <c r="C1807" s="451" t="s">
        <v>410</v>
      </c>
      <c r="D1807" s="452" t="s">
        <v>411</v>
      </c>
      <c r="E1807" s="451" t="s">
        <v>412</v>
      </c>
      <c r="F1807" s="451" t="s">
        <v>413</v>
      </c>
      <c r="G1807" s="77" t="s">
        <v>414</v>
      </c>
      <c r="H1807" s="77" t="s">
        <v>415</v>
      </c>
      <c r="I1807" s="78" t="s">
        <v>414</v>
      </c>
      <c r="J1807" s="79" t="s">
        <v>415</v>
      </c>
      <c r="K1807" s="79" t="s">
        <v>414</v>
      </c>
      <c r="L1807" s="79" t="s">
        <v>415</v>
      </c>
    </row>
    <row r="1808" spans="1:12" ht="12" customHeight="1" x14ac:dyDescent="0.35">
      <c r="B1808" s="451"/>
      <c r="C1808" s="451"/>
      <c r="D1808" s="453"/>
      <c r="E1808" s="451"/>
      <c r="F1808" s="451"/>
      <c r="G1808" s="77" t="s">
        <v>17</v>
      </c>
      <c r="H1808" s="77" t="s">
        <v>416</v>
      </c>
      <c r="I1808" s="78" t="s">
        <v>17</v>
      </c>
      <c r="J1808" s="79" t="s">
        <v>416</v>
      </c>
      <c r="K1808" s="79" t="s">
        <v>17</v>
      </c>
      <c r="L1808" s="79" t="s">
        <v>416</v>
      </c>
    </row>
    <row r="1809" spans="1:12" ht="12" customHeight="1" x14ac:dyDescent="0.35">
      <c r="B1809" s="451"/>
      <c r="C1809" s="451"/>
      <c r="D1809" s="454"/>
      <c r="E1809" s="451"/>
      <c r="F1809" s="451"/>
      <c r="G1809" s="106"/>
      <c r="H1809" s="77" t="s">
        <v>17</v>
      </c>
      <c r="I1809" s="94"/>
      <c r="J1809" s="79" t="s">
        <v>17</v>
      </c>
      <c r="K1809" s="85"/>
      <c r="L1809" s="79" t="s">
        <v>17</v>
      </c>
    </row>
    <row r="1810" spans="1:12" ht="12" customHeight="1" x14ac:dyDescent="0.35">
      <c r="B1810" s="80" t="s">
        <v>5</v>
      </c>
      <c r="C1810" s="81" t="s">
        <v>417</v>
      </c>
      <c r="D1810" s="82"/>
      <c r="E1810" s="82"/>
      <c r="F1810" s="82"/>
      <c r="G1810" s="82"/>
      <c r="H1810" s="82"/>
      <c r="I1810" s="83"/>
      <c r="J1810" s="83"/>
      <c r="K1810" s="83"/>
      <c r="L1810" s="83"/>
    </row>
    <row r="1811" spans="1:12" ht="12" customHeight="1" x14ac:dyDescent="0.35">
      <c r="A1811" s="134">
        <v>10130000</v>
      </c>
      <c r="B1811" s="84"/>
      <c r="C1811" s="85" t="str">
        <f>VLOOKUP(A1811,'DAFTAR HARGA'!A:D,3,FALSE)</f>
        <v>OH</v>
      </c>
      <c r="D1811" s="84" t="s">
        <v>418</v>
      </c>
      <c r="E1811" s="84">
        <f>VLOOKUP(A1811,'DAFTAR HARGA'!A:D,4,FALSE)</f>
        <v>115000</v>
      </c>
      <c r="F1811" s="128">
        <v>2.2743000000000002</v>
      </c>
      <c r="G1811" s="87" t="e">
        <f>VLOOKUP(A1811,'DAFTAR HARGA'!A:D,5,FALSE)</f>
        <v>#REF!</v>
      </c>
      <c r="H1811" s="87" t="e">
        <f>F1811*G1811</f>
        <v>#REF!</v>
      </c>
      <c r="I1811" s="87">
        <v>91500</v>
      </c>
      <c r="J1811" s="87">
        <f>F1811*I1811</f>
        <v>208098.45</v>
      </c>
      <c r="K1811" s="87">
        <v>91500</v>
      </c>
      <c r="L1811" s="87">
        <f>F1811*K1811</f>
        <v>208098.45</v>
      </c>
    </row>
    <row r="1812" spans="1:12" ht="12" customHeight="1" x14ac:dyDescent="0.35">
      <c r="A1812" s="134">
        <v>10143000</v>
      </c>
      <c r="B1812" s="84"/>
      <c r="C1812" s="85" t="str">
        <f>VLOOKUP(A1812,'DAFTAR HARGA'!A:D,3,FALSE)</f>
        <v>OH</v>
      </c>
      <c r="D1812" s="84" t="s">
        <v>418</v>
      </c>
      <c r="E1812" s="84">
        <f>VLOOKUP(A1812,'DAFTAR HARGA'!A:D,4,FALSE)</f>
        <v>236600</v>
      </c>
      <c r="F1812" s="128">
        <v>1.1371</v>
      </c>
      <c r="G1812" s="87" t="e">
        <f>VLOOKUP(A1812,'DAFTAR HARGA'!A:D,5,FALSE)</f>
        <v>#REF!</v>
      </c>
      <c r="H1812" s="87" t="e">
        <f>F1812*G1812</f>
        <v>#REF!</v>
      </c>
      <c r="I1812" s="87"/>
      <c r="J1812" s="87"/>
      <c r="K1812" s="87"/>
      <c r="L1812" s="87"/>
    </row>
    <row r="1813" spans="1:12" ht="12" customHeight="1" x14ac:dyDescent="0.35">
      <c r="A1813" s="134">
        <v>10110000</v>
      </c>
      <c r="B1813" s="84"/>
      <c r="C1813" s="85" t="str">
        <f>VLOOKUP(A1813,'DAFTAR HARGA'!A:D,3,FALSE)</f>
        <v>OH</v>
      </c>
      <c r="D1813" s="84" t="s">
        <v>418</v>
      </c>
      <c r="E1813" s="84">
        <f>VLOOKUP(A1813,'DAFTAR HARGA'!A:D,4,FALSE)</f>
        <v>150000</v>
      </c>
      <c r="F1813" s="128">
        <f>F1811/10</f>
        <v>0.22743000000000002</v>
      </c>
      <c r="G1813" s="87" t="e">
        <f>VLOOKUP(A1813,'DAFTAR HARGA'!A:D,5,FALSE)</f>
        <v>#REF!</v>
      </c>
      <c r="H1813" s="87" t="e">
        <f>F1813*G1813</f>
        <v>#REF!</v>
      </c>
      <c r="I1813" s="87">
        <v>78600</v>
      </c>
      <c r="J1813" s="87">
        <f>F1813*I1813</f>
        <v>17875.998000000003</v>
      </c>
      <c r="K1813" s="87">
        <v>78600</v>
      </c>
      <c r="L1813" s="87">
        <f>F1813*K1813</f>
        <v>17875.998000000003</v>
      </c>
    </row>
    <row r="1814" spans="1:12" ht="12" customHeight="1" x14ac:dyDescent="0.35">
      <c r="B1814" s="84"/>
      <c r="C1814" s="85"/>
      <c r="D1814" s="84"/>
      <c r="E1814" s="84"/>
      <c r="F1814" s="86"/>
      <c r="G1814" s="87"/>
      <c r="H1814" s="87">
        <f>F1814*G1814</f>
        <v>0</v>
      </c>
      <c r="I1814" s="87">
        <v>92500</v>
      </c>
      <c r="J1814" s="87">
        <f>F1814*I1814</f>
        <v>0</v>
      </c>
      <c r="K1814" s="87">
        <v>92500</v>
      </c>
      <c r="L1814" s="87">
        <f>F1814*K1814</f>
        <v>0</v>
      </c>
    </row>
    <row r="1815" spans="1:12" ht="12" customHeight="1" x14ac:dyDescent="0.35">
      <c r="B1815" s="84"/>
      <c r="C1815" s="85"/>
      <c r="D1815" s="84"/>
      <c r="E1815" s="84"/>
      <c r="F1815" s="86"/>
      <c r="G1815" s="87"/>
      <c r="H1815" s="87"/>
      <c r="I1815" s="87"/>
      <c r="J1815" s="87"/>
      <c r="K1815" s="87"/>
      <c r="L1815" s="87"/>
    </row>
    <row r="1816" spans="1:12" ht="12" customHeight="1" x14ac:dyDescent="0.35">
      <c r="B1816" s="84"/>
      <c r="C1816" s="88"/>
      <c r="D1816" s="79"/>
      <c r="E1816" s="79"/>
      <c r="F1816" s="89" t="s">
        <v>421</v>
      </c>
      <c r="G1816" s="101"/>
      <c r="H1816" s="87" t="e">
        <f>SUM(H1811:H1815)</f>
        <v>#REF!</v>
      </c>
      <c r="I1816" s="101"/>
      <c r="J1816" s="87">
        <f>SUM(J1813:J1815)</f>
        <v>17875.998000000003</v>
      </c>
      <c r="K1816" s="101"/>
      <c r="L1816" s="87">
        <f>SUM(L1813:L1815)</f>
        <v>17875.998000000003</v>
      </c>
    </row>
    <row r="1817" spans="1:12" ht="12" customHeight="1" x14ac:dyDescent="0.35">
      <c r="B1817" s="84" t="s">
        <v>6</v>
      </c>
      <c r="C1817" s="88" t="s">
        <v>422</v>
      </c>
      <c r="D1817" s="79"/>
      <c r="E1817" s="79"/>
      <c r="F1817" s="90"/>
      <c r="G1817" s="84"/>
      <c r="H1817" s="87"/>
      <c r="I1817" s="84"/>
      <c r="J1817" s="87"/>
      <c r="K1817" s="84"/>
      <c r="L1817" s="87"/>
    </row>
    <row r="1818" spans="1:12" ht="12" customHeight="1" x14ac:dyDescent="0.35">
      <c r="A1818" s="134">
        <v>211100111</v>
      </c>
      <c r="B1818" s="84"/>
      <c r="C1818" s="85" t="str">
        <f>VLOOKUP(A1818,'DAFTAR HARGA'!A:D,3,FALSE)</f>
        <v>bh</v>
      </c>
      <c r="D1818" s="84" t="s">
        <v>418</v>
      </c>
      <c r="E1818" s="84">
        <f>VLOOKUP(A1818,'DAFTAR HARGA'!A:D,4,FALSE)</f>
        <v>680</v>
      </c>
      <c r="F1818" s="128">
        <v>512</v>
      </c>
      <c r="G1818" s="87" t="e">
        <f>VLOOKUP(A1818,'DAFTAR HARGA'!A:D,5,FALSE)</f>
        <v>#REF!</v>
      </c>
      <c r="H1818" s="87" t="e">
        <f>F1818*G1818</f>
        <v>#REF!</v>
      </c>
      <c r="I1818" s="87">
        <v>232500</v>
      </c>
      <c r="J1818" s="87">
        <f>F1818*I1818</f>
        <v>119040000</v>
      </c>
      <c r="K1818" s="87">
        <v>270000</v>
      </c>
      <c r="L1818" s="87">
        <f>F1818*K1818</f>
        <v>138240000</v>
      </c>
    </row>
    <row r="1819" spans="1:12" ht="12" customHeight="1" x14ac:dyDescent="0.35">
      <c r="A1819" s="134">
        <v>211100113</v>
      </c>
      <c r="B1819" s="84"/>
      <c r="C1819" s="85" t="str">
        <f>VLOOKUP(A1819,'DAFTAR HARGA'!A:D,3,FALSE)</f>
        <v>m³</v>
      </c>
      <c r="D1819" s="84" t="s">
        <v>418</v>
      </c>
      <c r="E1819" s="84">
        <f>VLOOKUP(A1819,'DAFTAR HARGA'!A:D,4,FALSE)</f>
        <v>217500</v>
      </c>
      <c r="F1819" s="128">
        <v>0.26290000000000002</v>
      </c>
      <c r="G1819" s="87" t="e">
        <f>VLOOKUP(A1819,'DAFTAR HARGA'!A:D,5,FALSE)</f>
        <v>#REF!</v>
      </c>
      <c r="H1819" s="87" t="e">
        <f>F1819*G1819</f>
        <v>#REF!</v>
      </c>
      <c r="I1819" s="87">
        <v>1060</v>
      </c>
      <c r="J1819" s="87">
        <f>F1819*I1819</f>
        <v>278.67400000000004</v>
      </c>
      <c r="K1819" s="87">
        <v>1060</v>
      </c>
      <c r="L1819" s="87">
        <f>F1819*K1819</f>
        <v>278.67400000000004</v>
      </c>
    </row>
    <row r="1820" spans="1:12" ht="12" customHeight="1" x14ac:dyDescent="0.35">
      <c r="A1820" s="134">
        <v>21301000</v>
      </c>
      <c r="B1820" s="84"/>
      <c r="C1820" s="85" t="str">
        <f>VLOOKUP(A1820,'DAFTAR HARGA'!A:D,3,FALSE)</f>
        <v>Kg</v>
      </c>
      <c r="D1820" s="84" t="s">
        <v>418</v>
      </c>
      <c r="E1820" s="84">
        <f>VLOOKUP(A1820,'DAFTAR HARGA'!A:D,4,FALSE)</f>
        <v>1350</v>
      </c>
      <c r="F1820" s="128">
        <v>168</v>
      </c>
      <c r="G1820" s="87" t="e">
        <f>VLOOKUP(A1820,'DAFTAR HARGA'!A:D,5,FALSE)</f>
        <v>#REF!</v>
      </c>
      <c r="H1820" s="87" t="e">
        <f>F1820*G1820</f>
        <v>#REF!</v>
      </c>
      <c r="I1820" s="87">
        <v>215000</v>
      </c>
      <c r="J1820" s="87">
        <f>F1820*I1820</f>
        <v>36120000</v>
      </c>
      <c r="K1820" s="87">
        <v>250000</v>
      </c>
      <c r="L1820" s="87">
        <f>F1820*K1820</f>
        <v>42000000</v>
      </c>
    </row>
    <row r="1821" spans="1:12" ht="12" customHeight="1" x14ac:dyDescent="0.35">
      <c r="B1821" s="84"/>
      <c r="C1821" s="85"/>
      <c r="D1821" s="84"/>
      <c r="E1821" s="84"/>
      <c r="F1821" s="128"/>
      <c r="G1821" s="87"/>
      <c r="H1821" s="87"/>
      <c r="I1821" s="87"/>
      <c r="J1821" s="87"/>
      <c r="K1821" s="87"/>
      <c r="L1821" s="87"/>
    </row>
    <row r="1822" spans="1:12" ht="12" customHeight="1" x14ac:dyDescent="0.35">
      <c r="B1822" s="84"/>
      <c r="C1822" s="88"/>
      <c r="D1822" s="79"/>
      <c r="E1822" s="79"/>
      <c r="F1822" s="129" t="s">
        <v>423</v>
      </c>
      <c r="G1822" s="129"/>
      <c r="H1822" s="87" t="e">
        <f>SUM(H1818:H1821)</f>
        <v>#REF!</v>
      </c>
      <c r="I1822" s="101"/>
      <c r="J1822" s="87" t="e">
        <f>SUM(#REF!)</f>
        <v>#REF!</v>
      </c>
      <c r="K1822" s="101"/>
      <c r="L1822" s="87" t="e">
        <f>SUM(#REF!)</f>
        <v>#REF!</v>
      </c>
    </row>
    <row r="1823" spans="1:12" ht="12" customHeight="1" x14ac:dyDescent="0.35">
      <c r="B1823" s="84" t="s">
        <v>7</v>
      </c>
      <c r="C1823" s="88" t="s">
        <v>424</v>
      </c>
      <c r="D1823" s="79"/>
      <c r="E1823" s="79"/>
      <c r="F1823" s="90"/>
      <c r="G1823" s="84"/>
      <c r="H1823" s="87"/>
      <c r="I1823" s="84"/>
      <c r="J1823" s="87"/>
      <c r="K1823" s="84"/>
      <c r="L1823" s="87"/>
    </row>
    <row r="1824" spans="1:12" ht="12" customHeight="1" x14ac:dyDescent="0.35">
      <c r="A1824" s="134">
        <v>31100004</v>
      </c>
      <c r="B1824" s="84"/>
      <c r="C1824" s="85" t="str">
        <f>VLOOKUP(A1824,'DAFTAR HARGA'!A:D,3,FALSE)</f>
        <v>hari</v>
      </c>
      <c r="D1824" s="84" t="s">
        <v>418</v>
      </c>
      <c r="E1824" s="84">
        <f>VLOOKUP(A1824,'DAFTAR HARGA'!A:D,4,FALSE)</f>
        <v>1151000</v>
      </c>
      <c r="F1824" s="128"/>
      <c r="G1824" s="87" t="e">
        <f>VLOOKUP(A1824,'DAFTAR HARGA'!A:D,5,FALSE)</f>
        <v>#REF!</v>
      </c>
      <c r="H1824" s="87" t="e">
        <f>F1824*G1824</f>
        <v>#REF!</v>
      </c>
      <c r="I1824" s="87"/>
      <c r="J1824" s="87" t="e">
        <f>H1824*I1824</f>
        <v>#REF!</v>
      </c>
      <c r="K1824" s="87"/>
      <c r="L1824" s="87" t="e">
        <f>J1824*K1824</f>
        <v>#REF!</v>
      </c>
    </row>
    <row r="1825" spans="1:12" ht="12" customHeight="1" x14ac:dyDescent="0.35">
      <c r="B1825" s="84"/>
      <c r="C1825" s="85"/>
      <c r="D1825" s="84"/>
      <c r="E1825" s="84"/>
      <c r="F1825" s="128"/>
      <c r="G1825" s="87"/>
      <c r="H1825" s="87">
        <f>F1825*G1825</f>
        <v>0</v>
      </c>
      <c r="I1825" s="87"/>
      <c r="J1825" s="87"/>
      <c r="K1825" s="87"/>
      <c r="L1825" s="87"/>
    </row>
    <row r="1826" spans="1:12" ht="12" customHeight="1" x14ac:dyDescent="0.35">
      <c r="B1826" s="84"/>
      <c r="C1826" s="88"/>
      <c r="D1826" s="79"/>
      <c r="E1826" s="79"/>
      <c r="F1826" s="89" t="s">
        <v>425</v>
      </c>
      <c r="G1826" s="101"/>
      <c r="H1826" s="87" t="e">
        <f>SUM(H1824:H1825)</f>
        <v>#REF!</v>
      </c>
      <c r="I1826" s="101"/>
      <c r="J1826" s="87" t="e">
        <f>SUM(J1824)</f>
        <v>#REF!</v>
      </c>
      <c r="K1826" s="101"/>
      <c r="L1826" s="87" t="e">
        <f>SUM(L1824)</f>
        <v>#REF!</v>
      </c>
    </row>
    <row r="1827" spans="1:12" ht="12" customHeight="1" x14ac:dyDescent="0.35">
      <c r="B1827" s="84" t="s">
        <v>8</v>
      </c>
      <c r="C1827" s="103" t="s">
        <v>426</v>
      </c>
      <c r="D1827" s="104"/>
      <c r="E1827" s="104"/>
      <c r="F1827" s="104"/>
      <c r="G1827" s="105"/>
      <c r="H1827" s="87" t="e">
        <f>H1816+H1822+H1826</f>
        <v>#REF!</v>
      </c>
      <c r="I1827" s="105"/>
      <c r="J1827" s="87" t="e">
        <f>J1816+J1822+J1826</f>
        <v>#REF!</v>
      </c>
      <c r="K1827" s="105"/>
      <c r="L1827" s="87" t="e">
        <f>L1816+L1822+L1826</f>
        <v>#REF!</v>
      </c>
    </row>
    <row r="1828" spans="1:12" ht="12" customHeight="1" x14ac:dyDescent="0.35">
      <c r="B1828" s="84" t="s">
        <v>9</v>
      </c>
      <c r="C1828" s="455" t="s">
        <v>427</v>
      </c>
      <c r="D1828" s="455"/>
      <c r="E1828" s="455"/>
      <c r="F1828" s="95" t="str">
        <f>OP</f>
        <v>TANJUNG PALAS TENGAH</v>
      </c>
      <c r="G1828" s="85" t="s">
        <v>428</v>
      </c>
      <c r="H1828" s="87" t="e">
        <f>H1827*F1828</f>
        <v>#REF!</v>
      </c>
      <c r="I1828" s="85" t="s">
        <v>428</v>
      </c>
      <c r="J1828" s="87" t="e">
        <f>J1827*F1828</f>
        <v>#REF!</v>
      </c>
      <c r="K1828" s="85" t="s">
        <v>428</v>
      </c>
      <c r="L1828" s="87" t="e">
        <f>L1827*F1828</f>
        <v>#REF!</v>
      </c>
    </row>
    <row r="1829" spans="1:12" ht="12" customHeight="1" x14ac:dyDescent="0.35">
      <c r="B1829" s="84" t="s">
        <v>10</v>
      </c>
      <c r="C1829" s="103" t="s">
        <v>429</v>
      </c>
      <c r="D1829" s="104"/>
      <c r="E1829" s="104"/>
      <c r="F1829" s="104"/>
      <c r="G1829" s="105"/>
      <c r="H1829" s="96" t="e">
        <f>H1827+H1828</f>
        <v>#REF!</v>
      </c>
      <c r="I1829" s="97"/>
      <c r="J1829" s="96" t="e">
        <f>J1827+J1828</f>
        <v>#REF!</v>
      </c>
      <c r="K1829" s="97"/>
      <c r="L1829" s="96" t="e">
        <f>L1827+L1828</f>
        <v>#REF!</v>
      </c>
    </row>
    <row r="1831" spans="1:12" ht="37" customHeight="1" x14ac:dyDescent="0.35">
      <c r="B1831" s="76" t="s">
        <v>642</v>
      </c>
      <c r="C1831" s="458" t="s">
        <v>653</v>
      </c>
      <c r="D1831" s="459"/>
      <c r="E1831" s="459"/>
      <c r="F1831" s="459"/>
      <c r="G1831" s="456"/>
      <c r="H1831" s="457"/>
      <c r="I1831" s="455" t="s">
        <v>3</v>
      </c>
      <c r="J1831" s="455"/>
      <c r="K1831" s="455" t="s">
        <v>4</v>
      </c>
      <c r="L1831" s="455"/>
    </row>
    <row r="1832" spans="1:12" ht="12" customHeight="1" x14ac:dyDescent="0.35">
      <c r="B1832" s="451" t="s">
        <v>409</v>
      </c>
      <c r="C1832" s="451" t="s">
        <v>410</v>
      </c>
      <c r="D1832" s="452" t="s">
        <v>411</v>
      </c>
      <c r="E1832" s="451" t="s">
        <v>412</v>
      </c>
      <c r="F1832" s="451" t="s">
        <v>413</v>
      </c>
      <c r="G1832" s="77" t="s">
        <v>414</v>
      </c>
      <c r="H1832" s="77" t="s">
        <v>415</v>
      </c>
      <c r="I1832" s="78" t="s">
        <v>414</v>
      </c>
      <c r="J1832" s="79" t="s">
        <v>415</v>
      </c>
      <c r="K1832" s="79" t="s">
        <v>414</v>
      </c>
      <c r="L1832" s="79" t="s">
        <v>415</v>
      </c>
    </row>
    <row r="1833" spans="1:12" ht="12" customHeight="1" x14ac:dyDescent="0.35">
      <c r="B1833" s="451"/>
      <c r="C1833" s="451"/>
      <c r="D1833" s="453"/>
      <c r="E1833" s="451"/>
      <c r="F1833" s="451"/>
      <c r="G1833" s="77" t="s">
        <v>17</v>
      </c>
      <c r="H1833" s="77" t="s">
        <v>416</v>
      </c>
      <c r="I1833" s="78" t="s">
        <v>17</v>
      </c>
      <c r="J1833" s="79" t="s">
        <v>416</v>
      </c>
      <c r="K1833" s="79" t="s">
        <v>17</v>
      </c>
      <c r="L1833" s="79" t="s">
        <v>416</v>
      </c>
    </row>
    <row r="1834" spans="1:12" ht="12" customHeight="1" x14ac:dyDescent="0.35">
      <c r="B1834" s="451"/>
      <c r="C1834" s="451"/>
      <c r="D1834" s="454"/>
      <c r="E1834" s="451"/>
      <c r="F1834" s="451"/>
      <c r="G1834" s="106"/>
      <c r="H1834" s="77" t="s">
        <v>17</v>
      </c>
      <c r="I1834" s="94"/>
      <c r="J1834" s="79" t="s">
        <v>17</v>
      </c>
      <c r="K1834" s="85"/>
      <c r="L1834" s="79" t="s">
        <v>17</v>
      </c>
    </row>
    <row r="1835" spans="1:12" ht="12" customHeight="1" x14ac:dyDescent="0.35">
      <c r="B1835" s="80" t="s">
        <v>5</v>
      </c>
      <c r="C1835" s="81" t="s">
        <v>417</v>
      </c>
      <c r="D1835" s="82"/>
      <c r="E1835" s="82"/>
      <c r="F1835" s="82"/>
      <c r="G1835" s="82"/>
      <c r="H1835" s="82"/>
      <c r="I1835" s="83"/>
      <c r="J1835" s="83"/>
      <c r="K1835" s="83"/>
      <c r="L1835" s="83"/>
    </row>
    <row r="1836" spans="1:12" ht="12" customHeight="1" x14ac:dyDescent="0.35">
      <c r="A1836" s="134">
        <v>10130000</v>
      </c>
      <c r="B1836" s="84"/>
      <c r="C1836" s="85" t="str">
        <f>VLOOKUP(A1836,'DAFTAR HARGA'!A:D,3,FALSE)</f>
        <v>OH</v>
      </c>
      <c r="D1836" s="84" t="s">
        <v>418</v>
      </c>
      <c r="E1836" s="84">
        <f>VLOOKUP(A1836,'DAFTAR HARGA'!A:D,4,FALSE)</f>
        <v>115000</v>
      </c>
      <c r="F1836" s="128">
        <v>0.85</v>
      </c>
      <c r="G1836" s="87" t="e">
        <f>VLOOKUP(A1836,'DAFTAR HARGA'!A:D,5,FALSE)</f>
        <v>#REF!</v>
      </c>
      <c r="H1836" s="87" t="e">
        <f>F1836*G1836</f>
        <v>#REF!</v>
      </c>
      <c r="I1836" s="87">
        <v>91500</v>
      </c>
      <c r="J1836" s="87">
        <f>F1836*I1836</f>
        <v>77775</v>
      </c>
      <c r="K1836" s="87">
        <v>91500</v>
      </c>
      <c r="L1836" s="87">
        <f>F1836*K1836</f>
        <v>77775</v>
      </c>
    </row>
    <row r="1837" spans="1:12" ht="12" customHeight="1" x14ac:dyDescent="0.35">
      <c r="A1837" s="134">
        <v>10143000</v>
      </c>
      <c r="B1837" s="84"/>
      <c r="C1837" s="85" t="str">
        <f>VLOOKUP(A1837,'DAFTAR HARGA'!A:D,3,FALSE)</f>
        <v>OH</v>
      </c>
      <c r="D1837" s="84" t="s">
        <v>418</v>
      </c>
      <c r="E1837" s="84">
        <f>VLOOKUP(A1837,'DAFTAR HARGA'!A:D,4,FALSE)</f>
        <v>236600</v>
      </c>
      <c r="F1837" s="128">
        <v>0.42499999999999999</v>
      </c>
      <c r="G1837" s="87" t="e">
        <f>VLOOKUP(A1837,'DAFTAR HARGA'!A:D,5,FALSE)</f>
        <v>#REF!</v>
      </c>
      <c r="H1837" s="87" t="e">
        <f>F1837*G1837</f>
        <v>#REF!</v>
      </c>
      <c r="I1837" s="87"/>
      <c r="J1837" s="87"/>
      <c r="K1837" s="87"/>
      <c r="L1837" s="87"/>
    </row>
    <row r="1838" spans="1:12" ht="12" customHeight="1" x14ac:dyDescent="0.35">
      <c r="A1838" s="134">
        <v>10110000</v>
      </c>
      <c r="B1838" s="84"/>
      <c r="C1838" s="85" t="str">
        <f>VLOOKUP(A1838,'DAFTAR HARGA'!A:D,3,FALSE)</f>
        <v>OH</v>
      </c>
      <c r="D1838" s="84" t="s">
        <v>418</v>
      </c>
      <c r="E1838" s="84">
        <f>VLOOKUP(A1838,'DAFTAR HARGA'!A:D,4,FALSE)</f>
        <v>150000</v>
      </c>
      <c r="F1838" s="128">
        <f>F1836/10</f>
        <v>8.4999999999999992E-2</v>
      </c>
      <c r="G1838" s="87" t="e">
        <f>VLOOKUP(A1838,'DAFTAR HARGA'!A:D,5,FALSE)</f>
        <v>#REF!</v>
      </c>
      <c r="H1838" s="87" t="e">
        <f>F1838*G1838</f>
        <v>#REF!</v>
      </c>
      <c r="I1838" s="87">
        <v>78600</v>
      </c>
      <c r="J1838" s="87">
        <f>F1838*I1838</f>
        <v>6680.9999999999991</v>
      </c>
      <c r="K1838" s="87">
        <v>78600</v>
      </c>
      <c r="L1838" s="87">
        <f>F1838*K1838</f>
        <v>6680.9999999999991</v>
      </c>
    </row>
    <row r="1839" spans="1:12" ht="12" customHeight="1" x14ac:dyDescent="0.35">
      <c r="B1839" s="84"/>
      <c r="C1839" s="85"/>
      <c r="D1839" s="84"/>
      <c r="E1839" s="84"/>
      <c r="F1839" s="86"/>
      <c r="G1839" s="87"/>
      <c r="H1839" s="87">
        <f>F1839*G1839</f>
        <v>0</v>
      </c>
      <c r="I1839" s="87">
        <v>92500</v>
      </c>
      <c r="J1839" s="87">
        <f>F1839*I1839</f>
        <v>0</v>
      </c>
      <c r="K1839" s="87">
        <v>92500</v>
      </c>
      <c r="L1839" s="87">
        <f>F1839*K1839</f>
        <v>0</v>
      </c>
    </row>
    <row r="1840" spans="1:12" ht="12" customHeight="1" x14ac:dyDescent="0.35">
      <c r="B1840" s="84"/>
      <c r="C1840" s="85"/>
      <c r="D1840" s="84"/>
      <c r="E1840" s="84"/>
      <c r="F1840" s="86"/>
      <c r="G1840" s="87"/>
      <c r="H1840" s="87"/>
      <c r="I1840" s="87"/>
      <c r="J1840" s="87"/>
      <c r="K1840" s="87"/>
      <c r="L1840" s="87"/>
    </row>
    <row r="1841" spans="1:12" ht="12" customHeight="1" x14ac:dyDescent="0.35">
      <c r="B1841" s="84"/>
      <c r="C1841" s="88"/>
      <c r="D1841" s="79"/>
      <c r="E1841" s="79"/>
      <c r="F1841" s="89" t="s">
        <v>421</v>
      </c>
      <c r="G1841" s="101"/>
      <c r="H1841" s="87" t="e">
        <f>SUM(H1836:H1840)</f>
        <v>#REF!</v>
      </c>
      <c r="I1841" s="101"/>
      <c r="J1841" s="87">
        <f>SUM(J1838:J1840)</f>
        <v>6680.9999999999991</v>
      </c>
      <c r="K1841" s="101"/>
      <c r="L1841" s="87">
        <f>SUM(L1838:L1840)</f>
        <v>6680.9999999999991</v>
      </c>
    </row>
    <row r="1842" spans="1:12" ht="12" customHeight="1" x14ac:dyDescent="0.35">
      <c r="B1842" s="84" t="s">
        <v>6</v>
      </c>
      <c r="C1842" s="88" t="s">
        <v>422</v>
      </c>
      <c r="D1842" s="79"/>
      <c r="E1842" s="79"/>
      <c r="F1842" s="90"/>
      <c r="G1842" s="84"/>
      <c r="H1842" s="87"/>
      <c r="I1842" s="84"/>
      <c r="J1842" s="87"/>
      <c r="K1842" s="84"/>
      <c r="L1842" s="87"/>
    </row>
    <row r="1843" spans="1:12" ht="12" customHeight="1" x14ac:dyDescent="0.35">
      <c r="A1843" s="134">
        <v>211100111</v>
      </c>
      <c r="B1843" s="84"/>
      <c r="C1843" s="85" t="str">
        <f>VLOOKUP(A1843,'DAFTAR HARGA'!A:D,3,FALSE)</f>
        <v>bh</v>
      </c>
      <c r="D1843" s="84" t="s">
        <v>418</v>
      </c>
      <c r="E1843" s="84">
        <f>VLOOKUP(A1843,'DAFTAR HARGA'!A:D,4,FALSE)</f>
        <v>680</v>
      </c>
      <c r="F1843" s="128">
        <v>512</v>
      </c>
      <c r="G1843" s="87" t="e">
        <f>VLOOKUP(A1843,'DAFTAR HARGA'!A:D,5,FALSE)</f>
        <v>#REF!</v>
      </c>
      <c r="H1843" s="87" t="e">
        <f>F1843*G1843</f>
        <v>#REF!</v>
      </c>
      <c r="I1843" s="87">
        <v>232500</v>
      </c>
      <c r="J1843" s="87">
        <f>F1843*I1843</f>
        <v>119040000</v>
      </c>
      <c r="K1843" s="87">
        <v>270000</v>
      </c>
      <c r="L1843" s="87">
        <f>F1843*K1843</f>
        <v>138240000</v>
      </c>
    </row>
    <row r="1844" spans="1:12" ht="12" customHeight="1" x14ac:dyDescent="0.35">
      <c r="A1844" s="134">
        <v>211100113</v>
      </c>
      <c r="B1844" s="84"/>
      <c r="C1844" s="85" t="str">
        <f>VLOOKUP(A1844,'DAFTAR HARGA'!A:D,3,FALSE)</f>
        <v>m³</v>
      </c>
      <c r="D1844" s="84" t="s">
        <v>418</v>
      </c>
      <c r="E1844" s="84">
        <f>VLOOKUP(A1844,'DAFTAR HARGA'!A:D,4,FALSE)</f>
        <v>217500</v>
      </c>
      <c r="F1844" s="128">
        <v>0.33</v>
      </c>
      <c r="G1844" s="87" t="e">
        <f>VLOOKUP(A1844,'DAFTAR HARGA'!A:D,5,FALSE)</f>
        <v>#REF!</v>
      </c>
      <c r="H1844" s="87" t="e">
        <f>F1844*G1844</f>
        <v>#REF!</v>
      </c>
      <c r="I1844" s="87">
        <v>1060</v>
      </c>
      <c r="J1844" s="87">
        <f>F1844*I1844</f>
        <v>349.8</v>
      </c>
      <c r="K1844" s="87">
        <v>1060</v>
      </c>
      <c r="L1844" s="87">
        <f>F1844*K1844</f>
        <v>349.8</v>
      </c>
    </row>
    <row r="1845" spans="1:12" ht="12" customHeight="1" x14ac:dyDescent="0.35">
      <c r="A1845" s="134">
        <v>21301000</v>
      </c>
      <c r="B1845" s="84"/>
      <c r="C1845" s="85" t="str">
        <f>VLOOKUP(A1845,'DAFTAR HARGA'!A:D,3,FALSE)</f>
        <v>Kg</v>
      </c>
      <c r="D1845" s="84" t="s">
        <v>418</v>
      </c>
      <c r="E1845" s="84">
        <f>VLOOKUP(A1845,'DAFTAR HARGA'!A:D,4,FALSE)</f>
        <v>1350</v>
      </c>
      <c r="F1845" s="128">
        <v>168</v>
      </c>
      <c r="G1845" s="87" t="e">
        <f>VLOOKUP(A1845,'DAFTAR HARGA'!A:D,5,FALSE)</f>
        <v>#REF!</v>
      </c>
      <c r="H1845" s="87" t="e">
        <f>F1845*G1845</f>
        <v>#REF!</v>
      </c>
      <c r="I1845" s="87">
        <v>215000</v>
      </c>
      <c r="J1845" s="87">
        <f>F1845*I1845</f>
        <v>36120000</v>
      </c>
      <c r="K1845" s="87">
        <v>250000</v>
      </c>
      <c r="L1845" s="87">
        <f>F1845*K1845</f>
        <v>42000000</v>
      </c>
    </row>
    <row r="1846" spans="1:12" ht="12" customHeight="1" x14ac:dyDescent="0.35">
      <c r="B1846" s="84"/>
      <c r="C1846" s="85"/>
      <c r="D1846" s="84"/>
      <c r="E1846" s="84"/>
      <c r="F1846" s="128"/>
      <c r="G1846" s="87"/>
      <c r="H1846" s="87"/>
      <c r="I1846" s="87"/>
      <c r="J1846" s="87"/>
      <c r="K1846" s="87"/>
      <c r="L1846" s="87"/>
    </row>
    <row r="1847" spans="1:12" ht="12" customHeight="1" x14ac:dyDescent="0.35">
      <c r="B1847" s="84"/>
      <c r="C1847" s="88"/>
      <c r="D1847" s="79"/>
      <c r="E1847" s="79"/>
      <c r="F1847" s="129" t="s">
        <v>423</v>
      </c>
      <c r="G1847" s="129"/>
      <c r="H1847" s="87" t="e">
        <f>SUM(H1843:H1846)</f>
        <v>#REF!</v>
      </c>
      <c r="I1847" s="101"/>
      <c r="J1847" s="87" t="e">
        <f>SUM(#REF!)</f>
        <v>#REF!</v>
      </c>
      <c r="K1847" s="101"/>
      <c r="L1847" s="87" t="e">
        <f>SUM(#REF!)</f>
        <v>#REF!</v>
      </c>
    </row>
    <row r="1848" spans="1:12" ht="12" customHeight="1" x14ac:dyDescent="0.35">
      <c r="B1848" s="84" t="s">
        <v>7</v>
      </c>
      <c r="C1848" s="88" t="s">
        <v>424</v>
      </c>
      <c r="D1848" s="79"/>
      <c r="E1848" s="79"/>
      <c r="F1848" s="90"/>
      <c r="G1848" s="84"/>
      <c r="H1848" s="87"/>
      <c r="I1848" s="84"/>
      <c r="J1848" s="87"/>
      <c r="K1848" s="84"/>
      <c r="L1848" s="87"/>
    </row>
    <row r="1849" spans="1:12" ht="12" customHeight="1" x14ac:dyDescent="0.35">
      <c r="A1849" s="134">
        <v>31100004</v>
      </c>
      <c r="B1849" s="84"/>
      <c r="C1849" s="85" t="str">
        <f>VLOOKUP(A1849,'DAFTAR HARGA'!A:D,3,FALSE)</f>
        <v>hari</v>
      </c>
      <c r="D1849" s="84" t="s">
        <v>418</v>
      </c>
      <c r="E1849" s="84">
        <f>VLOOKUP(A1849,'DAFTAR HARGA'!A:D,4,FALSE)</f>
        <v>1151000</v>
      </c>
      <c r="F1849" s="128">
        <v>5.8999999999999997E-2</v>
      </c>
      <c r="G1849" s="87" t="e">
        <f>VLOOKUP(A1849,'DAFTAR HARGA'!A:D,5,FALSE)</f>
        <v>#REF!</v>
      </c>
      <c r="H1849" s="87" t="e">
        <f>F1849*G1849</f>
        <v>#REF!</v>
      </c>
      <c r="I1849" s="87"/>
      <c r="J1849" s="87" t="e">
        <f>H1849*I1849</f>
        <v>#REF!</v>
      </c>
      <c r="K1849" s="87"/>
      <c r="L1849" s="87" t="e">
        <f>J1849*K1849</f>
        <v>#REF!</v>
      </c>
    </row>
    <row r="1850" spans="1:12" ht="12" customHeight="1" x14ac:dyDescent="0.35">
      <c r="B1850" s="84"/>
      <c r="C1850" s="85"/>
      <c r="D1850" s="84"/>
      <c r="E1850" s="84"/>
      <c r="F1850" s="128"/>
      <c r="G1850" s="87"/>
      <c r="H1850" s="87">
        <f>F1850*G1850</f>
        <v>0</v>
      </c>
      <c r="I1850" s="87"/>
      <c r="J1850" s="87"/>
      <c r="K1850" s="87"/>
      <c r="L1850" s="87"/>
    </row>
    <row r="1851" spans="1:12" ht="12" customHeight="1" x14ac:dyDescent="0.35">
      <c r="B1851" s="84"/>
      <c r="C1851" s="88"/>
      <c r="D1851" s="79"/>
      <c r="E1851" s="79"/>
      <c r="F1851" s="89" t="s">
        <v>425</v>
      </c>
      <c r="G1851" s="101"/>
      <c r="H1851" s="87" t="e">
        <f>SUM(H1849:H1850)</f>
        <v>#REF!</v>
      </c>
      <c r="I1851" s="101"/>
      <c r="J1851" s="87" t="e">
        <f>SUM(J1849)</f>
        <v>#REF!</v>
      </c>
      <c r="K1851" s="101"/>
      <c r="L1851" s="87" t="e">
        <f>SUM(L1849)</f>
        <v>#REF!</v>
      </c>
    </row>
    <row r="1852" spans="1:12" ht="12" customHeight="1" x14ac:dyDescent="0.35">
      <c r="B1852" s="84" t="s">
        <v>8</v>
      </c>
      <c r="C1852" s="103" t="s">
        <v>426</v>
      </c>
      <c r="D1852" s="104"/>
      <c r="E1852" s="104"/>
      <c r="F1852" s="104"/>
      <c r="G1852" s="105"/>
      <c r="H1852" s="87" t="e">
        <f>H1841+H1847+H1851</f>
        <v>#REF!</v>
      </c>
      <c r="I1852" s="105"/>
      <c r="J1852" s="87" t="e">
        <f>J1841+J1847+J1851</f>
        <v>#REF!</v>
      </c>
      <c r="K1852" s="105"/>
      <c r="L1852" s="87" t="e">
        <f>L1841+L1847+L1851</f>
        <v>#REF!</v>
      </c>
    </row>
    <row r="1853" spans="1:12" ht="12" customHeight="1" x14ac:dyDescent="0.35">
      <c r="B1853" s="84" t="s">
        <v>9</v>
      </c>
      <c r="C1853" s="455" t="s">
        <v>427</v>
      </c>
      <c r="D1853" s="455"/>
      <c r="E1853" s="455"/>
      <c r="F1853" s="95" t="str">
        <f>OP</f>
        <v>TANJUNG PALAS TENGAH</v>
      </c>
      <c r="G1853" s="85" t="s">
        <v>428</v>
      </c>
      <c r="H1853" s="87" t="e">
        <f>H1852*F1853</f>
        <v>#REF!</v>
      </c>
      <c r="I1853" s="85" t="s">
        <v>428</v>
      </c>
      <c r="J1853" s="87" t="e">
        <f>J1852*F1853</f>
        <v>#REF!</v>
      </c>
      <c r="K1853" s="85" t="s">
        <v>428</v>
      </c>
      <c r="L1853" s="87" t="e">
        <f>L1852*F1853</f>
        <v>#REF!</v>
      </c>
    </row>
    <row r="1854" spans="1:12" ht="12" customHeight="1" x14ac:dyDescent="0.35">
      <c r="B1854" s="84" t="s">
        <v>10</v>
      </c>
      <c r="C1854" s="103" t="s">
        <v>429</v>
      </c>
      <c r="D1854" s="104"/>
      <c r="E1854" s="104"/>
      <c r="F1854" s="104"/>
      <c r="G1854" s="105"/>
      <c r="H1854" s="96" t="e">
        <f>H1852+H1853</f>
        <v>#REF!</v>
      </c>
      <c r="I1854" s="97"/>
      <c r="J1854" s="96" t="e">
        <f>J1852+J1853</f>
        <v>#REF!</v>
      </c>
      <c r="K1854" s="97"/>
      <c r="L1854" s="96" t="e">
        <f>L1852+L1853</f>
        <v>#REF!</v>
      </c>
    </row>
    <row r="1856" spans="1:12" ht="37" customHeight="1" x14ac:dyDescent="0.35">
      <c r="B1856" s="76" t="s">
        <v>643</v>
      </c>
      <c r="C1856" s="458" t="s">
        <v>654</v>
      </c>
      <c r="D1856" s="459"/>
      <c r="E1856" s="459"/>
      <c r="F1856" s="459"/>
      <c r="G1856" s="456"/>
      <c r="H1856" s="457"/>
      <c r="I1856" s="455" t="s">
        <v>3</v>
      </c>
      <c r="J1856" s="455"/>
      <c r="K1856" s="455" t="s">
        <v>4</v>
      </c>
      <c r="L1856" s="455"/>
    </row>
    <row r="1857" spans="1:12" ht="12" customHeight="1" x14ac:dyDescent="0.35">
      <c r="B1857" s="451" t="s">
        <v>409</v>
      </c>
      <c r="C1857" s="451" t="s">
        <v>410</v>
      </c>
      <c r="D1857" s="452" t="s">
        <v>411</v>
      </c>
      <c r="E1857" s="451" t="s">
        <v>412</v>
      </c>
      <c r="F1857" s="451" t="s">
        <v>413</v>
      </c>
      <c r="G1857" s="77" t="s">
        <v>414</v>
      </c>
      <c r="H1857" s="77" t="s">
        <v>415</v>
      </c>
      <c r="I1857" s="78" t="s">
        <v>414</v>
      </c>
      <c r="J1857" s="79" t="s">
        <v>415</v>
      </c>
      <c r="K1857" s="79" t="s">
        <v>414</v>
      </c>
      <c r="L1857" s="79" t="s">
        <v>415</v>
      </c>
    </row>
    <row r="1858" spans="1:12" ht="12" customHeight="1" x14ac:dyDescent="0.35">
      <c r="B1858" s="451"/>
      <c r="C1858" s="451"/>
      <c r="D1858" s="453"/>
      <c r="E1858" s="451"/>
      <c r="F1858" s="451"/>
      <c r="G1858" s="77" t="s">
        <v>17</v>
      </c>
      <c r="H1858" s="77" t="s">
        <v>416</v>
      </c>
      <c r="I1858" s="78" t="s">
        <v>17</v>
      </c>
      <c r="J1858" s="79" t="s">
        <v>416</v>
      </c>
      <c r="K1858" s="79" t="s">
        <v>17</v>
      </c>
      <c r="L1858" s="79" t="s">
        <v>416</v>
      </c>
    </row>
    <row r="1859" spans="1:12" ht="12" customHeight="1" x14ac:dyDescent="0.35">
      <c r="B1859" s="451"/>
      <c r="C1859" s="451"/>
      <c r="D1859" s="454"/>
      <c r="E1859" s="451"/>
      <c r="F1859" s="451"/>
      <c r="G1859" s="106"/>
      <c r="H1859" s="77" t="s">
        <v>17</v>
      </c>
      <c r="I1859" s="94"/>
      <c r="J1859" s="79" t="s">
        <v>17</v>
      </c>
      <c r="K1859" s="85"/>
      <c r="L1859" s="79" t="s">
        <v>17</v>
      </c>
    </row>
    <row r="1860" spans="1:12" ht="12" customHeight="1" x14ac:dyDescent="0.35">
      <c r="B1860" s="80" t="s">
        <v>5</v>
      </c>
      <c r="C1860" s="81" t="s">
        <v>417</v>
      </c>
      <c r="D1860" s="82"/>
      <c r="E1860" s="82"/>
      <c r="F1860" s="82"/>
      <c r="G1860" s="82"/>
      <c r="H1860" s="82"/>
      <c r="I1860" s="83"/>
      <c r="J1860" s="83"/>
      <c r="K1860" s="83"/>
      <c r="L1860" s="83"/>
    </row>
    <row r="1861" spans="1:12" ht="12" customHeight="1" x14ac:dyDescent="0.35">
      <c r="A1861" s="134">
        <v>10130000</v>
      </c>
      <c r="B1861" s="84"/>
      <c r="C1861" s="85" t="str">
        <f>VLOOKUP(A1861,'DAFTAR HARGA'!A:D,3,FALSE)</f>
        <v>OH</v>
      </c>
      <c r="D1861" s="84" t="s">
        <v>418</v>
      </c>
      <c r="E1861" s="84">
        <f>VLOOKUP(A1861,'DAFTAR HARGA'!A:D,4,FALSE)</f>
        <v>115000</v>
      </c>
      <c r="F1861" s="128">
        <v>1.7743</v>
      </c>
      <c r="G1861" s="87" t="e">
        <f>VLOOKUP(A1861,'DAFTAR HARGA'!A:D,5,FALSE)</f>
        <v>#REF!</v>
      </c>
      <c r="H1861" s="87" t="e">
        <f>F1861*G1861</f>
        <v>#REF!</v>
      </c>
      <c r="I1861" s="87">
        <v>91500</v>
      </c>
      <c r="J1861" s="87">
        <f>F1861*I1861</f>
        <v>162348.45000000001</v>
      </c>
      <c r="K1861" s="87">
        <v>91500</v>
      </c>
      <c r="L1861" s="87">
        <f>F1861*K1861</f>
        <v>162348.45000000001</v>
      </c>
    </row>
    <row r="1862" spans="1:12" ht="12" customHeight="1" x14ac:dyDescent="0.35">
      <c r="A1862" s="134">
        <v>10143000</v>
      </c>
      <c r="B1862" s="84"/>
      <c r="C1862" s="85" t="str">
        <f>VLOOKUP(A1862,'DAFTAR HARGA'!A:D,3,FALSE)</f>
        <v>OH</v>
      </c>
      <c r="D1862" s="84" t="s">
        <v>418</v>
      </c>
      <c r="E1862" s="84">
        <f>VLOOKUP(A1862,'DAFTAR HARGA'!A:D,4,FALSE)</f>
        <v>236600</v>
      </c>
      <c r="F1862" s="128">
        <v>0.8871</v>
      </c>
      <c r="G1862" s="87" t="e">
        <f>VLOOKUP(A1862,'DAFTAR HARGA'!A:D,5,FALSE)</f>
        <v>#REF!</v>
      </c>
      <c r="H1862" s="87" t="e">
        <f>F1862*G1862</f>
        <v>#REF!</v>
      </c>
      <c r="I1862" s="87"/>
      <c r="J1862" s="87"/>
      <c r="K1862" s="87"/>
      <c r="L1862" s="87"/>
    </row>
    <row r="1863" spans="1:12" ht="12" customHeight="1" x14ac:dyDescent="0.35">
      <c r="A1863" s="134">
        <v>10110000</v>
      </c>
      <c r="B1863" s="84"/>
      <c r="C1863" s="85" t="str">
        <f>VLOOKUP(A1863,'DAFTAR HARGA'!A:D,3,FALSE)</f>
        <v>OH</v>
      </c>
      <c r="D1863" s="84" t="s">
        <v>418</v>
      </c>
      <c r="E1863" s="84">
        <f>VLOOKUP(A1863,'DAFTAR HARGA'!A:D,4,FALSE)</f>
        <v>150000</v>
      </c>
      <c r="F1863" s="128">
        <f>F1861/10</f>
        <v>0.17743</v>
      </c>
      <c r="G1863" s="87" t="e">
        <f>VLOOKUP(A1863,'DAFTAR HARGA'!A:D,5,FALSE)</f>
        <v>#REF!</v>
      </c>
      <c r="H1863" s="87" t="e">
        <f>F1863*G1863</f>
        <v>#REF!</v>
      </c>
      <c r="I1863" s="87">
        <v>78600</v>
      </c>
      <c r="J1863" s="87">
        <f>F1863*I1863</f>
        <v>13945.998</v>
      </c>
      <c r="K1863" s="87">
        <v>78600</v>
      </c>
      <c r="L1863" s="87">
        <f>F1863*K1863</f>
        <v>13945.998</v>
      </c>
    </row>
    <row r="1864" spans="1:12" ht="12" customHeight="1" x14ac:dyDescent="0.35">
      <c r="B1864" s="84"/>
      <c r="C1864" s="85"/>
      <c r="D1864" s="84"/>
      <c r="E1864" s="84"/>
      <c r="F1864" s="86"/>
      <c r="G1864" s="87"/>
      <c r="H1864" s="87">
        <f>F1864*G1864</f>
        <v>0</v>
      </c>
      <c r="I1864" s="87">
        <v>92500</v>
      </c>
      <c r="J1864" s="87">
        <f>F1864*I1864</f>
        <v>0</v>
      </c>
      <c r="K1864" s="87">
        <v>92500</v>
      </c>
      <c r="L1864" s="87">
        <f>F1864*K1864</f>
        <v>0</v>
      </c>
    </row>
    <row r="1865" spans="1:12" ht="12" customHeight="1" x14ac:dyDescent="0.35">
      <c r="B1865" s="84"/>
      <c r="C1865" s="85"/>
      <c r="D1865" s="84"/>
      <c r="E1865" s="84"/>
      <c r="F1865" s="86"/>
      <c r="G1865" s="87"/>
      <c r="H1865" s="87"/>
      <c r="I1865" s="87"/>
      <c r="J1865" s="87"/>
      <c r="K1865" s="87"/>
      <c r="L1865" s="87"/>
    </row>
    <row r="1866" spans="1:12" ht="12" customHeight="1" x14ac:dyDescent="0.35">
      <c r="B1866" s="84"/>
      <c r="C1866" s="88"/>
      <c r="D1866" s="79"/>
      <c r="E1866" s="79"/>
      <c r="F1866" s="89" t="s">
        <v>421</v>
      </c>
      <c r="G1866" s="101"/>
      <c r="H1866" s="87" t="e">
        <f>SUM(H1861:H1865)</f>
        <v>#REF!</v>
      </c>
      <c r="I1866" s="101"/>
      <c r="J1866" s="87">
        <f>SUM(J1863:J1865)</f>
        <v>13945.998</v>
      </c>
      <c r="K1866" s="101"/>
      <c r="L1866" s="87">
        <f>SUM(L1863:L1865)</f>
        <v>13945.998</v>
      </c>
    </row>
    <row r="1867" spans="1:12" ht="12" customHeight="1" x14ac:dyDescent="0.35">
      <c r="B1867" s="84" t="s">
        <v>6</v>
      </c>
      <c r="C1867" s="88" t="s">
        <v>422</v>
      </c>
      <c r="D1867" s="79"/>
      <c r="E1867" s="79"/>
      <c r="F1867" s="90"/>
      <c r="G1867" s="84"/>
      <c r="H1867" s="87"/>
      <c r="I1867" s="84"/>
      <c r="J1867" s="87"/>
      <c r="K1867" s="84"/>
      <c r="L1867" s="87"/>
    </row>
    <row r="1868" spans="1:12" ht="12" customHeight="1" x14ac:dyDescent="0.35">
      <c r="A1868" s="134">
        <v>211100111</v>
      </c>
      <c r="B1868" s="84"/>
      <c r="C1868" s="85" t="str">
        <f>VLOOKUP(A1868,'DAFTAR HARGA'!A:D,3,FALSE)</f>
        <v>bh</v>
      </c>
      <c r="D1868" s="84" t="s">
        <v>418</v>
      </c>
      <c r="E1868" s="84">
        <f>VLOOKUP(A1868,'DAFTAR HARGA'!A:D,4,FALSE)</f>
        <v>680</v>
      </c>
      <c r="F1868" s="128">
        <v>512</v>
      </c>
      <c r="G1868" s="87" t="e">
        <f>VLOOKUP(A1868,'DAFTAR HARGA'!A:D,5,FALSE)</f>
        <v>#REF!</v>
      </c>
      <c r="H1868" s="87" t="e">
        <f>F1868*G1868</f>
        <v>#REF!</v>
      </c>
      <c r="I1868" s="87">
        <v>232500</v>
      </c>
      <c r="J1868" s="87">
        <f>F1868*I1868</f>
        <v>119040000</v>
      </c>
      <c r="K1868" s="87">
        <v>270000</v>
      </c>
      <c r="L1868" s="87">
        <f>F1868*K1868</f>
        <v>138240000</v>
      </c>
    </row>
    <row r="1869" spans="1:12" ht="12" customHeight="1" x14ac:dyDescent="0.35">
      <c r="A1869" s="134">
        <v>211100113</v>
      </c>
      <c r="B1869" s="84"/>
      <c r="C1869" s="85" t="str">
        <f>VLOOKUP(A1869,'DAFTAR HARGA'!A:D,3,FALSE)</f>
        <v>m³</v>
      </c>
      <c r="D1869" s="84" t="s">
        <v>418</v>
      </c>
      <c r="E1869" s="84">
        <f>VLOOKUP(A1869,'DAFTAR HARGA'!A:D,4,FALSE)</f>
        <v>217500</v>
      </c>
      <c r="F1869" s="128">
        <v>0.26290000000000002</v>
      </c>
      <c r="G1869" s="87" t="e">
        <f>VLOOKUP(A1869,'DAFTAR HARGA'!A:D,5,FALSE)</f>
        <v>#REF!</v>
      </c>
      <c r="H1869" s="87" t="e">
        <f>F1869*G1869</f>
        <v>#REF!</v>
      </c>
      <c r="I1869" s="87">
        <v>1060</v>
      </c>
      <c r="J1869" s="87">
        <f>F1869*I1869</f>
        <v>278.67400000000004</v>
      </c>
      <c r="K1869" s="87">
        <v>1060</v>
      </c>
      <c r="L1869" s="87">
        <f>F1869*K1869</f>
        <v>278.67400000000004</v>
      </c>
    </row>
    <row r="1870" spans="1:12" ht="12" customHeight="1" x14ac:dyDescent="0.35">
      <c r="A1870" s="134">
        <v>21301000</v>
      </c>
      <c r="B1870" s="84"/>
      <c r="C1870" s="85" t="str">
        <f>VLOOKUP(A1870,'DAFTAR HARGA'!A:D,3,FALSE)</f>
        <v>Kg</v>
      </c>
      <c r="D1870" s="84" t="s">
        <v>418</v>
      </c>
      <c r="E1870" s="84">
        <f>VLOOKUP(A1870,'DAFTAR HARGA'!A:D,4,FALSE)</f>
        <v>1350</v>
      </c>
      <c r="F1870" s="128">
        <v>168</v>
      </c>
      <c r="G1870" s="87" t="e">
        <f>VLOOKUP(A1870,'DAFTAR HARGA'!A:D,5,FALSE)</f>
        <v>#REF!</v>
      </c>
      <c r="H1870" s="87" t="e">
        <f>F1870*G1870</f>
        <v>#REF!</v>
      </c>
      <c r="I1870" s="87">
        <v>215000</v>
      </c>
      <c r="J1870" s="87">
        <f>F1870*I1870</f>
        <v>36120000</v>
      </c>
      <c r="K1870" s="87">
        <v>250000</v>
      </c>
      <c r="L1870" s="87">
        <f>F1870*K1870</f>
        <v>42000000</v>
      </c>
    </row>
    <row r="1871" spans="1:12" ht="12" customHeight="1" x14ac:dyDescent="0.35">
      <c r="B1871" s="84"/>
      <c r="C1871" s="85"/>
      <c r="D1871" s="84"/>
      <c r="E1871" s="84"/>
      <c r="F1871" s="128"/>
      <c r="G1871" s="87"/>
      <c r="H1871" s="87"/>
      <c r="I1871" s="87"/>
      <c r="J1871" s="87"/>
      <c r="K1871" s="87"/>
      <c r="L1871" s="87"/>
    </row>
    <row r="1872" spans="1:12" ht="12" customHeight="1" x14ac:dyDescent="0.35">
      <c r="B1872" s="84"/>
      <c r="C1872" s="88"/>
      <c r="D1872" s="79"/>
      <c r="E1872" s="79"/>
      <c r="F1872" s="129" t="s">
        <v>423</v>
      </c>
      <c r="G1872" s="129"/>
      <c r="H1872" s="87" t="e">
        <f>SUM(H1868:H1871)</f>
        <v>#REF!</v>
      </c>
      <c r="I1872" s="101"/>
      <c r="J1872" s="87" t="e">
        <f>SUM(#REF!)</f>
        <v>#REF!</v>
      </c>
      <c r="K1872" s="101"/>
      <c r="L1872" s="87" t="e">
        <f>SUM(#REF!)</f>
        <v>#REF!</v>
      </c>
    </row>
    <row r="1873" spans="1:12" ht="12" customHeight="1" x14ac:dyDescent="0.35">
      <c r="B1873" s="84" t="s">
        <v>7</v>
      </c>
      <c r="C1873" s="88" t="s">
        <v>424</v>
      </c>
      <c r="D1873" s="79"/>
      <c r="E1873" s="79"/>
      <c r="F1873" s="90"/>
      <c r="G1873" s="84"/>
      <c r="H1873" s="87"/>
      <c r="I1873" s="84"/>
      <c r="J1873" s="87"/>
      <c r="K1873" s="84"/>
      <c r="L1873" s="87"/>
    </row>
    <row r="1874" spans="1:12" ht="12" customHeight="1" x14ac:dyDescent="0.35">
      <c r="A1874" s="134">
        <v>31100004</v>
      </c>
      <c r="B1874" s="84"/>
      <c r="C1874" s="85" t="str">
        <f>VLOOKUP(A1874,'DAFTAR HARGA'!A:D,3,FALSE)</f>
        <v>hari</v>
      </c>
      <c r="D1874" s="84" t="s">
        <v>418</v>
      </c>
      <c r="E1874" s="84">
        <f>VLOOKUP(A1874,'DAFTAR HARGA'!A:D,4,FALSE)</f>
        <v>1151000</v>
      </c>
      <c r="F1874" s="128">
        <v>5.8999999999999997E-2</v>
      </c>
      <c r="G1874" s="87" t="e">
        <f>VLOOKUP(A1874,'DAFTAR HARGA'!A:D,5,FALSE)</f>
        <v>#REF!</v>
      </c>
      <c r="H1874" s="87" t="e">
        <f>F1874*G1874</f>
        <v>#REF!</v>
      </c>
      <c r="I1874" s="87"/>
      <c r="J1874" s="87" t="e">
        <f>H1874*I1874</f>
        <v>#REF!</v>
      </c>
      <c r="K1874" s="87"/>
      <c r="L1874" s="87" t="e">
        <f>J1874*K1874</f>
        <v>#REF!</v>
      </c>
    </row>
    <row r="1875" spans="1:12" ht="12" customHeight="1" x14ac:dyDescent="0.35">
      <c r="B1875" s="84"/>
      <c r="C1875" s="85"/>
      <c r="D1875" s="84"/>
      <c r="E1875" s="84"/>
      <c r="F1875" s="128"/>
      <c r="G1875" s="87"/>
      <c r="H1875" s="87">
        <f>F1875*G1875</f>
        <v>0</v>
      </c>
      <c r="I1875" s="87"/>
      <c r="J1875" s="87"/>
      <c r="K1875" s="87"/>
      <c r="L1875" s="87"/>
    </row>
    <row r="1876" spans="1:12" ht="12" customHeight="1" x14ac:dyDescent="0.35">
      <c r="B1876" s="84"/>
      <c r="C1876" s="88"/>
      <c r="D1876" s="79"/>
      <c r="E1876" s="79"/>
      <c r="F1876" s="89" t="s">
        <v>425</v>
      </c>
      <c r="G1876" s="101"/>
      <c r="H1876" s="87" t="e">
        <f>SUM(H1874:H1875)</f>
        <v>#REF!</v>
      </c>
      <c r="I1876" s="101"/>
      <c r="J1876" s="87" t="e">
        <f>SUM(J1874)</f>
        <v>#REF!</v>
      </c>
      <c r="K1876" s="101"/>
      <c r="L1876" s="87" t="e">
        <f>SUM(L1874)</f>
        <v>#REF!</v>
      </c>
    </row>
    <row r="1877" spans="1:12" ht="12" customHeight="1" x14ac:dyDescent="0.35">
      <c r="B1877" s="84" t="s">
        <v>8</v>
      </c>
      <c r="C1877" s="103" t="s">
        <v>426</v>
      </c>
      <c r="D1877" s="104"/>
      <c r="E1877" s="104"/>
      <c r="F1877" s="104"/>
      <c r="G1877" s="105"/>
      <c r="H1877" s="87" t="e">
        <f>H1866+H1872+H1876</f>
        <v>#REF!</v>
      </c>
      <c r="I1877" s="105"/>
      <c r="J1877" s="87" t="e">
        <f>J1866+J1872+J1876</f>
        <v>#REF!</v>
      </c>
      <c r="K1877" s="105"/>
      <c r="L1877" s="87" t="e">
        <f>L1866+L1872+L1876</f>
        <v>#REF!</v>
      </c>
    </row>
    <row r="1878" spans="1:12" ht="12" customHeight="1" x14ac:dyDescent="0.35">
      <c r="B1878" s="84" t="s">
        <v>9</v>
      </c>
      <c r="C1878" s="455" t="s">
        <v>427</v>
      </c>
      <c r="D1878" s="455"/>
      <c r="E1878" s="455"/>
      <c r="F1878" s="95" t="str">
        <f>OP</f>
        <v>TANJUNG PALAS TENGAH</v>
      </c>
      <c r="G1878" s="85" t="s">
        <v>428</v>
      </c>
      <c r="H1878" s="87" t="e">
        <f>H1877*F1878</f>
        <v>#REF!</v>
      </c>
      <c r="I1878" s="85" t="s">
        <v>428</v>
      </c>
      <c r="J1878" s="87" t="e">
        <f>J1877*F1878</f>
        <v>#REF!</v>
      </c>
      <c r="K1878" s="85" t="s">
        <v>428</v>
      </c>
      <c r="L1878" s="87" t="e">
        <f>L1877*F1878</f>
        <v>#REF!</v>
      </c>
    </row>
    <row r="1879" spans="1:12" ht="12" customHeight="1" x14ac:dyDescent="0.35">
      <c r="B1879" s="84" t="s">
        <v>10</v>
      </c>
      <c r="C1879" s="103" t="s">
        <v>429</v>
      </c>
      <c r="D1879" s="104"/>
      <c r="E1879" s="104"/>
      <c r="F1879" s="104"/>
      <c r="G1879" s="105"/>
      <c r="H1879" s="96" t="e">
        <f>H1877+H1878</f>
        <v>#REF!</v>
      </c>
      <c r="I1879" s="97"/>
      <c r="J1879" s="96" t="e">
        <f>J1877+J1878</f>
        <v>#REF!</v>
      </c>
      <c r="K1879" s="97"/>
      <c r="L1879" s="96" t="e">
        <f>L1877+L1878</f>
        <v>#REF!</v>
      </c>
    </row>
    <row r="1881" spans="1:12" ht="37" customHeight="1" x14ac:dyDescent="0.35">
      <c r="B1881" s="76" t="s">
        <v>655</v>
      </c>
      <c r="C1881" s="458" t="s">
        <v>657</v>
      </c>
      <c r="D1881" s="459"/>
      <c r="E1881" s="459"/>
      <c r="F1881" s="459"/>
      <c r="G1881" s="456"/>
      <c r="H1881" s="457"/>
      <c r="I1881" s="455" t="s">
        <v>3</v>
      </c>
      <c r="J1881" s="455"/>
      <c r="K1881" s="455" t="s">
        <v>4</v>
      </c>
      <c r="L1881" s="455"/>
    </row>
    <row r="1882" spans="1:12" ht="12" customHeight="1" x14ac:dyDescent="0.35">
      <c r="B1882" s="451" t="s">
        <v>409</v>
      </c>
      <c r="C1882" s="451" t="s">
        <v>410</v>
      </c>
      <c r="D1882" s="452" t="s">
        <v>411</v>
      </c>
      <c r="E1882" s="451" t="s">
        <v>412</v>
      </c>
      <c r="F1882" s="451" t="s">
        <v>413</v>
      </c>
      <c r="G1882" s="77" t="s">
        <v>414</v>
      </c>
      <c r="H1882" s="77" t="s">
        <v>415</v>
      </c>
      <c r="I1882" s="78" t="s">
        <v>414</v>
      </c>
      <c r="J1882" s="79" t="s">
        <v>415</v>
      </c>
      <c r="K1882" s="79" t="s">
        <v>414</v>
      </c>
      <c r="L1882" s="79" t="s">
        <v>415</v>
      </c>
    </row>
    <row r="1883" spans="1:12" ht="12" customHeight="1" x14ac:dyDescent="0.35">
      <c r="B1883" s="451"/>
      <c r="C1883" s="451"/>
      <c r="D1883" s="453"/>
      <c r="E1883" s="451"/>
      <c r="F1883" s="451"/>
      <c r="G1883" s="77" t="s">
        <v>17</v>
      </c>
      <c r="H1883" s="77" t="s">
        <v>416</v>
      </c>
      <c r="I1883" s="78" t="s">
        <v>17</v>
      </c>
      <c r="J1883" s="79" t="s">
        <v>416</v>
      </c>
      <c r="K1883" s="79" t="s">
        <v>17</v>
      </c>
      <c r="L1883" s="79" t="s">
        <v>416</v>
      </c>
    </row>
    <row r="1884" spans="1:12" ht="12" customHeight="1" x14ac:dyDescent="0.35">
      <c r="B1884" s="451"/>
      <c r="C1884" s="451"/>
      <c r="D1884" s="454"/>
      <c r="E1884" s="451"/>
      <c r="F1884" s="451"/>
      <c r="G1884" s="106"/>
      <c r="H1884" s="77" t="s">
        <v>17</v>
      </c>
      <c r="I1884" s="94"/>
      <c r="J1884" s="79" t="s">
        <v>17</v>
      </c>
      <c r="K1884" s="85"/>
      <c r="L1884" s="79" t="s">
        <v>17</v>
      </c>
    </row>
    <row r="1885" spans="1:12" ht="12" customHeight="1" x14ac:dyDescent="0.35">
      <c r="B1885" s="80" t="s">
        <v>5</v>
      </c>
      <c r="C1885" s="81" t="s">
        <v>417</v>
      </c>
      <c r="D1885" s="82"/>
      <c r="E1885" s="82"/>
      <c r="F1885" s="82"/>
      <c r="G1885" s="82"/>
      <c r="H1885" s="82"/>
      <c r="I1885" s="83"/>
      <c r="J1885" s="83"/>
      <c r="K1885" s="83"/>
      <c r="L1885" s="83"/>
    </row>
    <row r="1886" spans="1:12" ht="12" customHeight="1" x14ac:dyDescent="0.35">
      <c r="A1886" s="134">
        <v>10130000</v>
      </c>
      <c r="B1886" s="84"/>
      <c r="C1886" s="85" t="str">
        <f>VLOOKUP(A1886,'DAFTAR HARGA'!A:D,3,FALSE)</f>
        <v>OH</v>
      </c>
      <c r="D1886" s="84" t="s">
        <v>418</v>
      </c>
      <c r="E1886" s="84">
        <f>VLOOKUP(A1886,'DAFTAR HARGA'!A:D,4,FALSE)</f>
        <v>115000</v>
      </c>
      <c r="F1886" s="128">
        <v>1.35</v>
      </c>
      <c r="G1886" s="87" t="e">
        <f>VLOOKUP(A1886,'DAFTAR HARGA'!A:D,5,FALSE)</f>
        <v>#REF!</v>
      </c>
      <c r="H1886" s="87" t="e">
        <f>F1886*G1886</f>
        <v>#REF!</v>
      </c>
      <c r="I1886" s="87">
        <v>91500</v>
      </c>
      <c r="J1886" s="87">
        <f>F1886*I1886</f>
        <v>123525.00000000001</v>
      </c>
      <c r="K1886" s="87">
        <v>91500</v>
      </c>
      <c r="L1886" s="87">
        <f>F1886*K1886</f>
        <v>123525.00000000001</v>
      </c>
    </row>
    <row r="1887" spans="1:12" ht="12" customHeight="1" x14ac:dyDescent="0.35">
      <c r="A1887" s="134">
        <v>10143000</v>
      </c>
      <c r="B1887" s="84"/>
      <c r="C1887" s="85" t="str">
        <f>VLOOKUP(A1887,'DAFTAR HARGA'!A:D,3,FALSE)</f>
        <v>OH</v>
      </c>
      <c r="D1887" s="84" t="s">
        <v>418</v>
      </c>
      <c r="E1887" s="84">
        <f>VLOOKUP(A1887,'DAFTAR HARGA'!A:D,4,FALSE)</f>
        <v>236600</v>
      </c>
      <c r="F1887" s="128">
        <v>0.67500000000000004</v>
      </c>
      <c r="G1887" s="87" t="e">
        <f>VLOOKUP(A1887,'DAFTAR HARGA'!A:D,5,FALSE)</f>
        <v>#REF!</v>
      </c>
      <c r="H1887" s="87" t="e">
        <f>F1887*G1887</f>
        <v>#REF!</v>
      </c>
      <c r="I1887" s="87"/>
      <c r="J1887" s="87"/>
      <c r="K1887" s="87"/>
      <c r="L1887" s="87"/>
    </row>
    <row r="1888" spans="1:12" ht="12" customHeight="1" x14ac:dyDescent="0.35">
      <c r="A1888" s="134">
        <v>10110000</v>
      </c>
      <c r="B1888" s="84"/>
      <c r="C1888" s="85" t="str">
        <f>VLOOKUP(A1888,'DAFTAR HARGA'!A:D,3,FALSE)</f>
        <v>OH</v>
      </c>
      <c r="D1888" s="84" t="s">
        <v>418</v>
      </c>
      <c r="E1888" s="84">
        <f>VLOOKUP(A1888,'DAFTAR HARGA'!A:D,4,FALSE)</f>
        <v>150000</v>
      </c>
      <c r="F1888" s="128">
        <f>F1886/10</f>
        <v>0.13500000000000001</v>
      </c>
      <c r="G1888" s="87" t="e">
        <f>VLOOKUP(A1888,'DAFTAR HARGA'!A:D,5,FALSE)</f>
        <v>#REF!</v>
      </c>
      <c r="H1888" s="87" t="e">
        <f>F1888*G1888</f>
        <v>#REF!</v>
      </c>
      <c r="I1888" s="87">
        <v>78600</v>
      </c>
      <c r="J1888" s="87">
        <f>F1888*I1888</f>
        <v>10611</v>
      </c>
      <c r="K1888" s="87">
        <v>78600</v>
      </c>
      <c r="L1888" s="87">
        <f>F1888*K1888</f>
        <v>10611</v>
      </c>
    </row>
    <row r="1889" spans="1:12" ht="12" customHeight="1" x14ac:dyDescent="0.35">
      <c r="B1889" s="84"/>
      <c r="C1889" s="85"/>
      <c r="D1889" s="84"/>
      <c r="E1889" s="84"/>
      <c r="F1889" s="86"/>
      <c r="G1889" s="87"/>
      <c r="H1889" s="87">
        <f>F1889*G1889</f>
        <v>0</v>
      </c>
      <c r="I1889" s="87">
        <v>92500</v>
      </c>
      <c r="J1889" s="87">
        <f>F1889*I1889</f>
        <v>0</v>
      </c>
      <c r="K1889" s="87">
        <v>92500</v>
      </c>
      <c r="L1889" s="87">
        <f>F1889*K1889</f>
        <v>0</v>
      </c>
    </row>
    <row r="1890" spans="1:12" ht="12" customHeight="1" x14ac:dyDescent="0.35">
      <c r="B1890" s="84"/>
      <c r="C1890" s="85"/>
      <c r="D1890" s="84"/>
      <c r="E1890" s="84"/>
      <c r="F1890" s="86"/>
      <c r="G1890" s="87"/>
      <c r="H1890" s="87"/>
      <c r="I1890" s="87"/>
      <c r="J1890" s="87"/>
      <c r="K1890" s="87"/>
      <c r="L1890" s="87"/>
    </row>
    <row r="1891" spans="1:12" ht="12" customHeight="1" x14ac:dyDescent="0.35">
      <c r="B1891" s="84"/>
      <c r="C1891" s="88"/>
      <c r="D1891" s="79"/>
      <c r="E1891" s="79"/>
      <c r="F1891" s="89" t="s">
        <v>421</v>
      </c>
      <c r="G1891" s="101"/>
      <c r="H1891" s="87" t="e">
        <f>SUM(H1886:H1890)</f>
        <v>#REF!</v>
      </c>
      <c r="I1891" s="101"/>
      <c r="J1891" s="87">
        <f>SUM(J1888:J1890)</f>
        <v>10611</v>
      </c>
      <c r="K1891" s="101"/>
      <c r="L1891" s="87">
        <f>SUM(L1888:L1890)</f>
        <v>10611</v>
      </c>
    </row>
    <row r="1892" spans="1:12" ht="12" customHeight="1" x14ac:dyDescent="0.35">
      <c r="B1892" s="84" t="s">
        <v>6</v>
      </c>
      <c r="C1892" s="88" t="s">
        <v>422</v>
      </c>
      <c r="D1892" s="79"/>
      <c r="E1892" s="79"/>
      <c r="F1892" s="90"/>
      <c r="G1892" s="84"/>
      <c r="H1892" s="87"/>
      <c r="I1892" s="84"/>
      <c r="J1892" s="87"/>
      <c r="K1892" s="84"/>
      <c r="L1892" s="87"/>
    </row>
    <row r="1893" spans="1:12" ht="12" customHeight="1" x14ac:dyDescent="0.35">
      <c r="A1893" s="134">
        <v>211100111</v>
      </c>
      <c r="B1893" s="84"/>
      <c r="C1893" s="85" t="str">
        <f>VLOOKUP(A1893,'DAFTAR HARGA'!A:D,3,FALSE)</f>
        <v>bh</v>
      </c>
      <c r="D1893" s="84" t="s">
        <v>418</v>
      </c>
      <c r="E1893" s="84">
        <f>VLOOKUP(A1893,'DAFTAR HARGA'!A:D,4,FALSE)</f>
        <v>680</v>
      </c>
      <c r="F1893" s="128">
        <v>512</v>
      </c>
      <c r="G1893" s="87" t="e">
        <f>VLOOKUP(A1893,'DAFTAR HARGA'!A:D,5,FALSE)</f>
        <v>#REF!</v>
      </c>
      <c r="H1893" s="87" t="e">
        <f>F1893*G1893</f>
        <v>#REF!</v>
      </c>
      <c r="I1893" s="87">
        <v>232500</v>
      </c>
      <c r="J1893" s="87">
        <f>F1893*I1893</f>
        <v>119040000</v>
      </c>
      <c r="K1893" s="87">
        <v>270000</v>
      </c>
      <c r="L1893" s="87">
        <f>F1893*K1893</f>
        <v>138240000</v>
      </c>
    </row>
    <row r="1894" spans="1:12" ht="12" customHeight="1" x14ac:dyDescent="0.35">
      <c r="A1894" s="134">
        <v>211100113</v>
      </c>
      <c r="B1894" s="84"/>
      <c r="C1894" s="85" t="str">
        <f>VLOOKUP(A1894,'DAFTAR HARGA'!A:D,3,FALSE)</f>
        <v>m³</v>
      </c>
      <c r="D1894" s="84" t="s">
        <v>418</v>
      </c>
      <c r="E1894" s="84">
        <f>VLOOKUP(A1894,'DAFTAR HARGA'!A:D,4,FALSE)</f>
        <v>217500</v>
      </c>
      <c r="F1894" s="128">
        <v>0.30599999999999999</v>
      </c>
      <c r="G1894" s="87" t="e">
        <f>VLOOKUP(A1894,'DAFTAR HARGA'!A:D,5,FALSE)</f>
        <v>#REF!</v>
      </c>
      <c r="H1894" s="87" t="e">
        <f>F1894*G1894</f>
        <v>#REF!</v>
      </c>
      <c r="I1894" s="87">
        <v>1060</v>
      </c>
      <c r="J1894" s="87">
        <f>F1894*I1894</f>
        <v>324.36</v>
      </c>
      <c r="K1894" s="87">
        <v>1060</v>
      </c>
      <c r="L1894" s="87">
        <f>F1894*K1894</f>
        <v>324.36</v>
      </c>
    </row>
    <row r="1895" spans="1:12" ht="12" customHeight="1" x14ac:dyDescent="0.35">
      <c r="A1895" s="134">
        <v>21301000</v>
      </c>
      <c r="B1895" s="84"/>
      <c r="C1895" s="85" t="str">
        <f>VLOOKUP(A1895,'DAFTAR HARGA'!A:D,3,FALSE)</f>
        <v>Kg</v>
      </c>
      <c r="D1895" s="84" t="s">
        <v>418</v>
      </c>
      <c r="E1895" s="84">
        <f>VLOOKUP(A1895,'DAFTAR HARGA'!A:D,4,FALSE)</f>
        <v>1350</v>
      </c>
      <c r="F1895" s="128">
        <v>131</v>
      </c>
      <c r="G1895" s="87" t="e">
        <f>VLOOKUP(A1895,'DAFTAR HARGA'!A:D,5,FALSE)</f>
        <v>#REF!</v>
      </c>
      <c r="H1895" s="87" t="e">
        <f>F1895*G1895</f>
        <v>#REF!</v>
      </c>
      <c r="I1895" s="87">
        <v>215000</v>
      </c>
      <c r="J1895" s="87">
        <f>F1895*I1895</f>
        <v>28165000</v>
      </c>
      <c r="K1895" s="87">
        <v>250000</v>
      </c>
      <c r="L1895" s="87">
        <f>F1895*K1895</f>
        <v>32750000</v>
      </c>
    </row>
    <row r="1896" spans="1:12" ht="12" customHeight="1" x14ac:dyDescent="0.35">
      <c r="B1896" s="84"/>
      <c r="C1896" s="85"/>
      <c r="D1896" s="84"/>
      <c r="E1896" s="84"/>
      <c r="F1896" s="128"/>
      <c r="G1896" s="87"/>
      <c r="H1896" s="87"/>
      <c r="I1896" s="87"/>
      <c r="J1896" s="87"/>
      <c r="K1896" s="87"/>
      <c r="L1896" s="87"/>
    </row>
    <row r="1897" spans="1:12" ht="12" customHeight="1" x14ac:dyDescent="0.35">
      <c r="B1897" s="84"/>
      <c r="C1897" s="88"/>
      <c r="D1897" s="79"/>
      <c r="E1897" s="79"/>
      <c r="F1897" s="129" t="s">
        <v>423</v>
      </c>
      <c r="G1897" s="129"/>
      <c r="H1897" s="87" t="e">
        <f>SUM(H1893:H1896)</f>
        <v>#REF!</v>
      </c>
      <c r="I1897" s="101"/>
      <c r="J1897" s="87" t="e">
        <f>SUM(#REF!)</f>
        <v>#REF!</v>
      </c>
      <c r="K1897" s="101"/>
      <c r="L1897" s="87" t="e">
        <f>SUM(#REF!)</f>
        <v>#REF!</v>
      </c>
    </row>
    <row r="1898" spans="1:12" ht="12" customHeight="1" x14ac:dyDescent="0.35">
      <c r="B1898" s="84" t="s">
        <v>7</v>
      </c>
      <c r="C1898" s="88" t="s">
        <v>424</v>
      </c>
      <c r="D1898" s="79"/>
      <c r="E1898" s="79"/>
      <c r="F1898" s="90"/>
      <c r="G1898" s="84"/>
      <c r="H1898" s="87"/>
      <c r="I1898" s="84"/>
      <c r="J1898" s="87"/>
      <c r="K1898" s="84"/>
      <c r="L1898" s="87"/>
    </row>
    <row r="1899" spans="1:12" ht="12" customHeight="1" x14ac:dyDescent="0.35">
      <c r="A1899" s="134">
        <v>31100004</v>
      </c>
      <c r="B1899" s="84"/>
      <c r="C1899" s="85" t="str">
        <f>VLOOKUP(A1899,'DAFTAR HARGA'!A:D,3,FALSE)</f>
        <v>hari</v>
      </c>
      <c r="D1899" s="84" t="s">
        <v>418</v>
      </c>
      <c r="E1899" s="84">
        <f>VLOOKUP(A1899,'DAFTAR HARGA'!A:D,4,FALSE)</f>
        <v>1151000</v>
      </c>
      <c r="F1899" s="128"/>
      <c r="G1899" s="87" t="e">
        <f>VLOOKUP(A1899,'DAFTAR HARGA'!A:D,5,FALSE)</f>
        <v>#REF!</v>
      </c>
      <c r="H1899" s="87" t="e">
        <f>F1899*G1899</f>
        <v>#REF!</v>
      </c>
      <c r="I1899" s="87"/>
      <c r="J1899" s="87" t="e">
        <f>H1899*I1899</f>
        <v>#REF!</v>
      </c>
      <c r="K1899" s="87"/>
      <c r="L1899" s="87" t="e">
        <f>J1899*K1899</f>
        <v>#REF!</v>
      </c>
    </row>
    <row r="1900" spans="1:12" ht="12" customHeight="1" x14ac:dyDescent="0.35">
      <c r="B1900" s="84"/>
      <c r="C1900" s="85"/>
      <c r="D1900" s="84"/>
      <c r="E1900" s="84"/>
      <c r="F1900" s="128"/>
      <c r="G1900" s="87"/>
      <c r="H1900" s="87">
        <f>F1900*G1900</f>
        <v>0</v>
      </c>
      <c r="I1900" s="87"/>
      <c r="J1900" s="87"/>
      <c r="K1900" s="87"/>
      <c r="L1900" s="87"/>
    </row>
    <row r="1901" spans="1:12" ht="12" customHeight="1" x14ac:dyDescent="0.35">
      <c r="B1901" s="84"/>
      <c r="C1901" s="88"/>
      <c r="D1901" s="79"/>
      <c r="E1901" s="79"/>
      <c r="F1901" s="89" t="s">
        <v>425</v>
      </c>
      <c r="G1901" s="101"/>
      <c r="H1901" s="87" t="e">
        <f>SUM(H1899:H1900)</f>
        <v>#REF!</v>
      </c>
      <c r="I1901" s="101"/>
      <c r="J1901" s="87" t="e">
        <f>SUM(J1899)</f>
        <v>#REF!</v>
      </c>
      <c r="K1901" s="101"/>
      <c r="L1901" s="87" t="e">
        <f>SUM(L1899)</f>
        <v>#REF!</v>
      </c>
    </row>
    <row r="1902" spans="1:12" ht="12" customHeight="1" x14ac:dyDescent="0.35">
      <c r="B1902" s="84" t="s">
        <v>8</v>
      </c>
      <c r="C1902" s="103" t="s">
        <v>426</v>
      </c>
      <c r="D1902" s="104"/>
      <c r="E1902" s="104"/>
      <c r="F1902" s="104"/>
      <c r="G1902" s="105"/>
      <c r="H1902" s="87" t="e">
        <f>H1891+H1897+H1901</f>
        <v>#REF!</v>
      </c>
      <c r="I1902" s="105"/>
      <c r="J1902" s="87" t="e">
        <f>J1891+J1897+J1901</f>
        <v>#REF!</v>
      </c>
      <c r="K1902" s="105"/>
      <c r="L1902" s="87" t="e">
        <f>L1891+L1897+L1901</f>
        <v>#REF!</v>
      </c>
    </row>
    <row r="1903" spans="1:12" ht="12" customHeight="1" x14ac:dyDescent="0.35">
      <c r="B1903" s="84" t="s">
        <v>9</v>
      </c>
      <c r="C1903" s="455" t="s">
        <v>427</v>
      </c>
      <c r="D1903" s="455"/>
      <c r="E1903" s="455"/>
      <c r="F1903" s="95" t="str">
        <f>OP</f>
        <v>TANJUNG PALAS TENGAH</v>
      </c>
      <c r="G1903" s="85" t="s">
        <v>428</v>
      </c>
      <c r="H1903" s="87" t="e">
        <f>H1902*F1903</f>
        <v>#REF!</v>
      </c>
      <c r="I1903" s="85" t="s">
        <v>428</v>
      </c>
      <c r="J1903" s="87" t="e">
        <f>J1902*F1903</f>
        <v>#REF!</v>
      </c>
      <c r="K1903" s="85" t="s">
        <v>428</v>
      </c>
      <c r="L1903" s="87" t="e">
        <f>L1902*F1903</f>
        <v>#REF!</v>
      </c>
    </row>
    <row r="1904" spans="1:12" ht="12" customHeight="1" x14ac:dyDescent="0.35">
      <c r="B1904" s="84" t="s">
        <v>10</v>
      </c>
      <c r="C1904" s="103" t="s">
        <v>429</v>
      </c>
      <c r="D1904" s="104"/>
      <c r="E1904" s="104"/>
      <c r="F1904" s="104"/>
      <c r="G1904" s="105"/>
      <c r="H1904" s="96" t="e">
        <f>H1902+H1903</f>
        <v>#REF!</v>
      </c>
      <c r="I1904" s="97"/>
      <c r="J1904" s="96" t="e">
        <f>J1902+J1903</f>
        <v>#REF!</v>
      </c>
      <c r="K1904" s="97"/>
      <c r="L1904" s="96" t="e">
        <f>L1902+L1903</f>
        <v>#REF!</v>
      </c>
    </row>
    <row r="1906" spans="1:12" ht="37" customHeight="1" x14ac:dyDescent="0.35">
      <c r="B1906" s="76" t="s">
        <v>656</v>
      </c>
      <c r="C1906" s="458" t="s">
        <v>658</v>
      </c>
      <c r="D1906" s="459"/>
      <c r="E1906" s="459"/>
      <c r="F1906" s="459"/>
      <c r="G1906" s="456"/>
      <c r="H1906" s="457"/>
      <c r="I1906" s="455" t="s">
        <v>3</v>
      </c>
      <c r="J1906" s="455"/>
      <c r="K1906" s="455" t="s">
        <v>4</v>
      </c>
      <c r="L1906" s="455"/>
    </row>
    <row r="1907" spans="1:12" ht="12" customHeight="1" x14ac:dyDescent="0.35">
      <c r="B1907" s="451" t="s">
        <v>409</v>
      </c>
      <c r="C1907" s="451" t="s">
        <v>410</v>
      </c>
      <c r="D1907" s="452" t="s">
        <v>411</v>
      </c>
      <c r="E1907" s="451" t="s">
        <v>412</v>
      </c>
      <c r="F1907" s="451" t="s">
        <v>413</v>
      </c>
      <c r="G1907" s="77" t="s">
        <v>414</v>
      </c>
      <c r="H1907" s="77" t="s">
        <v>415</v>
      </c>
      <c r="I1907" s="78" t="s">
        <v>414</v>
      </c>
      <c r="J1907" s="79" t="s">
        <v>415</v>
      </c>
      <c r="K1907" s="79" t="s">
        <v>414</v>
      </c>
      <c r="L1907" s="79" t="s">
        <v>415</v>
      </c>
    </row>
    <row r="1908" spans="1:12" ht="12" customHeight="1" x14ac:dyDescent="0.35">
      <c r="B1908" s="451"/>
      <c r="C1908" s="451"/>
      <c r="D1908" s="453"/>
      <c r="E1908" s="451"/>
      <c r="F1908" s="451"/>
      <c r="G1908" s="77" t="s">
        <v>17</v>
      </c>
      <c r="H1908" s="77" t="s">
        <v>416</v>
      </c>
      <c r="I1908" s="78" t="s">
        <v>17</v>
      </c>
      <c r="J1908" s="79" t="s">
        <v>416</v>
      </c>
      <c r="K1908" s="79" t="s">
        <v>17</v>
      </c>
      <c r="L1908" s="79" t="s">
        <v>416</v>
      </c>
    </row>
    <row r="1909" spans="1:12" ht="12" customHeight="1" x14ac:dyDescent="0.35">
      <c r="B1909" s="451"/>
      <c r="C1909" s="451"/>
      <c r="D1909" s="454"/>
      <c r="E1909" s="451"/>
      <c r="F1909" s="451"/>
      <c r="G1909" s="106"/>
      <c r="H1909" s="77" t="s">
        <v>17</v>
      </c>
      <c r="I1909" s="94"/>
      <c r="J1909" s="79" t="s">
        <v>17</v>
      </c>
      <c r="K1909" s="85"/>
      <c r="L1909" s="79" t="s">
        <v>17</v>
      </c>
    </row>
    <row r="1910" spans="1:12" ht="12" customHeight="1" x14ac:dyDescent="0.35">
      <c r="B1910" s="80" t="s">
        <v>5</v>
      </c>
      <c r="C1910" s="81" t="s">
        <v>417</v>
      </c>
      <c r="D1910" s="82"/>
      <c r="E1910" s="82"/>
      <c r="F1910" s="82"/>
      <c r="G1910" s="82"/>
      <c r="H1910" s="82"/>
      <c r="I1910" s="83"/>
      <c r="J1910" s="83"/>
      <c r="K1910" s="83"/>
      <c r="L1910" s="83"/>
    </row>
    <row r="1911" spans="1:12" ht="12" customHeight="1" x14ac:dyDescent="0.35">
      <c r="A1911" s="134">
        <v>10130000</v>
      </c>
      <c r="B1911" s="84"/>
      <c r="C1911" s="85" t="str">
        <f>VLOOKUP(A1911,'DAFTAR HARGA'!A:D,3,FALSE)</f>
        <v>OH</v>
      </c>
      <c r="D1911" s="84" t="s">
        <v>418</v>
      </c>
      <c r="E1911" s="84">
        <f>VLOOKUP(A1911,'DAFTAR HARGA'!A:D,4,FALSE)</f>
        <v>115000</v>
      </c>
      <c r="F1911" s="128">
        <v>0.85</v>
      </c>
      <c r="G1911" s="87" t="e">
        <f>VLOOKUP(A1911,'DAFTAR HARGA'!A:D,5,FALSE)</f>
        <v>#REF!</v>
      </c>
      <c r="H1911" s="87" t="e">
        <f>F1911*G1911</f>
        <v>#REF!</v>
      </c>
      <c r="I1911" s="87">
        <v>91500</v>
      </c>
      <c r="J1911" s="87">
        <f>F1911*I1911</f>
        <v>77775</v>
      </c>
      <c r="K1911" s="87">
        <v>91500</v>
      </c>
      <c r="L1911" s="87">
        <f>F1911*K1911</f>
        <v>77775</v>
      </c>
    </row>
    <row r="1912" spans="1:12" ht="12" customHeight="1" x14ac:dyDescent="0.35">
      <c r="A1912" s="134">
        <v>10143000</v>
      </c>
      <c r="B1912" s="84"/>
      <c r="C1912" s="85" t="str">
        <f>VLOOKUP(A1912,'DAFTAR HARGA'!A:D,3,FALSE)</f>
        <v>OH</v>
      </c>
      <c r="D1912" s="84" t="s">
        <v>418</v>
      </c>
      <c r="E1912" s="84">
        <f>VLOOKUP(A1912,'DAFTAR HARGA'!A:D,4,FALSE)</f>
        <v>236600</v>
      </c>
      <c r="F1912" s="128">
        <v>0.42499999999999999</v>
      </c>
      <c r="G1912" s="87" t="e">
        <f>VLOOKUP(A1912,'DAFTAR HARGA'!A:D,5,FALSE)</f>
        <v>#REF!</v>
      </c>
      <c r="H1912" s="87" t="e">
        <f>F1912*G1912</f>
        <v>#REF!</v>
      </c>
      <c r="I1912" s="87"/>
      <c r="J1912" s="87"/>
      <c r="K1912" s="87"/>
      <c r="L1912" s="87"/>
    </row>
    <row r="1913" spans="1:12" ht="12" customHeight="1" x14ac:dyDescent="0.35">
      <c r="A1913" s="134">
        <v>10110000</v>
      </c>
      <c r="B1913" s="84"/>
      <c r="C1913" s="85" t="str">
        <f>VLOOKUP(A1913,'DAFTAR HARGA'!A:D,3,FALSE)</f>
        <v>OH</v>
      </c>
      <c r="D1913" s="84" t="s">
        <v>418</v>
      </c>
      <c r="E1913" s="84">
        <f>VLOOKUP(A1913,'DAFTAR HARGA'!A:D,4,FALSE)</f>
        <v>150000</v>
      </c>
      <c r="F1913" s="128">
        <f>F1911/10</f>
        <v>8.4999999999999992E-2</v>
      </c>
      <c r="G1913" s="87" t="e">
        <f>VLOOKUP(A1913,'DAFTAR HARGA'!A:D,5,FALSE)</f>
        <v>#REF!</v>
      </c>
      <c r="H1913" s="87" t="e">
        <f>F1913*G1913</f>
        <v>#REF!</v>
      </c>
      <c r="I1913" s="87">
        <v>78600</v>
      </c>
      <c r="J1913" s="87">
        <f>F1913*I1913</f>
        <v>6680.9999999999991</v>
      </c>
      <c r="K1913" s="87">
        <v>78600</v>
      </c>
      <c r="L1913" s="87">
        <f>F1913*K1913</f>
        <v>6680.9999999999991</v>
      </c>
    </row>
    <row r="1914" spans="1:12" ht="12" customHeight="1" x14ac:dyDescent="0.35">
      <c r="B1914" s="84"/>
      <c r="C1914" s="85"/>
      <c r="D1914" s="84"/>
      <c r="E1914" s="84"/>
      <c r="F1914" s="86"/>
      <c r="G1914" s="87"/>
      <c r="H1914" s="87">
        <f>F1914*G1914</f>
        <v>0</v>
      </c>
      <c r="I1914" s="87">
        <v>92500</v>
      </c>
      <c r="J1914" s="87">
        <f>F1914*I1914</f>
        <v>0</v>
      </c>
      <c r="K1914" s="87">
        <v>92500</v>
      </c>
      <c r="L1914" s="87">
        <f>F1914*K1914</f>
        <v>0</v>
      </c>
    </row>
    <row r="1915" spans="1:12" ht="12" customHeight="1" x14ac:dyDescent="0.35">
      <c r="B1915" s="84"/>
      <c r="C1915" s="85"/>
      <c r="D1915" s="84"/>
      <c r="E1915" s="84"/>
      <c r="F1915" s="86"/>
      <c r="G1915" s="87"/>
      <c r="H1915" s="87"/>
      <c r="I1915" s="87"/>
      <c r="J1915" s="87"/>
      <c r="K1915" s="87"/>
      <c r="L1915" s="87"/>
    </row>
    <row r="1916" spans="1:12" ht="12" customHeight="1" x14ac:dyDescent="0.35">
      <c r="B1916" s="84"/>
      <c r="C1916" s="88"/>
      <c r="D1916" s="79"/>
      <c r="E1916" s="79"/>
      <c r="F1916" s="89" t="s">
        <v>421</v>
      </c>
      <c r="G1916" s="101"/>
      <c r="H1916" s="87" t="e">
        <f>SUM(H1911:H1915)</f>
        <v>#REF!</v>
      </c>
      <c r="I1916" s="101"/>
      <c r="J1916" s="87">
        <f>SUM(J1913:J1915)</f>
        <v>6680.9999999999991</v>
      </c>
      <c r="K1916" s="101"/>
      <c r="L1916" s="87">
        <f>SUM(L1913:L1915)</f>
        <v>6680.9999999999991</v>
      </c>
    </row>
    <row r="1917" spans="1:12" ht="12" customHeight="1" x14ac:dyDescent="0.35">
      <c r="B1917" s="84" t="s">
        <v>6</v>
      </c>
      <c r="C1917" s="88" t="s">
        <v>422</v>
      </c>
      <c r="D1917" s="79"/>
      <c r="E1917" s="79"/>
      <c r="F1917" s="90"/>
      <c r="G1917" s="84"/>
      <c r="H1917" s="87"/>
      <c r="I1917" s="84"/>
      <c r="J1917" s="87"/>
      <c r="K1917" s="84"/>
      <c r="L1917" s="87"/>
    </row>
    <row r="1918" spans="1:12" ht="12" customHeight="1" x14ac:dyDescent="0.35">
      <c r="A1918" s="134">
        <v>211100111</v>
      </c>
      <c r="B1918" s="84"/>
      <c r="C1918" s="85" t="str">
        <f>VLOOKUP(A1918,'DAFTAR HARGA'!A:D,3,FALSE)</f>
        <v>bh</v>
      </c>
      <c r="D1918" s="84" t="s">
        <v>418</v>
      </c>
      <c r="E1918" s="84">
        <f>VLOOKUP(A1918,'DAFTAR HARGA'!A:D,4,FALSE)</f>
        <v>680</v>
      </c>
      <c r="F1918" s="128">
        <v>512</v>
      </c>
      <c r="G1918" s="87" t="e">
        <f>VLOOKUP(A1918,'DAFTAR HARGA'!A:D,5,FALSE)</f>
        <v>#REF!</v>
      </c>
      <c r="H1918" s="87" t="e">
        <f>F1918*G1918</f>
        <v>#REF!</v>
      </c>
      <c r="I1918" s="87">
        <v>232500</v>
      </c>
      <c r="J1918" s="87">
        <f>F1918*I1918</f>
        <v>119040000</v>
      </c>
      <c r="K1918" s="87">
        <v>270000</v>
      </c>
      <c r="L1918" s="87">
        <f>F1918*K1918</f>
        <v>138240000</v>
      </c>
    </row>
    <row r="1919" spans="1:12" ht="12" customHeight="1" x14ac:dyDescent="0.35">
      <c r="A1919" s="134">
        <v>211100113</v>
      </c>
      <c r="B1919" s="84"/>
      <c r="C1919" s="85" t="str">
        <f>VLOOKUP(A1919,'DAFTAR HARGA'!A:D,3,FALSE)</f>
        <v>m³</v>
      </c>
      <c r="D1919" s="84" t="s">
        <v>418</v>
      </c>
      <c r="E1919" s="84">
        <f>VLOOKUP(A1919,'DAFTAR HARGA'!A:D,4,FALSE)</f>
        <v>217500</v>
      </c>
      <c r="F1919" s="128">
        <v>0.30599999999999999</v>
      </c>
      <c r="G1919" s="87" t="e">
        <f>VLOOKUP(A1919,'DAFTAR HARGA'!A:D,5,FALSE)</f>
        <v>#REF!</v>
      </c>
      <c r="H1919" s="87" t="e">
        <f>F1919*G1919</f>
        <v>#REF!</v>
      </c>
      <c r="I1919" s="87">
        <v>1060</v>
      </c>
      <c r="J1919" s="87">
        <f>F1919*I1919</f>
        <v>324.36</v>
      </c>
      <c r="K1919" s="87">
        <v>1060</v>
      </c>
      <c r="L1919" s="87">
        <f>F1919*K1919</f>
        <v>324.36</v>
      </c>
    </row>
    <row r="1920" spans="1:12" ht="12" customHeight="1" x14ac:dyDescent="0.35">
      <c r="A1920" s="134">
        <v>21301000</v>
      </c>
      <c r="B1920" s="84"/>
      <c r="C1920" s="85" t="str">
        <f>VLOOKUP(A1920,'DAFTAR HARGA'!A:D,3,FALSE)</f>
        <v>Kg</v>
      </c>
      <c r="D1920" s="84" t="s">
        <v>418</v>
      </c>
      <c r="E1920" s="84">
        <f>VLOOKUP(A1920,'DAFTAR HARGA'!A:D,4,FALSE)</f>
        <v>1350</v>
      </c>
      <c r="F1920" s="128">
        <v>131</v>
      </c>
      <c r="G1920" s="87" t="e">
        <f>VLOOKUP(A1920,'DAFTAR HARGA'!A:D,5,FALSE)</f>
        <v>#REF!</v>
      </c>
      <c r="H1920" s="87" t="e">
        <f>F1920*G1920</f>
        <v>#REF!</v>
      </c>
      <c r="I1920" s="87">
        <v>215000</v>
      </c>
      <c r="J1920" s="87">
        <f>F1920*I1920</f>
        <v>28165000</v>
      </c>
      <c r="K1920" s="87">
        <v>250000</v>
      </c>
      <c r="L1920" s="87">
        <f>F1920*K1920</f>
        <v>32750000</v>
      </c>
    </row>
    <row r="1921" spans="1:12" ht="12" customHeight="1" x14ac:dyDescent="0.35">
      <c r="B1921" s="84"/>
      <c r="C1921" s="85"/>
      <c r="D1921" s="84"/>
      <c r="E1921" s="84"/>
      <c r="F1921" s="128"/>
      <c r="G1921" s="87"/>
      <c r="H1921" s="87"/>
      <c r="I1921" s="87"/>
      <c r="J1921" s="87"/>
      <c r="K1921" s="87"/>
      <c r="L1921" s="87"/>
    </row>
    <row r="1922" spans="1:12" ht="12" customHeight="1" x14ac:dyDescent="0.35">
      <c r="B1922" s="84"/>
      <c r="C1922" s="88"/>
      <c r="D1922" s="79"/>
      <c r="E1922" s="79"/>
      <c r="F1922" s="129" t="s">
        <v>423</v>
      </c>
      <c r="G1922" s="129"/>
      <c r="H1922" s="87" t="e">
        <f>SUM(H1918:H1921)</f>
        <v>#REF!</v>
      </c>
      <c r="I1922" s="101"/>
      <c r="J1922" s="87" t="e">
        <f>SUM(#REF!)</f>
        <v>#REF!</v>
      </c>
      <c r="K1922" s="101"/>
      <c r="L1922" s="87" t="e">
        <f>SUM(#REF!)</f>
        <v>#REF!</v>
      </c>
    </row>
    <row r="1923" spans="1:12" ht="12" customHeight="1" x14ac:dyDescent="0.35">
      <c r="B1923" s="84" t="s">
        <v>7</v>
      </c>
      <c r="C1923" s="88" t="s">
        <v>424</v>
      </c>
      <c r="D1923" s="79"/>
      <c r="E1923" s="79"/>
      <c r="F1923" s="90"/>
      <c r="G1923" s="84"/>
      <c r="H1923" s="87"/>
      <c r="I1923" s="84"/>
      <c r="J1923" s="87"/>
      <c r="K1923" s="84"/>
      <c r="L1923" s="87"/>
    </row>
    <row r="1924" spans="1:12" ht="12" customHeight="1" x14ac:dyDescent="0.35">
      <c r="A1924" s="134">
        <v>31100004</v>
      </c>
      <c r="B1924" s="84"/>
      <c r="C1924" s="85" t="str">
        <f>VLOOKUP(A1924,'DAFTAR HARGA'!A:D,3,FALSE)</f>
        <v>hari</v>
      </c>
      <c r="D1924" s="84" t="s">
        <v>418</v>
      </c>
      <c r="E1924" s="84">
        <f>VLOOKUP(A1924,'DAFTAR HARGA'!A:D,4,FALSE)</f>
        <v>1151000</v>
      </c>
      <c r="F1924" s="128">
        <v>5.8999999999999997E-2</v>
      </c>
      <c r="G1924" s="87" t="e">
        <f>VLOOKUP(A1924,'DAFTAR HARGA'!A:D,5,FALSE)</f>
        <v>#REF!</v>
      </c>
      <c r="H1924" s="87" t="e">
        <f>F1924*G1924</f>
        <v>#REF!</v>
      </c>
      <c r="I1924" s="87"/>
      <c r="J1924" s="87" t="e">
        <f>H1924*I1924</f>
        <v>#REF!</v>
      </c>
      <c r="K1924" s="87"/>
      <c r="L1924" s="87" t="e">
        <f>J1924*K1924</f>
        <v>#REF!</v>
      </c>
    </row>
    <row r="1925" spans="1:12" ht="12" customHeight="1" x14ac:dyDescent="0.35">
      <c r="B1925" s="84"/>
      <c r="C1925" s="85"/>
      <c r="D1925" s="84"/>
      <c r="E1925" s="84"/>
      <c r="F1925" s="128"/>
      <c r="G1925" s="87"/>
      <c r="H1925" s="87">
        <f>F1925*G1925</f>
        <v>0</v>
      </c>
      <c r="I1925" s="87"/>
      <c r="J1925" s="87"/>
      <c r="K1925" s="87"/>
      <c r="L1925" s="87"/>
    </row>
    <row r="1926" spans="1:12" ht="12" customHeight="1" x14ac:dyDescent="0.35">
      <c r="B1926" s="84"/>
      <c r="C1926" s="88"/>
      <c r="D1926" s="79"/>
      <c r="E1926" s="79"/>
      <c r="F1926" s="89" t="s">
        <v>425</v>
      </c>
      <c r="G1926" s="101"/>
      <c r="H1926" s="87" t="e">
        <f>SUM(H1924:H1925)</f>
        <v>#REF!</v>
      </c>
      <c r="I1926" s="101"/>
      <c r="J1926" s="87" t="e">
        <f>SUM(J1924)</f>
        <v>#REF!</v>
      </c>
      <c r="K1926" s="101"/>
      <c r="L1926" s="87" t="e">
        <f>SUM(L1924)</f>
        <v>#REF!</v>
      </c>
    </row>
    <row r="1927" spans="1:12" ht="12" customHeight="1" x14ac:dyDescent="0.35">
      <c r="B1927" s="84" t="s">
        <v>8</v>
      </c>
      <c r="C1927" s="103" t="s">
        <v>426</v>
      </c>
      <c r="D1927" s="104"/>
      <c r="E1927" s="104"/>
      <c r="F1927" s="104"/>
      <c r="G1927" s="105"/>
      <c r="H1927" s="87" t="e">
        <f>H1916+H1922+H1926</f>
        <v>#REF!</v>
      </c>
      <c r="I1927" s="105"/>
      <c r="J1927" s="87" t="e">
        <f>J1916+J1922+J1926</f>
        <v>#REF!</v>
      </c>
      <c r="K1927" s="105"/>
      <c r="L1927" s="87" t="e">
        <f>L1916+L1922+L1926</f>
        <v>#REF!</v>
      </c>
    </row>
    <row r="1928" spans="1:12" ht="12" customHeight="1" x14ac:dyDescent="0.35">
      <c r="B1928" s="84" t="s">
        <v>9</v>
      </c>
      <c r="C1928" s="455" t="s">
        <v>427</v>
      </c>
      <c r="D1928" s="455"/>
      <c r="E1928" s="455"/>
      <c r="F1928" s="95" t="str">
        <f>OP</f>
        <v>TANJUNG PALAS TENGAH</v>
      </c>
      <c r="G1928" s="85" t="s">
        <v>428</v>
      </c>
      <c r="H1928" s="87" t="e">
        <f>H1927*F1928</f>
        <v>#REF!</v>
      </c>
      <c r="I1928" s="85" t="s">
        <v>428</v>
      </c>
      <c r="J1928" s="87" t="e">
        <f>J1927*F1928</f>
        <v>#REF!</v>
      </c>
      <c r="K1928" s="85" t="s">
        <v>428</v>
      </c>
      <c r="L1928" s="87" t="e">
        <f>L1927*F1928</f>
        <v>#REF!</v>
      </c>
    </row>
    <row r="1929" spans="1:12" ht="12" customHeight="1" x14ac:dyDescent="0.35">
      <c r="B1929" s="84" t="s">
        <v>10</v>
      </c>
      <c r="C1929" s="103" t="s">
        <v>429</v>
      </c>
      <c r="D1929" s="104"/>
      <c r="E1929" s="104"/>
      <c r="F1929" s="104"/>
      <c r="G1929" s="105"/>
      <c r="H1929" s="96" t="e">
        <f>H1927+H1928</f>
        <v>#REF!</v>
      </c>
      <c r="I1929" s="97"/>
      <c r="J1929" s="96" t="e">
        <f>J1927+J1928</f>
        <v>#REF!</v>
      </c>
      <c r="K1929" s="97"/>
      <c r="L1929" s="96" t="e">
        <f>L1927+L1928</f>
        <v>#REF!</v>
      </c>
    </row>
    <row r="1931" spans="1:12" ht="37" customHeight="1" x14ac:dyDescent="0.35">
      <c r="B1931" s="76" t="s">
        <v>659</v>
      </c>
      <c r="C1931" s="458" t="s">
        <v>661</v>
      </c>
      <c r="D1931" s="459"/>
      <c r="E1931" s="459"/>
      <c r="F1931" s="459"/>
      <c r="G1931" s="456"/>
      <c r="H1931" s="457"/>
      <c r="I1931" s="455" t="s">
        <v>3</v>
      </c>
      <c r="J1931" s="455"/>
      <c r="K1931" s="455" t="s">
        <v>4</v>
      </c>
      <c r="L1931" s="455"/>
    </row>
    <row r="1932" spans="1:12" ht="12" customHeight="1" x14ac:dyDescent="0.35">
      <c r="B1932" s="451" t="s">
        <v>409</v>
      </c>
      <c r="C1932" s="451" t="s">
        <v>410</v>
      </c>
      <c r="D1932" s="452" t="s">
        <v>411</v>
      </c>
      <c r="E1932" s="451" t="s">
        <v>412</v>
      </c>
      <c r="F1932" s="451" t="s">
        <v>413</v>
      </c>
      <c r="G1932" s="77" t="s">
        <v>414</v>
      </c>
      <c r="H1932" s="77" t="s">
        <v>415</v>
      </c>
      <c r="I1932" s="78" t="s">
        <v>414</v>
      </c>
      <c r="J1932" s="79" t="s">
        <v>415</v>
      </c>
      <c r="K1932" s="79" t="s">
        <v>414</v>
      </c>
      <c r="L1932" s="79" t="s">
        <v>415</v>
      </c>
    </row>
    <row r="1933" spans="1:12" ht="12" customHeight="1" x14ac:dyDescent="0.35">
      <c r="B1933" s="451"/>
      <c r="C1933" s="451"/>
      <c r="D1933" s="453"/>
      <c r="E1933" s="451"/>
      <c r="F1933" s="451"/>
      <c r="G1933" s="77" t="s">
        <v>17</v>
      </c>
      <c r="H1933" s="77" t="s">
        <v>416</v>
      </c>
      <c r="I1933" s="78" t="s">
        <v>17</v>
      </c>
      <c r="J1933" s="79" t="s">
        <v>416</v>
      </c>
      <c r="K1933" s="79" t="s">
        <v>17</v>
      </c>
      <c r="L1933" s="79" t="s">
        <v>416</v>
      </c>
    </row>
    <row r="1934" spans="1:12" ht="12" customHeight="1" x14ac:dyDescent="0.35">
      <c r="B1934" s="451"/>
      <c r="C1934" s="451"/>
      <c r="D1934" s="454"/>
      <c r="E1934" s="451"/>
      <c r="F1934" s="451"/>
      <c r="G1934" s="106"/>
      <c r="H1934" s="77" t="s">
        <v>17</v>
      </c>
      <c r="I1934" s="94"/>
      <c r="J1934" s="79" t="s">
        <v>17</v>
      </c>
      <c r="K1934" s="85"/>
      <c r="L1934" s="79" t="s">
        <v>17</v>
      </c>
    </row>
    <row r="1935" spans="1:12" ht="12" customHeight="1" x14ac:dyDescent="0.35">
      <c r="B1935" s="80" t="s">
        <v>5</v>
      </c>
      <c r="C1935" s="81" t="s">
        <v>417</v>
      </c>
      <c r="D1935" s="82"/>
      <c r="E1935" s="82"/>
      <c r="F1935" s="82"/>
      <c r="G1935" s="82"/>
      <c r="H1935" s="82"/>
      <c r="I1935" s="83"/>
      <c r="J1935" s="83"/>
      <c r="K1935" s="83"/>
      <c r="L1935" s="83"/>
    </row>
    <row r="1936" spans="1:12" ht="12" customHeight="1" x14ac:dyDescent="0.35">
      <c r="A1936" s="134">
        <v>10130000</v>
      </c>
      <c r="B1936" s="84"/>
      <c r="C1936" s="85" t="str">
        <f>VLOOKUP(A1936,'DAFTAR HARGA'!A:D,3,FALSE)</f>
        <v>OH</v>
      </c>
      <c r="D1936" s="84" t="s">
        <v>418</v>
      </c>
      <c r="E1936" s="84">
        <f>VLOOKUP(A1936,'DAFTAR HARGA'!A:D,4,FALSE)</f>
        <v>115000</v>
      </c>
      <c r="F1936" s="128">
        <v>1.35</v>
      </c>
      <c r="G1936" s="87" t="e">
        <f>VLOOKUP(A1936,'DAFTAR HARGA'!A:D,5,FALSE)</f>
        <v>#REF!</v>
      </c>
      <c r="H1936" s="87" t="e">
        <f>F1936*G1936</f>
        <v>#REF!</v>
      </c>
      <c r="I1936" s="87">
        <v>91500</v>
      </c>
      <c r="J1936" s="87">
        <f>F1936*I1936</f>
        <v>123525.00000000001</v>
      </c>
      <c r="K1936" s="87">
        <v>91500</v>
      </c>
      <c r="L1936" s="87">
        <f>F1936*K1936</f>
        <v>123525.00000000001</v>
      </c>
    </row>
    <row r="1937" spans="1:12" ht="12" customHeight="1" x14ac:dyDescent="0.35">
      <c r="A1937" s="134">
        <v>10143000</v>
      </c>
      <c r="B1937" s="84"/>
      <c r="C1937" s="85" t="str">
        <f>VLOOKUP(A1937,'DAFTAR HARGA'!A:D,3,FALSE)</f>
        <v>OH</v>
      </c>
      <c r="D1937" s="84" t="s">
        <v>418</v>
      </c>
      <c r="E1937" s="84">
        <f>VLOOKUP(A1937,'DAFTAR HARGA'!A:D,4,FALSE)</f>
        <v>236600</v>
      </c>
      <c r="F1937" s="128">
        <v>0.67500000000000004</v>
      </c>
      <c r="G1937" s="87" t="e">
        <f>VLOOKUP(A1937,'DAFTAR HARGA'!A:D,5,FALSE)</f>
        <v>#REF!</v>
      </c>
      <c r="H1937" s="87" t="e">
        <f>F1937*G1937</f>
        <v>#REF!</v>
      </c>
      <c r="I1937" s="87"/>
      <c r="J1937" s="87"/>
      <c r="K1937" s="87"/>
      <c r="L1937" s="87"/>
    </row>
    <row r="1938" spans="1:12" ht="12" customHeight="1" x14ac:dyDescent="0.35">
      <c r="A1938" s="134">
        <v>10110000</v>
      </c>
      <c r="B1938" s="84"/>
      <c r="C1938" s="85" t="str">
        <f>VLOOKUP(A1938,'DAFTAR HARGA'!A:D,3,FALSE)</f>
        <v>OH</v>
      </c>
      <c r="D1938" s="84" t="s">
        <v>418</v>
      </c>
      <c r="E1938" s="84">
        <f>VLOOKUP(A1938,'DAFTAR HARGA'!A:D,4,FALSE)</f>
        <v>150000</v>
      </c>
      <c r="F1938" s="128">
        <f>F1936/10</f>
        <v>0.13500000000000001</v>
      </c>
      <c r="G1938" s="87" t="e">
        <f>VLOOKUP(A1938,'DAFTAR HARGA'!A:D,5,FALSE)</f>
        <v>#REF!</v>
      </c>
      <c r="H1938" s="87" t="e">
        <f>F1938*G1938</f>
        <v>#REF!</v>
      </c>
      <c r="I1938" s="87">
        <v>78600</v>
      </c>
      <c r="J1938" s="87">
        <f>F1938*I1938</f>
        <v>10611</v>
      </c>
      <c r="K1938" s="87">
        <v>78600</v>
      </c>
      <c r="L1938" s="87">
        <f>F1938*K1938</f>
        <v>10611</v>
      </c>
    </row>
    <row r="1939" spans="1:12" ht="12" customHeight="1" x14ac:dyDescent="0.35">
      <c r="B1939" s="84"/>
      <c r="C1939" s="85"/>
      <c r="D1939" s="84"/>
      <c r="E1939" s="84"/>
      <c r="F1939" s="86"/>
      <c r="G1939" s="87"/>
      <c r="H1939" s="87">
        <f>F1939*G1939</f>
        <v>0</v>
      </c>
      <c r="I1939" s="87">
        <v>92500</v>
      </c>
      <c r="J1939" s="87">
        <f>F1939*I1939</f>
        <v>0</v>
      </c>
      <c r="K1939" s="87">
        <v>92500</v>
      </c>
      <c r="L1939" s="87">
        <f>F1939*K1939</f>
        <v>0</v>
      </c>
    </row>
    <row r="1940" spans="1:12" ht="12" customHeight="1" x14ac:dyDescent="0.35">
      <c r="B1940" s="84"/>
      <c r="C1940" s="85"/>
      <c r="D1940" s="84"/>
      <c r="E1940" s="84"/>
      <c r="F1940" s="86"/>
      <c r="G1940" s="87"/>
      <c r="H1940" s="87"/>
      <c r="I1940" s="87"/>
      <c r="J1940" s="87"/>
      <c r="K1940" s="87"/>
      <c r="L1940" s="87"/>
    </row>
    <row r="1941" spans="1:12" ht="12" customHeight="1" x14ac:dyDescent="0.35">
      <c r="B1941" s="84"/>
      <c r="C1941" s="88"/>
      <c r="D1941" s="79"/>
      <c r="E1941" s="79"/>
      <c r="F1941" s="89" t="s">
        <v>421</v>
      </c>
      <c r="G1941" s="101"/>
      <c r="H1941" s="87" t="e">
        <f>SUM(H1936:H1940)</f>
        <v>#REF!</v>
      </c>
      <c r="I1941" s="101"/>
      <c r="J1941" s="87">
        <f>SUM(J1938:J1940)</f>
        <v>10611</v>
      </c>
      <c r="K1941" s="101"/>
      <c r="L1941" s="87">
        <f>SUM(L1938:L1940)</f>
        <v>10611</v>
      </c>
    </row>
    <row r="1942" spans="1:12" ht="12" customHeight="1" x14ac:dyDescent="0.35">
      <c r="B1942" s="84" t="s">
        <v>6</v>
      </c>
      <c r="C1942" s="88" t="s">
        <v>422</v>
      </c>
      <c r="D1942" s="79"/>
      <c r="E1942" s="79"/>
      <c r="F1942" s="90"/>
      <c r="G1942" s="84"/>
      <c r="H1942" s="87"/>
      <c r="I1942" s="84"/>
      <c r="J1942" s="87"/>
      <c r="K1942" s="84"/>
      <c r="L1942" s="87"/>
    </row>
    <row r="1943" spans="1:12" ht="12" customHeight="1" x14ac:dyDescent="0.35">
      <c r="A1943" s="134">
        <v>211100111</v>
      </c>
      <c r="B1943" s="84"/>
      <c r="C1943" s="85" t="str">
        <f>VLOOKUP(A1943,'DAFTAR HARGA'!A:D,3,FALSE)</f>
        <v>bh</v>
      </c>
      <c r="D1943" s="84" t="s">
        <v>418</v>
      </c>
      <c r="E1943" s="84">
        <f>VLOOKUP(A1943,'DAFTAR HARGA'!A:D,4,FALSE)</f>
        <v>680</v>
      </c>
      <c r="F1943" s="128">
        <v>512</v>
      </c>
      <c r="G1943" s="87" t="e">
        <f>VLOOKUP(A1943,'DAFTAR HARGA'!A:D,5,FALSE)</f>
        <v>#REF!</v>
      </c>
      <c r="H1943" s="87" t="e">
        <f>F1943*G1943</f>
        <v>#REF!</v>
      </c>
      <c r="I1943" s="87">
        <v>232500</v>
      </c>
      <c r="J1943" s="87">
        <f>F1943*I1943</f>
        <v>119040000</v>
      </c>
      <c r="K1943" s="87">
        <v>270000</v>
      </c>
      <c r="L1943" s="87">
        <f>F1943*K1943</f>
        <v>138240000</v>
      </c>
    </row>
    <row r="1944" spans="1:12" ht="12" customHeight="1" x14ac:dyDescent="0.35">
      <c r="A1944" s="134">
        <v>211100113</v>
      </c>
      <c r="B1944" s="84"/>
      <c r="C1944" s="85" t="str">
        <f>VLOOKUP(A1944,'DAFTAR HARGA'!A:D,3,FALSE)</f>
        <v>m³</v>
      </c>
      <c r="D1944" s="84" t="s">
        <v>418</v>
      </c>
      <c r="E1944" s="84">
        <f>VLOOKUP(A1944,'DAFTAR HARGA'!A:D,4,FALSE)</f>
        <v>217500</v>
      </c>
      <c r="F1944" s="128">
        <v>0.33179999999999998</v>
      </c>
      <c r="G1944" s="87" t="e">
        <f>VLOOKUP(A1944,'DAFTAR HARGA'!A:D,5,FALSE)</f>
        <v>#REF!</v>
      </c>
      <c r="H1944" s="87" t="e">
        <f>F1944*G1944</f>
        <v>#REF!</v>
      </c>
      <c r="I1944" s="87">
        <v>1060</v>
      </c>
      <c r="J1944" s="87">
        <f>F1944*I1944</f>
        <v>351.70799999999997</v>
      </c>
      <c r="K1944" s="87">
        <v>1060</v>
      </c>
      <c r="L1944" s="87">
        <f>F1944*K1944</f>
        <v>351.70799999999997</v>
      </c>
    </row>
    <row r="1945" spans="1:12" ht="12" customHeight="1" x14ac:dyDescent="0.35">
      <c r="A1945" s="134">
        <v>21301000</v>
      </c>
      <c r="B1945" s="84"/>
      <c r="C1945" s="85" t="str">
        <f>VLOOKUP(A1945,'DAFTAR HARGA'!A:D,3,FALSE)</f>
        <v>Kg</v>
      </c>
      <c r="D1945" s="84" t="s">
        <v>418</v>
      </c>
      <c r="E1945" s="84">
        <f>VLOOKUP(A1945,'DAFTAR HARGA'!A:D,4,FALSE)</f>
        <v>1350</v>
      </c>
      <c r="F1945" s="128">
        <v>106.5</v>
      </c>
      <c r="G1945" s="87" t="e">
        <f>VLOOKUP(A1945,'DAFTAR HARGA'!A:D,5,FALSE)</f>
        <v>#REF!</v>
      </c>
      <c r="H1945" s="87" t="e">
        <f>F1945*G1945</f>
        <v>#REF!</v>
      </c>
      <c r="I1945" s="87">
        <v>215000</v>
      </c>
      <c r="J1945" s="87">
        <f>F1945*I1945</f>
        <v>22897500</v>
      </c>
      <c r="K1945" s="87">
        <v>250000</v>
      </c>
      <c r="L1945" s="87">
        <f>F1945*K1945</f>
        <v>26625000</v>
      </c>
    </row>
    <row r="1946" spans="1:12" ht="12" customHeight="1" x14ac:dyDescent="0.35">
      <c r="B1946" s="84"/>
      <c r="C1946" s="85"/>
      <c r="D1946" s="84"/>
      <c r="E1946" s="84"/>
      <c r="F1946" s="128"/>
      <c r="G1946" s="87"/>
      <c r="H1946" s="87"/>
      <c r="I1946" s="87"/>
      <c r="J1946" s="87"/>
      <c r="K1946" s="87"/>
      <c r="L1946" s="87"/>
    </row>
    <row r="1947" spans="1:12" ht="12" customHeight="1" x14ac:dyDescent="0.35">
      <c r="B1947" s="84"/>
      <c r="C1947" s="88"/>
      <c r="D1947" s="79"/>
      <c r="E1947" s="79"/>
      <c r="F1947" s="129" t="s">
        <v>423</v>
      </c>
      <c r="G1947" s="129"/>
      <c r="H1947" s="87" t="e">
        <f>SUM(H1943:H1946)</f>
        <v>#REF!</v>
      </c>
      <c r="I1947" s="101"/>
      <c r="J1947" s="87" t="e">
        <f>SUM(#REF!)</f>
        <v>#REF!</v>
      </c>
      <c r="K1947" s="101"/>
      <c r="L1947" s="87" t="e">
        <f>SUM(#REF!)</f>
        <v>#REF!</v>
      </c>
    </row>
    <row r="1948" spans="1:12" ht="12" customHeight="1" x14ac:dyDescent="0.35">
      <c r="B1948" s="84" t="s">
        <v>7</v>
      </c>
      <c r="C1948" s="88" t="s">
        <v>424</v>
      </c>
      <c r="D1948" s="79"/>
      <c r="E1948" s="79"/>
      <c r="F1948" s="90"/>
      <c r="G1948" s="84"/>
      <c r="H1948" s="87"/>
      <c r="I1948" s="84"/>
      <c r="J1948" s="87"/>
      <c r="K1948" s="84"/>
      <c r="L1948" s="87"/>
    </row>
    <row r="1949" spans="1:12" ht="12" customHeight="1" x14ac:dyDescent="0.35">
      <c r="A1949" s="134">
        <v>31100004</v>
      </c>
      <c r="B1949" s="84"/>
      <c r="C1949" s="85" t="str">
        <f>VLOOKUP(A1949,'DAFTAR HARGA'!A:D,3,FALSE)</f>
        <v>hari</v>
      </c>
      <c r="D1949" s="84" t="s">
        <v>418</v>
      </c>
      <c r="E1949" s="84">
        <f>VLOOKUP(A1949,'DAFTAR HARGA'!A:D,4,FALSE)</f>
        <v>1151000</v>
      </c>
      <c r="F1949" s="128"/>
      <c r="G1949" s="87" t="e">
        <f>VLOOKUP(A1949,'DAFTAR HARGA'!A:D,5,FALSE)</f>
        <v>#REF!</v>
      </c>
      <c r="H1949" s="87" t="e">
        <f>F1949*G1949</f>
        <v>#REF!</v>
      </c>
      <c r="I1949" s="87"/>
      <c r="J1949" s="87" t="e">
        <f>H1949*I1949</f>
        <v>#REF!</v>
      </c>
      <c r="K1949" s="87"/>
      <c r="L1949" s="87" t="e">
        <f>J1949*K1949</f>
        <v>#REF!</v>
      </c>
    </row>
    <row r="1950" spans="1:12" ht="12" customHeight="1" x14ac:dyDescent="0.35">
      <c r="B1950" s="84"/>
      <c r="C1950" s="85"/>
      <c r="D1950" s="84"/>
      <c r="E1950" s="84"/>
      <c r="F1950" s="128"/>
      <c r="G1950" s="87"/>
      <c r="H1950" s="87">
        <f>F1950*G1950</f>
        <v>0</v>
      </c>
      <c r="I1950" s="87"/>
      <c r="J1950" s="87"/>
      <c r="K1950" s="87"/>
      <c r="L1950" s="87"/>
    </row>
    <row r="1951" spans="1:12" ht="12" customHeight="1" x14ac:dyDescent="0.35">
      <c r="B1951" s="84"/>
      <c r="C1951" s="88"/>
      <c r="D1951" s="79"/>
      <c r="E1951" s="79"/>
      <c r="F1951" s="89" t="s">
        <v>425</v>
      </c>
      <c r="G1951" s="101"/>
      <c r="H1951" s="87" t="e">
        <f>SUM(H1949:H1950)</f>
        <v>#REF!</v>
      </c>
      <c r="I1951" s="101"/>
      <c r="J1951" s="87" t="e">
        <f>SUM(J1949)</f>
        <v>#REF!</v>
      </c>
      <c r="K1951" s="101"/>
      <c r="L1951" s="87" t="e">
        <f>SUM(L1949)</f>
        <v>#REF!</v>
      </c>
    </row>
    <row r="1952" spans="1:12" ht="12" customHeight="1" x14ac:dyDescent="0.35">
      <c r="B1952" s="84" t="s">
        <v>8</v>
      </c>
      <c r="C1952" s="103" t="s">
        <v>426</v>
      </c>
      <c r="D1952" s="104"/>
      <c r="E1952" s="104"/>
      <c r="F1952" s="104"/>
      <c r="G1952" s="105"/>
      <c r="H1952" s="87" t="e">
        <f>H1941+H1947+H1951</f>
        <v>#REF!</v>
      </c>
      <c r="I1952" s="105"/>
      <c r="J1952" s="87" t="e">
        <f>J1941+J1947+J1951</f>
        <v>#REF!</v>
      </c>
      <c r="K1952" s="105"/>
      <c r="L1952" s="87" t="e">
        <f>L1941+L1947+L1951</f>
        <v>#REF!</v>
      </c>
    </row>
    <row r="1953" spans="1:12" ht="12" customHeight="1" x14ac:dyDescent="0.35">
      <c r="B1953" s="84" t="s">
        <v>9</v>
      </c>
      <c r="C1953" s="455" t="s">
        <v>427</v>
      </c>
      <c r="D1953" s="455"/>
      <c r="E1953" s="455"/>
      <c r="F1953" s="95" t="str">
        <f>OP</f>
        <v>TANJUNG PALAS TENGAH</v>
      </c>
      <c r="G1953" s="85" t="s">
        <v>428</v>
      </c>
      <c r="H1953" s="87" t="e">
        <f>H1952*F1953</f>
        <v>#REF!</v>
      </c>
      <c r="I1953" s="85" t="s">
        <v>428</v>
      </c>
      <c r="J1953" s="87" t="e">
        <f>J1952*F1953</f>
        <v>#REF!</v>
      </c>
      <c r="K1953" s="85" t="s">
        <v>428</v>
      </c>
      <c r="L1953" s="87" t="e">
        <f>L1952*F1953</f>
        <v>#REF!</v>
      </c>
    </row>
    <row r="1954" spans="1:12" ht="12" customHeight="1" x14ac:dyDescent="0.35">
      <c r="B1954" s="84" t="s">
        <v>10</v>
      </c>
      <c r="C1954" s="103" t="s">
        <v>429</v>
      </c>
      <c r="D1954" s="104"/>
      <c r="E1954" s="104"/>
      <c r="F1954" s="104"/>
      <c r="G1954" s="105"/>
      <c r="H1954" s="96" t="e">
        <f>H1952+H1953</f>
        <v>#REF!</v>
      </c>
      <c r="I1954" s="97"/>
      <c r="J1954" s="96" t="e">
        <f>J1952+J1953</f>
        <v>#REF!</v>
      </c>
      <c r="K1954" s="97"/>
      <c r="L1954" s="96" t="e">
        <f>L1952+L1953</f>
        <v>#REF!</v>
      </c>
    </row>
    <row r="1956" spans="1:12" ht="37" customHeight="1" x14ac:dyDescent="0.35">
      <c r="B1956" s="76" t="s">
        <v>660</v>
      </c>
      <c r="C1956" s="458" t="s">
        <v>662</v>
      </c>
      <c r="D1956" s="459"/>
      <c r="E1956" s="459"/>
      <c r="F1956" s="459"/>
      <c r="G1956" s="456"/>
      <c r="H1956" s="457"/>
      <c r="I1956" s="455" t="s">
        <v>3</v>
      </c>
      <c r="J1956" s="455"/>
      <c r="K1956" s="455" t="s">
        <v>4</v>
      </c>
      <c r="L1956" s="455"/>
    </row>
    <row r="1957" spans="1:12" ht="12" customHeight="1" x14ac:dyDescent="0.35">
      <c r="B1957" s="451" t="s">
        <v>409</v>
      </c>
      <c r="C1957" s="451" t="s">
        <v>410</v>
      </c>
      <c r="D1957" s="452" t="s">
        <v>411</v>
      </c>
      <c r="E1957" s="451" t="s">
        <v>412</v>
      </c>
      <c r="F1957" s="451" t="s">
        <v>413</v>
      </c>
      <c r="G1957" s="77" t="s">
        <v>414</v>
      </c>
      <c r="H1957" s="77" t="s">
        <v>415</v>
      </c>
      <c r="I1957" s="78" t="s">
        <v>414</v>
      </c>
      <c r="J1957" s="79" t="s">
        <v>415</v>
      </c>
      <c r="K1957" s="79" t="s">
        <v>414</v>
      </c>
      <c r="L1957" s="79" t="s">
        <v>415</v>
      </c>
    </row>
    <row r="1958" spans="1:12" ht="12" customHeight="1" x14ac:dyDescent="0.35">
      <c r="B1958" s="451"/>
      <c r="C1958" s="451"/>
      <c r="D1958" s="453"/>
      <c r="E1958" s="451"/>
      <c r="F1958" s="451"/>
      <c r="G1958" s="77" t="s">
        <v>17</v>
      </c>
      <c r="H1958" s="77" t="s">
        <v>416</v>
      </c>
      <c r="I1958" s="78" t="s">
        <v>17</v>
      </c>
      <c r="J1958" s="79" t="s">
        <v>416</v>
      </c>
      <c r="K1958" s="79" t="s">
        <v>17</v>
      </c>
      <c r="L1958" s="79" t="s">
        <v>416</v>
      </c>
    </row>
    <row r="1959" spans="1:12" ht="12" customHeight="1" x14ac:dyDescent="0.35">
      <c r="B1959" s="451"/>
      <c r="C1959" s="451"/>
      <c r="D1959" s="454"/>
      <c r="E1959" s="451"/>
      <c r="F1959" s="451"/>
      <c r="G1959" s="106"/>
      <c r="H1959" s="77" t="s">
        <v>17</v>
      </c>
      <c r="I1959" s="94"/>
      <c r="J1959" s="79" t="s">
        <v>17</v>
      </c>
      <c r="K1959" s="85"/>
      <c r="L1959" s="79" t="s">
        <v>17</v>
      </c>
    </row>
    <row r="1960" spans="1:12" ht="12" customHeight="1" x14ac:dyDescent="0.35">
      <c r="B1960" s="80" t="s">
        <v>5</v>
      </c>
      <c r="C1960" s="81" t="s">
        <v>417</v>
      </c>
      <c r="D1960" s="82"/>
      <c r="E1960" s="82"/>
      <c r="F1960" s="82"/>
      <c r="G1960" s="82"/>
      <c r="H1960" s="82"/>
      <c r="I1960" s="83"/>
      <c r="J1960" s="83"/>
      <c r="K1960" s="83"/>
      <c r="L1960" s="83"/>
    </row>
    <row r="1961" spans="1:12" ht="12" customHeight="1" x14ac:dyDescent="0.35">
      <c r="A1961" s="134">
        <v>10130000</v>
      </c>
      <c r="B1961" s="84"/>
      <c r="C1961" s="85" t="str">
        <f>VLOOKUP(A1961,'DAFTAR HARGA'!A:D,3,FALSE)</f>
        <v>OH</v>
      </c>
      <c r="D1961" s="84" t="s">
        <v>418</v>
      </c>
      <c r="E1961" s="84">
        <f>VLOOKUP(A1961,'DAFTAR HARGA'!A:D,4,FALSE)</f>
        <v>115000</v>
      </c>
      <c r="F1961" s="128">
        <v>0.85</v>
      </c>
      <c r="G1961" s="87" t="e">
        <f>VLOOKUP(A1961,'DAFTAR HARGA'!A:D,5,FALSE)</f>
        <v>#REF!</v>
      </c>
      <c r="H1961" s="87" t="e">
        <f>F1961*G1961</f>
        <v>#REF!</v>
      </c>
      <c r="I1961" s="87">
        <v>91500</v>
      </c>
      <c r="J1961" s="87">
        <f>F1961*I1961</f>
        <v>77775</v>
      </c>
      <c r="K1961" s="87">
        <v>91500</v>
      </c>
      <c r="L1961" s="87">
        <f>F1961*K1961</f>
        <v>77775</v>
      </c>
    </row>
    <row r="1962" spans="1:12" ht="12" customHeight="1" x14ac:dyDescent="0.35">
      <c r="A1962" s="134">
        <v>10143000</v>
      </c>
      <c r="B1962" s="84"/>
      <c r="C1962" s="85" t="str">
        <f>VLOOKUP(A1962,'DAFTAR HARGA'!A:D,3,FALSE)</f>
        <v>OH</v>
      </c>
      <c r="D1962" s="84" t="s">
        <v>418</v>
      </c>
      <c r="E1962" s="84">
        <f>VLOOKUP(A1962,'DAFTAR HARGA'!A:D,4,FALSE)</f>
        <v>236600</v>
      </c>
      <c r="F1962" s="128">
        <v>0.42499999999999999</v>
      </c>
      <c r="G1962" s="87" t="e">
        <f>VLOOKUP(A1962,'DAFTAR HARGA'!A:D,5,FALSE)</f>
        <v>#REF!</v>
      </c>
      <c r="H1962" s="87" t="e">
        <f>F1962*G1962</f>
        <v>#REF!</v>
      </c>
      <c r="I1962" s="87"/>
      <c r="J1962" s="87"/>
      <c r="K1962" s="87"/>
      <c r="L1962" s="87"/>
    </row>
    <row r="1963" spans="1:12" ht="12" customHeight="1" x14ac:dyDescent="0.35">
      <c r="A1963" s="134">
        <v>10110000</v>
      </c>
      <c r="B1963" s="84"/>
      <c r="C1963" s="85" t="str">
        <f>VLOOKUP(A1963,'DAFTAR HARGA'!A:D,3,FALSE)</f>
        <v>OH</v>
      </c>
      <c r="D1963" s="84" t="s">
        <v>418</v>
      </c>
      <c r="E1963" s="84">
        <f>VLOOKUP(A1963,'DAFTAR HARGA'!A:D,4,FALSE)</f>
        <v>150000</v>
      </c>
      <c r="F1963" s="128">
        <f>F1961/10</f>
        <v>8.4999999999999992E-2</v>
      </c>
      <c r="G1963" s="87" t="e">
        <f>VLOOKUP(A1963,'DAFTAR HARGA'!A:D,5,FALSE)</f>
        <v>#REF!</v>
      </c>
      <c r="H1963" s="87" t="e">
        <f>F1963*G1963</f>
        <v>#REF!</v>
      </c>
      <c r="I1963" s="87">
        <v>78600</v>
      </c>
      <c r="J1963" s="87">
        <f>F1963*I1963</f>
        <v>6680.9999999999991</v>
      </c>
      <c r="K1963" s="87">
        <v>78600</v>
      </c>
      <c r="L1963" s="87">
        <f>F1963*K1963</f>
        <v>6680.9999999999991</v>
      </c>
    </row>
    <row r="1964" spans="1:12" ht="12" customHeight="1" x14ac:dyDescent="0.35">
      <c r="B1964" s="84"/>
      <c r="C1964" s="85"/>
      <c r="D1964" s="84"/>
      <c r="E1964" s="84"/>
      <c r="F1964" s="86"/>
      <c r="G1964" s="87"/>
      <c r="H1964" s="87">
        <f>F1964*G1964</f>
        <v>0</v>
      </c>
      <c r="I1964" s="87">
        <v>92500</v>
      </c>
      <c r="J1964" s="87">
        <f>F1964*I1964</f>
        <v>0</v>
      </c>
      <c r="K1964" s="87">
        <v>92500</v>
      </c>
      <c r="L1964" s="87">
        <f>F1964*K1964</f>
        <v>0</v>
      </c>
    </row>
    <row r="1965" spans="1:12" ht="12" customHeight="1" x14ac:dyDescent="0.35">
      <c r="B1965" s="84"/>
      <c r="C1965" s="85"/>
      <c r="D1965" s="84"/>
      <c r="E1965" s="84"/>
      <c r="F1965" s="86"/>
      <c r="G1965" s="87"/>
      <c r="H1965" s="87"/>
      <c r="I1965" s="87"/>
      <c r="J1965" s="87"/>
      <c r="K1965" s="87"/>
      <c r="L1965" s="87"/>
    </row>
    <row r="1966" spans="1:12" ht="12" customHeight="1" x14ac:dyDescent="0.35">
      <c r="B1966" s="84"/>
      <c r="C1966" s="88"/>
      <c r="D1966" s="79"/>
      <c r="E1966" s="79"/>
      <c r="F1966" s="89" t="s">
        <v>421</v>
      </c>
      <c r="G1966" s="101"/>
      <c r="H1966" s="87" t="e">
        <f>SUM(H1961:H1965)</f>
        <v>#REF!</v>
      </c>
      <c r="I1966" s="101"/>
      <c r="J1966" s="87">
        <f>SUM(J1963:J1965)</f>
        <v>6680.9999999999991</v>
      </c>
      <c r="K1966" s="101"/>
      <c r="L1966" s="87">
        <f>SUM(L1963:L1965)</f>
        <v>6680.9999999999991</v>
      </c>
    </row>
    <row r="1967" spans="1:12" ht="12" customHeight="1" x14ac:dyDescent="0.35">
      <c r="B1967" s="84" t="s">
        <v>6</v>
      </c>
      <c r="C1967" s="88" t="s">
        <v>422</v>
      </c>
      <c r="D1967" s="79"/>
      <c r="E1967" s="79"/>
      <c r="F1967" s="90"/>
      <c r="G1967" s="84"/>
      <c r="H1967" s="87"/>
      <c r="I1967" s="84"/>
      <c r="J1967" s="87"/>
      <c r="K1967" s="84"/>
      <c r="L1967" s="87"/>
    </row>
    <row r="1968" spans="1:12" ht="12" customHeight="1" x14ac:dyDescent="0.35">
      <c r="A1968" s="134">
        <v>211100111</v>
      </c>
      <c r="B1968" s="84"/>
      <c r="C1968" s="85" t="str">
        <f>VLOOKUP(A1968,'DAFTAR HARGA'!A:D,3,FALSE)</f>
        <v>bh</v>
      </c>
      <c r="D1968" s="84" t="s">
        <v>418</v>
      </c>
      <c r="E1968" s="84">
        <f>VLOOKUP(A1968,'DAFTAR HARGA'!A:D,4,FALSE)</f>
        <v>680</v>
      </c>
      <c r="F1968" s="128">
        <v>512</v>
      </c>
      <c r="G1968" s="87" t="e">
        <f>VLOOKUP(A1968,'DAFTAR HARGA'!A:D,5,FALSE)</f>
        <v>#REF!</v>
      </c>
      <c r="H1968" s="87" t="e">
        <f>F1968*G1968</f>
        <v>#REF!</v>
      </c>
      <c r="I1968" s="87">
        <v>232500</v>
      </c>
      <c r="J1968" s="87">
        <f>F1968*I1968</f>
        <v>119040000</v>
      </c>
      <c r="K1968" s="87">
        <v>270000</v>
      </c>
      <c r="L1968" s="87">
        <f>F1968*K1968</f>
        <v>138240000</v>
      </c>
    </row>
    <row r="1969" spans="1:12" ht="12" customHeight="1" x14ac:dyDescent="0.35">
      <c r="A1969" s="134">
        <v>211100113</v>
      </c>
      <c r="B1969" s="84"/>
      <c r="C1969" s="85" t="str">
        <f>VLOOKUP(A1969,'DAFTAR HARGA'!A:D,3,FALSE)</f>
        <v>m³</v>
      </c>
      <c r="D1969" s="84" t="s">
        <v>418</v>
      </c>
      <c r="E1969" s="84">
        <f>VLOOKUP(A1969,'DAFTAR HARGA'!A:D,4,FALSE)</f>
        <v>217500</v>
      </c>
      <c r="F1969" s="128">
        <v>0.33179999999999998</v>
      </c>
      <c r="G1969" s="87" t="e">
        <f>VLOOKUP(A1969,'DAFTAR HARGA'!A:D,5,FALSE)</f>
        <v>#REF!</v>
      </c>
      <c r="H1969" s="87" t="e">
        <f>F1969*G1969</f>
        <v>#REF!</v>
      </c>
      <c r="I1969" s="87">
        <v>1060</v>
      </c>
      <c r="J1969" s="87">
        <f>F1969*I1969</f>
        <v>351.70799999999997</v>
      </c>
      <c r="K1969" s="87">
        <v>1060</v>
      </c>
      <c r="L1969" s="87">
        <f>F1969*K1969</f>
        <v>351.70799999999997</v>
      </c>
    </row>
    <row r="1970" spans="1:12" ht="12" customHeight="1" x14ac:dyDescent="0.35">
      <c r="A1970" s="134">
        <v>21301000</v>
      </c>
      <c r="B1970" s="84"/>
      <c r="C1970" s="85" t="str">
        <f>VLOOKUP(A1970,'DAFTAR HARGA'!A:D,3,FALSE)</f>
        <v>Kg</v>
      </c>
      <c r="D1970" s="84" t="s">
        <v>418</v>
      </c>
      <c r="E1970" s="84">
        <f>VLOOKUP(A1970,'DAFTAR HARGA'!A:D,4,FALSE)</f>
        <v>1350</v>
      </c>
      <c r="F1970" s="128">
        <v>106.5</v>
      </c>
      <c r="G1970" s="87" t="e">
        <f>VLOOKUP(A1970,'DAFTAR HARGA'!A:D,5,FALSE)</f>
        <v>#REF!</v>
      </c>
      <c r="H1970" s="87" t="e">
        <f>F1970*G1970</f>
        <v>#REF!</v>
      </c>
      <c r="I1970" s="87">
        <v>215000</v>
      </c>
      <c r="J1970" s="87">
        <f>F1970*I1970</f>
        <v>22897500</v>
      </c>
      <c r="K1970" s="87">
        <v>250000</v>
      </c>
      <c r="L1970" s="87">
        <f>F1970*K1970</f>
        <v>26625000</v>
      </c>
    </row>
    <row r="1971" spans="1:12" ht="12" customHeight="1" x14ac:dyDescent="0.35">
      <c r="B1971" s="84"/>
      <c r="C1971" s="85"/>
      <c r="D1971" s="84"/>
      <c r="E1971" s="84"/>
      <c r="F1971" s="128"/>
      <c r="G1971" s="87"/>
      <c r="H1971" s="87"/>
      <c r="I1971" s="87"/>
      <c r="J1971" s="87"/>
      <c r="K1971" s="87"/>
      <c r="L1971" s="87"/>
    </row>
    <row r="1972" spans="1:12" ht="12" customHeight="1" x14ac:dyDescent="0.35">
      <c r="B1972" s="84"/>
      <c r="C1972" s="88"/>
      <c r="D1972" s="79"/>
      <c r="E1972" s="79"/>
      <c r="F1972" s="129" t="s">
        <v>423</v>
      </c>
      <c r="G1972" s="129"/>
      <c r="H1972" s="87" t="e">
        <f>SUM(H1968:H1971)</f>
        <v>#REF!</v>
      </c>
      <c r="I1972" s="101"/>
      <c r="J1972" s="87" t="e">
        <f>SUM(#REF!)</f>
        <v>#REF!</v>
      </c>
      <c r="K1972" s="101"/>
      <c r="L1972" s="87" t="e">
        <f>SUM(#REF!)</f>
        <v>#REF!</v>
      </c>
    </row>
    <row r="1973" spans="1:12" ht="12" customHeight="1" x14ac:dyDescent="0.35">
      <c r="B1973" s="84" t="s">
        <v>7</v>
      </c>
      <c r="C1973" s="88" t="s">
        <v>424</v>
      </c>
      <c r="D1973" s="79"/>
      <c r="E1973" s="79"/>
      <c r="F1973" s="90"/>
      <c r="G1973" s="84"/>
      <c r="H1973" s="87"/>
      <c r="I1973" s="84"/>
      <c r="J1973" s="87"/>
      <c r="K1973" s="84"/>
      <c r="L1973" s="87"/>
    </row>
    <row r="1974" spans="1:12" ht="12" customHeight="1" x14ac:dyDescent="0.35">
      <c r="A1974" s="134">
        <v>31100004</v>
      </c>
      <c r="B1974" s="84"/>
      <c r="C1974" s="85" t="str">
        <f>VLOOKUP(A1974,'DAFTAR HARGA'!A:D,3,FALSE)</f>
        <v>hari</v>
      </c>
      <c r="D1974" s="84" t="s">
        <v>418</v>
      </c>
      <c r="E1974" s="84">
        <f>VLOOKUP(A1974,'DAFTAR HARGA'!A:D,4,FALSE)</f>
        <v>1151000</v>
      </c>
      <c r="F1974" s="128">
        <v>5.8999999999999997E-2</v>
      </c>
      <c r="G1974" s="87" t="e">
        <f>VLOOKUP(A1974,'DAFTAR HARGA'!A:D,5,FALSE)</f>
        <v>#REF!</v>
      </c>
      <c r="H1974" s="87" t="e">
        <f>F1974*G1974</f>
        <v>#REF!</v>
      </c>
      <c r="I1974" s="87"/>
      <c r="J1974" s="87" t="e">
        <f>H1974*I1974</f>
        <v>#REF!</v>
      </c>
      <c r="K1974" s="87"/>
      <c r="L1974" s="87" t="e">
        <f>J1974*K1974</f>
        <v>#REF!</v>
      </c>
    </row>
    <row r="1975" spans="1:12" ht="12" customHeight="1" x14ac:dyDescent="0.35">
      <c r="B1975" s="84"/>
      <c r="C1975" s="85"/>
      <c r="D1975" s="84"/>
      <c r="E1975" s="84"/>
      <c r="F1975" s="128"/>
      <c r="G1975" s="87"/>
      <c r="H1975" s="87">
        <f>F1975*G1975</f>
        <v>0</v>
      </c>
      <c r="I1975" s="87"/>
      <c r="J1975" s="87"/>
      <c r="K1975" s="87"/>
      <c r="L1975" s="87"/>
    </row>
    <row r="1976" spans="1:12" ht="12" customHeight="1" x14ac:dyDescent="0.35">
      <c r="B1976" s="84"/>
      <c r="C1976" s="88"/>
      <c r="D1976" s="79"/>
      <c r="E1976" s="79"/>
      <c r="F1976" s="89" t="s">
        <v>425</v>
      </c>
      <c r="G1976" s="101"/>
      <c r="H1976" s="87" t="e">
        <f>SUM(H1974:H1975)</f>
        <v>#REF!</v>
      </c>
      <c r="I1976" s="101"/>
      <c r="J1976" s="87" t="e">
        <f>SUM(J1974)</f>
        <v>#REF!</v>
      </c>
      <c r="K1976" s="101"/>
      <c r="L1976" s="87" t="e">
        <f>SUM(L1974)</f>
        <v>#REF!</v>
      </c>
    </row>
    <row r="1977" spans="1:12" ht="12" customHeight="1" x14ac:dyDescent="0.35">
      <c r="B1977" s="84" t="s">
        <v>8</v>
      </c>
      <c r="C1977" s="103" t="s">
        <v>426</v>
      </c>
      <c r="D1977" s="104"/>
      <c r="E1977" s="104"/>
      <c r="F1977" s="104"/>
      <c r="G1977" s="105"/>
      <c r="H1977" s="87" t="e">
        <f>H1966+H1972+H1976</f>
        <v>#REF!</v>
      </c>
      <c r="I1977" s="105"/>
      <c r="J1977" s="87" t="e">
        <f>J1966+J1972+J1976</f>
        <v>#REF!</v>
      </c>
      <c r="K1977" s="105"/>
      <c r="L1977" s="87" t="e">
        <f>L1966+L1972+L1976</f>
        <v>#REF!</v>
      </c>
    </row>
    <row r="1978" spans="1:12" ht="12" customHeight="1" x14ac:dyDescent="0.35">
      <c r="B1978" s="84" t="s">
        <v>9</v>
      </c>
      <c r="C1978" s="455" t="s">
        <v>427</v>
      </c>
      <c r="D1978" s="455"/>
      <c r="E1978" s="455"/>
      <c r="F1978" s="95" t="str">
        <f>OP</f>
        <v>TANJUNG PALAS TENGAH</v>
      </c>
      <c r="G1978" s="85" t="s">
        <v>428</v>
      </c>
      <c r="H1978" s="87" t="e">
        <f>H1977*F1978</f>
        <v>#REF!</v>
      </c>
      <c r="I1978" s="85" t="s">
        <v>428</v>
      </c>
      <c r="J1978" s="87" t="e">
        <f>J1977*F1978</f>
        <v>#REF!</v>
      </c>
      <c r="K1978" s="85" t="s">
        <v>428</v>
      </c>
      <c r="L1978" s="87" t="e">
        <f>L1977*F1978</f>
        <v>#REF!</v>
      </c>
    </row>
    <row r="1979" spans="1:12" ht="12" customHeight="1" x14ac:dyDescent="0.35">
      <c r="B1979" s="84" t="s">
        <v>10</v>
      </c>
      <c r="C1979" s="103" t="s">
        <v>429</v>
      </c>
      <c r="D1979" s="104"/>
      <c r="E1979" s="104"/>
      <c r="F1979" s="104"/>
      <c r="G1979" s="105"/>
      <c r="H1979" s="96" t="e">
        <f>H1977+H1978</f>
        <v>#REF!</v>
      </c>
      <c r="I1979" s="97"/>
      <c r="J1979" s="96" t="e">
        <f>J1977+J1978</f>
        <v>#REF!</v>
      </c>
      <c r="K1979" s="97"/>
      <c r="L1979" s="96" t="e">
        <f>L1977+L1978</f>
        <v>#REF!</v>
      </c>
    </row>
    <row r="1981" spans="1:12" ht="37" customHeight="1" x14ac:dyDescent="0.35">
      <c r="B1981" s="76" t="s">
        <v>667</v>
      </c>
      <c r="C1981" s="458" t="s">
        <v>668</v>
      </c>
      <c r="D1981" s="459"/>
      <c r="E1981" s="459"/>
      <c r="F1981" s="459"/>
      <c r="G1981" s="456"/>
      <c r="H1981" s="457"/>
      <c r="I1981" s="455" t="s">
        <v>3</v>
      </c>
      <c r="J1981" s="455"/>
      <c r="K1981" s="455" t="s">
        <v>4</v>
      </c>
      <c r="L1981" s="455"/>
    </row>
    <row r="1982" spans="1:12" ht="12" customHeight="1" x14ac:dyDescent="0.35">
      <c r="B1982" s="451" t="s">
        <v>409</v>
      </c>
      <c r="C1982" s="451" t="s">
        <v>410</v>
      </c>
      <c r="D1982" s="452" t="s">
        <v>411</v>
      </c>
      <c r="E1982" s="451" t="s">
        <v>412</v>
      </c>
      <c r="F1982" s="451" t="s">
        <v>413</v>
      </c>
      <c r="G1982" s="77" t="s">
        <v>414</v>
      </c>
      <c r="H1982" s="77" t="s">
        <v>415</v>
      </c>
      <c r="I1982" s="78" t="s">
        <v>414</v>
      </c>
      <c r="J1982" s="79" t="s">
        <v>415</v>
      </c>
      <c r="K1982" s="79" t="s">
        <v>414</v>
      </c>
      <c r="L1982" s="79" t="s">
        <v>415</v>
      </c>
    </row>
    <row r="1983" spans="1:12" ht="12" customHeight="1" x14ac:dyDescent="0.35">
      <c r="B1983" s="451"/>
      <c r="C1983" s="451"/>
      <c r="D1983" s="453"/>
      <c r="E1983" s="451"/>
      <c r="F1983" s="451"/>
      <c r="G1983" s="77" t="s">
        <v>17</v>
      </c>
      <c r="H1983" s="77" t="s">
        <v>416</v>
      </c>
      <c r="I1983" s="78" t="s">
        <v>17</v>
      </c>
      <c r="J1983" s="79" t="s">
        <v>416</v>
      </c>
      <c r="K1983" s="79" t="s">
        <v>17</v>
      </c>
      <c r="L1983" s="79" t="s">
        <v>416</v>
      </c>
    </row>
    <row r="1984" spans="1:12" ht="12" customHeight="1" x14ac:dyDescent="0.35">
      <c r="B1984" s="451"/>
      <c r="C1984" s="451"/>
      <c r="D1984" s="454"/>
      <c r="E1984" s="451"/>
      <c r="F1984" s="451"/>
      <c r="G1984" s="106"/>
      <c r="H1984" s="77" t="s">
        <v>17</v>
      </c>
      <c r="I1984" s="94"/>
      <c r="J1984" s="79" t="s">
        <v>17</v>
      </c>
      <c r="K1984" s="85"/>
      <c r="L1984" s="79" t="s">
        <v>17</v>
      </c>
    </row>
    <row r="1985" spans="1:12" ht="12" customHeight="1" x14ac:dyDescent="0.35">
      <c r="B1985" s="80" t="s">
        <v>5</v>
      </c>
      <c r="C1985" s="81" t="s">
        <v>417</v>
      </c>
      <c r="D1985" s="82"/>
      <c r="E1985" s="82"/>
      <c r="F1985" s="82"/>
      <c r="G1985" s="82"/>
      <c r="H1985" s="82"/>
      <c r="I1985" s="83"/>
      <c r="J1985" s="83"/>
      <c r="K1985" s="83"/>
      <c r="L1985" s="83"/>
    </row>
    <row r="1986" spans="1:12" ht="12" customHeight="1" x14ac:dyDescent="0.35">
      <c r="A1986" s="134">
        <v>10130000</v>
      </c>
      <c r="B1986" s="84"/>
      <c r="C1986" s="85" t="str">
        <f>VLOOKUP(A1986,'DAFTAR HARGA'!A:D,3,FALSE)</f>
        <v>OH</v>
      </c>
      <c r="D1986" s="84" t="s">
        <v>418</v>
      </c>
      <c r="E1986" s="84">
        <f>VLOOKUP(A1986,'DAFTAR HARGA'!A:D,4,FALSE)</f>
        <v>115000</v>
      </c>
      <c r="F1986" s="128">
        <v>0.15</v>
      </c>
      <c r="G1986" s="87" t="e">
        <f>VLOOKUP(A1986,'DAFTAR HARGA'!A:D,5,FALSE)</f>
        <v>#REF!</v>
      </c>
      <c r="H1986" s="87" t="e">
        <f>F1986*G1986</f>
        <v>#REF!</v>
      </c>
      <c r="I1986" s="87">
        <v>91500</v>
      </c>
      <c r="J1986" s="87">
        <f>F1986*I1986</f>
        <v>13725</v>
      </c>
      <c r="K1986" s="87">
        <v>91500</v>
      </c>
      <c r="L1986" s="87">
        <f>F1986*K1986</f>
        <v>13725</v>
      </c>
    </row>
    <row r="1987" spans="1:12" ht="12" customHeight="1" x14ac:dyDescent="0.35">
      <c r="A1987" s="134">
        <v>10143000</v>
      </c>
      <c r="B1987" s="84"/>
      <c r="C1987" s="85" t="str">
        <f>VLOOKUP(A1987,'DAFTAR HARGA'!A:D,3,FALSE)</f>
        <v>OH</v>
      </c>
      <c r="D1987" s="84" t="s">
        <v>418</v>
      </c>
      <c r="E1987" s="84">
        <f>VLOOKUP(A1987,'DAFTAR HARGA'!A:D,4,FALSE)</f>
        <v>236600</v>
      </c>
      <c r="F1987" s="128"/>
      <c r="G1987" s="87" t="e">
        <f>VLOOKUP(A1987,'DAFTAR HARGA'!A:D,5,FALSE)</f>
        <v>#REF!</v>
      </c>
      <c r="H1987" s="87" t="e">
        <f>F1987*G1987</f>
        <v>#REF!</v>
      </c>
      <c r="I1987" s="87"/>
      <c r="J1987" s="87"/>
      <c r="K1987" s="87"/>
      <c r="L1987" s="87"/>
    </row>
    <row r="1988" spans="1:12" ht="12" customHeight="1" x14ac:dyDescent="0.35">
      <c r="A1988" s="134">
        <v>10110000</v>
      </c>
      <c r="B1988" s="84"/>
      <c r="C1988" s="85" t="str">
        <f>VLOOKUP(A1988,'DAFTAR HARGA'!A:D,3,FALSE)</f>
        <v>OH</v>
      </c>
      <c r="D1988" s="84" t="s">
        <v>418</v>
      </c>
      <c r="E1988" s="84">
        <f>VLOOKUP(A1988,'DAFTAR HARGA'!A:D,4,FALSE)</f>
        <v>150000</v>
      </c>
      <c r="F1988" s="128">
        <f>F1986/10</f>
        <v>1.4999999999999999E-2</v>
      </c>
      <c r="G1988" s="87" t="e">
        <f>VLOOKUP(A1988,'DAFTAR HARGA'!A:D,5,FALSE)</f>
        <v>#REF!</v>
      </c>
      <c r="H1988" s="87" t="e">
        <f>F1988*G1988</f>
        <v>#REF!</v>
      </c>
      <c r="I1988" s="87">
        <v>78600</v>
      </c>
      <c r="J1988" s="87">
        <f>F1988*I1988</f>
        <v>1179</v>
      </c>
      <c r="K1988" s="87">
        <v>78600</v>
      </c>
      <c r="L1988" s="87">
        <f>F1988*K1988</f>
        <v>1179</v>
      </c>
    </row>
    <row r="1989" spans="1:12" ht="12" customHeight="1" x14ac:dyDescent="0.35">
      <c r="B1989" s="84"/>
      <c r="C1989" s="85"/>
      <c r="D1989" s="84"/>
      <c r="E1989" s="84"/>
      <c r="F1989" s="86"/>
      <c r="G1989" s="87"/>
      <c r="H1989" s="87">
        <f>F1989*G1989</f>
        <v>0</v>
      </c>
      <c r="I1989" s="87">
        <v>92500</v>
      </c>
      <c r="J1989" s="87">
        <f>F1989*I1989</f>
        <v>0</v>
      </c>
      <c r="K1989" s="87">
        <v>92500</v>
      </c>
      <c r="L1989" s="87">
        <f>F1989*K1989</f>
        <v>0</v>
      </c>
    </row>
    <row r="1990" spans="1:12" ht="12" customHeight="1" x14ac:dyDescent="0.35">
      <c r="B1990" s="84"/>
      <c r="C1990" s="85"/>
      <c r="D1990" s="84"/>
      <c r="E1990" s="84"/>
      <c r="F1990" s="86"/>
      <c r="G1990" s="87"/>
      <c r="H1990" s="87"/>
      <c r="I1990" s="87"/>
      <c r="J1990" s="87"/>
      <c r="K1990" s="87"/>
      <c r="L1990" s="87"/>
    </row>
    <row r="1991" spans="1:12" ht="12" customHeight="1" x14ac:dyDescent="0.35">
      <c r="B1991" s="84"/>
      <c r="C1991" s="88"/>
      <c r="D1991" s="79"/>
      <c r="E1991" s="79"/>
      <c r="F1991" s="89" t="s">
        <v>421</v>
      </c>
      <c r="G1991" s="101"/>
      <c r="H1991" s="87" t="e">
        <f>SUM(H1986:H1990)</f>
        <v>#REF!</v>
      </c>
      <c r="I1991" s="101"/>
      <c r="J1991" s="87">
        <f>SUM(J1988:J1990)</f>
        <v>1179</v>
      </c>
      <c r="K1991" s="101"/>
      <c r="L1991" s="87">
        <f>SUM(L1988:L1990)</f>
        <v>1179</v>
      </c>
    </row>
    <row r="1992" spans="1:12" ht="12" customHeight="1" x14ac:dyDescent="0.35">
      <c r="B1992" s="84" t="s">
        <v>6</v>
      </c>
      <c r="C1992" s="88" t="s">
        <v>422</v>
      </c>
      <c r="D1992" s="79"/>
      <c r="E1992" s="79"/>
      <c r="F1992" s="90"/>
      <c r="G1992" s="84"/>
      <c r="H1992" s="87"/>
      <c r="I1992" s="84"/>
      <c r="J1992" s="87"/>
      <c r="K1992" s="84"/>
      <c r="L1992" s="87"/>
    </row>
    <row r="1993" spans="1:12" ht="12" customHeight="1" x14ac:dyDescent="0.35">
      <c r="B1993" s="84"/>
      <c r="C1993" s="85"/>
      <c r="D1993" s="84"/>
      <c r="E1993" s="84"/>
      <c r="F1993" s="128"/>
      <c r="G1993" s="87"/>
      <c r="H1993" s="87">
        <f>F1993*G1993</f>
        <v>0</v>
      </c>
      <c r="I1993" s="87">
        <v>232500</v>
      </c>
      <c r="J1993" s="87">
        <f>F1993*I1993</f>
        <v>0</v>
      </c>
      <c r="K1993" s="87">
        <v>270000</v>
      </c>
      <c r="L1993" s="87">
        <f>F1993*K1993</f>
        <v>0</v>
      </c>
    </row>
    <row r="1994" spans="1:12" ht="12" customHeight="1" x14ac:dyDescent="0.35">
      <c r="B1994" s="84"/>
      <c r="C1994" s="85"/>
      <c r="D1994" s="84"/>
      <c r="E1994" s="84"/>
      <c r="F1994" s="128"/>
      <c r="G1994" s="87"/>
      <c r="H1994" s="87">
        <f>F1994*G1994</f>
        <v>0</v>
      </c>
      <c r="I1994" s="87">
        <v>1060</v>
      </c>
      <c r="J1994" s="87">
        <f>F1994*I1994</f>
        <v>0</v>
      </c>
      <c r="K1994" s="87">
        <v>1060</v>
      </c>
      <c r="L1994" s="87">
        <f>F1994*K1994</f>
        <v>0</v>
      </c>
    </row>
    <row r="1995" spans="1:12" ht="12" customHeight="1" x14ac:dyDescent="0.35">
      <c r="B1995" s="84"/>
      <c r="C1995" s="85"/>
      <c r="D1995" s="84"/>
      <c r="E1995" s="84"/>
      <c r="F1995" s="128"/>
      <c r="G1995" s="87"/>
      <c r="H1995" s="87">
        <f>F1995*G1995</f>
        <v>0</v>
      </c>
      <c r="I1995" s="87">
        <v>215000</v>
      </c>
      <c r="J1995" s="87">
        <f>F1995*I1995</f>
        <v>0</v>
      </c>
      <c r="K1995" s="87">
        <v>250000</v>
      </c>
      <c r="L1995" s="87">
        <f>F1995*K1995</f>
        <v>0</v>
      </c>
    </row>
    <row r="1996" spans="1:12" ht="12" customHeight="1" x14ac:dyDescent="0.35">
      <c r="B1996" s="84"/>
      <c r="C1996" s="85"/>
      <c r="D1996" s="84"/>
      <c r="E1996" s="84"/>
      <c r="F1996" s="128"/>
      <c r="G1996" s="87"/>
      <c r="H1996" s="87"/>
      <c r="I1996" s="87"/>
      <c r="J1996" s="87"/>
      <c r="K1996" s="87"/>
      <c r="L1996" s="87"/>
    </row>
    <row r="1997" spans="1:12" ht="12" customHeight="1" x14ac:dyDescent="0.35">
      <c r="B1997" s="84"/>
      <c r="C1997" s="88"/>
      <c r="D1997" s="79"/>
      <c r="E1997" s="79"/>
      <c r="F1997" s="129" t="s">
        <v>423</v>
      </c>
      <c r="G1997" s="129"/>
      <c r="H1997" s="87">
        <f>SUM(H1993:H1996)</f>
        <v>0</v>
      </c>
      <c r="I1997" s="101"/>
      <c r="J1997" s="87" t="e">
        <f>SUM(#REF!)</f>
        <v>#REF!</v>
      </c>
      <c r="K1997" s="101"/>
      <c r="L1997" s="87" t="e">
        <f>SUM(#REF!)</f>
        <v>#REF!</v>
      </c>
    </row>
    <row r="1998" spans="1:12" ht="12" customHeight="1" x14ac:dyDescent="0.35">
      <c r="B1998" s="84" t="s">
        <v>7</v>
      </c>
      <c r="C1998" s="88" t="s">
        <v>424</v>
      </c>
      <c r="D1998" s="79"/>
      <c r="E1998" s="79"/>
      <c r="F1998" s="90"/>
      <c r="G1998" s="84"/>
      <c r="H1998" s="87"/>
      <c r="I1998" s="84"/>
      <c r="J1998" s="87"/>
      <c r="K1998" s="84"/>
      <c r="L1998" s="87"/>
    </row>
    <row r="1999" spans="1:12" ht="12" customHeight="1" x14ac:dyDescent="0.35">
      <c r="A1999" s="134">
        <v>31100004</v>
      </c>
      <c r="B1999" s="84"/>
      <c r="C1999" s="85" t="str">
        <f>VLOOKUP(A1999,'DAFTAR HARGA'!A:D,3,FALSE)</f>
        <v>hari</v>
      </c>
      <c r="D1999" s="84" t="s">
        <v>418</v>
      </c>
      <c r="E1999" s="84">
        <f>VLOOKUP(A1999,'DAFTAR HARGA'!A:D,4,FALSE)</f>
        <v>1151000</v>
      </c>
      <c r="F1999" s="128">
        <v>1.4999999999999999E-2</v>
      </c>
      <c r="G1999" s="87" t="e">
        <f>VLOOKUP(A1999,'DAFTAR HARGA'!A:D,5,FALSE)</f>
        <v>#REF!</v>
      </c>
      <c r="H1999" s="87" t="e">
        <f>F1999*G1999</f>
        <v>#REF!</v>
      </c>
      <c r="I1999" s="87"/>
      <c r="J1999" s="87" t="e">
        <f>H1999*I1999</f>
        <v>#REF!</v>
      </c>
      <c r="K1999" s="87"/>
      <c r="L1999" s="87" t="e">
        <f>J1999*K1999</f>
        <v>#REF!</v>
      </c>
    </row>
    <row r="2000" spans="1:12" ht="12" customHeight="1" x14ac:dyDescent="0.35">
      <c r="B2000" s="84"/>
      <c r="C2000" s="85"/>
      <c r="D2000" s="84"/>
      <c r="E2000" s="84"/>
      <c r="F2000" s="128"/>
      <c r="G2000" s="87"/>
      <c r="H2000" s="87">
        <f>F2000*G2000</f>
        <v>0</v>
      </c>
      <c r="I2000" s="87"/>
      <c r="J2000" s="87"/>
      <c r="K2000" s="87"/>
      <c r="L2000" s="87"/>
    </row>
    <row r="2001" spans="1:12" ht="12" customHeight="1" x14ac:dyDescent="0.35">
      <c r="B2001" s="84"/>
      <c r="C2001" s="88"/>
      <c r="D2001" s="79"/>
      <c r="E2001" s="79"/>
      <c r="F2001" s="89" t="s">
        <v>425</v>
      </c>
      <c r="G2001" s="101"/>
      <c r="H2001" s="87" t="e">
        <f>SUM(H1999:H2000)</f>
        <v>#REF!</v>
      </c>
      <c r="I2001" s="101"/>
      <c r="J2001" s="87" t="e">
        <f>SUM(J1999)</f>
        <v>#REF!</v>
      </c>
      <c r="K2001" s="101"/>
      <c r="L2001" s="87" t="e">
        <f>SUM(L1999)</f>
        <v>#REF!</v>
      </c>
    </row>
    <row r="2002" spans="1:12" ht="12" customHeight="1" x14ac:dyDescent="0.35">
      <c r="B2002" s="84" t="s">
        <v>8</v>
      </c>
      <c r="C2002" s="103" t="s">
        <v>426</v>
      </c>
      <c r="D2002" s="104"/>
      <c r="E2002" s="104"/>
      <c r="F2002" s="104"/>
      <c r="G2002" s="105"/>
      <c r="H2002" s="87" t="e">
        <f>H1991+H1997+H2001</f>
        <v>#REF!</v>
      </c>
      <c r="I2002" s="105"/>
      <c r="J2002" s="87" t="e">
        <f>J1991+J1997+J2001</f>
        <v>#REF!</v>
      </c>
      <c r="K2002" s="105"/>
      <c r="L2002" s="87" t="e">
        <f>L1991+L1997+L2001</f>
        <v>#REF!</v>
      </c>
    </row>
    <row r="2003" spans="1:12" ht="12" customHeight="1" x14ac:dyDescent="0.35">
      <c r="B2003" s="84" t="s">
        <v>9</v>
      </c>
      <c r="C2003" s="455" t="s">
        <v>427</v>
      </c>
      <c r="D2003" s="455"/>
      <c r="E2003" s="455"/>
      <c r="F2003" s="95" t="str">
        <f>OP</f>
        <v>TANJUNG PALAS TENGAH</v>
      </c>
      <c r="G2003" s="85" t="s">
        <v>428</v>
      </c>
      <c r="H2003" s="87" t="e">
        <f>H2002*F2003</f>
        <v>#REF!</v>
      </c>
      <c r="I2003" s="85" t="s">
        <v>428</v>
      </c>
      <c r="J2003" s="87" t="e">
        <f>J2002*F2003</f>
        <v>#REF!</v>
      </c>
      <c r="K2003" s="85" t="s">
        <v>428</v>
      </c>
      <c r="L2003" s="87" t="e">
        <f>L2002*F2003</f>
        <v>#REF!</v>
      </c>
    </row>
    <row r="2004" spans="1:12" ht="12" customHeight="1" x14ac:dyDescent="0.35">
      <c r="B2004" s="84" t="s">
        <v>10</v>
      </c>
      <c r="C2004" s="103" t="s">
        <v>429</v>
      </c>
      <c r="D2004" s="104"/>
      <c r="E2004" s="104"/>
      <c r="F2004" s="104"/>
      <c r="G2004" s="105"/>
      <c r="H2004" s="96" t="e">
        <f>H2002+H2003</f>
        <v>#REF!</v>
      </c>
      <c r="I2004" s="97"/>
      <c r="J2004" s="96" t="e">
        <f>J2002+J2003</f>
        <v>#REF!</v>
      </c>
      <c r="K2004" s="97"/>
      <c r="L2004" s="96" t="e">
        <f>L2002+L2003</f>
        <v>#REF!</v>
      </c>
    </row>
    <row r="2006" spans="1:12" ht="37" customHeight="1" x14ac:dyDescent="0.35">
      <c r="B2006" s="76" t="s">
        <v>669</v>
      </c>
      <c r="C2006" s="458" t="s">
        <v>670</v>
      </c>
      <c r="D2006" s="459"/>
      <c r="E2006" s="459"/>
      <c r="F2006" s="459"/>
      <c r="G2006" s="456"/>
      <c r="H2006" s="457"/>
      <c r="I2006" s="455" t="s">
        <v>3</v>
      </c>
      <c r="J2006" s="455"/>
      <c r="K2006" s="455" t="s">
        <v>4</v>
      </c>
      <c r="L2006" s="455"/>
    </row>
    <row r="2007" spans="1:12" ht="12" customHeight="1" x14ac:dyDescent="0.35">
      <c r="B2007" s="451" t="s">
        <v>409</v>
      </c>
      <c r="C2007" s="451" t="s">
        <v>410</v>
      </c>
      <c r="D2007" s="452" t="s">
        <v>411</v>
      </c>
      <c r="E2007" s="451" t="s">
        <v>412</v>
      </c>
      <c r="F2007" s="451" t="s">
        <v>413</v>
      </c>
      <c r="G2007" s="77" t="s">
        <v>414</v>
      </c>
      <c r="H2007" s="77" t="s">
        <v>415</v>
      </c>
      <c r="I2007" s="78" t="s">
        <v>414</v>
      </c>
      <c r="J2007" s="79" t="s">
        <v>415</v>
      </c>
      <c r="K2007" s="79" t="s">
        <v>414</v>
      </c>
      <c r="L2007" s="79" t="s">
        <v>415</v>
      </c>
    </row>
    <row r="2008" spans="1:12" ht="12" customHeight="1" x14ac:dyDescent="0.35">
      <c r="B2008" s="451"/>
      <c r="C2008" s="451"/>
      <c r="D2008" s="453"/>
      <c r="E2008" s="451"/>
      <c r="F2008" s="451"/>
      <c r="G2008" s="77" t="s">
        <v>17</v>
      </c>
      <c r="H2008" s="77" t="s">
        <v>416</v>
      </c>
      <c r="I2008" s="78" t="s">
        <v>17</v>
      </c>
      <c r="J2008" s="79" t="s">
        <v>416</v>
      </c>
      <c r="K2008" s="79" t="s">
        <v>17</v>
      </c>
      <c r="L2008" s="79" t="s">
        <v>416</v>
      </c>
    </row>
    <row r="2009" spans="1:12" ht="12" customHeight="1" x14ac:dyDescent="0.35">
      <c r="B2009" s="451"/>
      <c r="C2009" s="451"/>
      <c r="D2009" s="454"/>
      <c r="E2009" s="451"/>
      <c r="F2009" s="451"/>
      <c r="G2009" s="106"/>
      <c r="H2009" s="77" t="s">
        <v>17</v>
      </c>
      <c r="I2009" s="94"/>
      <c r="J2009" s="79" t="s">
        <v>17</v>
      </c>
      <c r="K2009" s="85"/>
      <c r="L2009" s="79" t="s">
        <v>17</v>
      </c>
    </row>
    <row r="2010" spans="1:12" ht="12" customHeight="1" x14ac:dyDescent="0.35">
      <c r="B2010" s="80" t="s">
        <v>5</v>
      </c>
      <c r="C2010" s="81" t="s">
        <v>417</v>
      </c>
      <c r="D2010" s="82"/>
      <c r="E2010" s="82"/>
      <c r="F2010" s="82"/>
      <c r="G2010" s="82"/>
      <c r="H2010" s="82"/>
      <c r="I2010" s="83"/>
      <c r="J2010" s="83"/>
      <c r="K2010" s="83"/>
      <c r="L2010" s="83"/>
    </row>
    <row r="2011" spans="1:12" ht="12" customHeight="1" x14ac:dyDescent="0.35">
      <c r="A2011" s="134">
        <v>10130000</v>
      </c>
      <c r="B2011" s="84"/>
      <c r="C2011" s="85" t="str">
        <f>VLOOKUP(A2011,'DAFTAR HARGA'!A:D,3,FALSE)</f>
        <v>OH</v>
      </c>
      <c r="D2011" s="84" t="s">
        <v>418</v>
      </c>
      <c r="E2011" s="84">
        <f>VLOOKUP(A2011,'DAFTAR HARGA'!A:D,4,FALSE)</f>
        <v>115000</v>
      </c>
      <c r="F2011" s="128">
        <v>0.2</v>
      </c>
      <c r="G2011" s="87" t="e">
        <f>VLOOKUP(A2011,'DAFTAR HARGA'!A:D,5,FALSE)</f>
        <v>#REF!</v>
      </c>
      <c r="H2011" s="87" t="e">
        <f>F2011*G2011</f>
        <v>#REF!</v>
      </c>
      <c r="I2011" s="87">
        <v>91500</v>
      </c>
      <c r="J2011" s="87">
        <f>F2011*I2011</f>
        <v>18300</v>
      </c>
      <c r="K2011" s="87">
        <v>91500</v>
      </c>
      <c r="L2011" s="87">
        <f>F2011*K2011</f>
        <v>18300</v>
      </c>
    </row>
    <row r="2012" spans="1:12" ht="12" customHeight="1" x14ac:dyDescent="0.35">
      <c r="A2012" s="134">
        <v>10143000</v>
      </c>
      <c r="B2012" s="84"/>
      <c r="C2012" s="85" t="str">
        <f>VLOOKUP(A2012,'DAFTAR HARGA'!A:D,3,FALSE)</f>
        <v>OH</v>
      </c>
      <c r="D2012" s="84" t="s">
        <v>418</v>
      </c>
      <c r="E2012" s="84">
        <f>VLOOKUP(A2012,'DAFTAR HARGA'!A:D,4,FALSE)</f>
        <v>236600</v>
      </c>
      <c r="F2012" s="128">
        <v>0.2</v>
      </c>
      <c r="G2012" s="87" t="e">
        <f>VLOOKUP(A2012,'DAFTAR HARGA'!A:D,5,FALSE)</f>
        <v>#REF!</v>
      </c>
      <c r="H2012" s="87" t="e">
        <f>F2012*G2012</f>
        <v>#REF!</v>
      </c>
      <c r="I2012" s="87"/>
      <c r="J2012" s="87"/>
      <c r="K2012" s="87"/>
      <c r="L2012" s="87"/>
    </row>
    <row r="2013" spans="1:12" ht="12" customHeight="1" x14ac:dyDescent="0.35">
      <c r="A2013" s="134">
        <v>10120000</v>
      </c>
      <c r="B2013" s="84"/>
      <c r="C2013" s="85" t="str">
        <f>VLOOKUP(A2013,'DAFTAR HARGA'!A:D,3,FALSE)</f>
        <v>OH</v>
      </c>
      <c r="D2013" s="84" t="s">
        <v>418</v>
      </c>
      <c r="E2013" s="84">
        <f>VLOOKUP(A2013,'DAFTAR HARGA'!A:D,4,FALSE)</f>
        <v>130000</v>
      </c>
      <c r="F2013" s="128">
        <f>F2011/10</f>
        <v>0.02</v>
      </c>
      <c r="G2013" s="87" t="e">
        <f>VLOOKUP(A2013,'DAFTAR HARGA'!A:D,5,FALSE)</f>
        <v>#REF!</v>
      </c>
      <c r="H2013" s="87" t="e">
        <f>F2013*G2013</f>
        <v>#REF!</v>
      </c>
      <c r="I2013" s="87">
        <v>78600</v>
      </c>
      <c r="J2013" s="87">
        <f>F2013*I2013</f>
        <v>1572</v>
      </c>
      <c r="K2013" s="87">
        <v>78600</v>
      </c>
      <c r="L2013" s="87">
        <f>F2013*K2013</f>
        <v>1572</v>
      </c>
    </row>
    <row r="2014" spans="1:12" ht="12" customHeight="1" x14ac:dyDescent="0.35">
      <c r="A2014" s="134">
        <v>10110000</v>
      </c>
      <c r="B2014" s="84"/>
      <c r="C2014" s="85" t="str">
        <f>VLOOKUP(A2014,'DAFTAR HARGA'!A:D,3,FALSE)</f>
        <v>OH</v>
      </c>
      <c r="D2014" s="84" t="s">
        <v>418</v>
      </c>
      <c r="E2014" s="84">
        <f>VLOOKUP(A2014,'DAFTAR HARGA'!A:D,4,FALSE)</f>
        <v>150000</v>
      </c>
      <c r="F2014" s="128">
        <f>F2012/10</f>
        <v>0.02</v>
      </c>
      <c r="G2014" s="87" t="e">
        <f>VLOOKUP(A2014,'DAFTAR HARGA'!A:D,5,FALSE)</f>
        <v>#REF!</v>
      </c>
      <c r="H2014" s="87" t="e">
        <f>F2014*G2014</f>
        <v>#REF!</v>
      </c>
      <c r="I2014" s="87">
        <v>92500</v>
      </c>
      <c r="J2014" s="87">
        <f>F2014*I2014</f>
        <v>1850</v>
      </c>
      <c r="K2014" s="87">
        <v>92500</v>
      </c>
      <c r="L2014" s="87">
        <f>F2014*K2014</f>
        <v>1850</v>
      </c>
    </row>
    <row r="2015" spans="1:12" ht="12" customHeight="1" x14ac:dyDescent="0.35">
      <c r="B2015" s="84"/>
      <c r="C2015" s="85"/>
      <c r="D2015" s="84"/>
      <c r="E2015" s="84"/>
      <c r="F2015" s="86"/>
      <c r="G2015" s="87"/>
      <c r="H2015" s="87"/>
      <c r="I2015" s="87"/>
      <c r="J2015" s="87"/>
      <c r="K2015" s="87"/>
      <c r="L2015" s="87"/>
    </row>
    <row r="2016" spans="1:12" ht="12" customHeight="1" x14ac:dyDescent="0.35">
      <c r="B2016" s="84"/>
      <c r="C2016" s="88"/>
      <c r="D2016" s="79"/>
      <c r="E2016" s="79"/>
      <c r="F2016" s="89" t="s">
        <v>421</v>
      </c>
      <c r="G2016" s="101"/>
      <c r="H2016" s="87" t="e">
        <f>SUM(H2011:H2015)</f>
        <v>#REF!</v>
      </c>
      <c r="I2016" s="101"/>
      <c r="J2016" s="87">
        <f>SUM(J2013:J2015)</f>
        <v>3422</v>
      </c>
      <c r="K2016" s="101"/>
      <c r="L2016" s="87">
        <f>SUM(L2013:L2015)</f>
        <v>3422</v>
      </c>
    </row>
    <row r="2017" spans="1:12" ht="12" customHeight="1" x14ac:dyDescent="0.35">
      <c r="B2017" s="84" t="s">
        <v>6</v>
      </c>
      <c r="C2017" s="88" t="s">
        <v>422</v>
      </c>
      <c r="D2017" s="79"/>
      <c r="E2017" s="79"/>
      <c r="F2017" s="90"/>
      <c r="G2017" s="84"/>
      <c r="H2017" s="87"/>
      <c r="I2017" s="84"/>
      <c r="J2017" s="87"/>
      <c r="K2017" s="84"/>
      <c r="L2017" s="87"/>
    </row>
    <row r="2018" spans="1:12" ht="12" customHeight="1" x14ac:dyDescent="0.35">
      <c r="A2018" s="134">
        <v>211100113</v>
      </c>
      <c r="B2018" s="84"/>
      <c r="C2018" s="85" t="str">
        <f>VLOOKUP(A2018,'DAFTAR HARGA'!A:D,3,FALSE)</f>
        <v>m³</v>
      </c>
      <c r="D2018" s="84" t="s">
        <v>418</v>
      </c>
      <c r="E2018" s="84">
        <f>VLOOKUP(A2018,'DAFTAR HARGA'!A:D,4,FALSE)</f>
        <v>217500</v>
      </c>
      <c r="F2018" s="128">
        <v>5.0000000000000001E-3</v>
      </c>
      <c r="G2018" s="87" t="e">
        <f>VLOOKUP(A2018,'DAFTAR HARGA'!A:D,5,FALSE)</f>
        <v>#REF!</v>
      </c>
      <c r="H2018" s="87" t="e">
        <f>F2018*G2018</f>
        <v>#REF!</v>
      </c>
      <c r="I2018" s="87">
        <v>232500</v>
      </c>
      <c r="J2018" s="87">
        <f>F2018*I2018</f>
        <v>1162.5</v>
      </c>
      <c r="K2018" s="87">
        <v>270000</v>
      </c>
      <c r="L2018" s="87">
        <f>F2018*K2018</f>
        <v>1350</v>
      </c>
    </row>
    <row r="2019" spans="1:12" ht="12" customHeight="1" x14ac:dyDescent="0.35">
      <c r="A2019" s="134">
        <v>21301000</v>
      </c>
      <c r="B2019" s="84"/>
      <c r="C2019" s="85" t="str">
        <f>VLOOKUP(A2019,'DAFTAR HARGA'!A:D,3,FALSE)</f>
        <v>Kg</v>
      </c>
      <c r="D2019" s="84" t="s">
        <v>418</v>
      </c>
      <c r="E2019" s="84">
        <f>VLOOKUP(A2019,'DAFTAR HARGA'!A:D,4,FALSE)</f>
        <v>1350</v>
      </c>
      <c r="F2019" s="128">
        <v>2.34</v>
      </c>
      <c r="G2019" s="87" t="e">
        <f>VLOOKUP(A2019,'DAFTAR HARGA'!A:D,5,FALSE)</f>
        <v>#REF!</v>
      </c>
      <c r="H2019" s="87" t="e">
        <f>F2019*G2019</f>
        <v>#REF!</v>
      </c>
      <c r="I2019" s="87">
        <v>1060</v>
      </c>
      <c r="J2019" s="87">
        <f>F2019*I2019</f>
        <v>2480.3999999999996</v>
      </c>
      <c r="K2019" s="87">
        <v>1060</v>
      </c>
      <c r="L2019" s="87">
        <f>F2019*K2019</f>
        <v>2480.3999999999996</v>
      </c>
    </row>
    <row r="2020" spans="1:12" ht="12" customHeight="1" x14ac:dyDescent="0.35">
      <c r="B2020" s="84"/>
      <c r="C2020" s="85"/>
      <c r="D2020" s="84"/>
      <c r="E2020" s="84"/>
      <c r="F2020" s="128"/>
      <c r="G2020" s="87"/>
      <c r="H2020" s="87">
        <f>F2020*G2020</f>
        <v>0</v>
      </c>
      <c r="I2020" s="87">
        <v>215000</v>
      </c>
      <c r="J2020" s="87">
        <f>F2020*I2020</f>
        <v>0</v>
      </c>
      <c r="K2020" s="87">
        <v>250000</v>
      </c>
      <c r="L2020" s="87">
        <f>F2020*K2020</f>
        <v>0</v>
      </c>
    </row>
    <row r="2021" spans="1:12" ht="12" customHeight="1" x14ac:dyDescent="0.35">
      <c r="B2021" s="84"/>
      <c r="C2021" s="85"/>
      <c r="D2021" s="84"/>
      <c r="E2021" s="84"/>
      <c r="F2021" s="128"/>
      <c r="G2021" s="87"/>
      <c r="H2021" s="87"/>
      <c r="I2021" s="87"/>
      <c r="J2021" s="87"/>
      <c r="K2021" s="87"/>
      <c r="L2021" s="87"/>
    </row>
    <row r="2022" spans="1:12" ht="12" customHeight="1" x14ac:dyDescent="0.35">
      <c r="B2022" s="84"/>
      <c r="C2022" s="88"/>
      <c r="D2022" s="79"/>
      <c r="E2022" s="79"/>
      <c r="F2022" s="129" t="s">
        <v>423</v>
      </c>
      <c r="G2022" s="129"/>
      <c r="H2022" s="87" t="e">
        <f>SUM(H2018:H2021)</f>
        <v>#REF!</v>
      </c>
      <c r="I2022" s="101"/>
      <c r="J2022" s="87" t="e">
        <f>SUM(#REF!)</f>
        <v>#REF!</v>
      </c>
      <c r="K2022" s="101"/>
      <c r="L2022" s="87" t="e">
        <f>SUM(#REF!)</f>
        <v>#REF!</v>
      </c>
    </row>
    <row r="2023" spans="1:12" ht="12" customHeight="1" x14ac:dyDescent="0.35">
      <c r="B2023" s="84" t="s">
        <v>7</v>
      </c>
      <c r="C2023" s="88" t="s">
        <v>424</v>
      </c>
      <c r="D2023" s="79"/>
      <c r="E2023" s="79"/>
      <c r="F2023" s="90"/>
      <c r="G2023" s="84"/>
      <c r="H2023" s="87"/>
      <c r="I2023" s="84"/>
      <c r="J2023" s="87"/>
      <c r="K2023" s="84"/>
      <c r="L2023" s="87"/>
    </row>
    <row r="2024" spans="1:12" ht="12" customHeight="1" x14ac:dyDescent="0.35">
      <c r="B2024" s="84"/>
      <c r="C2024" s="85"/>
      <c r="D2024" s="84"/>
      <c r="E2024" s="84"/>
      <c r="F2024" s="128"/>
      <c r="G2024" s="87"/>
      <c r="H2024" s="87">
        <f>F2024*G2024</f>
        <v>0</v>
      </c>
      <c r="I2024" s="87"/>
      <c r="J2024" s="87">
        <f>H2024*I2024</f>
        <v>0</v>
      </c>
      <c r="K2024" s="87"/>
      <c r="L2024" s="87">
        <f>J2024*K2024</f>
        <v>0</v>
      </c>
    </row>
    <row r="2025" spans="1:12" ht="12" customHeight="1" x14ac:dyDescent="0.35">
      <c r="B2025" s="84"/>
      <c r="C2025" s="85"/>
      <c r="D2025" s="84"/>
      <c r="E2025" s="84"/>
      <c r="F2025" s="128"/>
      <c r="G2025" s="87"/>
      <c r="H2025" s="87">
        <f>F2025*G2025</f>
        <v>0</v>
      </c>
      <c r="I2025" s="87"/>
      <c r="J2025" s="87"/>
      <c r="K2025" s="87"/>
      <c r="L2025" s="87"/>
    </row>
    <row r="2026" spans="1:12" ht="12" customHeight="1" x14ac:dyDescent="0.35">
      <c r="B2026" s="84"/>
      <c r="C2026" s="88"/>
      <c r="D2026" s="79"/>
      <c r="E2026" s="79"/>
      <c r="F2026" s="89" t="s">
        <v>425</v>
      </c>
      <c r="G2026" s="101"/>
      <c r="H2026" s="87">
        <f>SUM(H2024:H2025)</f>
        <v>0</v>
      </c>
      <c r="I2026" s="101"/>
      <c r="J2026" s="87">
        <f>SUM(J2024)</f>
        <v>0</v>
      </c>
      <c r="K2026" s="101"/>
      <c r="L2026" s="87">
        <f>SUM(L2024)</f>
        <v>0</v>
      </c>
    </row>
    <row r="2027" spans="1:12" ht="12" customHeight="1" x14ac:dyDescent="0.35">
      <c r="B2027" s="84" t="s">
        <v>8</v>
      </c>
      <c r="C2027" s="103" t="s">
        <v>426</v>
      </c>
      <c r="D2027" s="104"/>
      <c r="E2027" s="104"/>
      <c r="F2027" s="104"/>
      <c r="G2027" s="105"/>
      <c r="H2027" s="87" t="e">
        <f>H2016+H2022+H2026</f>
        <v>#REF!</v>
      </c>
      <c r="I2027" s="105"/>
      <c r="J2027" s="87" t="e">
        <f>J2016+J2022+J2026</f>
        <v>#REF!</v>
      </c>
      <c r="K2027" s="105"/>
      <c r="L2027" s="87" t="e">
        <f>L2016+L2022+L2026</f>
        <v>#REF!</v>
      </c>
    </row>
    <row r="2028" spans="1:12" ht="12" customHeight="1" x14ac:dyDescent="0.35">
      <c r="B2028" s="84" t="s">
        <v>9</v>
      </c>
      <c r="C2028" s="455" t="s">
        <v>427</v>
      </c>
      <c r="D2028" s="455"/>
      <c r="E2028" s="455"/>
      <c r="F2028" s="95" t="str">
        <f>OP</f>
        <v>TANJUNG PALAS TENGAH</v>
      </c>
      <c r="G2028" s="85" t="s">
        <v>428</v>
      </c>
      <c r="H2028" s="87" t="e">
        <f>H2027*F2028</f>
        <v>#REF!</v>
      </c>
      <c r="I2028" s="85" t="s">
        <v>428</v>
      </c>
      <c r="J2028" s="87" t="e">
        <f>J2027*F2028</f>
        <v>#REF!</v>
      </c>
      <c r="K2028" s="85" t="s">
        <v>428</v>
      </c>
      <c r="L2028" s="87" t="e">
        <f>L2027*F2028</f>
        <v>#REF!</v>
      </c>
    </row>
    <row r="2029" spans="1:12" ht="12" customHeight="1" x14ac:dyDescent="0.35">
      <c r="B2029" s="84" t="s">
        <v>10</v>
      </c>
      <c r="C2029" s="103" t="s">
        <v>429</v>
      </c>
      <c r="D2029" s="104"/>
      <c r="E2029" s="104"/>
      <c r="F2029" s="104"/>
      <c r="G2029" s="105"/>
      <c r="H2029" s="96" t="e">
        <f>H2027+H2028</f>
        <v>#REF!</v>
      </c>
      <c r="I2029" s="97"/>
      <c r="J2029" s="96" t="e">
        <f>J2027+J2028</f>
        <v>#REF!</v>
      </c>
      <c r="K2029" s="97"/>
      <c r="L2029" s="96" t="e">
        <f>L2027+L2028</f>
        <v>#REF!</v>
      </c>
    </row>
    <row r="2031" spans="1:12" ht="37" customHeight="1" x14ac:dyDescent="0.35">
      <c r="B2031" s="76" t="s">
        <v>672</v>
      </c>
      <c r="C2031" s="458" t="s">
        <v>671</v>
      </c>
      <c r="D2031" s="459"/>
      <c r="E2031" s="459"/>
      <c r="F2031" s="459"/>
      <c r="G2031" s="456"/>
      <c r="H2031" s="457"/>
      <c r="I2031" s="455" t="s">
        <v>3</v>
      </c>
      <c r="J2031" s="455"/>
      <c r="K2031" s="455" t="s">
        <v>4</v>
      </c>
      <c r="L2031" s="455"/>
    </row>
    <row r="2032" spans="1:12" ht="12" customHeight="1" x14ac:dyDescent="0.35">
      <c r="B2032" s="451" t="s">
        <v>409</v>
      </c>
      <c r="C2032" s="451" t="s">
        <v>410</v>
      </c>
      <c r="D2032" s="452" t="s">
        <v>411</v>
      </c>
      <c r="E2032" s="451" t="s">
        <v>412</v>
      </c>
      <c r="F2032" s="451" t="s">
        <v>413</v>
      </c>
      <c r="G2032" s="77" t="s">
        <v>414</v>
      </c>
      <c r="H2032" s="77" t="s">
        <v>415</v>
      </c>
      <c r="I2032" s="78" t="s">
        <v>414</v>
      </c>
      <c r="J2032" s="79" t="s">
        <v>415</v>
      </c>
      <c r="K2032" s="79" t="s">
        <v>414</v>
      </c>
      <c r="L2032" s="79" t="s">
        <v>415</v>
      </c>
    </row>
    <row r="2033" spans="1:12" ht="12" customHeight="1" x14ac:dyDescent="0.35">
      <c r="B2033" s="451"/>
      <c r="C2033" s="451"/>
      <c r="D2033" s="453"/>
      <c r="E2033" s="451"/>
      <c r="F2033" s="451"/>
      <c r="G2033" s="77" t="s">
        <v>17</v>
      </c>
      <c r="H2033" s="77" t="s">
        <v>416</v>
      </c>
      <c r="I2033" s="78" t="s">
        <v>17</v>
      </c>
      <c r="J2033" s="79" t="s">
        <v>416</v>
      </c>
      <c r="K2033" s="79" t="s">
        <v>17</v>
      </c>
      <c r="L2033" s="79" t="s">
        <v>416</v>
      </c>
    </row>
    <row r="2034" spans="1:12" ht="12" customHeight="1" x14ac:dyDescent="0.35">
      <c r="B2034" s="451"/>
      <c r="C2034" s="451"/>
      <c r="D2034" s="454"/>
      <c r="E2034" s="451"/>
      <c r="F2034" s="451"/>
      <c r="G2034" s="106"/>
      <c r="H2034" s="77" t="s">
        <v>17</v>
      </c>
      <c r="I2034" s="94"/>
      <c r="J2034" s="79" t="s">
        <v>17</v>
      </c>
      <c r="K2034" s="85"/>
      <c r="L2034" s="79" t="s">
        <v>17</v>
      </c>
    </row>
    <row r="2035" spans="1:12" ht="12" customHeight="1" x14ac:dyDescent="0.35">
      <c r="B2035" s="80" t="s">
        <v>5</v>
      </c>
      <c r="C2035" s="81" t="s">
        <v>417</v>
      </c>
      <c r="D2035" s="82"/>
      <c r="E2035" s="82"/>
      <c r="F2035" s="82"/>
      <c r="G2035" s="82"/>
      <c r="H2035" s="82"/>
      <c r="I2035" s="83"/>
      <c r="J2035" s="83"/>
      <c r="K2035" s="83"/>
      <c r="L2035" s="83"/>
    </row>
    <row r="2036" spans="1:12" ht="12" customHeight="1" x14ac:dyDescent="0.35">
      <c r="A2036" s="134">
        <v>10130000</v>
      </c>
      <c r="B2036" s="84"/>
      <c r="C2036" s="85" t="str">
        <f>VLOOKUP(A2036,'DAFTAR HARGA'!A:D,3,FALSE)</f>
        <v>OH</v>
      </c>
      <c r="D2036" s="84" t="s">
        <v>418</v>
      </c>
      <c r="E2036" s="84">
        <f>VLOOKUP(A2036,'DAFTAR HARGA'!A:D,4,FALSE)</f>
        <v>115000</v>
      </c>
      <c r="F2036" s="128">
        <v>0.2</v>
      </c>
      <c r="G2036" s="87" t="e">
        <f>VLOOKUP(A2036,'DAFTAR HARGA'!A:D,5,FALSE)</f>
        <v>#REF!</v>
      </c>
      <c r="H2036" s="87" t="e">
        <f>F2036*G2036</f>
        <v>#REF!</v>
      </c>
      <c r="I2036" s="87">
        <v>91500</v>
      </c>
      <c r="J2036" s="87">
        <f>F2036*I2036</f>
        <v>18300</v>
      </c>
      <c r="K2036" s="87">
        <v>91500</v>
      </c>
      <c r="L2036" s="87">
        <f>F2036*K2036</f>
        <v>18300</v>
      </c>
    </row>
    <row r="2037" spans="1:12" ht="12" customHeight="1" x14ac:dyDescent="0.35">
      <c r="A2037" s="134">
        <v>10143000</v>
      </c>
      <c r="B2037" s="84"/>
      <c r="C2037" s="85" t="str">
        <f>VLOOKUP(A2037,'DAFTAR HARGA'!A:D,3,FALSE)</f>
        <v>OH</v>
      </c>
      <c r="D2037" s="84" t="s">
        <v>418</v>
      </c>
      <c r="E2037" s="84">
        <f>VLOOKUP(A2037,'DAFTAR HARGA'!A:D,4,FALSE)</f>
        <v>236600</v>
      </c>
      <c r="F2037" s="128">
        <v>0.2</v>
      </c>
      <c r="G2037" s="87" t="e">
        <f>VLOOKUP(A2037,'DAFTAR HARGA'!A:D,5,FALSE)</f>
        <v>#REF!</v>
      </c>
      <c r="H2037" s="87" t="e">
        <f>F2037*G2037</f>
        <v>#REF!</v>
      </c>
      <c r="I2037" s="87"/>
      <c r="J2037" s="87"/>
      <c r="K2037" s="87"/>
      <c r="L2037" s="87"/>
    </row>
    <row r="2038" spans="1:12" ht="12" customHeight="1" x14ac:dyDescent="0.35">
      <c r="A2038" s="134">
        <v>10120000</v>
      </c>
      <c r="B2038" s="84"/>
      <c r="C2038" s="85" t="str">
        <f>VLOOKUP(A2038,'DAFTAR HARGA'!A:D,3,FALSE)</f>
        <v>OH</v>
      </c>
      <c r="D2038" s="84" t="s">
        <v>418</v>
      </c>
      <c r="E2038" s="84">
        <f>VLOOKUP(A2038,'DAFTAR HARGA'!A:D,4,FALSE)</f>
        <v>130000</v>
      </c>
      <c r="F2038" s="128">
        <f>F2036/10</f>
        <v>0.02</v>
      </c>
      <c r="G2038" s="87" t="e">
        <f>VLOOKUP(A2038,'DAFTAR HARGA'!A:D,5,FALSE)</f>
        <v>#REF!</v>
      </c>
      <c r="H2038" s="87" t="e">
        <f>F2038*G2038</f>
        <v>#REF!</v>
      </c>
      <c r="I2038" s="87">
        <v>78600</v>
      </c>
      <c r="J2038" s="87">
        <f>F2038*I2038</f>
        <v>1572</v>
      </c>
      <c r="K2038" s="87">
        <v>78600</v>
      </c>
      <c r="L2038" s="87">
        <f>F2038*K2038</f>
        <v>1572</v>
      </c>
    </row>
    <row r="2039" spans="1:12" ht="12" customHeight="1" x14ac:dyDescent="0.35">
      <c r="A2039" s="134">
        <v>10110000</v>
      </c>
      <c r="B2039" s="84"/>
      <c r="C2039" s="85" t="str">
        <f>VLOOKUP(A2039,'DAFTAR HARGA'!A:D,3,FALSE)</f>
        <v>OH</v>
      </c>
      <c r="D2039" s="84" t="s">
        <v>418</v>
      </c>
      <c r="E2039" s="84">
        <f>VLOOKUP(A2039,'DAFTAR HARGA'!A:D,4,FALSE)</f>
        <v>150000</v>
      </c>
      <c r="F2039" s="128">
        <f>F2037/10</f>
        <v>0.02</v>
      </c>
      <c r="G2039" s="87" t="e">
        <f>VLOOKUP(A2039,'DAFTAR HARGA'!A:D,5,FALSE)</f>
        <v>#REF!</v>
      </c>
      <c r="H2039" s="87" t="e">
        <f>F2039*G2039</f>
        <v>#REF!</v>
      </c>
      <c r="I2039" s="87">
        <v>92500</v>
      </c>
      <c r="J2039" s="87">
        <f>F2039*I2039</f>
        <v>1850</v>
      </c>
      <c r="K2039" s="87">
        <v>92500</v>
      </c>
      <c r="L2039" s="87">
        <f>F2039*K2039</f>
        <v>1850</v>
      </c>
    </row>
    <row r="2040" spans="1:12" ht="12" customHeight="1" x14ac:dyDescent="0.35">
      <c r="B2040" s="84"/>
      <c r="C2040" s="85"/>
      <c r="D2040" s="84"/>
      <c r="E2040" s="84"/>
      <c r="F2040" s="86"/>
      <c r="G2040" s="87"/>
      <c r="H2040" s="87"/>
      <c r="I2040" s="87"/>
      <c r="J2040" s="87"/>
      <c r="K2040" s="87"/>
      <c r="L2040" s="87"/>
    </row>
    <row r="2041" spans="1:12" ht="12" customHeight="1" x14ac:dyDescent="0.35">
      <c r="B2041" s="84"/>
      <c r="C2041" s="88"/>
      <c r="D2041" s="79"/>
      <c r="E2041" s="79"/>
      <c r="F2041" s="89" t="s">
        <v>421</v>
      </c>
      <c r="G2041" s="101"/>
      <c r="H2041" s="87" t="e">
        <f>SUM(H2036:H2040)</f>
        <v>#REF!</v>
      </c>
      <c r="I2041" s="101"/>
      <c r="J2041" s="87">
        <f>SUM(J2038:J2040)</f>
        <v>3422</v>
      </c>
      <c r="K2041" s="101"/>
      <c r="L2041" s="87">
        <f>SUM(L2038:L2040)</f>
        <v>3422</v>
      </c>
    </row>
    <row r="2042" spans="1:12" ht="12" customHeight="1" x14ac:dyDescent="0.35">
      <c r="B2042" s="84" t="s">
        <v>6</v>
      </c>
      <c r="C2042" s="88" t="s">
        <v>422</v>
      </c>
      <c r="D2042" s="79"/>
      <c r="E2042" s="79"/>
      <c r="F2042" s="90"/>
      <c r="G2042" s="84"/>
      <c r="H2042" s="87"/>
      <c r="I2042" s="84"/>
      <c r="J2042" s="87"/>
      <c r="K2042" s="84"/>
      <c r="L2042" s="87"/>
    </row>
    <row r="2043" spans="1:12" ht="12" customHeight="1" x14ac:dyDescent="0.35">
      <c r="A2043" s="134">
        <v>211100113</v>
      </c>
      <c r="B2043" s="84"/>
      <c r="C2043" s="85" t="str">
        <f>VLOOKUP(A2043,'DAFTAR HARGA'!A:D,3,FALSE)</f>
        <v>m³</v>
      </c>
      <c r="D2043" s="84" t="s">
        <v>418</v>
      </c>
      <c r="E2043" s="84">
        <f>VLOOKUP(A2043,'DAFTAR HARGA'!A:D,4,FALSE)</f>
        <v>217500</v>
      </c>
      <c r="F2043" s="128">
        <v>5.4000000000000003E-3</v>
      </c>
      <c r="G2043" s="87" t="e">
        <f>VLOOKUP(A2043,'DAFTAR HARGA'!A:D,5,FALSE)</f>
        <v>#REF!</v>
      </c>
      <c r="H2043" s="87" t="e">
        <f>F2043*G2043</f>
        <v>#REF!</v>
      </c>
      <c r="I2043" s="87">
        <v>232500</v>
      </c>
      <c r="J2043" s="87">
        <f>F2043*I2043</f>
        <v>1255.5</v>
      </c>
      <c r="K2043" s="87">
        <v>270000</v>
      </c>
      <c r="L2043" s="87">
        <f>F2043*K2043</f>
        <v>1458</v>
      </c>
    </row>
    <row r="2044" spans="1:12" ht="12" customHeight="1" x14ac:dyDescent="0.35">
      <c r="A2044" s="134">
        <v>21301000</v>
      </c>
      <c r="B2044" s="84"/>
      <c r="C2044" s="85" t="str">
        <f>VLOOKUP(A2044,'DAFTAR HARGA'!A:D,3,FALSE)</f>
        <v>Kg</v>
      </c>
      <c r="D2044" s="84" t="s">
        <v>418</v>
      </c>
      <c r="E2044" s="84">
        <f>VLOOKUP(A2044,'DAFTAR HARGA'!A:D,4,FALSE)</f>
        <v>1350</v>
      </c>
      <c r="F2044" s="128">
        <v>1.82</v>
      </c>
      <c r="G2044" s="87" t="e">
        <f>VLOOKUP(A2044,'DAFTAR HARGA'!A:D,5,FALSE)</f>
        <v>#REF!</v>
      </c>
      <c r="H2044" s="87" t="e">
        <f>F2044*G2044</f>
        <v>#REF!</v>
      </c>
      <c r="I2044" s="87">
        <v>1060</v>
      </c>
      <c r="J2044" s="87">
        <f>F2044*I2044</f>
        <v>1929.2</v>
      </c>
      <c r="K2044" s="87">
        <v>1060</v>
      </c>
      <c r="L2044" s="87">
        <f>F2044*K2044</f>
        <v>1929.2</v>
      </c>
    </row>
    <row r="2045" spans="1:12" ht="12" customHeight="1" x14ac:dyDescent="0.35">
      <c r="B2045" s="84"/>
      <c r="C2045" s="85"/>
      <c r="D2045" s="84"/>
      <c r="E2045" s="84"/>
      <c r="F2045" s="128"/>
      <c r="G2045" s="87"/>
      <c r="H2045" s="87">
        <f>F2045*G2045</f>
        <v>0</v>
      </c>
      <c r="I2045" s="87">
        <v>215000</v>
      </c>
      <c r="J2045" s="87">
        <f>F2045*I2045</f>
        <v>0</v>
      </c>
      <c r="K2045" s="87">
        <v>250000</v>
      </c>
      <c r="L2045" s="87">
        <f>F2045*K2045</f>
        <v>0</v>
      </c>
    </row>
    <row r="2046" spans="1:12" ht="12" customHeight="1" x14ac:dyDescent="0.35">
      <c r="B2046" s="84"/>
      <c r="C2046" s="85"/>
      <c r="D2046" s="84"/>
      <c r="E2046" s="84"/>
      <c r="F2046" s="128"/>
      <c r="G2046" s="87"/>
      <c r="H2046" s="87"/>
      <c r="I2046" s="87"/>
      <c r="J2046" s="87"/>
      <c r="K2046" s="87"/>
      <c r="L2046" s="87"/>
    </row>
    <row r="2047" spans="1:12" ht="12" customHeight="1" x14ac:dyDescent="0.35">
      <c r="B2047" s="84"/>
      <c r="C2047" s="88"/>
      <c r="D2047" s="79"/>
      <c r="E2047" s="79"/>
      <c r="F2047" s="129" t="s">
        <v>423</v>
      </c>
      <c r="G2047" s="129"/>
      <c r="H2047" s="87" t="e">
        <f>SUM(H2043:H2046)</f>
        <v>#REF!</v>
      </c>
      <c r="I2047" s="101"/>
      <c r="J2047" s="87" t="e">
        <f>SUM(#REF!)</f>
        <v>#REF!</v>
      </c>
      <c r="K2047" s="101"/>
      <c r="L2047" s="87" t="e">
        <f>SUM(#REF!)</f>
        <v>#REF!</v>
      </c>
    </row>
    <row r="2048" spans="1:12" ht="12" customHeight="1" x14ac:dyDescent="0.35">
      <c r="B2048" s="84" t="s">
        <v>7</v>
      </c>
      <c r="C2048" s="88" t="s">
        <v>424</v>
      </c>
      <c r="D2048" s="79"/>
      <c r="E2048" s="79"/>
      <c r="F2048" s="90"/>
      <c r="G2048" s="84"/>
      <c r="H2048" s="87"/>
      <c r="I2048" s="84"/>
      <c r="J2048" s="87"/>
      <c r="K2048" s="84"/>
      <c r="L2048" s="87"/>
    </row>
    <row r="2049" spans="1:12" ht="12" customHeight="1" x14ac:dyDescent="0.35">
      <c r="B2049" s="84"/>
      <c r="C2049" s="85"/>
      <c r="D2049" s="84"/>
      <c r="E2049" s="84"/>
      <c r="F2049" s="128"/>
      <c r="G2049" s="87"/>
      <c r="H2049" s="87">
        <f>F2049*G2049</f>
        <v>0</v>
      </c>
      <c r="I2049" s="87"/>
      <c r="J2049" s="87">
        <f>H2049*I2049</f>
        <v>0</v>
      </c>
      <c r="K2049" s="87"/>
      <c r="L2049" s="87">
        <f>J2049*K2049</f>
        <v>0</v>
      </c>
    </row>
    <row r="2050" spans="1:12" ht="12" customHeight="1" x14ac:dyDescent="0.35">
      <c r="B2050" s="84"/>
      <c r="C2050" s="85"/>
      <c r="D2050" s="84"/>
      <c r="E2050" s="84"/>
      <c r="F2050" s="128"/>
      <c r="G2050" s="87"/>
      <c r="H2050" s="87">
        <f>F2050*G2050</f>
        <v>0</v>
      </c>
      <c r="I2050" s="87"/>
      <c r="J2050" s="87"/>
      <c r="K2050" s="87"/>
      <c r="L2050" s="87"/>
    </row>
    <row r="2051" spans="1:12" ht="12" customHeight="1" x14ac:dyDescent="0.35">
      <c r="B2051" s="84"/>
      <c r="C2051" s="88"/>
      <c r="D2051" s="79"/>
      <c r="E2051" s="79"/>
      <c r="F2051" s="89" t="s">
        <v>425</v>
      </c>
      <c r="G2051" s="101"/>
      <c r="H2051" s="87">
        <f>SUM(H2049:H2050)</f>
        <v>0</v>
      </c>
      <c r="I2051" s="101"/>
      <c r="J2051" s="87">
        <f>SUM(J2049)</f>
        <v>0</v>
      </c>
      <c r="K2051" s="101"/>
      <c r="L2051" s="87">
        <f>SUM(L2049)</f>
        <v>0</v>
      </c>
    </row>
    <row r="2052" spans="1:12" ht="12" customHeight="1" x14ac:dyDescent="0.35">
      <c r="B2052" s="84" t="s">
        <v>8</v>
      </c>
      <c r="C2052" s="103" t="s">
        <v>426</v>
      </c>
      <c r="D2052" s="104"/>
      <c r="E2052" s="104"/>
      <c r="F2052" s="104"/>
      <c r="G2052" s="105"/>
      <c r="H2052" s="87" t="e">
        <f>H2041+H2047+H2051</f>
        <v>#REF!</v>
      </c>
      <c r="I2052" s="105"/>
      <c r="J2052" s="87" t="e">
        <f>J2041+J2047+J2051</f>
        <v>#REF!</v>
      </c>
      <c r="K2052" s="105"/>
      <c r="L2052" s="87" t="e">
        <f>L2041+L2047+L2051</f>
        <v>#REF!</v>
      </c>
    </row>
    <row r="2053" spans="1:12" ht="12" customHeight="1" x14ac:dyDescent="0.35">
      <c r="B2053" s="84" t="s">
        <v>9</v>
      </c>
      <c r="C2053" s="455" t="s">
        <v>427</v>
      </c>
      <c r="D2053" s="455"/>
      <c r="E2053" s="455"/>
      <c r="F2053" s="95" t="str">
        <f>OP</f>
        <v>TANJUNG PALAS TENGAH</v>
      </c>
      <c r="G2053" s="85" t="s">
        <v>428</v>
      </c>
      <c r="H2053" s="87" t="e">
        <f>H2052*F2053</f>
        <v>#REF!</v>
      </c>
      <c r="I2053" s="85" t="s">
        <v>428</v>
      </c>
      <c r="J2053" s="87" t="e">
        <f>J2052*F2053</f>
        <v>#REF!</v>
      </c>
      <c r="K2053" s="85" t="s">
        <v>428</v>
      </c>
      <c r="L2053" s="87" t="e">
        <f>L2052*F2053</f>
        <v>#REF!</v>
      </c>
    </row>
    <row r="2054" spans="1:12" ht="12" customHeight="1" x14ac:dyDescent="0.35">
      <c r="B2054" s="84" t="s">
        <v>10</v>
      </c>
      <c r="C2054" s="103" t="s">
        <v>429</v>
      </c>
      <c r="D2054" s="104"/>
      <c r="E2054" s="104"/>
      <c r="F2054" s="104"/>
      <c r="G2054" s="105"/>
      <c r="H2054" s="96" t="e">
        <f>H2052+H2053</f>
        <v>#REF!</v>
      </c>
      <c r="I2054" s="97"/>
      <c r="J2054" s="96" t="e">
        <f>J2052+J2053</f>
        <v>#REF!</v>
      </c>
      <c r="K2054" s="97"/>
      <c r="L2054" s="96" t="e">
        <f>L2052+L2053</f>
        <v>#REF!</v>
      </c>
    </row>
    <row r="2056" spans="1:12" ht="37" customHeight="1" x14ac:dyDescent="0.35">
      <c r="B2056" s="76" t="s">
        <v>674</v>
      </c>
      <c r="C2056" s="458" t="s">
        <v>673</v>
      </c>
      <c r="D2056" s="459"/>
      <c r="E2056" s="459"/>
      <c r="F2056" s="459"/>
      <c r="G2056" s="456"/>
      <c r="H2056" s="457"/>
      <c r="I2056" s="455" t="s">
        <v>3</v>
      </c>
      <c r="J2056" s="455"/>
      <c r="K2056" s="455" t="s">
        <v>4</v>
      </c>
      <c r="L2056" s="455"/>
    </row>
    <row r="2057" spans="1:12" ht="12" customHeight="1" x14ac:dyDescent="0.35">
      <c r="B2057" s="451" t="s">
        <v>409</v>
      </c>
      <c r="C2057" s="451" t="s">
        <v>410</v>
      </c>
      <c r="D2057" s="452" t="s">
        <v>411</v>
      </c>
      <c r="E2057" s="451" t="s">
        <v>412</v>
      </c>
      <c r="F2057" s="451" t="s">
        <v>413</v>
      </c>
      <c r="G2057" s="77" t="s">
        <v>414</v>
      </c>
      <c r="H2057" s="77" t="s">
        <v>415</v>
      </c>
      <c r="I2057" s="78" t="s">
        <v>414</v>
      </c>
      <c r="J2057" s="79" t="s">
        <v>415</v>
      </c>
      <c r="K2057" s="79" t="s">
        <v>414</v>
      </c>
      <c r="L2057" s="79" t="s">
        <v>415</v>
      </c>
    </row>
    <row r="2058" spans="1:12" ht="12" customHeight="1" x14ac:dyDescent="0.35">
      <c r="B2058" s="451"/>
      <c r="C2058" s="451"/>
      <c r="D2058" s="453"/>
      <c r="E2058" s="451"/>
      <c r="F2058" s="451"/>
      <c r="G2058" s="77" t="s">
        <v>17</v>
      </c>
      <c r="H2058" s="77" t="s">
        <v>416</v>
      </c>
      <c r="I2058" s="78" t="s">
        <v>17</v>
      </c>
      <c r="J2058" s="79" t="s">
        <v>416</v>
      </c>
      <c r="K2058" s="79" t="s">
        <v>17</v>
      </c>
      <c r="L2058" s="79" t="s">
        <v>416</v>
      </c>
    </row>
    <row r="2059" spans="1:12" ht="12" customHeight="1" x14ac:dyDescent="0.35">
      <c r="B2059" s="451"/>
      <c r="C2059" s="451"/>
      <c r="D2059" s="454"/>
      <c r="E2059" s="451"/>
      <c r="F2059" s="451"/>
      <c r="G2059" s="106"/>
      <c r="H2059" s="77" t="s">
        <v>17</v>
      </c>
      <c r="I2059" s="94"/>
      <c r="J2059" s="79" t="s">
        <v>17</v>
      </c>
      <c r="K2059" s="85"/>
      <c r="L2059" s="79" t="s">
        <v>17</v>
      </c>
    </row>
    <row r="2060" spans="1:12" ht="12" customHeight="1" x14ac:dyDescent="0.35">
      <c r="B2060" s="80" t="s">
        <v>5</v>
      </c>
      <c r="C2060" s="81" t="s">
        <v>417</v>
      </c>
      <c r="D2060" s="82"/>
      <c r="E2060" s="82"/>
      <c r="F2060" s="82"/>
      <c r="G2060" s="82"/>
      <c r="H2060" s="82"/>
      <c r="I2060" s="83"/>
      <c r="J2060" s="83"/>
      <c r="K2060" s="83"/>
      <c r="L2060" s="83"/>
    </row>
    <row r="2061" spans="1:12" ht="12" customHeight="1" x14ac:dyDescent="0.35">
      <c r="A2061" s="134">
        <v>10130000</v>
      </c>
      <c r="B2061" s="84"/>
      <c r="C2061" s="85" t="str">
        <f>VLOOKUP(A2061,'DAFTAR HARGA'!A:D,3,FALSE)</f>
        <v>OH</v>
      </c>
      <c r="D2061" s="84" t="s">
        <v>418</v>
      </c>
      <c r="E2061" s="84">
        <f>VLOOKUP(A2061,'DAFTAR HARGA'!A:D,4,FALSE)</f>
        <v>115000</v>
      </c>
      <c r="F2061" s="128">
        <v>0.1</v>
      </c>
      <c r="G2061" s="87" t="e">
        <f>VLOOKUP(A2061,'DAFTAR HARGA'!A:D,5,FALSE)</f>
        <v>#REF!</v>
      </c>
      <c r="H2061" s="87" t="e">
        <f>F2061*G2061</f>
        <v>#REF!</v>
      </c>
      <c r="I2061" s="87">
        <v>91500</v>
      </c>
      <c r="J2061" s="87">
        <f>F2061*I2061</f>
        <v>9150</v>
      </c>
      <c r="K2061" s="87">
        <v>91500</v>
      </c>
      <c r="L2061" s="87">
        <f>F2061*K2061</f>
        <v>9150</v>
      </c>
    </row>
    <row r="2062" spans="1:12" ht="12" customHeight="1" x14ac:dyDescent="0.35">
      <c r="A2062" s="134">
        <v>10143000</v>
      </c>
      <c r="B2062" s="84"/>
      <c r="C2062" s="85" t="str">
        <f>VLOOKUP(A2062,'DAFTAR HARGA'!A:D,3,FALSE)</f>
        <v>OH</v>
      </c>
      <c r="D2062" s="84" t="s">
        <v>418</v>
      </c>
      <c r="E2062" s="84">
        <f>VLOOKUP(A2062,'DAFTAR HARGA'!A:D,4,FALSE)</f>
        <v>236600</v>
      </c>
      <c r="F2062" s="128">
        <v>0.1</v>
      </c>
      <c r="G2062" s="87" t="e">
        <f>VLOOKUP(A2062,'DAFTAR HARGA'!A:D,5,FALSE)</f>
        <v>#REF!</v>
      </c>
      <c r="H2062" s="87" t="e">
        <f>F2062*G2062</f>
        <v>#REF!</v>
      </c>
      <c r="I2062" s="87"/>
      <c r="J2062" s="87"/>
      <c r="K2062" s="87"/>
      <c r="L2062" s="87"/>
    </row>
    <row r="2063" spans="1:12" ht="12" customHeight="1" x14ac:dyDescent="0.35">
      <c r="A2063" s="134">
        <v>10120000</v>
      </c>
      <c r="B2063" s="84"/>
      <c r="C2063" s="85" t="str">
        <f>VLOOKUP(A2063,'DAFTAR HARGA'!A:D,3,FALSE)</f>
        <v>OH</v>
      </c>
      <c r="D2063" s="84" t="s">
        <v>418</v>
      </c>
      <c r="E2063" s="84">
        <f>VLOOKUP(A2063,'DAFTAR HARGA'!A:D,4,FALSE)</f>
        <v>130000</v>
      </c>
      <c r="F2063" s="128">
        <f>F2061/10</f>
        <v>0.01</v>
      </c>
      <c r="G2063" s="87" t="e">
        <f>VLOOKUP(A2063,'DAFTAR HARGA'!A:D,5,FALSE)</f>
        <v>#REF!</v>
      </c>
      <c r="H2063" s="87" t="e">
        <f>F2063*G2063</f>
        <v>#REF!</v>
      </c>
      <c r="I2063" s="87">
        <v>78600</v>
      </c>
      <c r="J2063" s="87">
        <f>F2063*I2063</f>
        <v>786</v>
      </c>
      <c r="K2063" s="87">
        <v>78600</v>
      </c>
      <c r="L2063" s="87">
        <f>F2063*K2063</f>
        <v>786</v>
      </c>
    </row>
    <row r="2064" spans="1:12" ht="12" customHeight="1" x14ac:dyDescent="0.35">
      <c r="A2064" s="134">
        <v>10110000</v>
      </c>
      <c r="B2064" s="84"/>
      <c r="C2064" s="85" t="str">
        <f>VLOOKUP(A2064,'DAFTAR HARGA'!A:D,3,FALSE)</f>
        <v>OH</v>
      </c>
      <c r="D2064" s="84" t="s">
        <v>418</v>
      </c>
      <c r="E2064" s="84">
        <f>VLOOKUP(A2064,'DAFTAR HARGA'!A:D,4,FALSE)</f>
        <v>150000</v>
      </c>
      <c r="F2064" s="128">
        <f>F2062/10</f>
        <v>0.01</v>
      </c>
      <c r="G2064" s="87" t="e">
        <f>VLOOKUP(A2064,'DAFTAR HARGA'!A:D,5,FALSE)</f>
        <v>#REF!</v>
      </c>
      <c r="H2064" s="87" t="e">
        <f>F2064*G2064</f>
        <v>#REF!</v>
      </c>
      <c r="I2064" s="87">
        <v>92500</v>
      </c>
      <c r="J2064" s="87">
        <f>F2064*I2064</f>
        <v>925</v>
      </c>
      <c r="K2064" s="87">
        <v>92500</v>
      </c>
      <c r="L2064" s="87">
        <f>F2064*K2064</f>
        <v>925</v>
      </c>
    </row>
    <row r="2065" spans="1:12" ht="12" customHeight="1" x14ac:dyDescent="0.35">
      <c r="B2065" s="84"/>
      <c r="C2065" s="85"/>
      <c r="D2065" s="84"/>
      <c r="E2065" s="84"/>
      <c r="F2065" s="86"/>
      <c r="G2065" s="87"/>
      <c r="H2065" s="87"/>
      <c r="I2065" s="87"/>
      <c r="J2065" s="87"/>
      <c r="K2065" s="87"/>
      <c r="L2065" s="87"/>
    </row>
    <row r="2066" spans="1:12" ht="12" customHeight="1" x14ac:dyDescent="0.35">
      <c r="B2066" s="84"/>
      <c r="C2066" s="88"/>
      <c r="D2066" s="79"/>
      <c r="E2066" s="79"/>
      <c r="F2066" s="89" t="s">
        <v>421</v>
      </c>
      <c r="G2066" s="101"/>
      <c r="H2066" s="87" t="e">
        <f>SUM(H2061:H2065)</f>
        <v>#REF!</v>
      </c>
      <c r="I2066" s="101"/>
      <c r="J2066" s="87">
        <f>SUM(J2063:J2065)</f>
        <v>1711</v>
      </c>
      <c r="K2066" s="101"/>
      <c r="L2066" s="87">
        <f>SUM(L2063:L2065)</f>
        <v>1711</v>
      </c>
    </row>
    <row r="2067" spans="1:12" ht="12" customHeight="1" x14ac:dyDescent="0.35">
      <c r="B2067" s="84" t="s">
        <v>6</v>
      </c>
      <c r="C2067" s="88" t="s">
        <v>422</v>
      </c>
      <c r="D2067" s="79"/>
      <c r="E2067" s="79"/>
      <c r="F2067" s="90"/>
      <c r="G2067" s="84"/>
      <c r="H2067" s="87"/>
      <c r="I2067" s="84"/>
      <c r="J2067" s="87"/>
      <c r="K2067" s="84"/>
      <c r="L2067" s="87"/>
    </row>
    <row r="2068" spans="1:12" ht="12" customHeight="1" x14ac:dyDescent="0.35">
      <c r="A2068" s="134">
        <v>211100113</v>
      </c>
      <c r="B2068" s="84"/>
      <c r="C2068" s="85" t="str">
        <f>VLOOKUP(A2068,'DAFTAR HARGA'!A:D,3,FALSE)</f>
        <v>m³</v>
      </c>
      <c r="D2068" s="84" t="s">
        <v>418</v>
      </c>
      <c r="E2068" s="84">
        <f>VLOOKUP(A2068,'DAFTAR HARGA'!A:D,4,FALSE)</f>
        <v>217500</v>
      </c>
      <c r="F2068" s="128">
        <v>1.34E-2</v>
      </c>
      <c r="G2068" s="87" t="e">
        <f>VLOOKUP(A2068,'DAFTAR HARGA'!A:D,5,FALSE)</f>
        <v>#REF!</v>
      </c>
      <c r="H2068" s="87" t="e">
        <f>F2068*G2068</f>
        <v>#REF!</v>
      </c>
      <c r="I2068" s="87">
        <v>232500</v>
      </c>
      <c r="J2068" s="87">
        <f>F2068*I2068</f>
        <v>3115.5</v>
      </c>
      <c r="K2068" s="87">
        <v>270000</v>
      </c>
      <c r="L2068" s="87">
        <f>F2068*K2068</f>
        <v>3618</v>
      </c>
    </row>
    <row r="2069" spans="1:12" ht="12" customHeight="1" x14ac:dyDescent="0.35">
      <c r="A2069" s="134">
        <v>21301000</v>
      </c>
      <c r="B2069" s="84"/>
      <c r="C2069" s="85" t="str">
        <f>VLOOKUP(A2069,'DAFTAR HARGA'!A:D,3,FALSE)</f>
        <v>Kg</v>
      </c>
      <c r="D2069" s="84" t="s">
        <v>418</v>
      </c>
      <c r="E2069" s="84">
        <f>VLOOKUP(A2069,'DAFTAR HARGA'!A:D,4,FALSE)</f>
        <v>1350</v>
      </c>
      <c r="F2069" s="128">
        <v>6.8159999999999998</v>
      </c>
      <c r="G2069" s="87" t="e">
        <f>VLOOKUP(A2069,'DAFTAR HARGA'!A:D,5,FALSE)</f>
        <v>#REF!</v>
      </c>
      <c r="H2069" s="87" t="e">
        <f>F2069*G2069</f>
        <v>#REF!</v>
      </c>
      <c r="I2069" s="87">
        <v>1060</v>
      </c>
      <c r="J2069" s="87">
        <f>F2069*I2069</f>
        <v>7224.96</v>
      </c>
      <c r="K2069" s="87">
        <v>1060</v>
      </c>
      <c r="L2069" s="87">
        <f>F2069*K2069</f>
        <v>7224.96</v>
      </c>
    </row>
    <row r="2070" spans="1:12" ht="12" customHeight="1" x14ac:dyDescent="0.35">
      <c r="B2070" s="84"/>
      <c r="C2070" s="85"/>
      <c r="D2070" s="84"/>
      <c r="E2070" s="84"/>
      <c r="F2070" s="128"/>
      <c r="G2070" s="87"/>
      <c r="H2070" s="87">
        <f>F2070*G2070</f>
        <v>0</v>
      </c>
      <c r="I2070" s="87">
        <v>215000</v>
      </c>
      <c r="J2070" s="87">
        <f>F2070*I2070</f>
        <v>0</v>
      </c>
      <c r="K2070" s="87">
        <v>250000</v>
      </c>
      <c r="L2070" s="87">
        <f>F2070*K2070</f>
        <v>0</v>
      </c>
    </row>
    <row r="2071" spans="1:12" ht="12" customHeight="1" x14ac:dyDescent="0.35">
      <c r="B2071" s="84"/>
      <c r="C2071" s="85"/>
      <c r="D2071" s="84"/>
      <c r="E2071" s="84"/>
      <c r="F2071" s="128"/>
      <c r="G2071" s="87"/>
      <c r="H2071" s="87"/>
      <c r="I2071" s="87"/>
      <c r="J2071" s="87"/>
      <c r="K2071" s="87"/>
      <c r="L2071" s="87"/>
    </row>
    <row r="2072" spans="1:12" ht="12" customHeight="1" x14ac:dyDescent="0.35">
      <c r="B2072" s="84"/>
      <c r="C2072" s="88"/>
      <c r="D2072" s="79"/>
      <c r="E2072" s="79"/>
      <c r="F2072" s="129" t="s">
        <v>423</v>
      </c>
      <c r="G2072" s="129"/>
      <c r="H2072" s="87" t="e">
        <f>SUM(H2068:H2071)</f>
        <v>#REF!</v>
      </c>
      <c r="I2072" s="101"/>
      <c r="J2072" s="87" t="e">
        <f>SUM(#REF!)</f>
        <v>#REF!</v>
      </c>
      <c r="K2072" s="101"/>
      <c r="L2072" s="87" t="e">
        <f>SUM(#REF!)</f>
        <v>#REF!</v>
      </c>
    </row>
    <row r="2073" spans="1:12" ht="12" customHeight="1" x14ac:dyDescent="0.35">
      <c r="B2073" s="84" t="s">
        <v>7</v>
      </c>
      <c r="C2073" s="88" t="s">
        <v>424</v>
      </c>
      <c r="D2073" s="79"/>
      <c r="E2073" s="79"/>
      <c r="F2073" s="90"/>
      <c r="G2073" s="84"/>
      <c r="H2073" s="87"/>
      <c r="I2073" s="84"/>
      <c r="J2073" s="87"/>
      <c r="K2073" s="84"/>
      <c r="L2073" s="87"/>
    </row>
    <row r="2074" spans="1:12" ht="12" customHeight="1" x14ac:dyDescent="0.35">
      <c r="B2074" s="84"/>
      <c r="C2074" s="85"/>
      <c r="D2074" s="84"/>
      <c r="E2074" s="84"/>
      <c r="F2074" s="128"/>
      <c r="G2074" s="87"/>
      <c r="H2074" s="87">
        <f>F2074*G2074</f>
        <v>0</v>
      </c>
      <c r="I2074" s="87"/>
      <c r="J2074" s="87">
        <f>H2074*I2074</f>
        <v>0</v>
      </c>
      <c r="K2074" s="87"/>
      <c r="L2074" s="87">
        <f>J2074*K2074</f>
        <v>0</v>
      </c>
    </row>
    <row r="2075" spans="1:12" ht="12" customHeight="1" x14ac:dyDescent="0.35">
      <c r="B2075" s="84"/>
      <c r="C2075" s="85"/>
      <c r="D2075" s="84"/>
      <c r="E2075" s="84"/>
      <c r="F2075" s="128"/>
      <c r="G2075" s="87"/>
      <c r="H2075" s="87">
        <f>F2075*G2075</f>
        <v>0</v>
      </c>
      <c r="I2075" s="87"/>
      <c r="J2075" s="87"/>
      <c r="K2075" s="87"/>
      <c r="L2075" s="87"/>
    </row>
    <row r="2076" spans="1:12" ht="12" customHeight="1" x14ac:dyDescent="0.35">
      <c r="B2076" s="84"/>
      <c r="C2076" s="88"/>
      <c r="D2076" s="79"/>
      <c r="E2076" s="79"/>
      <c r="F2076" s="89" t="s">
        <v>425</v>
      </c>
      <c r="G2076" s="101"/>
      <c r="H2076" s="87">
        <f>SUM(H2074:H2075)</f>
        <v>0</v>
      </c>
      <c r="I2076" s="101"/>
      <c r="J2076" s="87">
        <f>SUM(J2074)</f>
        <v>0</v>
      </c>
      <c r="K2076" s="101"/>
      <c r="L2076" s="87">
        <f>SUM(L2074)</f>
        <v>0</v>
      </c>
    </row>
    <row r="2077" spans="1:12" ht="12" customHeight="1" x14ac:dyDescent="0.35">
      <c r="B2077" s="84" t="s">
        <v>8</v>
      </c>
      <c r="C2077" s="103" t="s">
        <v>426</v>
      </c>
      <c r="D2077" s="104"/>
      <c r="E2077" s="104"/>
      <c r="F2077" s="104"/>
      <c r="G2077" s="105"/>
      <c r="H2077" s="87" t="e">
        <f>H2066+H2072+H2076</f>
        <v>#REF!</v>
      </c>
      <c r="I2077" s="105"/>
      <c r="J2077" s="87" t="e">
        <f>J2066+J2072+J2076</f>
        <v>#REF!</v>
      </c>
      <c r="K2077" s="105"/>
      <c r="L2077" s="87" t="e">
        <f>L2066+L2072+L2076</f>
        <v>#REF!</v>
      </c>
    </row>
    <row r="2078" spans="1:12" ht="12" customHeight="1" x14ac:dyDescent="0.35">
      <c r="B2078" s="84" t="s">
        <v>9</v>
      </c>
      <c r="C2078" s="455" t="s">
        <v>427</v>
      </c>
      <c r="D2078" s="455"/>
      <c r="E2078" s="455"/>
      <c r="F2078" s="95" t="str">
        <f>OP</f>
        <v>TANJUNG PALAS TENGAH</v>
      </c>
      <c r="G2078" s="85" t="s">
        <v>428</v>
      </c>
      <c r="H2078" s="87" t="e">
        <f>H2077*F2078</f>
        <v>#REF!</v>
      </c>
      <c r="I2078" s="85" t="s">
        <v>428</v>
      </c>
      <c r="J2078" s="87" t="e">
        <f>J2077*F2078</f>
        <v>#REF!</v>
      </c>
      <c r="K2078" s="85" t="s">
        <v>428</v>
      </c>
      <c r="L2078" s="87" t="e">
        <f>L2077*F2078</f>
        <v>#REF!</v>
      </c>
    </row>
    <row r="2079" spans="1:12" ht="12" customHeight="1" x14ac:dyDescent="0.35">
      <c r="B2079" s="84" t="s">
        <v>10</v>
      </c>
      <c r="C2079" s="103" t="s">
        <v>429</v>
      </c>
      <c r="D2079" s="104"/>
      <c r="E2079" s="104"/>
      <c r="F2079" s="104"/>
      <c r="G2079" s="105"/>
      <c r="H2079" s="96" t="e">
        <f>H2077+H2078</f>
        <v>#REF!</v>
      </c>
      <c r="I2079" s="97"/>
      <c r="J2079" s="96" t="e">
        <f>J2077+J2078</f>
        <v>#REF!</v>
      </c>
      <c r="K2079" s="97"/>
      <c r="L2079" s="96" t="e">
        <f>L2077+L2078</f>
        <v>#REF!</v>
      </c>
    </row>
    <row r="2081" spans="1:12" ht="37" customHeight="1" x14ac:dyDescent="0.35">
      <c r="B2081" s="76" t="s">
        <v>674</v>
      </c>
      <c r="C2081" s="458" t="s">
        <v>675</v>
      </c>
      <c r="D2081" s="459"/>
      <c r="E2081" s="459"/>
      <c r="F2081" s="459"/>
      <c r="G2081" s="456"/>
      <c r="H2081" s="457"/>
      <c r="I2081" s="455" t="s">
        <v>3</v>
      </c>
      <c r="J2081" s="455"/>
      <c r="K2081" s="455" t="s">
        <v>4</v>
      </c>
      <c r="L2081" s="455"/>
    </row>
    <row r="2082" spans="1:12" ht="12" customHeight="1" x14ac:dyDescent="0.35">
      <c r="B2082" s="451" t="s">
        <v>409</v>
      </c>
      <c r="C2082" s="451" t="s">
        <v>410</v>
      </c>
      <c r="D2082" s="452" t="s">
        <v>411</v>
      </c>
      <c r="E2082" s="451" t="s">
        <v>412</v>
      </c>
      <c r="F2082" s="451" t="s">
        <v>413</v>
      </c>
      <c r="G2082" s="77" t="s">
        <v>414</v>
      </c>
      <c r="H2082" s="77" t="s">
        <v>415</v>
      </c>
      <c r="I2082" s="78" t="s">
        <v>414</v>
      </c>
      <c r="J2082" s="79" t="s">
        <v>415</v>
      </c>
      <c r="K2082" s="79" t="s">
        <v>414</v>
      </c>
      <c r="L2082" s="79" t="s">
        <v>415</v>
      </c>
    </row>
    <row r="2083" spans="1:12" ht="12" customHeight="1" x14ac:dyDescent="0.35">
      <c r="B2083" s="451"/>
      <c r="C2083" s="451"/>
      <c r="D2083" s="453"/>
      <c r="E2083" s="451"/>
      <c r="F2083" s="451"/>
      <c r="G2083" s="77" t="s">
        <v>17</v>
      </c>
      <c r="H2083" s="77" t="s">
        <v>416</v>
      </c>
      <c r="I2083" s="78" t="s">
        <v>17</v>
      </c>
      <c r="J2083" s="79" t="s">
        <v>416</v>
      </c>
      <c r="K2083" s="79" t="s">
        <v>17</v>
      </c>
      <c r="L2083" s="79" t="s">
        <v>416</v>
      </c>
    </row>
    <row r="2084" spans="1:12" ht="12" customHeight="1" x14ac:dyDescent="0.35">
      <c r="B2084" s="451"/>
      <c r="C2084" s="451"/>
      <c r="D2084" s="454"/>
      <c r="E2084" s="451"/>
      <c r="F2084" s="451"/>
      <c r="G2084" s="106"/>
      <c r="H2084" s="77" t="s">
        <v>17</v>
      </c>
      <c r="I2084" s="94"/>
      <c r="J2084" s="79" t="s">
        <v>17</v>
      </c>
      <c r="K2084" s="85"/>
      <c r="L2084" s="79" t="s">
        <v>17</v>
      </c>
    </row>
    <row r="2085" spans="1:12" ht="12" customHeight="1" x14ac:dyDescent="0.35">
      <c r="B2085" s="80" t="s">
        <v>5</v>
      </c>
      <c r="C2085" s="81" t="s">
        <v>417</v>
      </c>
      <c r="D2085" s="82"/>
      <c r="E2085" s="82"/>
      <c r="F2085" s="82"/>
      <c r="G2085" s="82"/>
      <c r="H2085" s="82"/>
      <c r="I2085" s="83"/>
      <c r="J2085" s="83"/>
      <c r="K2085" s="83"/>
      <c r="L2085" s="83"/>
    </row>
    <row r="2086" spans="1:12" ht="12" customHeight="1" x14ac:dyDescent="0.35">
      <c r="A2086" s="134">
        <v>10130000</v>
      </c>
      <c r="B2086" s="84"/>
      <c r="C2086" s="85" t="str">
        <f>VLOOKUP(A2086,'DAFTAR HARGA'!A:D,3,FALSE)</f>
        <v>OH</v>
      </c>
      <c r="D2086" s="84" t="s">
        <v>418</v>
      </c>
      <c r="E2086" s="84">
        <f>VLOOKUP(A2086,'DAFTAR HARGA'!A:D,4,FALSE)</f>
        <v>115000</v>
      </c>
      <c r="F2086" s="128">
        <v>0.1</v>
      </c>
      <c r="G2086" s="87" t="e">
        <f>VLOOKUP(A2086,'DAFTAR HARGA'!A:D,5,FALSE)</f>
        <v>#REF!</v>
      </c>
      <c r="H2086" s="87" t="e">
        <f>F2086*G2086</f>
        <v>#REF!</v>
      </c>
      <c r="I2086" s="87">
        <v>91500</v>
      </c>
      <c r="J2086" s="87">
        <f>F2086*I2086</f>
        <v>9150</v>
      </c>
      <c r="K2086" s="87">
        <v>91500</v>
      </c>
      <c r="L2086" s="87">
        <f>F2086*K2086</f>
        <v>9150</v>
      </c>
    </row>
    <row r="2087" spans="1:12" ht="12" customHeight="1" x14ac:dyDescent="0.35">
      <c r="A2087" s="134">
        <v>10143000</v>
      </c>
      <c r="B2087" s="84"/>
      <c r="C2087" s="85" t="str">
        <f>VLOOKUP(A2087,'DAFTAR HARGA'!A:D,3,FALSE)</f>
        <v>OH</v>
      </c>
      <c r="D2087" s="84" t="s">
        <v>418</v>
      </c>
      <c r="E2087" s="84">
        <f>VLOOKUP(A2087,'DAFTAR HARGA'!A:D,4,FALSE)</f>
        <v>236600</v>
      </c>
      <c r="F2087" s="128">
        <v>0.1</v>
      </c>
      <c r="G2087" s="87" t="e">
        <f>VLOOKUP(A2087,'DAFTAR HARGA'!A:D,5,FALSE)</f>
        <v>#REF!</v>
      </c>
      <c r="H2087" s="87" t="e">
        <f>F2087*G2087</f>
        <v>#REF!</v>
      </c>
      <c r="I2087" s="87"/>
      <c r="J2087" s="87"/>
      <c r="K2087" s="87"/>
      <c r="L2087" s="87"/>
    </row>
    <row r="2088" spans="1:12" ht="12" customHeight="1" x14ac:dyDescent="0.35">
      <c r="A2088" s="134">
        <v>10120000</v>
      </c>
      <c r="B2088" s="84"/>
      <c r="C2088" s="85" t="str">
        <f>VLOOKUP(A2088,'DAFTAR HARGA'!A:D,3,FALSE)</f>
        <v>OH</v>
      </c>
      <c r="D2088" s="84" t="s">
        <v>418</v>
      </c>
      <c r="E2088" s="84">
        <f>VLOOKUP(A2088,'DAFTAR HARGA'!A:D,4,FALSE)</f>
        <v>130000</v>
      </c>
      <c r="F2088" s="128">
        <f>F2086/10</f>
        <v>0.01</v>
      </c>
      <c r="G2088" s="87" t="e">
        <f>VLOOKUP(A2088,'DAFTAR HARGA'!A:D,5,FALSE)</f>
        <v>#REF!</v>
      </c>
      <c r="H2088" s="87" t="e">
        <f>F2088*G2088</f>
        <v>#REF!</v>
      </c>
      <c r="I2088" s="87">
        <v>78600</v>
      </c>
      <c r="J2088" s="87">
        <f>F2088*I2088</f>
        <v>786</v>
      </c>
      <c r="K2088" s="87">
        <v>78600</v>
      </c>
      <c r="L2088" s="87">
        <f>F2088*K2088</f>
        <v>786</v>
      </c>
    </row>
    <row r="2089" spans="1:12" ht="12" customHeight="1" x14ac:dyDescent="0.35">
      <c r="A2089" s="134">
        <v>10110000</v>
      </c>
      <c r="B2089" s="84"/>
      <c r="C2089" s="85" t="str">
        <f>VLOOKUP(A2089,'DAFTAR HARGA'!A:D,3,FALSE)</f>
        <v>OH</v>
      </c>
      <c r="D2089" s="84" t="s">
        <v>418</v>
      </c>
      <c r="E2089" s="84">
        <f>VLOOKUP(A2089,'DAFTAR HARGA'!A:D,4,FALSE)</f>
        <v>150000</v>
      </c>
      <c r="F2089" s="128">
        <f>F2087/10</f>
        <v>0.01</v>
      </c>
      <c r="G2089" s="87" t="e">
        <f>VLOOKUP(A2089,'DAFTAR HARGA'!A:D,5,FALSE)</f>
        <v>#REF!</v>
      </c>
      <c r="H2089" s="87" t="e">
        <f>F2089*G2089</f>
        <v>#REF!</v>
      </c>
      <c r="I2089" s="87">
        <v>92500</v>
      </c>
      <c r="J2089" s="87">
        <f>F2089*I2089</f>
        <v>925</v>
      </c>
      <c r="K2089" s="87">
        <v>92500</v>
      </c>
      <c r="L2089" s="87">
        <f>F2089*K2089</f>
        <v>925</v>
      </c>
    </row>
    <row r="2090" spans="1:12" ht="12" customHeight="1" x14ac:dyDescent="0.35">
      <c r="B2090" s="84"/>
      <c r="C2090" s="85"/>
      <c r="D2090" s="84"/>
      <c r="E2090" s="84"/>
      <c r="F2090" s="86"/>
      <c r="G2090" s="87"/>
      <c r="H2090" s="87"/>
      <c r="I2090" s="87"/>
      <c r="J2090" s="87"/>
      <c r="K2090" s="87"/>
      <c r="L2090" s="87"/>
    </row>
    <row r="2091" spans="1:12" ht="12" customHeight="1" x14ac:dyDescent="0.35">
      <c r="B2091" s="84"/>
      <c r="C2091" s="88"/>
      <c r="D2091" s="79"/>
      <c r="E2091" s="79"/>
      <c r="F2091" s="89" t="s">
        <v>421</v>
      </c>
      <c r="G2091" s="101"/>
      <c r="H2091" s="87" t="e">
        <f>SUM(H2086:H2090)</f>
        <v>#REF!</v>
      </c>
      <c r="I2091" s="101"/>
      <c r="J2091" s="87">
        <f>SUM(J2088:J2090)</f>
        <v>1711</v>
      </c>
      <c r="K2091" s="101"/>
      <c r="L2091" s="87">
        <f>SUM(L2088:L2090)</f>
        <v>1711</v>
      </c>
    </row>
    <row r="2092" spans="1:12" ht="12" customHeight="1" x14ac:dyDescent="0.35">
      <c r="B2092" s="84" t="s">
        <v>6</v>
      </c>
      <c r="C2092" s="88" t="s">
        <v>422</v>
      </c>
      <c r="D2092" s="79"/>
      <c r="E2092" s="79"/>
      <c r="F2092" s="90"/>
      <c r="G2092" s="84"/>
      <c r="H2092" s="87"/>
      <c r="I2092" s="84"/>
      <c r="J2092" s="87"/>
      <c r="K2092" s="84"/>
      <c r="L2092" s="87"/>
    </row>
    <row r="2093" spans="1:12" ht="12" customHeight="1" x14ac:dyDescent="0.35">
      <c r="A2093" s="134">
        <v>211100113</v>
      </c>
      <c r="B2093" s="84"/>
      <c r="C2093" s="85" t="str">
        <f>VLOOKUP(A2093,'DAFTAR HARGA'!A:D,3,FALSE)</f>
        <v>m³</v>
      </c>
      <c r="D2093" s="84" t="s">
        <v>418</v>
      </c>
      <c r="E2093" s="84">
        <f>VLOOKUP(A2093,'DAFTAR HARGA'!A:D,4,FALSE)</f>
        <v>217500</v>
      </c>
      <c r="F2093" s="128">
        <v>1.54E-2</v>
      </c>
      <c r="G2093" s="87" t="e">
        <f>VLOOKUP(A2093,'DAFTAR HARGA'!A:D,5,FALSE)</f>
        <v>#REF!</v>
      </c>
      <c r="H2093" s="87" t="e">
        <f>F2093*G2093</f>
        <v>#REF!</v>
      </c>
      <c r="I2093" s="87">
        <v>232500</v>
      </c>
      <c r="J2093" s="87">
        <f>F2093*I2093</f>
        <v>3580.5</v>
      </c>
      <c r="K2093" s="87">
        <v>270000</v>
      </c>
      <c r="L2093" s="87">
        <f>F2093*K2093</f>
        <v>4158</v>
      </c>
    </row>
    <row r="2094" spans="1:12" ht="12" customHeight="1" x14ac:dyDescent="0.35">
      <c r="A2094" s="134">
        <v>21301000</v>
      </c>
      <c r="B2094" s="84"/>
      <c r="C2094" s="85" t="str">
        <f>VLOOKUP(A2094,'DAFTAR HARGA'!A:D,3,FALSE)</f>
        <v>Kg</v>
      </c>
      <c r="D2094" s="84" t="s">
        <v>418</v>
      </c>
      <c r="E2094" s="84">
        <f>VLOOKUP(A2094,'DAFTAR HARGA'!A:D,4,FALSE)</f>
        <v>1350</v>
      </c>
      <c r="F2094" s="128">
        <v>5.1840000000000002</v>
      </c>
      <c r="G2094" s="87" t="e">
        <f>VLOOKUP(A2094,'DAFTAR HARGA'!A:D,5,FALSE)</f>
        <v>#REF!</v>
      </c>
      <c r="H2094" s="87" t="e">
        <f>F2094*G2094</f>
        <v>#REF!</v>
      </c>
      <c r="I2094" s="87">
        <v>1060</v>
      </c>
      <c r="J2094" s="87">
        <f>F2094*I2094</f>
        <v>5495.04</v>
      </c>
      <c r="K2094" s="87">
        <v>1060</v>
      </c>
      <c r="L2094" s="87">
        <f>F2094*K2094</f>
        <v>5495.04</v>
      </c>
    </row>
    <row r="2095" spans="1:12" ht="12" customHeight="1" x14ac:dyDescent="0.35">
      <c r="B2095" s="84"/>
      <c r="C2095" s="85"/>
      <c r="D2095" s="84"/>
      <c r="E2095" s="84"/>
      <c r="F2095" s="128"/>
      <c r="G2095" s="87"/>
      <c r="H2095" s="87">
        <f>F2095*G2095</f>
        <v>0</v>
      </c>
      <c r="I2095" s="87">
        <v>215000</v>
      </c>
      <c r="J2095" s="87">
        <f>F2095*I2095</f>
        <v>0</v>
      </c>
      <c r="K2095" s="87">
        <v>250000</v>
      </c>
      <c r="L2095" s="87">
        <f>F2095*K2095</f>
        <v>0</v>
      </c>
    </row>
    <row r="2096" spans="1:12" ht="12" customHeight="1" x14ac:dyDescent="0.35">
      <c r="B2096" s="84"/>
      <c r="C2096" s="85"/>
      <c r="D2096" s="84"/>
      <c r="E2096" s="84"/>
      <c r="F2096" s="128"/>
      <c r="G2096" s="87"/>
      <c r="H2096" s="87"/>
      <c r="I2096" s="87"/>
      <c r="J2096" s="87"/>
      <c r="K2096" s="87"/>
      <c r="L2096" s="87"/>
    </row>
    <row r="2097" spans="1:12" ht="12" customHeight="1" x14ac:dyDescent="0.35">
      <c r="B2097" s="84"/>
      <c r="C2097" s="88"/>
      <c r="D2097" s="79"/>
      <c r="E2097" s="79"/>
      <c r="F2097" s="129" t="s">
        <v>423</v>
      </c>
      <c r="G2097" s="129"/>
      <c r="H2097" s="87" t="e">
        <f>SUM(H2093:H2096)</f>
        <v>#REF!</v>
      </c>
      <c r="I2097" s="101"/>
      <c r="J2097" s="87" t="e">
        <f>SUM(#REF!)</f>
        <v>#REF!</v>
      </c>
      <c r="K2097" s="101"/>
      <c r="L2097" s="87" t="e">
        <f>SUM(#REF!)</f>
        <v>#REF!</v>
      </c>
    </row>
    <row r="2098" spans="1:12" ht="12" customHeight="1" x14ac:dyDescent="0.35">
      <c r="B2098" s="84" t="s">
        <v>7</v>
      </c>
      <c r="C2098" s="88" t="s">
        <v>424</v>
      </c>
      <c r="D2098" s="79"/>
      <c r="E2098" s="79"/>
      <c r="F2098" s="90"/>
      <c r="G2098" s="84"/>
      <c r="H2098" s="87"/>
      <c r="I2098" s="84"/>
      <c r="J2098" s="87"/>
      <c r="K2098" s="84"/>
      <c r="L2098" s="87"/>
    </row>
    <row r="2099" spans="1:12" ht="12" customHeight="1" x14ac:dyDescent="0.35">
      <c r="B2099" s="84"/>
      <c r="C2099" s="85"/>
      <c r="D2099" s="84"/>
      <c r="E2099" s="84"/>
      <c r="F2099" s="128"/>
      <c r="G2099" s="87"/>
      <c r="H2099" s="87">
        <f>F2099*G2099</f>
        <v>0</v>
      </c>
      <c r="I2099" s="87"/>
      <c r="J2099" s="87">
        <f>H2099*I2099</f>
        <v>0</v>
      </c>
      <c r="K2099" s="87"/>
      <c r="L2099" s="87">
        <f>J2099*K2099</f>
        <v>0</v>
      </c>
    </row>
    <row r="2100" spans="1:12" ht="12" customHeight="1" x14ac:dyDescent="0.35">
      <c r="B2100" s="84"/>
      <c r="C2100" s="85"/>
      <c r="D2100" s="84"/>
      <c r="E2100" s="84"/>
      <c r="F2100" s="128"/>
      <c r="G2100" s="87"/>
      <c r="H2100" s="87">
        <f>F2100*G2100</f>
        <v>0</v>
      </c>
      <c r="I2100" s="87"/>
      <c r="J2100" s="87"/>
      <c r="K2100" s="87"/>
      <c r="L2100" s="87"/>
    </row>
    <row r="2101" spans="1:12" ht="12" customHeight="1" x14ac:dyDescent="0.35">
      <c r="B2101" s="84"/>
      <c r="C2101" s="88"/>
      <c r="D2101" s="79"/>
      <c r="E2101" s="79"/>
      <c r="F2101" s="89" t="s">
        <v>425</v>
      </c>
      <c r="G2101" s="101"/>
      <c r="H2101" s="87">
        <f>SUM(H2099:H2100)</f>
        <v>0</v>
      </c>
      <c r="I2101" s="101"/>
      <c r="J2101" s="87">
        <f>SUM(J2099)</f>
        <v>0</v>
      </c>
      <c r="K2101" s="101"/>
      <c r="L2101" s="87">
        <f>SUM(L2099)</f>
        <v>0</v>
      </c>
    </row>
    <row r="2102" spans="1:12" ht="12" customHeight="1" x14ac:dyDescent="0.35">
      <c r="B2102" s="84" t="s">
        <v>8</v>
      </c>
      <c r="C2102" s="103" t="s">
        <v>426</v>
      </c>
      <c r="D2102" s="104"/>
      <c r="E2102" s="104"/>
      <c r="F2102" s="104"/>
      <c r="G2102" s="105"/>
      <c r="H2102" s="87" t="e">
        <f>H2091+H2097+H2101</f>
        <v>#REF!</v>
      </c>
      <c r="I2102" s="105"/>
      <c r="J2102" s="87" t="e">
        <f>J2091+J2097+J2101</f>
        <v>#REF!</v>
      </c>
      <c r="K2102" s="105"/>
      <c r="L2102" s="87" t="e">
        <f>L2091+L2097+L2101</f>
        <v>#REF!</v>
      </c>
    </row>
    <row r="2103" spans="1:12" ht="12" customHeight="1" x14ac:dyDescent="0.35">
      <c r="B2103" s="84" t="s">
        <v>9</v>
      </c>
      <c r="C2103" s="455" t="s">
        <v>427</v>
      </c>
      <c r="D2103" s="455"/>
      <c r="E2103" s="455"/>
      <c r="F2103" s="95" t="str">
        <f>OP</f>
        <v>TANJUNG PALAS TENGAH</v>
      </c>
      <c r="G2103" s="85" t="s">
        <v>428</v>
      </c>
      <c r="H2103" s="87" t="e">
        <f>H2102*F2103</f>
        <v>#REF!</v>
      </c>
      <c r="I2103" s="85" t="s">
        <v>428</v>
      </c>
      <c r="J2103" s="87" t="e">
        <f>J2102*F2103</f>
        <v>#REF!</v>
      </c>
      <c r="K2103" s="85" t="s">
        <v>428</v>
      </c>
      <c r="L2103" s="87" t="e">
        <f>L2102*F2103</f>
        <v>#REF!</v>
      </c>
    </row>
    <row r="2104" spans="1:12" ht="12" customHeight="1" x14ac:dyDescent="0.35">
      <c r="B2104" s="84" t="s">
        <v>10</v>
      </c>
      <c r="C2104" s="103" t="s">
        <v>429</v>
      </c>
      <c r="D2104" s="104"/>
      <c r="E2104" s="104"/>
      <c r="F2104" s="104"/>
      <c r="G2104" s="105"/>
      <c r="H2104" s="96" t="e">
        <f>H2102+H2103</f>
        <v>#REF!</v>
      </c>
      <c r="I2104" s="97"/>
      <c r="J2104" s="96" t="e">
        <f>J2102+J2103</f>
        <v>#REF!</v>
      </c>
      <c r="K2104" s="97"/>
      <c r="L2104" s="96" t="e">
        <f>L2102+L2103</f>
        <v>#REF!</v>
      </c>
    </row>
    <row r="2106" spans="1:12" ht="37" customHeight="1" x14ac:dyDescent="0.35">
      <c r="B2106" s="76" t="s">
        <v>677</v>
      </c>
      <c r="C2106" s="458" t="s">
        <v>676</v>
      </c>
      <c r="D2106" s="459"/>
      <c r="E2106" s="459"/>
      <c r="F2106" s="459"/>
      <c r="G2106" s="456"/>
      <c r="H2106" s="457"/>
      <c r="I2106" s="455" t="s">
        <v>3</v>
      </c>
      <c r="J2106" s="455"/>
      <c r="K2106" s="455" t="s">
        <v>4</v>
      </c>
      <c r="L2106" s="455"/>
    </row>
    <row r="2107" spans="1:12" ht="12" customHeight="1" x14ac:dyDescent="0.35">
      <c r="B2107" s="451" t="s">
        <v>409</v>
      </c>
      <c r="C2107" s="451" t="s">
        <v>410</v>
      </c>
      <c r="D2107" s="452" t="s">
        <v>411</v>
      </c>
      <c r="E2107" s="451" t="s">
        <v>412</v>
      </c>
      <c r="F2107" s="451" t="s">
        <v>413</v>
      </c>
      <c r="G2107" s="77" t="s">
        <v>414</v>
      </c>
      <c r="H2107" s="77" t="s">
        <v>415</v>
      </c>
      <c r="I2107" s="78" t="s">
        <v>414</v>
      </c>
      <c r="J2107" s="79" t="s">
        <v>415</v>
      </c>
      <c r="K2107" s="79" t="s">
        <v>414</v>
      </c>
      <c r="L2107" s="79" t="s">
        <v>415</v>
      </c>
    </row>
    <row r="2108" spans="1:12" ht="12" customHeight="1" x14ac:dyDescent="0.35">
      <c r="B2108" s="451"/>
      <c r="C2108" s="451"/>
      <c r="D2108" s="453"/>
      <c r="E2108" s="451"/>
      <c r="F2108" s="451"/>
      <c r="G2108" s="77" t="s">
        <v>17</v>
      </c>
      <c r="H2108" s="77" t="s">
        <v>416</v>
      </c>
      <c r="I2108" s="78" t="s">
        <v>17</v>
      </c>
      <c r="J2108" s="79" t="s">
        <v>416</v>
      </c>
      <c r="K2108" s="79" t="s">
        <v>17</v>
      </c>
      <c r="L2108" s="79" t="s">
        <v>416</v>
      </c>
    </row>
    <row r="2109" spans="1:12" ht="12" customHeight="1" x14ac:dyDescent="0.35">
      <c r="B2109" s="451"/>
      <c r="C2109" s="451"/>
      <c r="D2109" s="454"/>
      <c r="E2109" s="451"/>
      <c r="F2109" s="451"/>
      <c r="G2109" s="106"/>
      <c r="H2109" s="77" t="s">
        <v>17</v>
      </c>
      <c r="I2109" s="94"/>
      <c r="J2109" s="79" t="s">
        <v>17</v>
      </c>
      <c r="K2109" s="85"/>
      <c r="L2109" s="79" t="s">
        <v>17</v>
      </c>
    </row>
    <row r="2110" spans="1:12" ht="12" customHeight="1" x14ac:dyDescent="0.35">
      <c r="B2110" s="80" t="s">
        <v>5</v>
      </c>
      <c r="C2110" s="81" t="s">
        <v>417</v>
      </c>
      <c r="D2110" s="82"/>
      <c r="E2110" s="82"/>
      <c r="F2110" s="82"/>
      <c r="G2110" s="82"/>
      <c r="H2110" s="82"/>
      <c r="I2110" s="83"/>
      <c r="J2110" s="83"/>
      <c r="K2110" s="83"/>
      <c r="L2110" s="83"/>
    </row>
    <row r="2111" spans="1:12" ht="12" customHeight="1" x14ac:dyDescent="0.35">
      <c r="A2111" s="134">
        <v>10130000</v>
      </c>
      <c r="B2111" s="84"/>
      <c r="C2111" s="85" t="str">
        <f>VLOOKUP(A2111,'DAFTAR HARGA'!A:D,3,FALSE)</f>
        <v>OH</v>
      </c>
      <c r="D2111" s="84" t="s">
        <v>418</v>
      </c>
      <c r="E2111" s="84">
        <f>VLOOKUP(A2111,'DAFTAR HARGA'!A:D,4,FALSE)</f>
        <v>115000</v>
      </c>
      <c r="F2111" s="128">
        <v>0.1</v>
      </c>
      <c r="G2111" s="87" t="e">
        <f>VLOOKUP(A2111,'DAFTAR HARGA'!A:D,5,FALSE)</f>
        <v>#REF!</v>
      </c>
      <c r="H2111" s="87" t="e">
        <f>F2111*G2111</f>
        <v>#REF!</v>
      </c>
      <c r="I2111" s="87">
        <v>91500</v>
      </c>
      <c r="J2111" s="87">
        <f>F2111*I2111</f>
        <v>9150</v>
      </c>
      <c r="K2111" s="87">
        <v>91500</v>
      </c>
      <c r="L2111" s="87">
        <f>F2111*K2111</f>
        <v>9150</v>
      </c>
    </row>
    <row r="2112" spans="1:12" ht="12" customHeight="1" x14ac:dyDescent="0.35">
      <c r="A2112" s="134">
        <v>10143000</v>
      </c>
      <c r="B2112" s="84"/>
      <c r="C2112" s="85" t="str">
        <f>VLOOKUP(A2112,'DAFTAR HARGA'!A:D,3,FALSE)</f>
        <v>OH</v>
      </c>
      <c r="D2112" s="84" t="s">
        <v>418</v>
      </c>
      <c r="E2112" s="84">
        <f>VLOOKUP(A2112,'DAFTAR HARGA'!A:D,4,FALSE)</f>
        <v>236600</v>
      </c>
      <c r="F2112" s="128">
        <v>0.1</v>
      </c>
      <c r="G2112" s="87" t="e">
        <f>VLOOKUP(A2112,'DAFTAR HARGA'!A:D,5,FALSE)</f>
        <v>#REF!</v>
      </c>
      <c r="H2112" s="87" t="e">
        <f>F2112*G2112</f>
        <v>#REF!</v>
      </c>
      <c r="I2112" s="87"/>
      <c r="J2112" s="87"/>
      <c r="K2112" s="87"/>
      <c r="L2112" s="87"/>
    </row>
    <row r="2113" spans="1:12" ht="12" customHeight="1" x14ac:dyDescent="0.35">
      <c r="A2113" s="134">
        <v>10120000</v>
      </c>
      <c r="B2113" s="84"/>
      <c r="C2113" s="85" t="str">
        <f>VLOOKUP(A2113,'DAFTAR HARGA'!A:D,3,FALSE)</f>
        <v>OH</v>
      </c>
      <c r="D2113" s="84" t="s">
        <v>418</v>
      </c>
      <c r="E2113" s="84">
        <f>VLOOKUP(A2113,'DAFTAR HARGA'!A:D,4,FALSE)</f>
        <v>130000</v>
      </c>
      <c r="F2113" s="128">
        <f>F2111/10</f>
        <v>0.01</v>
      </c>
      <c r="G2113" s="87" t="e">
        <f>VLOOKUP(A2113,'DAFTAR HARGA'!A:D,5,FALSE)</f>
        <v>#REF!</v>
      </c>
      <c r="H2113" s="87" t="e">
        <f>F2113*G2113</f>
        <v>#REF!</v>
      </c>
      <c r="I2113" s="87">
        <v>78600</v>
      </c>
      <c r="J2113" s="87">
        <f>F2113*I2113</f>
        <v>786</v>
      </c>
      <c r="K2113" s="87">
        <v>78600</v>
      </c>
      <c r="L2113" s="87">
        <f>F2113*K2113</f>
        <v>786</v>
      </c>
    </row>
    <row r="2114" spans="1:12" ht="12" customHeight="1" x14ac:dyDescent="0.35">
      <c r="A2114" s="134">
        <v>10110000</v>
      </c>
      <c r="B2114" s="84"/>
      <c r="C2114" s="85" t="str">
        <f>VLOOKUP(A2114,'DAFTAR HARGA'!A:D,3,FALSE)</f>
        <v>OH</v>
      </c>
      <c r="D2114" s="84" t="s">
        <v>418</v>
      </c>
      <c r="E2114" s="84">
        <f>VLOOKUP(A2114,'DAFTAR HARGA'!A:D,4,FALSE)</f>
        <v>150000</v>
      </c>
      <c r="F2114" s="128">
        <f>F2112/10</f>
        <v>0.01</v>
      </c>
      <c r="G2114" s="87" t="e">
        <f>VLOOKUP(A2114,'DAFTAR HARGA'!A:D,5,FALSE)</f>
        <v>#REF!</v>
      </c>
      <c r="H2114" s="87" t="e">
        <f>F2114*G2114</f>
        <v>#REF!</v>
      </c>
      <c r="I2114" s="87">
        <v>92500</v>
      </c>
      <c r="J2114" s="87">
        <f>F2114*I2114</f>
        <v>925</v>
      </c>
      <c r="K2114" s="87">
        <v>92500</v>
      </c>
      <c r="L2114" s="87">
        <f>F2114*K2114</f>
        <v>925</v>
      </c>
    </row>
    <row r="2115" spans="1:12" ht="12" customHeight="1" x14ac:dyDescent="0.35">
      <c r="B2115" s="84"/>
      <c r="C2115" s="85"/>
      <c r="D2115" s="84"/>
      <c r="E2115" s="84"/>
      <c r="F2115" s="86"/>
      <c r="G2115" s="87"/>
      <c r="H2115" s="87"/>
      <c r="I2115" s="87"/>
      <c r="J2115" s="87"/>
      <c r="K2115" s="87"/>
      <c r="L2115" s="87"/>
    </row>
    <row r="2116" spans="1:12" ht="12" customHeight="1" x14ac:dyDescent="0.35">
      <c r="B2116" s="84"/>
      <c r="C2116" s="88"/>
      <c r="D2116" s="79"/>
      <c r="E2116" s="79"/>
      <c r="F2116" s="89" t="s">
        <v>421</v>
      </c>
      <c r="G2116" s="101"/>
      <c r="H2116" s="87" t="e">
        <f>SUM(H2111:H2115)</f>
        <v>#REF!</v>
      </c>
      <c r="I2116" s="101"/>
      <c r="J2116" s="87">
        <f>SUM(J2113:J2115)</f>
        <v>1711</v>
      </c>
      <c r="K2116" s="101"/>
      <c r="L2116" s="87">
        <f>SUM(L2113:L2115)</f>
        <v>1711</v>
      </c>
    </row>
    <row r="2117" spans="1:12" ht="12" customHeight="1" x14ac:dyDescent="0.35">
      <c r="B2117" s="84" t="s">
        <v>6</v>
      </c>
      <c r="C2117" s="88" t="s">
        <v>422</v>
      </c>
      <c r="D2117" s="79"/>
      <c r="E2117" s="79"/>
      <c r="F2117" s="90"/>
      <c r="G2117" s="84"/>
      <c r="H2117" s="87"/>
      <c r="I2117" s="84"/>
      <c r="J2117" s="87"/>
      <c r="K2117" s="84"/>
      <c r="L2117" s="87"/>
    </row>
    <row r="2118" spans="1:12" ht="12" customHeight="1" x14ac:dyDescent="0.35">
      <c r="A2118" s="134">
        <v>211100113</v>
      </c>
      <c r="B2118" s="84"/>
      <c r="C2118" s="85" t="str">
        <f>VLOOKUP(A2118,'DAFTAR HARGA'!A:D,3,FALSE)</f>
        <v>m³</v>
      </c>
      <c r="D2118" s="84" t="s">
        <v>418</v>
      </c>
      <c r="E2118" s="84">
        <f>VLOOKUP(A2118,'DAFTAR HARGA'!A:D,4,FALSE)</f>
        <v>217500</v>
      </c>
      <c r="F2118" s="128">
        <v>1.67E-2</v>
      </c>
      <c r="G2118" s="87" t="e">
        <f>VLOOKUP(A2118,'DAFTAR HARGA'!A:D,5,FALSE)</f>
        <v>#REF!</v>
      </c>
      <c r="H2118" s="87" t="e">
        <f>F2118*G2118</f>
        <v>#REF!</v>
      </c>
      <c r="I2118" s="87">
        <v>232500</v>
      </c>
      <c r="J2118" s="87">
        <f>F2118*I2118</f>
        <v>3882.75</v>
      </c>
      <c r="K2118" s="87">
        <v>270000</v>
      </c>
      <c r="L2118" s="87">
        <f>F2118*K2118</f>
        <v>4509</v>
      </c>
    </row>
    <row r="2119" spans="1:12" ht="12" customHeight="1" x14ac:dyDescent="0.35">
      <c r="A2119" s="134">
        <v>21301000</v>
      </c>
      <c r="B2119" s="84"/>
      <c r="C2119" s="85" t="str">
        <f>VLOOKUP(A2119,'DAFTAR HARGA'!A:D,3,FALSE)</f>
        <v>Kg</v>
      </c>
      <c r="D2119" s="84" t="s">
        <v>418</v>
      </c>
      <c r="E2119" s="84">
        <f>VLOOKUP(A2119,'DAFTAR HARGA'!A:D,4,FALSE)</f>
        <v>1350</v>
      </c>
      <c r="F2119" s="128">
        <v>4.16</v>
      </c>
      <c r="G2119" s="87" t="e">
        <f>VLOOKUP(A2119,'DAFTAR HARGA'!A:D,5,FALSE)</f>
        <v>#REF!</v>
      </c>
      <c r="H2119" s="87" t="e">
        <f>F2119*G2119</f>
        <v>#REF!</v>
      </c>
      <c r="I2119" s="87">
        <v>1060</v>
      </c>
      <c r="J2119" s="87">
        <f>F2119*I2119</f>
        <v>4409.6000000000004</v>
      </c>
      <c r="K2119" s="87">
        <v>1060</v>
      </c>
      <c r="L2119" s="87">
        <f>F2119*K2119</f>
        <v>4409.6000000000004</v>
      </c>
    </row>
    <row r="2120" spans="1:12" ht="12" customHeight="1" x14ac:dyDescent="0.35">
      <c r="B2120" s="84"/>
      <c r="C2120" s="85"/>
      <c r="D2120" s="84"/>
      <c r="E2120" s="84"/>
      <c r="F2120" s="128"/>
      <c r="G2120" s="87"/>
      <c r="H2120" s="87">
        <f>F2120*G2120</f>
        <v>0</v>
      </c>
      <c r="I2120" s="87">
        <v>215000</v>
      </c>
      <c r="J2120" s="87">
        <f>F2120*I2120</f>
        <v>0</v>
      </c>
      <c r="K2120" s="87">
        <v>250000</v>
      </c>
      <c r="L2120" s="87">
        <f>F2120*K2120</f>
        <v>0</v>
      </c>
    </row>
    <row r="2121" spans="1:12" ht="12" customHeight="1" x14ac:dyDescent="0.35">
      <c r="B2121" s="84"/>
      <c r="C2121" s="85"/>
      <c r="D2121" s="84"/>
      <c r="E2121" s="84"/>
      <c r="F2121" s="128"/>
      <c r="G2121" s="87"/>
      <c r="H2121" s="87"/>
      <c r="I2121" s="87"/>
      <c r="J2121" s="87"/>
      <c r="K2121" s="87"/>
      <c r="L2121" s="87"/>
    </row>
    <row r="2122" spans="1:12" ht="12" customHeight="1" x14ac:dyDescent="0.35">
      <c r="B2122" s="84"/>
      <c r="C2122" s="88"/>
      <c r="D2122" s="79"/>
      <c r="E2122" s="79"/>
      <c r="F2122" s="129" t="s">
        <v>423</v>
      </c>
      <c r="G2122" s="129"/>
      <c r="H2122" s="87" t="e">
        <f>SUM(H2118:H2121)</f>
        <v>#REF!</v>
      </c>
      <c r="I2122" s="101"/>
      <c r="J2122" s="87" t="e">
        <f>SUM(#REF!)</f>
        <v>#REF!</v>
      </c>
      <c r="K2122" s="101"/>
      <c r="L2122" s="87" t="e">
        <f>SUM(#REF!)</f>
        <v>#REF!</v>
      </c>
    </row>
    <row r="2123" spans="1:12" ht="12" customHeight="1" x14ac:dyDescent="0.35">
      <c r="B2123" s="84" t="s">
        <v>7</v>
      </c>
      <c r="C2123" s="88" t="s">
        <v>424</v>
      </c>
      <c r="D2123" s="79"/>
      <c r="E2123" s="79"/>
      <c r="F2123" s="90"/>
      <c r="G2123" s="84"/>
      <c r="H2123" s="87"/>
      <c r="I2123" s="84"/>
      <c r="J2123" s="87"/>
      <c r="K2123" s="84"/>
      <c r="L2123" s="87"/>
    </row>
    <row r="2124" spans="1:12" ht="12" customHeight="1" x14ac:dyDescent="0.35">
      <c r="B2124" s="84"/>
      <c r="C2124" s="85"/>
      <c r="D2124" s="84"/>
      <c r="E2124" s="84"/>
      <c r="F2124" s="128"/>
      <c r="G2124" s="87"/>
      <c r="H2124" s="87">
        <f>F2124*G2124</f>
        <v>0</v>
      </c>
      <c r="I2124" s="87"/>
      <c r="J2124" s="87">
        <f>H2124*I2124</f>
        <v>0</v>
      </c>
      <c r="K2124" s="87"/>
      <c r="L2124" s="87">
        <f>J2124*K2124</f>
        <v>0</v>
      </c>
    </row>
    <row r="2125" spans="1:12" ht="12" customHeight="1" x14ac:dyDescent="0.35">
      <c r="B2125" s="84"/>
      <c r="C2125" s="85"/>
      <c r="D2125" s="84"/>
      <c r="E2125" s="84"/>
      <c r="F2125" s="128"/>
      <c r="G2125" s="87"/>
      <c r="H2125" s="87">
        <f>F2125*G2125</f>
        <v>0</v>
      </c>
      <c r="I2125" s="87"/>
      <c r="J2125" s="87"/>
      <c r="K2125" s="87"/>
      <c r="L2125" s="87"/>
    </row>
    <row r="2126" spans="1:12" ht="12" customHeight="1" x14ac:dyDescent="0.35">
      <c r="B2126" s="84"/>
      <c r="C2126" s="88"/>
      <c r="D2126" s="79"/>
      <c r="E2126" s="79"/>
      <c r="F2126" s="89" t="s">
        <v>425</v>
      </c>
      <c r="G2126" s="101"/>
      <c r="H2126" s="87">
        <f>SUM(H2124:H2125)</f>
        <v>0</v>
      </c>
      <c r="I2126" s="101"/>
      <c r="J2126" s="87">
        <f>SUM(J2124)</f>
        <v>0</v>
      </c>
      <c r="K2126" s="101"/>
      <c r="L2126" s="87">
        <f>SUM(L2124)</f>
        <v>0</v>
      </c>
    </row>
    <row r="2127" spans="1:12" ht="12" customHeight="1" x14ac:dyDescent="0.35">
      <c r="B2127" s="84" t="s">
        <v>8</v>
      </c>
      <c r="C2127" s="103" t="s">
        <v>426</v>
      </c>
      <c r="D2127" s="104"/>
      <c r="E2127" s="104"/>
      <c r="F2127" s="104"/>
      <c r="G2127" s="105"/>
      <c r="H2127" s="87" t="e">
        <f>H2116+H2122+H2126</f>
        <v>#REF!</v>
      </c>
      <c r="I2127" s="105"/>
      <c r="J2127" s="87" t="e">
        <f>J2116+J2122+J2126</f>
        <v>#REF!</v>
      </c>
      <c r="K2127" s="105"/>
      <c r="L2127" s="87" t="e">
        <f>L2116+L2122+L2126</f>
        <v>#REF!</v>
      </c>
    </row>
    <row r="2128" spans="1:12" ht="12" customHeight="1" x14ac:dyDescent="0.35">
      <c r="B2128" s="84" t="s">
        <v>9</v>
      </c>
      <c r="C2128" s="455" t="s">
        <v>427</v>
      </c>
      <c r="D2128" s="455"/>
      <c r="E2128" s="455"/>
      <c r="F2128" s="95" t="str">
        <f>OP</f>
        <v>TANJUNG PALAS TENGAH</v>
      </c>
      <c r="G2128" s="85" t="s">
        <v>428</v>
      </c>
      <c r="H2128" s="87" t="e">
        <f>H2127*F2128</f>
        <v>#REF!</v>
      </c>
      <c r="I2128" s="85" t="s">
        <v>428</v>
      </c>
      <c r="J2128" s="87" t="e">
        <f>J2127*F2128</f>
        <v>#REF!</v>
      </c>
      <c r="K2128" s="85" t="s">
        <v>428</v>
      </c>
      <c r="L2128" s="87" t="e">
        <f>L2127*F2128</f>
        <v>#REF!</v>
      </c>
    </row>
    <row r="2129" spans="1:12" ht="12" customHeight="1" x14ac:dyDescent="0.35">
      <c r="B2129" s="84" t="s">
        <v>10</v>
      </c>
      <c r="C2129" s="103" t="s">
        <v>429</v>
      </c>
      <c r="D2129" s="104"/>
      <c r="E2129" s="104"/>
      <c r="F2129" s="104"/>
      <c r="G2129" s="105"/>
      <c r="H2129" s="96" t="e">
        <f>H2127+H2128</f>
        <v>#REF!</v>
      </c>
      <c r="I2129" s="97"/>
      <c r="J2129" s="96" t="e">
        <f>J2127+J2128</f>
        <v>#REF!</v>
      </c>
      <c r="K2129" s="97"/>
      <c r="L2129" s="96" t="e">
        <f>L2127+L2128</f>
        <v>#REF!</v>
      </c>
    </row>
    <row r="2131" spans="1:12" ht="37" customHeight="1" x14ac:dyDescent="0.35">
      <c r="B2131" s="76" t="s">
        <v>678</v>
      </c>
      <c r="C2131" s="458" t="s">
        <v>679</v>
      </c>
      <c r="D2131" s="459"/>
      <c r="E2131" s="459"/>
      <c r="F2131" s="459"/>
      <c r="G2131" s="456"/>
      <c r="H2131" s="457"/>
      <c r="I2131" s="455" t="s">
        <v>3</v>
      </c>
      <c r="J2131" s="455"/>
      <c r="K2131" s="455" t="s">
        <v>4</v>
      </c>
      <c r="L2131" s="455"/>
    </row>
    <row r="2132" spans="1:12" ht="12" customHeight="1" x14ac:dyDescent="0.35">
      <c r="B2132" s="451" t="s">
        <v>409</v>
      </c>
      <c r="C2132" s="451" t="s">
        <v>410</v>
      </c>
      <c r="D2132" s="452" t="s">
        <v>411</v>
      </c>
      <c r="E2132" s="451" t="s">
        <v>412</v>
      </c>
      <c r="F2132" s="451" t="s">
        <v>413</v>
      </c>
      <c r="G2132" s="77" t="s">
        <v>414</v>
      </c>
      <c r="H2132" s="77" t="s">
        <v>415</v>
      </c>
      <c r="I2132" s="78" t="s">
        <v>414</v>
      </c>
      <c r="J2132" s="79" t="s">
        <v>415</v>
      </c>
      <c r="K2132" s="79" t="s">
        <v>414</v>
      </c>
      <c r="L2132" s="79" t="s">
        <v>415</v>
      </c>
    </row>
    <row r="2133" spans="1:12" ht="12" customHeight="1" x14ac:dyDescent="0.35">
      <c r="B2133" s="451"/>
      <c r="C2133" s="451"/>
      <c r="D2133" s="453"/>
      <c r="E2133" s="451"/>
      <c r="F2133" s="451"/>
      <c r="G2133" s="77" t="s">
        <v>17</v>
      </c>
      <c r="H2133" s="77" t="s">
        <v>416</v>
      </c>
      <c r="I2133" s="78" t="s">
        <v>17</v>
      </c>
      <c r="J2133" s="79" t="s">
        <v>416</v>
      </c>
      <c r="K2133" s="79" t="s">
        <v>17</v>
      </c>
      <c r="L2133" s="79" t="s">
        <v>416</v>
      </c>
    </row>
    <row r="2134" spans="1:12" ht="12" customHeight="1" x14ac:dyDescent="0.35">
      <c r="B2134" s="451"/>
      <c r="C2134" s="451"/>
      <c r="D2134" s="454"/>
      <c r="E2134" s="451"/>
      <c r="F2134" s="451"/>
      <c r="G2134" s="106"/>
      <c r="H2134" s="77" t="s">
        <v>17</v>
      </c>
      <c r="I2134" s="94"/>
      <c r="J2134" s="79" t="s">
        <v>17</v>
      </c>
      <c r="K2134" s="85"/>
      <c r="L2134" s="79" t="s">
        <v>17</v>
      </c>
    </row>
    <row r="2135" spans="1:12" ht="12" customHeight="1" x14ac:dyDescent="0.35">
      <c r="B2135" s="80" t="s">
        <v>5</v>
      </c>
      <c r="C2135" s="81" t="s">
        <v>417</v>
      </c>
      <c r="D2135" s="82"/>
      <c r="E2135" s="82"/>
      <c r="F2135" s="82"/>
      <c r="G2135" s="82"/>
      <c r="H2135" s="82"/>
      <c r="I2135" s="83"/>
      <c r="J2135" s="83"/>
      <c r="K2135" s="83"/>
      <c r="L2135" s="83"/>
    </row>
    <row r="2136" spans="1:12" ht="12" customHeight="1" x14ac:dyDescent="0.35">
      <c r="A2136" s="134">
        <v>10130000</v>
      </c>
      <c r="B2136" s="84"/>
      <c r="C2136" s="85" t="str">
        <f>VLOOKUP(A2136,'DAFTAR HARGA'!A:D,3,FALSE)</f>
        <v>OH</v>
      </c>
      <c r="D2136" s="84" t="s">
        <v>418</v>
      </c>
      <c r="E2136" s="84">
        <f>VLOOKUP(A2136,'DAFTAR HARGA'!A:D,4,FALSE)</f>
        <v>115000</v>
      </c>
      <c r="F2136" s="128">
        <v>0.13</v>
      </c>
      <c r="G2136" s="87" t="e">
        <f>VLOOKUP(A2136,'DAFTAR HARGA'!A:D,5,FALSE)</f>
        <v>#REF!</v>
      </c>
      <c r="H2136" s="87" t="e">
        <f>F2136*G2136</f>
        <v>#REF!</v>
      </c>
      <c r="I2136" s="87">
        <v>91500</v>
      </c>
      <c r="J2136" s="87">
        <f>F2136*I2136</f>
        <v>11895</v>
      </c>
      <c r="K2136" s="87">
        <v>91500</v>
      </c>
      <c r="L2136" s="87">
        <f>F2136*K2136</f>
        <v>11895</v>
      </c>
    </row>
    <row r="2137" spans="1:12" ht="12" customHeight="1" x14ac:dyDescent="0.35">
      <c r="A2137" s="134">
        <v>10143000</v>
      </c>
      <c r="B2137" s="84"/>
      <c r="C2137" s="85" t="str">
        <f>VLOOKUP(A2137,'DAFTAR HARGA'!A:D,3,FALSE)</f>
        <v>OH</v>
      </c>
      <c r="D2137" s="84" t="s">
        <v>418</v>
      </c>
      <c r="E2137" s="84">
        <f>VLOOKUP(A2137,'DAFTAR HARGA'!A:D,4,FALSE)</f>
        <v>236600</v>
      </c>
      <c r="F2137" s="128">
        <v>0.13</v>
      </c>
      <c r="G2137" s="87" t="e">
        <f>VLOOKUP(A2137,'DAFTAR HARGA'!A:D,5,FALSE)</f>
        <v>#REF!</v>
      </c>
      <c r="H2137" s="87" t="e">
        <f>F2137*G2137</f>
        <v>#REF!</v>
      </c>
      <c r="I2137" s="87"/>
      <c r="J2137" s="87"/>
      <c r="K2137" s="87"/>
      <c r="L2137" s="87"/>
    </row>
    <row r="2138" spans="1:12" ht="12" customHeight="1" x14ac:dyDescent="0.35">
      <c r="A2138" s="134">
        <v>10120000</v>
      </c>
      <c r="B2138" s="84"/>
      <c r="C2138" s="85" t="str">
        <f>VLOOKUP(A2138,'DAFTAR HARGA'!A:D,3,FALSE)</f>
        <v>OH</v>
      </c>
      <c r="D2138" s="84" t="s">
        <v>418</v>
      </c>
      <c r="E2138" s="84">
        <f>VLOOKUP(A2138,'DAFTAR HARGA'!A:D,4,FALSE)</f>
        <v>130000</v>
      </c>
      <c r="F2138" s="128">
        <f>F2136/10</f>
        <v>1.3000000000000001E-2</v>
      </c>
      <c r="G2138" s="87" t="e">
        <f>VLOOKUP(A2138,'DAFTAR HARGA'!A:D,5,FALSE)</f>
        <v>#REF!</v>
      </c>
      <c r="H2138" s="87" t="e">
        <f>F2138*G2138</f>
        <v>#REF!</v>
      </c>
      <c r="I2138" s="87">
        <v>78600</v>
      </c>
      <c r="J2138" s="87">
        <f>F2138*I2138</f>
        <v>1021.8000000000001</v>
      </c>
      <c r="K2138" s="87">
        <v>78600</v>
      </c>
      <c r="L2138" s="87">
        <f>F2138*K2138</f>
        <v>1021.8000000000001</v>
      </c>
    </row>
    <row r="2139" spans="1:12" ht="12" customHeight="1" x14ac:dyDescent="0.35">
      <c r="A2139" s="134">
        <v>10110000</v>
      </c>
      <c r="B2139" s="84"/>
      <c r="C2139" s="85" t="str">
        <f>VLOOKUP(A2139,'DAFTAR HARGA'!A:D,3,FALSE)</f>
        <v>OH</v>
      </c>
      <c r="D2139" s="84" t="s">
        <v>418</v>
      </c>
      <c r="E2139" s="84">
        <f>VLOOKUP(A2139,'DAFTAR HARGA'!A:D,4,FALSE)</f>
        <v>150000</v>
      </c>
      <c r="F2139" s="128">
        <f>F2137/10</f>
        <v>1.3000000000000001E-2</v>
      </c>
      <c r="G2139" s="87" t="e">
        <f>VLOOKUP(A2139,'DAFTAR HARGA'!A:D,5,FALSE)</f>
        <v>#REF!</v>
      </c>
      <c r="H2139" s="87" t="e">
        <f>F2139*G2139</f>
        <v>#REF!</v>
      </c>
      <c r="I2139" s="87">
        <v>92500</v>
      </c>
      <c r="J2139" s="87">
        <f>F2139*I2139</f>
        <v>1202.5</v>
      </c>
      <c r="K2139" s="87">
        <v>92500</v>
      </c>
      <c r="L2139" s="87">
        <f>F2139*K2139</f>
        <v>1202.5</v>
      </c>
    </row>
    <row r="2140" spans="1:12" ht="12" customHeight="1" x14ac:dyDescent="0.35">
      <c r="B2140" s="84"/>
      <c r="C2140" s="85"/>
      <c r="D2140" s="84"/>
      <c r="E2140" s="84"/>
      <c r="F2140" s="86"/>
      <c r="G2140" s="87"/>
      <c r="H2140" s="87"/>
      <c r="I2140" s="87"/>
      <c r="J2140" s="87"/>
      <c r="K2140" s="87"/>
      <c r="L2140" s="87"/>
    </row>
    <row r="2141" spans="1:12" ht="12" customHeight="1" x14ac:dyDescent="0.35">
      <c r="B2141" s="84"/>
      <c r="C2141" s="88"/>
      <c r="D2141" s="79"/>
      <c r="E2141" s="79"/>
      <c r="F2141" s="89" t="s">
        <v>421</v>
      </c>
      <c r="G2141" s="101"/>
      <c r="H2141" s="87" t="e">
        <f>SUM(H2136:H2140)</f>
        <v>#REF!</v>
      </c>
      <c r="I2141" s="101"/>
      <c r="J2141" s="87">
        <f>SUM(J2138:J2140)</f>
        <v>2224.3000000000002</v>
      </c>
      <c r="K2141" s="101"/>
      <c r="L2141" s="87">
        <f>SUM(L2138:L2140)</f>
        <v>2224.3000000000002</v>
      </c>
    </row>
    <row r="2142" spans="1:12" ht="12" customHeight="1" x14ac:dyDescent="0.35">
      <c r="B2142" s="84" t="s">
        <v>6</v>
      </c>
      <c r="C2142" s="88" t="s">
        <v>422</v>
      </c>
      <c r="D2142" s="79"/>
      <c r="E2142" s="79"/>
      <c r="F2142" s="90"/>
      <c r="G2142" s="84"/>
      <c r="H2142" s="87"/>
      <c r="I2142" s="84"/>
      <c r="J2142" s="87"/>
      <c r="K2142" s="84"/>
      <c r="L2142" s="87"/>
    </row>
    <row r="2143" spans="1:12" ht="12" customHeight="1" x14ac:dyDescent="0.35">
      <c r="A2143" s="134">
        <v>211100113</v>
      </c>
      <c r="B2143" s="84"/>
      <c r="C2143" s="85" t="str">
        <f>VLOOKUP(A2143,'DAFTAR HARGA'!A:D,3,FALSE)</f>
        <v>m³</v>
      </c>
      <c r="D2143" s="84" t="s">
        <v>418</v>
      </c>
      <c r="E2143" s="84">
        <f>VLOOKUP(A2143,'DAFTAR HARGA'!A:D,4,FALSE)</f>
        <v>217500</v>
      </c>
      <c r="F2143" s="128">
        <v>0.02</v>
      </c>
      <c r="G2143" s="87" t="e">
        <f>VLOOKUP(A2143,'DAFTAR HARGA'!A:D,5,FALSE)</f>
        <v>#REF!</v>
      </c>
      <c r="H2143" s="87" t="e">
        <f>F2143*G2143</f>
        <v>#REF!</v>
      </c>
      <c r="I2143" s="87">
        <v>232500</v>
      </c>
      <c r="J2143" s="87">
        <f>F2143*I2143</f>
        <v>4650</v>
      </c>
      <c r="K2143" s="87">
        <v>270000</v>
      </c>
      <c r="L2143" s="87">
        <f>F2143*K2143</f>
        <v>5400</v>
      </c>
    </row>
    <row r="2144" spans="1:12" ht="12" customHeight="1" x14ac:dyDescent="0.35">
      <c r="A2144" s="134">
        <v>21301000</v>
      </c>
      <c r="B2144" s="84"/>
      <c r="C2144" s="85" t="str">
        <f>VLOOKUP(A2144,'DAFTAR HARGA'!A:D,3,FALSE)</f>
        <v>Kg</v>
      </c>
      <c r="D2144" s="84" t="s">
        <v>418</v>
      </c>
      <c r="E2144" s="84">
        <f>VLOOKUP(A2144,'DAFTAR HARGA'!A:D,4,FALSE)</f>
        <v>1350</v>
      </c>
      <c r="F2144" s="128">
        <v>10.224</v>
      </c>
      <c r="G2144" s="87" t="e">
        <f>VLOOKUP(A2144,'DAFTAR HARGA'!A:D,5,FALSE)</f>
        <v>#REF!</v>
      </c>
      <c r="H2144" s="87" t="e">
        <f>F2144*G2144</f>
        <v>#REF!</v>
      </c>
      <c r="I2144" s="87">
        <v>1060</v>
      </c>
      <c r="J2144" s="87">
        <f>F2144*I2144</f>
        <v>10837.44</v>
      </c>
      <c r="K2144" s="87">
        <v>1060</v>
      </c>
      <c r="L2144" s="87">
        <f>F2144*K2144</f>
        <v>10837.44</v>
      </c>
    </row>
    <row r="2145" spans="2:12" ht="12" customHeight="1" x14ac:dyDescent="0.35">
      <c r="B2145" s="84"/>
      <c r="C2145" s="85"/>
      <c r="D2145" s="84"/>
      <c r="E2145" s="84"/>
      <c r="F2145" s="128"/>
      <c r="G2145" s="87"/>
      <c r="H2145" s="87">
        <f>F2145*G2145</f>
        <v>0</v>
      </c>
      <c r="I2145" s="87">
        <v>215000</v>
      </c>
      <c r="J2145" s="87">
        <f>F2145*I2145</f>
        <v>0</v>
      </c>
      <c r="K2145" s="87">
        <v>250000</v>
      </c>
      <c r="L2145" s="87">
        <f>F2145*K2145</f>
        <v>0</v>
      </c>
    </row>
    <row r="2146" spans="2:12" ht="12" customHeight="1" x14ac:dyDescent="0.35">
      <c r="B2146" s="84"/>
      <c r="C2146" s="85"/>
      <c r="D2146" s="84"/>
      <c r="E2146" s="84"/>
      <c r="F2146" s="128"/>
      <c r="G2146" s="87"/>
      <c r="H2146" s="87"/>
      <c r="I2146" s="87"/>
      <c r="J2146" s="87"/>
      <c r="K2146" s="87"/>
      <c r="L2146" s="87"/>
    </row>
    <row r="2147" spans="2:12" ht="12" customHeight="1" x14ac:dyDescent="0.35">
      <c r="B2147" s="84"/>
      <c r="C2147" s="88"/>
      <c r="D2147" s="79"/>
      <c r="E2147" s="79"/>
      <c r="F2147" s="129" t="s">
        <v>423</v>
      </c>
      <c r="G2147" s="129"/>
      <c r="H2147" s="87" t="e">
        <f>SUM(H2143:H2146)</f>
        <v>#REF!</v>
      </c>
      <c r="I2147" s="101"/>
      <c r="J2147" s="87" t="e">
        <f>SUM(#REF!)</f>
        <v>#REF!</v>
      </c>
      <c r="K2147" s="101"/>
      <c r="L2147" s="87" t="e">
        <f>SUM(#REF!)</f>
        <v>#REF!</v>
      </c>
    </row>
    <row r="2148" spans="2:12" ht="12" customHeight="1" x14ac:dyDescent="0.35">
      <c r="B2148" s="84" t="s">
        <v>7</v>
      </c>
      <c r="C2148" s="88" t="s">
        <v>424</v>
      </c>
      <c r="D2148" s="79"/>
      <c r="E2148" s="79"/>
      <c r="F2148" s="90"/>
      <c r="G2148" s="84"/>
      <c r="H2148" s="87"/>
      <c r="I2148" s="84"/>
      <c r="J2148" s="87"/>
      <c r="K2148" s="84"/>
      <c r="L2148" s="87"/>
    </row>
    <row r="2149" spans="2:12" ht="12" customHeight="1" x14ac:dyDescent="0.35">
      <c r="B2149" s="84"/>
      <c r="C2149" s="85"/>
      <c r="D2149" s="84"/>
      <c r="E2149" s="84"/>
      <c r="F2149" s="128"/>
      <c r="G2149" s="87"/>
      <c r="H2149" s="87">
        <f>F2149*G2149</f>
        <v>0</v>
      </c>
      <c r="I2149" s="87"/>
      <c r="J2149" s="87">
        <f>H2149*I2149</f>
        <v>0</v>
      </c>
      <c r="K2149" s="87"/>
      <c r="L2149" s="87">
        <f>J2149*K2149</f>
        <v>0</v>
      </c>
    </row>
    <row r="2150" spans="2:12" ht="12" customHeight="1" x14ac:dyDescent="0.35">
      <c r="B2150" s="84"/>
      <c r="C2150" s="85"/>
      <c r="D2150" s="84"/>
      <c r="E2150" s="84"/>
      <c r="F2150" s="128"/>
      <c r="G2150" s="87"/>
      <c r="H2150" s="87">
        <f>F2150*G2150</f>
        <v>0</v>
      </c>
      <c r="I2150" s="87"/>
      <c r="J2150" s="87"/>
      <c r="K2150" s="87"/>
      <c r="L2150" s="87"/>
    </row>
    <row r="2151" spans="2:12" ht="12" customHeight="1" x14ac:dyDescent="0.35">
      <c r="B2151" s="84"/>
      <c r="C2151" s="88"/>
      <c r="D2151" s="79"/>
      <c r="E2151" s="79"/>
      <c r="F2151" s="89" t="s">
        <v>425</v>
      </c>
      <c r="G2151" s="101"/>
      <c r="H2151" s="87">
        <f>SUM(H2149:H2150)</f>
        <v>0</v>
      </c>
      <c r="I2151" s="101"/>
      <c r="J2151" s="87">
        <f>SUM(J2149)</f>
        <v>0</v>
      </c>
      <c r="K2151" s="101"/>
      <c r="L2151" s="87">
        <f>SUM(L2149)</f>
        <v>0</v>
      </c>
    </row>
    <row r="2152" spans="2:12" ht="12" customHeight="1" x14ac:dyDescent="0.35">
      <c r="B2152" s="84" t="s">
        <v>8</v>
      </c>
      <c r="C2152" s="103" t="s">
        <v>426</v>
      </c>
      <c r="D2152" s="104"/>
      <c r="E2152" s="104"/>
      <c r="F2152" s="104"/>
      <c r="G2152" s="105"/>
      <c r="H2152" s="87" t="e">
        <f>H2141+H2147+H2151</f>
        <v>#REF!</v>
      </c>
      <c r="I2152" s="105"/>
      <c r="J2152" s="87" t="e">
        <f>J2141+J2147+J2151</f>
        <v>#REF!</v>
      </c>
      <c r="K2152" s="105"/>
      <c r="L2152" s="87" t="e">
        <f>L2141+L2147+L2151</f>
        <v>#REF!</v>
      </c>
    </row>
    <row r="2153" spans="2:12" ht="12" customHeight="1" x14ac:dyDescent="0.35">
      <c r="B2153" s="84" t="s">
        <v>9</v>
      </c>
      <c r="C2153" s="455" t="s">
        <v>427</v>
      </c>
      <c r="D2153" s="455"/>
      <c r="E2153" s="455"/>
      <c r="F2153" s="95" t="str">
        <f>OP</f>
        <v>TANJUNG PALAS TENGAH</v>
      </c>
      <c r="G2153" s="85" t="s">
        <v>428</v>
      </c>
      <c r="H2153" s="87" t="e">
        <f>H2152*F2153</f>
        <v>#REF!</v>
      </c>
      <c r="I2153" s="85" t="s">
        <v>428</v>
      </c>
      <c r="J2153" s="87" t="e">
        <f>J2152*F2153</f>
        <v>#REF!</v>
      </c>
      <c r="K2153" s="85" t="s">
        <v>428</v>
      </c>
      <c r="L2153" s="87" t="e">
        <f>L2152*F2153</f>
        <v>#REF!</v>
      </c>
    </row>
    <row r="2154" spans="2:12" ht="12" customHeight="1" x14ac:dyDescent="0.35">
      <c r="B2154" s="84" t="s">
        <v>10</v>
      </c>
      <c r="C2154" s="103" t="s">
        <v>429</v>
      </c>
      <c r="D2154" s="104"/>
      <c r="E2154" s="104"/>
      <c r="F2154" s="104"/>
      <c r="G2154" s="105"/>
      <c r="H2154" s="96" t="e">
        <f>H2152+H2153</f>
        <v>#REF!</v>
      </c>
      <c r="I2154" s="97"/>
      <c r="J2154" s="96" t="e">
        <f>J2152+J2153</f>
        <v>#REF!</v>
      </c>
      <c r="K2154" s="97"/>
      <c r="L2154" s="96" t="e">
        <f>L2152+L2153</f>
        <v>#REF!</v>
      </c>
    </row>
    <row r="2156" spans="2:12" ht="37" customHeight="1" x14ac:dyDescent="0.35">
      <c r="B2156" s="76" t="s">
        <v>680</v>
      </c>
      <c r="C2156" s="458" t="s">
        <v>681</v>
      </c>
      <c r="D2156" s="459"/>
      <c r="E2156" s="459"/>
      <c r="F2156" s="459"/>
      <c r="G2156" s="456"/>
      <c r="H2156" s="457"/>
      <c r="I2156" s="455" t="s">
        <v>3</v>
      </c>
      <c r="J2156" s="455"/>
      <c r="K2156" s="455" t="s">
        <v>4</v>
      </c>
      <c r="L2156" s="455"/>
    </row>
    <row r="2157" spans="2:12" ht="12" customHeight="1" x14ac:dyDescent="0.35">
      <c r="B2157" s="451" t="s">
        <v>409</v>
      </c>
      <c r="C2157" s="451" t="s">
        <v>410</v>
      </c>
      <c r="D2157" s="452" t="s">
        <v>411</v>
      </c>
      <c r="E2157" s="451" t="s">
        <v>412</v>
      </c>
      <c r="F2157" s="451" t="s">
        <v>413</v>
      </c>
      <c r="G2157" s="77" t="s">
        <v>414</v>
      </c>
      <c r="H2157" s="77" t="s">
        <v>415</v>
      </c>
      <c r="I2157" s="78" t="s">
        <v>414</v>
      </c>
      <c r="J2157" s="79" t="s">
        <v>415</v>
      </c>
      <c r="K2157" s="79" t="s">
        <v>414</v>
      </c>
      <c r="L2157" s="79" t="s">
        <v>415</v>
      </c>
    </row>
    <row r="2158" spans="2:12" ht="12" customHeight="1" x14ac:dyDescent="0.35">
      <c r="B2158" s="451"/>
      <c r="C2158" s="451"/>
      <c r="D2158" s="453"/>
      <c r="E2158" s="451"/>
      <c r="F2158" s="451"/>
      <c r="G2158" s="77" t="s">
        <v>17</v>
      </c>
      <c r="H2158" s="77" t="s">
        <v>416</v>
      </c>
      <c r="I2158" s="78" t="s">
        <v>17</v>
      </c>
      <c r="J2158" s="79" t="s">
        <v>416</v>
      </c>
      <c r="K2158" s="79" t="s">
        <v>17</v>
      </c>
      <c r="L2158" s="79" t="s">
        <v>416</v>
      </c>
    </row>
    <row r="2159" spans="2:12" ht="12" customHeight="1" x14ac:dyDescent="0.35">
      <c r="B2159" s="451"/>
      <c r="C2159" s="451"/>
      <c r="D2159" s="454"/>
      <c r="E2159" s="451"/>
      <c r="F2159" s="451"/>
      <c r="G2159" s="106"/>
      <c r="H2159" s="77" t="s">
        <v>17</v>
      </c>
      <c r="I2159" s="94"/>
      <c r="J2159" s="79" t="s">
        <v>17</v>
      </c>
      <c r="K2159" s="85"/>
      <c r="L2159" s="79" t="s">
        <v>17</v>
      </c>
    </row>
    <row r="2160" spans="2:12" ht="12" customHeight="1" x14ac:dyDescent="0.35">
      <c r="B2160" s="80" t="s">
        <v>5</v>
      </c>
      <c r="C2160" s="81" t="s">
        <v>417</v>
      </c>
      <c r="D2160" s="82"/>
      <c r="E2160" s="82"/>
      <c r="F2160" s="82"/>
      <c r="G2160" s="82"/>
      <c r="H2160" s="82"/>
      <c r="I2160" s="83"/>
      <c r="J2160" s="83"/>
      <c r="K2160" s="83"/>
      <c r="L2160" s="83"/>
    </row>
    <row r="2161" spans="1:12" ht="12" customHeight="1" x14ac:dyDescent="0.35">
      <c r="A2161" s="134">
        <v>10130000</v>
      </c>
      <c r="B2161" s="84"/>
      <c r="C2161" s="85" t="str">
        <f>VLOOKUP(A2161,'DAFTAR HARGA'!A:D,3,FALSE)</f>
        <v>OH</v>
      </c>
      <c r="D2161" s="84" t="s">
        <v>418</v>
      </c>
      <c r="E2161" s="84">
        <f>VLOOKUP(A2161,'DAFTAR HARGA'!A:D,4,FALSE)</f>
        <v>115000</v>
      </c>
      <c r="F2161" s="128">
        <v>0.13</v>
      </c>
      <c r="G2161" s="87" t="e">
        <f>VLOOKUP(A2161,'DAFTAR HARGA'!A:D,5,FALSE)</f>
        <v>#REF!</v>
      </c>
      <c r="H2161" s="87" t="e">
        <f>F2161*G2161</f>
        <v>#REF!</v>
      </c>
      <c r="I2161" s="87">
        <v>91500</v>
      </c>
      <c r="J2161" s="87">
        <f>F2161*I2161</f>
        <v>11895</v>
      </c>
      <c r="K2161" s="87">
        <v>91500</v>
      </c>
      <c r="L2161" s="87">
        <f>F2161*K2161</f>
        <v>11895</v>
      </c>
    </row>
    <row r="2162" spans="1:12" ht="12" customHeight="1" x14ac:dyDescent="0.35">
      <c r="A2162" s="134">
        <v>10143000</v>
      </c>
      <c r="B2162" s="84"/>
      <c r="C2162" s="85" t="str">
        <f>VLOOKUP(A2162,'DAFTAR HARGA'!A:D,3,FALSE)</f>
        <v>OH</v>
      </c>
      <c r="D2162" s="84" t="s">
        <v>418</v>
      </c>
      <c r="E2162" s="84">
        <f>VLOOKUP(A2162,'DAFTAR HARGA'!A:D,4,FALSE)</f>
        <v>236600</v>
      </c>
      <c r="F2162" s="128">
        <v>0.13</v>
      </c>
      <c r="G2162" s="87" t="e">
        <f>VLOOKUP(A2162,'DAFTAR HARGA'!A:D,5,FALSE)</f>
        <v>#REF!</v>
      </c>
      <c r="H2162" s="87" t="e">
        <f>F2162*G2162</f>
        <v>#REF!</v>
      </c>
      <c r="I2162" s="87"/>
      <c r="J2162" s="87"/>
      <c r="K2162" s="87"/>
      <c r="L2162" s="87"/>
    </row>
    <row r="2163" spans="1:12" ht="12" customHeight="1" x14ac:dyDescent="0.35">
      <c r="A2163" s="134">
        <v>10120000</v>
      </c>
      <c r="B2163" s="84"/>
      <c r="C2163" s="85" t="str">
        <f>VLOOKUP(A2163,'DAFTAR HARGA'!A:D,3,FALSE)</f>
        <v>OH</v>
      </c>
      <c r="D2163" s="84" t="s">
        <v>418</v>
      </c>
      <c r="E2163" s="84">
        <f>VLOOKUP(A2163,'DAFTAR HARGA'!A:D,4,FALSE)</f>
        <v>130000</v>
      </c>
      <c r="F2163" s="128">
        <f>F2161/10</f>
        <v>1.3000000000000001E-2</v>
      </c>
      <c r="G2163" s="87" t="e">
        <f>VLOOKUP(A2163,'DAFTAR HARGA'!A:D,5,FALSE)</f>
        <v>#REF!</v>
      </c>
      <c r="H2163" s="87" t="e">
        <f>F2163*G2163</f>
        <v>#REF!</v>
      </c>
      <c r="I2163" s="87">
        <v>78600</v>
      </c>
      <c r="J2163" s="87">
        <f>F2163*I2163</f>
        <v>1021.8000000000001</v>
      </c>
      <c r="K2163" s="87">
        <v>78600</v>
      </c>
      <c r="L2163" s="87">
        <f>F2163*K2163</f>
        <v>1021.8000000000001</v>
      </c>
    </row>
    <row r="2164" spans="1:12" ht="12" customHeight="1" x14ac:dyDescent="0.35">
      <c r="A2164" s="134">
        <v>10110000</v>
      </c>
      <c r="B2164" s="84"/>
      <c r="C2164" s="85" t="str">
        <f>VLOOKUP(A2164,'DAFTAR HARGA'!A:D,3,FALSE)</f>
        <v>OH</v>
      </c>
      <c r="D2164" s="84" t="s">
        <v>418</v>
      </c>
      <c r="E2164" s="84">
        <f>VLOOKUP(A2164,'DAFTAR HARGA'!A:D,4,FALSE)</f>
        <v>150000</v>
      </c>
      <c r="F2164" s="128">
        <f>F2162/10</f>
        <v>1.3000000000000001E-2</v>
      </c>
      <c r="G2164" s="87" t="e">
        <f>VLOOKUP(A2164,'DAFTAR HARGA'!A:D,5,FALSE)</f>
        <v>#REF!</v>
      </c>
      <c r="H2164" s="87" t="e">
        <f>F2164*G2164</f>
        <v>#REF!</v>
      </c>
      <c r="I2164" s="87">
        <v>92500</v>
      </c>
      <c r="J2164" s="87">
        <f>F2164*I2164</f>
        <v>1202.5</v>
      </c>
      <c r="K2164" s="87">
        <v>92500</v>
      </c>
      <c r="L2164" s="87">
        <f>F2164*K2164</f>
        <v>1202.5</v>
      </c>
    </row>
    <row r="2165" spans="1:12" ht="12" customHeight="1" x14ac:dyDescent="0.35">
      <c r="B2165" s="84"/>
      <c r="C2165" s="85"/>
      <c r="D2165" s="84"/>
      <c r="E2165" s="84"/>
      <c r="F2165" s="86"/>
      <c r="G2165" s="87"/>
      <c r="H2165" s="87"/>
      <c r="I2165" s="87"/>
      <c r="J2165" s="87"/>
      <c r="K2165" s="87"/>
      <c r="L2165" s="87"/>
    </row>
    <row r="2166" spans="1:12" ht="12" customHeight="1" x14ac:dyDescent="0.35">
      <c r="B2166" s="84"/>
      <c r="C2166" s="88"/>
      <c r="D2166" s="79"/>
      <c r="E2166" s="79"/>
      <c r="F2166" s="89" t="s">
        <v>421</v>
      </c>
      <c r="G2166" s="101"/>
      <c r="H2166" s="87" t="e">
        <f>SUM(H2161:H2165)</f>
        <v>#REF!</v>
      </c>
      <c r="I2166" s="101"/>
      <c r="J2166" s="87">
        <f>SUM(J2163:J2165)</f>
        <v>2224.3000000000002</v>
      </c>
      <c r="K2166" s="101"/>
      <c r="L2166" s="87">
        <f>SUM(L2163:L2165)</f>
        <v>2224.3000000000002</v>
      </c>
    </row>
    <row r="2167" spans="1:12" ht="12" customHeight="1" x14ac:dyDescent="0.35">
      <c r="B2167" s="84" t="s">
        <v>6</v>
      </c>
      <c r="C2167" s="88" t="s">
        <v>422</v>
      </c>
      <c r="D2167" s="79"/>
      <c r="E2167" s="79"/>
      <c r="F2167" s="90"/>
      <c r="G2167" s="84"/>
      <c r="H2167" s="87"/>
      <c r="I2167" s="84"/>
      <c r="J2167" s="87"/>
      <c r="K2167" s="84"/>
      <c r="L2167" s="87"/>
    </row>
    <row r="2168" spans="1:12" ht="12" customHeight="1" x14ac:dyDescent="0.35">
      <c r="A2168" s="134">
        <v>211100113</v>
      </c>
      <c r="B2168" s="84"/>
      <c r="C2168" s="85" t="str">
        <f>VLOOKUP(A2168,'DAFTAR HARGA'!A:D,3,FALSE)</f>
        <v>m³</v>
      </c>
      <c r="D2168" s="84" t="s">
        <v>418</v>
      </c>
      <c r="E2168" s="84">
        <f>VLOOKUP(A2168,'DAFTAR HARGA'!A:D,4,FALSE)</f>
        <v>217500</v>
      </c>
      <c r="F2168" s="128">
        <v>2.3E-2</v>
      </c>
      <c r="G2168" s="87" t="e">
        <f>VLOOKUP(A2168,'DAFTAR HARGA'!A:D,5,FALSE)</f>
        <v>#REF!</v>
      </c>
      <c r="H2168" s="87" t="e">
        <f>F2168*G2168</f>
        <v>#REF!</v>
      </c>
      <c r="I2168" s="87">
        <v>232500</v>
      </c>
      <c r="J2168" s="87">
        <f>F2168*I2168</f>
        <v>5347.5</v>
      </c>
      <c r="K2168" s="87">
        <v>270000</v>
      </c>
      <c r="L2168" s="87">
        <f>F2168*K2168</f>
        <v>6210</v>
      </c>
    </row>
    <row r="2169" spans="1:12" ht="12" customHeight="1" x14ac:dyDescent="0.35">
      <c r="A2169" s="134">
        <v>21301000</v>
      </c>
      <c r="B2169" s="84"/>
      <c r="C2169" s="85" t="str">
        <f>VLOOKUP(A2169,'DAFTAR HARGA'!A:D,3,FALSE)</f>
        <v>Kg</v>
      </c>
      <c r="D2169" s="84" t="s">
        <v>418</v>
      </c>
      <c r="E2169" s="84">
        <f>VLOOKUP(A2169,'DAFTAR HARGA'!A:D,4,FALSE)</f>
        <v>1350</v>
      </c>
      <c r="F2169" s="128">
        <v>7.7759999999999998</v>
      </c>
      <c r="G2169" s="87" t="e">
        <f>VLOOKUP(A2169,'DAFTAR HARGA'!A:D,5,FALSE)</f>
        <v>#REF!</v>
      </c>
      <c r="H2169" s="87" t="e">
        <f>F2169*G2169</f>
        <v>#REF!</v>
      </c>
      <c r="I2169" s="87">
        <v>1060</v>
      </c>
      <c r="J2169" s="87">
        <f>F2169*I2169</f>
        <v>8242.56</v>
      </c>
      <c r="K2169" s="87">
        <v>1060</v>
      </c>
      <c r="L2169" s="87">
        <f>F2169*K2169</f>
        <v>8242.56</v>
      </c>
    </row>
    <row r="2170" spans="1:12" ht="12" customHeight="1" x14ac:dyDescent="0.35">
      <c r="B2170" s="84"/>
      <c r="C2170" s="85"/>
      <c r="D2170" s="84"/>
      <c r="E2170" s="84"/>
      <c r="F2170" s="128"/>
      <c r="G2170" s="87"/>
      <c r="H2170" s="87">
        <f>F2170*G2170</f>
        <v>0</v>
      </c>
      <c r="I2170" s="87">
        <v>215000</v>
      </c>
      <c r="J2170" s="87">
        <f>F2170*I2170</f>
        <v>0</v>
      </c>
      <c r="K2170" s="87">
        <v>250000</v>
      </c>
      <c r="L2170" s="87">
        <f>F2170*K2170</f>
        <v>0</v>
      </c>
    </row>
    <row r="2171" spans="1:12" ht="12" customHeight="1" x14ac:dyDescent="0.35">
      <c r="B2171" s="84"/>
      <c r="C2171" s="85"/>
      <c r="D2171" s="84"/>
      <c r="E2171" s="84"/>
      <c r="F2171" s="128"/>
      <c r="G2171" s="87"/>
      <c r="H2171" s="87"/>
      <c r="I2171" s="87"/>
      <c r="J2171" s="87"/>
      <c r="K2171" s="87"/>
      <c r="L2171" s="87"/>
    </row>
    <row r="2172" spans="1:12" ht="12" customHeight="1" x14ac:dyDescent="0.35">
      <c r="B2172" s="84"/>
      <c r="C2172" s="88"/>
      <c r="D2172" s="79"/>
      <c r="E2172" s="79"/>
      <c r="F2172" s="129" t="s">
        <v>423</v>
      </c>
      <c r="G2172" s="129"/>
      <c r="H2172" s="87" t="e">
        <f>SUM(H2168:H2171)</f>
        <v>#REF!</v>
      </c>
      <c r="I2172" s="101"/>
      <c r="J2172" s="87" t="e">
        <f>SUM(#REF!)</f>
        <v>#REF!</v>
      </c>
      <c r="K2172" s="101"/>
      <c r="L2172" s="87" t="e">
        <f>SUM(#REF!)</f>
        <v>#REF!</v>
      </c>
    </row>
    <row r="2173" spans="1:12" ht="12" customHeight="1" x14ac:dyDescent="0.35">
      <c r="B2173" s="84" t="s">
        <v>7</v>
      </c>
      <c r="C2173" s="88" t="s">
        <v>424</v>
      </c>
      <c r="D2173" s="79"/>
      <c r="E2173" s="79"/>
      <c r="F2173" s="90"/>
      <c r="G2173" s="84"/>
      <c r="H2173" s="87"/>
      <c r="I2173" s="84"/>
      <c r="J2173" s="87"/>
      <c r="K2173" s="84"/>
      <c r="L2173" s="87"/>
    </row>
    <row r="2174" spans="1:12" ht="12" customHeight="1" x14ac:dyDescent="0.35">
      <c r="B2174" s="84"/>
      <c r="C2174" s="85"/>
      <c r="D2174" s="84"/>
      <c r="E2174" s="84"/>
      <c r="F2174" s="128"/>
      <c r="G2174" s="87"/>
      <c r="H2174" s="87">
        <f>F2174*G2174</f>
        <v>0</v>
      </c>
      <c r="I2174" s="87"/>
      <c r="J2174" s="87">
        <f>H2174*I2174</f>
        <v>0</v>
      </c>
      <c r="K2174" s="87"/>
      <c r="L2174" s="87">
        <f>J2174*K2174</f>
        <v>0</v>
      </c>
    </row>
    <row r="2175" spans="1:12" ht="12" customHeight="1" x14ac:dyDescent="0.35">
      <c r="B2175" s="84"/>
      <c r="C2175" s="85"/>
      <c r="D2175" s="84"/>
      <c r="E2175" s="84"/>
      <c r="F2175" s="128"/>
      <c r="G2175" s="87"/>
      <c r="H2175" s="87">
        <f>F2175*G2175</f>
        <v>0</v>
      </c>
      <c r="I2175" s="87"/>
      <c r="J2175" s="87"/>
      <c r="K2175" s="87"/>
      <c r="L2175" s="87"/>
    </row>
    <row r="2176" spans="1:12" ht="12" customHeight="1" x14ac:dyDescent="0.35">
      <c r="B2176" s="84"/>
      <c r="C2176" s="88"/>
      <c r="D2176" s="79"/>
      <c r="E2176" s="79"/>
      <c r="F2176" s="89" t="s">
        <v>425</v>
      </c>
      <c r="G2176" s="101"/>
      <c r="H2176" s="87">
        <f>SUM(H2174:H2175)</f>
        <v>0</v>
      </c>
      <c r="I2176" s="101"/>
      <c r="J2176" s="87">
        <f>SUM(J2174)</f>
        <v>0</v>
      </c>
      <c r="K2176" s="101"/>
      <c r="L2176" s="87">
        <f>SUM(L2174)</f>
        <v>0</v>
      </c>
    </row>
    <row r="2177" spans="1:12" ht="12" customHeight="1" x14ac:dyDescent="0.35">
      <c r="B2177" s="84" t="s">
        <v>8</v>
      </c>
      <c r="C2177" s="103" t="s">
        <v>426</v>
      </c>
      <c r="D2177" s="104"/>
      <c r="E2177" s="104"/>
      <c r="F2177" s="104"/>
      <c r="G2177" s="105"/>
      <c r="H2177" s="87" t="e">
        <f>H2166+H2172+H2176</f>
        <v>#REF!</v>
      </c>
      <c r="I2177" s="105"/>
      <c r="J2177" s="87" t="e">
        <f>J2166+J2172+J2176</f>
        <v>#REF!</v>
      </c>
      <c r="K2177" s="105"/>
      <c r="L2177" s="87" t="e">
        <f>L2166+L2172+L2176</f>
        <v>#REF!</v>
      </c>
    </row>
    <row r="2178" spans="1:12" ht="12" customHeight="1" x14ac:dyDescent="0.35">
      <c r="B2178" s="84" t="s">
        <v>9</v>
      </c>
      <c r="C2178" s="455" t="s">
        <v>427</v>
      </c>
      <c r="D2178" s="455"/>
      <c r="E2178" s="455"/>
      <c r="F2178" s="95" t="str">
        <f>OP</f>
        <v>TANJUNG PALAS TENGAH</v>
      </c>
      <c r="G2178" s="85" t="s">
        <v>428</v>
      </c>
      <c r="H2178" s="87" t="e">
        <f>H2177*F2178</f>
        <v>#REF!</v>
      </c>
      <c r="I2178" s="85" t="s">
        <v>428</v>
      </c>
      <c r="J2178" s="87" t="e">
        <f>J2177*F2178</f>
        <v>#REF!</v>
      </c>
      <c r="K2178" s="85" t="s">
        <v>428</v>
      </c>
      <c r="L2178" s="87" t="e">
        <f>L2177*F2178</f>
        <v>#REF!</v>
      </c>
    </row>
    <row r="2179" spans="1:12" ht="12" customHeight="1" x14ac:dyDescent="0.35">
      <c r="B2179" s="84" t="s">
        <v>10</v>
      </c>
      <c r="C2179" s="103" t="s">
        <v>429</v>
      </c>
      <c r="D2179" s="104"/>
      <c r="E2179" s="104"/>
      <c r="F2179" s="104"/>
      <c r="G2179" s="105"/>
      <c r="H2179" s="96" t="e">
        <f>H2177+H2178</f>
        <v>#REF!</v>
      </c>
      <c r="I2179" s="97"/>
      <c r="J2179" s="96" t="e">
        <f>J2177+J2178</f>
        <v>#REF!</v>
      </c>
      <c r="K2179" s="97"/>
      <c r="L2179" s="96" t="e">
        <f>L2177+L2178</f>
        <v>#REF!</v>
      </c>
    </row>
    <row r="2181" spans="1:12" ht="37" customHeight="1" x14ac:dyDescent="0.35">
      <c r="B2181" s="76" t="s">
        <v>683</v>
      </c>
      <c r="C2181" s="458" t="s">
        <v>682</v>
      </c>
      <c r="D2181" s="459"/>
      <c r="E2181" s="459"/>
      <c r="F2181" s="459"/>
      <c r="G2181" s="456"/>
      <c r="H2181" s="457"/>
      <c r="I2181" s="455" t="s">
        <v>3</v>
      </c>
      <c r="J2181" s="455"/>
      <c r="K2181" s="455" t="s">
        <v>4</v>
      </c>
      <c r="L2181" s="455"/>
    </row>
    <row r="2182" spans="1:12" ht="12" customHeight="1" x14ac:dyDescent="0.35">
      <c r="B2182" s="451" t="s">
        <v>409</v>
      </c>
      <c r="C2182" s="451" t="s">
        <v>410</v>
      </c>
      <c r="D2182" s="452" t="s">
        <v>411</v>
      </c>
      <c r="E2182" s="451" t="s">
        <v>412</v>
      </c>
      <c r="F2182" s="451" t="s">
        <v>413</v>
      </c>
      <c r="G2182" s="77" t="s">
        <v>414</v>
      </c>
      <c r="H2182" s="77" t="s">
        <v>415</v>
      </c>
      <c r="I2182" s="78" t="s">
        <v>414</v>
      </c>
      <c r="J2182" s="79" t="s">
        <v>415</v>
      </c>
      <c r="K2182" s="79" t="s">
        <v>414</v>
      </c>
      <c r="L2182" s="79" t="s">
        <v>415</v>
      </c>
    </row>
    <row r="2183" spans="1:12" ht="12" customHeight="1" x14ac:dyDescent="0.35">
      <c r="B2183" s="451"/>
      <c r="C2183" s="451"/>
      <c r="D2183" s="453"/>
      <c r="E2183" s="451"/>
      <c r="F2183" s="451"/>
      <c r="G2183" s="77" t="s">
        <v>17</v>
      </c>
      <c r="H2183" s="77" t="s">
        <v>416</v>
      </c>
      <c r="I2183" s="78" t="s">
        <v>17</v>
      </c>
      <c r="J2183" s="79" t="s">
        <v>416</v>
      </c>
      <c r="K2183" s="79" t="s">
        <v>17</v>
      </c>
      <c r="L2183" s="79" t="s">
        <v>416</v>
      </c>
    </row>
    <row r="2184" spans="1:12" ht="12" customHeight="1" x14ac:dyDescent="0.35">
      <c r="B2184" s="451"/>
      <c r="C2184" s="451"/>
      <c r="D2184" s="454"/>
      <c r="E2184" s="451"/>
      <c r="F2184" s="451"/>
      <c r="G2184" s="106"/>
      <c r="H2184" s="77" t="s">
        <v>17</v>
      </c>
      <c r="I2184" s="94"/>
      <c r="J2184" s="79" t="s">
        <v>17</v>
      </c>
      <c r="K2184" s="85"/>
      <c r="L2184" s="79" t="s">
        <v>17</v>
      </c>
    </row>
    <row r="2185" spans="1:12" ht="12" customHeight="1" x14ac:dyDescent="0.35">
      <c r="B2185" s="80" t="s">
        <v>5</v>
      </c>
      <c r="C2185" s="81" t="s">
        <v>417</v>
      </c>
      <c r="D2185" s="82"/>
      <c r="E2185" s="82"/>
      <c r="F2185" s="82"/>
      <c r="G2185" s="82"/>
      <c r="H2185" s="82"/>
      <c r="I2185" s="83"/>
      <c r="J2185" s="83"/>
      <c r="K2185" s="83"/>
      <c r="L2185" s="83"/>
    </row>
    <row r="2186" spans="1:12" ht="12" customHeight="1" x14ac:dyDescent="0.35">
      <c r="A2186" s="134">
        <v>10130000</v>
      </c>
      <c r="B2186" s="84"/>
      <c r="C2186" s="85" t="str">
        <f>VLOOKUP(A2186,'DAFTAR HARGA'!A:D,3,FALSE)</f>
        <v>OH</v>
      </c>
      <c r="D2186" s="84" t="s">
        <v>418</v>
      </c>
      <c r="E2186" s="84">
        <f>VLOOKUP(A2186,'DAFTAR HARGA'!A:D,4,FALSE)</f>
        <v>115000</v>
      </c>
      <c r="F2186" s="128">
        <v>0.13</v>
      </c>
      <c r="G2186" s="87" t="e">
        <f>VLOOKUP(A2186,'DAFTAR HARGA'!A:D,5,FALSE)</f>
        <v>#REF!</v>
      </c>
      <c r="H2186" s="87" t="e">
        <f>F2186*G2186</f>
        <v>#REF!</v>
      </c>
      <c r="I2186" s="87">
        <v>91500</v>
      </c>
      <c r="J2186" s="87">
        <f>F2186*I2186</f>
        <v>11895</v>
      </c>
      <c r="K2186" s="87">
        <v>91500</v>
      </c>
      <c r="L2186" s="87">
        <f>F2186*K2186</f>
        <v>11895</v>
      </c>
    </row>
    <row r="2187" spans="1:12" ht="12" customHeight="1" x14ac:dyDescent="0.35">
      <c r="A2187" s="134">
        <v>10143000</v>
      </c>
      <c r="B2187" s="84"/>
      <c r="C2187" s="85" t="str">
        <f>VLOOKUP(A2187,'DAFTAR HARGA'!A:D,3,FALSE)</f>
        <v>OH</v>
      </c>
      <c r="D2187" s="84" t="s">
        <v>418</v>
      </c>
      <c r="E2187" s="84">
        <f>VLOOKUP(A2187,'DAFTAR HARGA'!A:D,4,FALSE)</f>
        <v>236600</v>
      </c>
      <c r="F2187" s="128">
        <v>0.13</v>
      </c>
      <c r="G2187" s="87" t="e">
        <f>VLOOKUP(A2187,'DAFTAR HARGA'!A:D,5,FALSE)</f>
        <v>#REF!</v>
      </c>
      <c r="H2187" s="87" t="e">
        <f>F2187*G2187</f>
        <v>#REF!</v>
      </c>
      <c r="I2187" s="87"/>
      <c r="J2187" s="87"/>
      <c r="K2187" s="87"/>
      <c r="L2187" s="87"/>
    </row>
    <row r="2188" spans="1:12" ht="12" customHeight="1" x14ac:dyDescent="0.35">
      <c r="A2188" s="134">
        <v>10120000</v>
      </c>
      <c r="B2188" s="84"/>
      <c r="C2188" s="85" t="str">
        <f>VLOOKUP(A2188,'DAFTAR HARGA'!A:D,3,FALSE)</f>
        <v>OH</v>
      </c>
      <c r="D2188" s="84" t="s">
        <v>418</v>
      </c>
      <c r="E2188" s="84">
        <f>VLOOKUP(A2188,'DAFTAR HARGA'!A:D,4,FALSE)</f>
        <v>130000</v>
      </c>
      <c r="F2188" s="128">
        <f>F2186/10</f>
        <v>1.3000000000000001E-2</v>
      </c>
      <c r="G2188" s="87" t="e">
        <f>VLOOKUP(A2188,'DAFTAR HARGA'!A:D,5,FALSE)</f>
        <v>#REF!</v>
      </c>
      <c r="H2188" s="87" t="e">
        <f>F2188*G2188</f>
        <v>#REF!</v>
      </c>
      <c r="I2188" s="87">
        <v>78600</v>
      </c>
      <c r="J2188" s="87">
        <f>F2188*I2188</f>
        <v>1021.8000000000001</v>
      </c>
      <c r="K2188" s="87">
        <v>78600</v>
      </c>
      <c r="L2188" s="87">
        <f>F2188*K2188</f>
        <v>1021.8000000000001</v>
      </c>
    </row>
    <row r="2189" spans="1:12" ht="12" customHeight="1" x14ac:dyDescent="0.35">
      <c r="A2189" s="134">
        <v>10110000</v>
      </c>
      <c r="B2189" s="84"/>
      <c r="C2189" s="85" t="str">
        <f>VLOOKUP(A2189,'DAFTAR HARGA'!A:D,3,FALSE)</f>
        <v>OH</v>
      </c>
      <c r="D2189" s="84" t="s">
        <v>418</v>
      </c>
      <c r="E2189" s="84">
        <f>VLOOKUP(A2189,'DAFTAR HARGA'!A:D,4,FALSE)</f>
        <v>150000</v>
      </c>
      <c r="F2189" s="128">
        <f>F2187/10</f>
        <v>1.3000000000000001E-2</v>
      </c>
      <c r="G2189" s="87" t="e">
        <f>VLOOKUP(A2189,'DAFTAR HARGA'!A:D,5,FALSE)</f>
        <v>#REF!</v>
      </c>
      <c r="H2189" s="87" t="e">
        <f>F2189*G2189</f>
        <v>#REF!</v>
      </c>
      <c r="I2189" s="87">
        <v>92500</v>
      </c>
      <c r="J2189" s="87">
        <f>F2189*I2189</f>
        <v>1202.5</v>
      </c>
      <c r="K2189" s="87">
        <v>92500</v>
      </c>
      <c r="L2189" s="87">
        <f>F2189*K2189</f>
        <v>1202.5</v>
      </c>
    </row>
    <row r="2190" spans="1:12" ht="12" customHeight="1" x14ac:dyDescent="0.35">
      <c r="B2190" s="84"/>
      <c r="C2190" s="85"/>
      <c r="D2190" s="84"/>
      <c r="E2190" s="84"/>
      <c r="F2190" s="86"/>
      <c r="G2190" s="87"/>
      <c r="H2190" s="87"/>
      <c r="I2190" s="87"/>
      <c r="J2190" s="87"/>
      <c r="K2190" s="87"/>
      <c r="L2190" s="87"/>
    </row>
    <row r="2191" spans="1:12" ht="12" customHeight="1" x14ac:dyDescent="0.35">
      <c r="B2191" s="84"/>
      <c r="C2191" s="88"/>
      <c r="D2191" s="79"/>
      <c r="E2191" s="79"/>
      <c r="F2191" s="89" t="s">
        <v>421</v>
      </c>
      <c r="G2191" s="101"/>
      <c r="H2191" s="87" t="e">
        <f>SUM(H2186:H2190)</f>
        <v>#REF!</v>
      </c>
      <c r="I2191" s="101"/>
      <c r="J2191" s="87">
        <f>SUM(J2188:J2190)</f>
        <v>2224.3000000000002</v>
      </c>
      <c r="K2191" s="101"/>
      <c r="L2191" s="87">
        <f>SUM(L2188:L2190)</f>
        <v>2224.3000000000002</v>
      </c>
    </row>
    <row r="2192" spans="1:12" ht="12" customHeight="1" x14ac:dyDescent="0.35">
      <c r="B2192" s="84" t="s">
        <v>6</v>
      </c>
      <c r="C2192" s="88" t="s">
        <v>422</v>
      </c>
      <c r="D2192" s="79"/>
      <c r="E2192" s="79"/>
      <c r="F2192" s="90"/>
      <c r="G2192" s="84"/>
      <c r="H2192" s="87"/>
      <c r="I2192" s="84"/>
      <c r="J2192" s="87"/>
      <c r="K2192" s="84"/>
      <c r="L2192" s="87"/>
    </row>
    <row r="2193" spans="1:12" ht="12" customHeight="1" x14ac:dyDescent="0.35">
      <c r="A2193" s="134">
        <v>211100113</v>
      </c>
      <c r="B2193" s="84"/>
      <c r="C2193" s="85" t="str">
        <f>VLOOKUP(A2193,'DAFTAR HARGA'!A:D,3,FALSE)</f>
        <v>m³</v>
      </c>
      <c r="D2193" s="84" t="s">
        <v>418</v>
      </c>
      <c r="E2193" s="84">
        <f>VLOOKUP(A2193,'DAFTAR HARGA'!A:D,4,FALSE)</f>
        <v>217500</v>
      </c>
      <c r="F2193" s="128">
        <v>2.5000000000000001E-2</v>
      </c>
      <c r="G2193" s="87" t="e">
        <f>VLOOKUP(A2193,'DAFTAR HARGA'!A:D,5,FALSE)</f>
        <v>#REF!</v>
      </c>
      <c r="H2193" s="87" t="e">
        <f>F2193*G2193</f>
        <v>#REF!</v>
      </c>
      <c r="I2193" s="87">
        <v>232500</v>
      </c>
      <c r="J2193" s="87">
        <f>F2193*I2193</f>
        <v>5812.5</v>
      </c>
      <c r="K2193" s="87">
        <v>270000</v>
      </c>
      <c r="L2193" s="87">
        <f>F2193*K2193</f>
        <v>6750</v>
      </c>
    </row>
    <row r="2194" spans="1:12" ht="12" customHeight="1" x14ac:dyDescent="0.35">
      <c r="A2194" s="134">
        <v>21301000</v>
      </c>
      <c r="B2194" s="84"/>
      <c r="C2194" s="85" t="str">
        <f>VLOOKUP(A2194,'DAFTAR HARGA'!A:D,3,FALSE)</f>
        <v>Kg</v>
      </c>
      <c r="D2194" s="84" t="s">
        <v>418</v>
      </c>
      <c r="E2194" s="84">
        <f>VLOOKUP(A2194,'DAFTAR HARGA'!A:D,4,FALSE)</f>
        <v>1350</v>
      </c>
      <c r="F2194" s="128">
        <v>6.24</v>
      </c>
      <c r="G2194" s="87" t="e">
        <f>VLOOKUP(A2194,'DAFTAR HARGA'!A:D,5,FALSE)</f>
        <v>#REF!</v>
      </c>
      <c r="H2194" s="87" t="e">
        <f>F2194*G2194</f>
        <v>#REF!</v>
      </c>
      <c r="I2194" s="87">
        <v>1060</v>
      </c>
      <c r="J2194" s="87">
        <f>F2194*I2194</f>
        <v>6614.4000000000005</v>
      </c>
      <c r="K2194" s="87">
        <v>1060</v>
      </c>
      <c r="L2194" s="87">
        <f>F2194*K2194</f>
        <v>6614.4000000000005</v>
      </c>
    </row>
    <row r="2195" spans="1:12" ht="12" customHeight="1" x14ac:dyDescent="0.35">
      <c r="B2195" s="84"/>
      <c r="C2195" s="85"/>
      <c r="D2195" s="84"/>
      <c r="E2195" s="84"/>
      <c r="F2195" s="128"/>
      <c r="G2195" s="87"/>
      <c r="H2195" s="87">
        <f>F2195*G2195</f>
        <v>0</v>
      </c>
      <c r="I2195" s="87">
        <v>215000</v>
      </c>
      <c r="J2195" s="87">
        <f>F2195*I2195</f>
        <v>0</v>
      </c>
      <c r="K2195" s="87">
        <v>250000</v>
      </c>
      <c r="L2195" s="87">
        <f>F2195*K2195</f>
        <v>0</v>
      </c>
    </row>
    <row r="2196" spans="1:12" ht="12" customHeight="1" x14ac:dyDescent="0.35">
      <c r="B2196" s="84"/>
      <c r="C2196" s="85"/>
      <c r="D2196" s="84"/>
      <c r="E2196" s="84"/>
      <c r="F2196" s="128"/>
      <c r="G2196" s="87"/>
      <c r="H2196" s="87"/>
      <c r="I2196" s="87"/>
      <c r="J2196" s="87"/>
      <c r="K2196" s="87"/>
      <c r="L2196" s="87"/>
    </row>
    <row r="2197" spans="1:12" ht="12" customHeight="1" x14ac:dyDescent="0.35">
      <c r="B2197" s="84"/>
      <c r="C2197" s="88"/>
      <c r="D2197" s="79"/>
      <c r="E2197" s="79"/>
      <c r="F2197" s="129" t="s">
        <v>423</v>
      </c>
      <c r="G2197" s="129"/>
      <c r="H2197" s="87" t="e">
        <f>SUM(H2193:H2196)</f>
        <v>#REF!</v>
      </c>
      <c r="I2197" s="101"/>
      <c r="J2197" s="87" t="e">
        <f>SUM(#REF!)</f>
        <v>#REF!</v>
      </c>
      <c r="K2197" s="101"/>
      <c r="L2197" s="87" t="e">
        <f>SUM(#REF!)</f>
        <v>#REF!</v>
      </c>
    </row>
    <row r="2198" spans="1:12" ht="12" customHeight="1" x14ac:dyDescent="0.35">
      <c r="B2198" s="84" t="s">
        <v>7</v>
      </c>
      <c r="C2198" s="88" t="s">
        <v>424</v>
      </c>
      <c r="D2198" s="79"/>
      <c r="E2198" s="79"/>
      <c r="F2198" s="90"/>
      <c r="G2198" s="84"/>
      <c r="H2198" s="87"/>
      <c r="I2198" s="84"/>
      <c r="J2198" s="87"/>
      <c r="K2198" s="84"/>
      <c r="L2198" s="87"/>
    </row>
    <row r="2199" spans="1:12" ht="12" customHeight="1" x14ac:dyDescent="0.35">
      <c r="B2199" s="84"/>
      <c r="C2199" s="85"/>
      <c r="D2199" s="84"/>
      <c r="E2199" s="84"/>
      <c r="F2199" s="128"/>
      <c r="G2199" s="87"/>
      <c r="H2199" s="87">
        <f>F2199*G2199</f>
        <v>0</v>
      </c>
      <c r="I2199" s="87"/>
      <c r="J2199" s="87">
        <f>H2199*I2199</f>
        <v>0</v>
      </c>
      <c r="K2199" s="87"/>
      <c r="L2199" s="87">
        <f>J2199*K2199</f>
        <v>0</v>
      </c>
    </row>
    <row r="2200" spans="1:12" ht="12" customHeight="1" x14ac:dyDescent="0.35">
      <c r="B2200" s="84"/>
      <c r="C2200" s="85"/>
      <c r="D2200" s="84"/>
      <c r="E2200" s="84"/>
      <c r="F2200" s="128"/>
      <c r="G2200" s="87"/>
      <c r="H2200" s="87">
        <f>F2200*G2200</f>
        <v>0</v>
      </c>
      <c r="I2200" s="87"/>
      <c r="J2200" s="87"/>
      <c r="K2200" s="87"/>
      <c r="L2200" s="87"/>
    </row>
    <row r="2201" spans="1:12" ht="12" customHeight="1" x14ac:dyDescent="0.35">
      <c r="B2201" s="84"/>
      <c r="C2201" s="88"/>
      <c r="D2201" s="79"/>
      <c r="E2201" s="79"/>
      <c r="F2201" s="89" t="s">
        <v>425</v>
      </c>
      <c r="G2201" s="101"/>
      <c r="H2201" s="87">
        <f>SUM(H2199:H2200)</f>
        <v>0</v>
      </c>
      <c r="I2201" s="101"/>
      <c r="J2201" s="87">
        <f>SUM(J2199)</f>
        <v>0</v>
      </c>
      <c r="K2201" s="101"/>
      <c r="L2201" s="87">
        <f>SUM(L2199)</f>
        <v>0</v>
      </c>
    </row>
    <row r="2202" spans="1:12" ht="12" customHeight="1" x14ac:dyDescent="0.35">
      <c r="B2202" s="84" t="s">
        <v>8</v>
      </c>
      <c r="C2202" s="103" t="s">
        <v>426</v>
      </c>
      <c r="D2202" s="104"/>
      <c r="E2202" s="104"/>
      <c r="F2202" s="104"/>
      <c r="G2202" s="105"/>
      <c r="H2202" s="87" t="e">
        <f>H2191+H2197+H2201</f>
        <v>#REF!</v>
      </c>
      <c r="I2202" s="105"/>
      <c r="J2202" s="87" t="e">
        <f>J2191+J2197+J2201</f>
        <v>#REF!</v>
      </c>
      <c r="K2202" s="105"/>
      <c r="L2202" s="87" t="e">
        <f>L2191+L2197+L2201</f>
        <v>#REF!</v>
      </c>
    </row>
    <row r="2203" spans="1:12" ht="12" customHeight="1" x14ac:dyDescent="0.35">
      <c r="B2203" s="84" t="s">
        <v>9</v>
      </c>
      <c r="C2203" s="455" t="s">
        <v>427</v>
      </c>
      <c r="D2203" s="455"/>
      <c r="E2203" s="455"/>
      <c r="F2203" s="95" t="str">
        <f>OP</f>
        <v>TANJUNG PALAS TENGAH</v>
      </c>
      <c r="G2203" s="85" t="s">
        <v>428</v>
      </c>
      <c r="H2203" s="87" t="e">
        <f>H2202*F2203</f>
        <v>#REF!</v>
      </c>
      <c r="I2203" s="85" t="s">
        <v>428</v>
      </c>
      <c r="J2203" s="87" t="e">
        <f>J2202*F2203</f>
        <v>#REF!</v>
      </c>
      <c r="K2203" s="85" t="s">
        <v>428</v>
      </c>
      <c r="L2203" s="87" t="e">
        <f>L2202*F2203</f>
        <v>#REF!</v>
      </c>
    </row>
    <row r="2204" spans="1:12" ht="12" customHeight="1" x14ac:dyDescent="0.35">
      <c r="B2204" s="84" t="s">
        <v>10</v>
      </c>
      <c r="C2204" s="103" t="s">
        <v>429</v>
      </c>
      <c r="D2204" s="104"/>
      <c r="E2204" s="104"/>
      <c r="F2204" s="104"/>
      <c r="G2204" s="105"/>
      <c r="H2204" s="96" t="e">
        <f>H2202+H2203</f>
        <v>#REF!</v>
      </c>
      <c r="I2204" s="97"/>
      <c r="J2204" s="96" t="e">
        <f>J2202+J2203</f>
        <v>#REF!</v>
      </c>
      <c r="K2204" s="97"/>
      <c r="L2204" s="96" t="e">
        <f>L2202+L2203</f>
        <v>#REF!</v>
      </c>
    </row>
    <row r="2206" spans="1:12" ht="37" customHeight="1" x14ac:dyDescent="0.35">
      <c r="B2206" s="76" t="s">
        <v>684</v>
      </c>
      <c r="C2206" s="458" t="s">
        <v>685</v>
      </c>
      <c r="D2206" s="459"/>
      <c r="E2206" s="459"/>
      <c r="F2206" s="459"/>
      <c r="G2206" s="456"/>
      <c r="H2206" s="457"/>
      <c r="I2206" s="455" t="s">
        <v>3</v>
      </c>
      <c r="J2206" s="455"/>
      <c r="K2206" s="455" t="s">
        <v>4</v>
      </c>
      <c r="L2206" s="455"/>
    </row>
    <row r="2207" spans="1:12" ht="12" customHeight="1" x14ac:dyDescent="0.35">
      <c r="B2207" s="451" t="s">
        <v>409</v>
      </c>
      <c r="C2207" s="451" t="s">
        <v>410</v>
      </c>
      <c r="D2207" s="452" t="s">
        <v>411</v>
      </c>
      <c r="E2207" s="451" t="s">
        <v>412</v>
      </c>
      <c r="F2207" s="451" t="s">
        <v>413</v>
      </c>
      <c r="G2207" s="77" t="s">
        <v>414</v>
      </c>
      <c r="H2207" s="77" t="s">
        <v>415</v>
      </c>
      <c r="I2207" s="78" t="s">
        <v>414</v>
      </c>
      <c r="J2207" s="79" t="s">
        <v>415</v>
      </c>
      <c r="K2207" s="79" t="s">
        <v>414</v>
      </c>
      <c r="L2207" s="79" t="s">
        <v>415</v>
      </c>
    </row>
    <row r="2208" spans="1:12" ht="12" customHeight="1" x14ac:dyDescent="0.35">
      <c r="B2208" s="451"/>
      <c r="C2208" s="451"/>
      <c r="D2208" s="453"/>
      <c r="E2208" s="451"/>
      <c r="F2208" s="451"/>
      <c r="G2208" s="77" t="s">
        <v>17</v>
      </c>
      <c r="H2208" s="77" t="s">
        <v>416</v>
      </c>
      <c r="I2208" s="78" t="s">
        <v>17</v>
      </c>
      <c r="J2208" s="79" t="s">
        <v>416</v>
      </c>
      <c r="K2208" s="79" t="s">
        <v>17</v>
      </c>
      <c r="L2208" s="79" t="s">
        <v>416</v>
      </c>
    </row>
    <row r="2209" spans="1:12" ht="12" customHeight="1" x14ac:dyDescent="0.35">
      <c r="B2209" s="451"/>
      <c r="C2209" s="451"/>
      <c r="D2209" s="454"/>
      <c r="E2209" s="451"/>
      <c r="F2209" s="451"/>
      <c r="G2209" s="106"/>
      <c r="H2209" s="77" t="s">
        <v>17</v>
      </c>
      <c r="I2209" s="94"/>
      <c r="J2209" s="79" t="s">
        <v>17</v>
      </c>
      <c r="K2209" s="85"/>
      <c r="L2209" s="79" t="s">
        <v>17</v>
      </c>
    </row>
    <row r="2210" spans="1:12" ht="12" customHeight="1" x14ac:dyDescent="0.35">
      <c r="B2210" s="80" t="s">
        <v>5</v>
      </c>
      <c r="C2210" s="81" t="s">
        <v>417</v>
      </c>
      <c r="D2210" s="82"/>
      <c r="E2210" s="82"/>
      <c r="F2210" s="82"/>
      <c r="G2210" s="82"/>
      <c r="H2210" s="82"/>
      <c r="I2210" s="83"/>
      <c r="J2210" s="83"/>
      <c r="K2210" s="83"/>
      <c r="L2210" s="83"/>
    </row>
    <row r="2211" spans="1:12" ht="12" customHeight="1" x14ac:dyDescent="0.35">
      <c r="A2211" s="134">
        <v>10130000</v>
      </c>
      <c r="B2211" s="84"/>
      <c r="C2211" s="85" t="str">
        <f>VLOOKUP(A2211,'DAFTAR HARGA'!A:D,3,FALSE)</f>
        <v>OH</v>
      </c>
      <c r="D2211" s="84" t="s">
        <v>418</v>
      </c>
      <c r="E2211" s="84">
        <f>VLOOKUP(A2211,'DAFTAR HARGA'!A:D,4,FALSE)</f>
        <v>115000</v>
      </c>
      <c r="F2211" s="128">
        <v>0.1</v>
      </c>
      <c r="G2211" s="87" t="e">
        <f>VLOOKUP(A2211,'DAFTAR HARGA'!A:D,5,FALSE)</f>
        <v>#REF!</v>
      </c>
      <c r="H2211" s="87" t="e">
        <f>F2211*G2211</f>
        <v>#REF!</v>
      </c>
      <c r="I2211" s="87">
        <v>91500</v>
      </c>
      <c r="J2211" s="87">
        <f>F2211*I2211</f>
        <v>9150</v>
      </c>
      <c r="K2211" s="87">
        <v>91500</v>
      </c>
      <c r="L2211" s="87">
        <f>F2211*K2211</f>
        <v>9150</v>
      </c>
    </row>
    <row r="2212" spans="1:12" ht="12" customHeight="1" x14ac:dyDescent="0.35">
      <c r="A2212" s="134">
        <v>10143000</v>
      </c>
      <c r="B2212" s="84"/>
      <c r="C2212" s="85" t="str">
        <f>VLOOKUP(A2212,'DAFTAR HARGA'!A:D,3,FALSE)</f>
        <v>OH</v>
      </c>
      <c r="D2212" s="84" t="s">
        <v>418</v>
      </c>
      <c r="E2212" s="84">
        <f>VLOOKUP(A2212,'DAFTAR HARGA'!A:D,4,FALSE)</f>
        <v>236600</v>
      </c>
      <c r="F2212" s="128">
        <v>0.1</v>
      </c>
      <c r="G2212" s="87" t="e">
        <f>VLOOKUP(A2212,'DAFTAR HARGA'!A:D,5,FALSE)</f>
        <v>#REF!</v>
      </c>
      <c r="H2212" s="87" t="e">
        <f>F2212*G2212</f>
        <v>#REF!</v>
      </c>
      <c r="I2212" s="87"/>
      <c r="J2212" s="87"/>
      <c r="K2212" s="87"/>
      <c r="L2212" s="87"/>
    </row>
    <row r="2213" spans="1:12" ht="12" customHeight="1" x14ac:dyDescent="0.35">
      <c r="A2213" s="134">
        <v>10120000</v>
      </c>
      <c r="B2213" s="84"/>
      <c r="C2213" s="85" t="str">
        <f>VLOOKUP(A2213,'DAFTAR HARGA'!A:D,3,FALSE)</f>
        <v>OH</v>
      </c>
      <c r="D2213" s="84" t="s">
        <v>418</v>
      </c>
      <c r="E2213" s="84">
        <f>VLOOKUP(A2213,'DAFTAR HARGA'!A:D,4,FALSE)</f>
        <v>130000</v>
      </c>
      <c r="F2213" s="128">
        <f>F2211/10</f>
        <v>0.01</v>
      </c>
      <c r="G2213" s="87" t="e">
        <f>VLOOKUP(A2213,'DAFTAR HARGA'!A:D,5,FALSE)</f>
        <v>#REF!</v>
      </c>
      <c r="H2213" s="87" t="e">
        <f>F2213*G2213</f>
        <v>#REF!</v>
      </c>
      <c r="I2213" s="87">
        <v>78600</v>
      </c>
      <c r="J2213" s="87">
        <f>F2213*I2213</f>
        <v>786</v>
      </c>
      <c r="K2213" s="87">
        <v>78600</v>
      </c>
      <c r="L2213" s="87">
        <f>F2213*K2213</f>
        <v>786</v>
      </c>
    </row>
    <row r="2214" spans="1:12" ht="12" customHeight="1" x14ac:dyDescent="0.35">
      <c r="A2214" s="134">
        <v>10110000</v>
      </c>
      <c r="B2214" s="84"/>
      <c r="C2214" s="85" t="str">
        <f>VLOOKUP(A2214,'DAFTAR HARGA'!A:D,3,FALSE)</f>
        <v>OH</v>
      </c>
      <c r="D2214" s="84" t="s">
        <v>418</v>
      </c>
      <c r="E2214" s="84">
        <f>VLOOKUP(A2214,'DAFTAR HARGA'!A:D,4,FALSE)</f>
        <v>150000</v>
      </c>
      <c r="F2214" s="128">
        <f>F2212/10</f>
        <v>0.01</v>
      </c>
      <c r="G2214" s="87" t="e">
        <f>VLOOKUP(A2214,'DAFTAR HARGA'!A:D,5,FALSE)</f>
        <v>#REF!</v>
      </c>
      <c r="H2214" s="87" t="e">
        <f>F2214*G2214</f>
        <v>#REF!</v>
      </c>
      <c r="I2214" s="87">
        <v>92500</v>
      </c>
      <c r="J2214" s="87">
        <f>F2214*I2214</f>
        <v>925</v>
      </c>
      <c r="K2214" s="87">
        <v>92500</v>
      </c>
      <c r="L2214" s="87">
        <f>F2214*K2214</f>
        <v>925</v>
      </c>
    </row>
    <row r="2215" spans="1:12" ht="12" customHeight="1" x14ac:dyDescent="0.35">
      <c r="B2215" s="84"/>
      <c r="C2215" s="85"/>
      <c r="D2215" s="84"/>
      <c r="E2215" s="84"/>
      <c r="F2215" s="86"/>
      <c r="G2215" s="87"/>
      <c r="H2215" s="87"/>
      <c r="I2215" s="87"/>
      <c r="J2215" s="87"/>
      <c r="K2215" s="87"/>
      <c r="L2215" s="87"/>
    </row>
    <row r="2216" spans="1:12" ht="12" customHeight="1" x14ac:dyDescent="0.35">
      <c r="B2216" s="84"/>
      <c r="C2216" s="88"/>
      <c r="D2216" s="79"/>
      <c r="E2216" s="79"/>
      <c r="F2216" s="89" t="s">
        <v>421</v>
      </c>
      <c r="G2216" s="101"/>
      <c r="H2216" s="87" t="e">
        <f>SUM(H2211:H2215)</f>
        <v>#REF!</v>
      </c>
      <c r="I2216" s="101"/>
      <c r="J2216" s="87">
        <f>SUM(J2213:J2215)</f>
        <v>1711</v>
      </c>
      <c r="K2216" s="101"/>
      <c r="L2216" s="87">
        <f>SUM(L2213:L2215)</f>
        <v>1711</v>
      </c>
    </row>
    <row r="2217" spans="1:12" ht="12" customHeight="1" x14ac:dyDescent="0.35">
      <c r="B2217" s="84" t="s">
        <v>6</v>
      </c>
      <c r="C2217" s="88" t="s">
        <v>422</v>
      </c>
      <c r="D2217" s="79"/>
      <c r="E2217" s="79"/>
      <c r="F2217" s="90"/>
      <c r="G2217" s="84"/>
      <c r="H2217" s="87"/>
      <c r="I2217" s="84"/>
      <c r="J2217" s="87"/>
      <c r="K2217" s="84"/>
      <c r="L2217" s="87"/>
    </row>
    <row r="2218" spans="1:12" ht="12" customHeight="1" x14ac:dyDescent="0.35">
      <c r="A2218" s="134">
        <v>21301000</v>
      </c>
      <c r="B2218" s="84"/>
      <c r="C2218" s="85" t="str">
        <f>VLOOKUP(A2218,'DAFTAR HARGA'!A:D,3,FALSE)</f>
        <v>Kg</v>
      </c>
      <c r="D2218" s="84" t="s">
        <v>418</v>
      </c>
      <c r="E2218" s="84">
        <f>VLOOKUP(A2218,'DAFTAR HARGA'!A:D,4,FALSE)</f>
        <v>1350</v>
      </c>
      <c r="F2218" s="128">
        <v>3.25</v>
      </c>
      <c r="G2218" s="87" t="e">
        <f>VLOOKUP(A2218,'DAFTAR HARGA'!A:D,5,FALSE)</f>
        <v>#REF!</v>
      </c>
      <c r="H2218" s="87" t="e">
        <f>F2218*G2218</f>
        <v>#REF!</v>
      </c>
      <c r="I2218" s="87">
        <v>1060</v>
      </c>
      <c r="J2218" s="87">
        <f>F2218*I2218</f>
        <v>3445</v>
      </c>
      <c r="K2218" s="87">
        <v>1060</v>
      </c>
      <c r="L2218" s="87">
        <f>F2218*K2218</f>
        <v>3445</v>
      </c>
    </row>
    <row r="2219" spans="1:12" ht="12" customHeight="1" x14ac:dyDescent="0.35">
      <c r="B2219" s="84"/>
      <c r="C2219" s="85"/>
      <c r="D2219" s="84"/>
      <c r="E2219" s="84"/>
      <c r="F2219" s="128"/>
      <c r="G2219" s="87"/>
      <c r="H2219" s="87">
        <f>F2219*G2219</f>
        <v>0</v>
      </c>
      <c r="I2219" s="87">
        <v>215000</v>
      </c>
      <c r="J2219" s="87">
        <f>F2219*I2219</f>
        <v>0</v>
      </c>
      <c r="K2219" s="87">
        <v>250000</v>
      </c>
      <c r="L2219" s="87">
        <f>F2219*K2219</f>
        <v>0</v>
      </c>
    </row>
    <row r="2220" spans="1:12" ht="12" customHeight="1" x14ac:dyDescent="0.35">
      <c r="B2220" s="84"/>
      <c r="C2220" s="85"/>
      <c r="D2220" s="84"/>
      <c r="E2220" s="84"/>
      <c r="F2220" s="128"/>
      <c r="G2220" s="87"/>
      <c r="H2220" s="87"/>
      <c r="I2220" s="87"/>
      <c r="J2220" s="87"/>
      <c r="K2220" s="87"/>
      <c r="L2220" s="87"/>
    </row>
    <row r="2221" spans="1:12" ht="12" customHeight="1" x14ac:dyDescent="0.35">
      <c r="B2221" s="84"/>
      <c r="C2221" s="88"/>
      <c r="D2221" s="79"/>
      <c r="E2221" s="79"/>
      <c r="F2221" s="129" t="s">
        <v>423</v>
      </c>
      <c r="G2221" s="129"/>
      <c r="H2221" s="87" t="e">
        <f>SUM(H2218:H2220)</f>
        <v>#REF!</v>
      </c>
      <c r="I2221" s="101"/>
      <c r="J2221" s="87" t="e">
        <f>SUM(#REF!)</f>
        <v>#REF!</v>
      </c>
      <c r="K2221" s="101"/>
      <c r="L2221" s="87" t="e">
        <f>SUM(#REF!)</f>
        <v>#REF!</v>
      </c>
    </row>
    <row r="2222" spans="1:12" ht="12" customHeight="1" x14ac:dyDescent="0.35">
      <c r="B2222" s="84" t="s">
        <v>7</v>
      </c>
      <c r="C2222" s="88" t="s">
        <v>424</v>
      </c>
      <c r="D2222" s="79"/>
      <c r="E2222" s="79"/>
      <c r="F2222" s="90"/>
      <c r="G2222" s="84"/>
      <c r="H2222" s="87"/>
      <c r="I2222" s="84"/>
      <c r="J2222" s="87"/>
      <c r="K2222" s="84"/>
      <c r="L2222" s="87"/>
    </row>
    <row r="2223" spans="1:12" ht="12" customHeight="1" x14ac:dyDescent="0.35">
      <c r="B2223" s="84"/>
      <c r="C2223" s="85"/>
      <c r="D2223" s="84"/>
      <c r="E2223" s="84"/>
      <c r="F2223" s="128"/>
      <c r="G2223" s="87"/>
      <c r="H2223" s="87">
        <f>F2223*G2223</f>
        <v>0</v>
      </c>
      <c r="I2223" s="87"/>
      <c r="J2223" s="87">
        <f>H2223*I2223</f>
        <v>0</v>
      </c>
      <c r="K2223" s="87"/>
      <c r="L2223" s="87">
        <f>J2223*K2223</f>
        <v>0</v>
      </c>
    </row>
    <row r="2224" spans="1:12" ht="12" customHeight="1" x14ac:dyDescent="0.35">
      <c r="B2224" s="84"/>
      <c r="C2224" s="85"/>
      <c r="D2224" s="84"/>
      <c r="E2224" s="84"/>
      <c r="F2224" s="128"/>
      <c r="G2224" s="87"/>
      <c r="H2224" s="87">
        <f>F2224*G2224</f>
        <v>0</v>
      </c>
      <c r="I2224" s="87"/>
      <c r="J2224" s="87"/>
      <c r="K2224" s="87"/>
      <c r="L2224" s="87"/>
    </row>
    <row r="2225" spans="1:12" ht="12" customHeight="1" x14ac:dyDescent="0.35">
      <c r="B2225" s="84"/>
      <c r="C2225" s="88"/>
      <c r="D2225" s="79"/>
      <c r="E2225" s="79"/>
      <c r="F2225" s="89" t="s">
        <v>425</v>
      </c>
      <c r="G2225" s="101"/>
      <c r="H2225" s="87">
        <f>SUM(H2223:H2224)</f>
        <v>0</v>
      </c>
      <c r="I2225" s="101"/>
      <c r="J2225" s="87">
        <f>SUM(J2223)</f>
        <v>0</v>
      </c>
      <c r="K2225" s="101"/>
      <c r="L2225" s="87">
        <f>SUM(L2223)</f>
        <v>0</v>
      </c>
    </row>
    <row r="2226" spans="1:12" ht="12" customHeight="1" x14ac:dyDescent="0.35">
      <c r="B2226" s="84" t="s">
        <v>8</v>
      </c>
      <c r="C2226" s="103" t="s">
        <v>426</v>
      </c>
      <c r="D2226" s="104"/>
      <c r="E2226" s="104"/>
      <c r="F2226" s="104"/>
      <c r="G2226" s="105"/>
      <c r="H2226" s="87" t="e">
        <f>H2216+H2221+H2225</f>
        <v>#REF!</v>
      </c>
      <c r="I2226" s="105"/>
      <c r="J2226" s="87" t="e">
        <f>J2216+J2221+J2225</f>
        <v>#REF!</v>
      </c>
      <c r="K2226" s="105"/>
      <c r="L2226" s="87" t="e">
        <f>L2216+L2221+L2225</f>
        <v>#REF!</v>
      </c>
    </row>
    <row r="2227" spans="1:12" ht="12" customHeight="1" x14ac:dyDescent="0.35">
      <c r="B2227" s="84" t="s">
        <v>9</v>
      </c>
      <c r="C2227" s="455" t="s">
        <v>427</v>
      </c>
      <c r="D2227" s="455"/>
      <c r="E2227" s="455"/>
      <c r="F2227" s="95" t="str">
        <f>OP</f>
        <v>TANJUNG PALAS TENGAH</v>
      </c>
      <c r="G2227" s="85" t="s">
        <v>428</v>
      </c>
      <c r="H2227" s="87" t="e">
        <f>H2226*F2227</f>
        <v>#REF!</v>
      </c>
      <c r="I2227" s="85" t="s">
        <v>428</v>
      </c>
      <c r="J2227" s="87" t="e">
        <f>J2226*F2227</f>
        <v>#REF!</v>
      </c>
      <c r="K2227" s="85" t="s">
        <v>428</v>
      </c>
      <c r="L2227" s="87" t="e">
        <f>L2226*F2227</f>
        <v>#REF!</v>
      </c>
    </row>
    <row r="2228" spans="1:12" ht="12" customHeight="1" x14ac:dyDescent="0.35">
      <c r="B2228" s="84" t="s">
        <v>10</v>
      </c>
      <c r="C2228" s="103" t="s">
        <v>429</v>
      </c>
      <c r="D2228" s="104"/>
      <c r="E2228" s="104"/>
      <c r="F2228" s="104"/>
      <c r="G2228" s="105"/>
      <c r="H2228" s="96" t="e">
        <f>H2226+H2227</f>
        <v>#REF!</v>
      </c>
      <c r="I2228" s="97"/>
      <c r="J2228" s="96" t="e">
        <f>J2226+J2227</f>
        <v>#REF!</v>
      </c>
      <c r="K2228" s="97"/>
      <c r="L2228" s="96" t="e">
        <f>L2226+L2227</f>
        <v>#REF!</v>
      </c>
    </row>
    <row r="2230" spans="1:12" ht="37" customHeight="1" x14ac:dyDescent="0.35">
      <c r="B2230" s="76" t="s">
        <v>691</v>
      </c>
      <c r="C2230" s="458" t="s">
        <v>686</v>
      </c>
      <c r="D2230" s="459"/>
      <c r="E2230" s="459"/>
      <c r="F2230" s="459"/>
      <c r="G2230" s="456"/>
      <c r="H2230" s="457"/>
      <c r="I2230" s="455" t="s">
        <v>3</v>
      </c>
      <c r="J2230" s="455"/>
      <c r="K2230" s="455" t="s">
        <v>4</v>
      </c>
      <c r="L2230" s="455"/>
    </row>
    <row r="2231" spans="1:12" ht="12" customHeight="1" x14ac:dyDescent="0.35">
      <c r="B2231" s="451" t="s">
        <v>409</v>
      </c>
      <c r="C2231" s="451" t="s">
        <v>410</v>
      </c>
      <c r="D2231" s="452" t="s">
        <v>411</v>
      </c>
      <c r="E2231" s="451" t="s">
        <v>412</v>
      </c>
      <c r="F2231" s="451" t="s">
        <v>413</v>
      </c>
      <c r="G2231" s="77" t="s">
        <v>414</v>
      </c>
      <c r="H2231" s="77" t="s">
        <v>415</v>
      </c>
      <c r="I2231" s="78" t="s">
        <v>414</v>
      </c>
      <c r="J2231" s="79" t="s">
        <v>415</v>
      </c>
      <c r="K2231" s="79" t="s">
        <v>414</v>
      </c>
      <c r="L2231" s="79" t="s">
        <v>415</v>
      </c>
    </row>
    <row r="2232" spans="1:12" ht="12" customHeight="1" x14ac:dyDescent="0.35">
      <c r="B2232" s="451"/>
      <c r="C2232" s="451"/>
      <c r="D2232" s="453"/>
      <c r="E2232" s="451"/>
      <c r="F2232" s="451"/>
      <c r="G2232" s="77" t="s">
        <v>17</v>
      </c>
      <c r="H2232" s="77" t="s">
        <v>416</v>
      </c>
      <c r="I2232" s="78" t="s">
        <v>17</v>
      </c>
      <c r="J2232" s="79" t="s">
        <v>416</v>
      </c>
      <c r="K2232" s="79" t="s">
        <v>17</v>
      </c>
      <c r="L2232" s="79" t="s">
        <v>416</v>
      </c>
    </row>
    <row r="2233" spans="1:12" ht="12" customHeight="1" x14ac:dyDescent="0.35">
      <c r="B2233" s="451"/>
      <c r="C2233" s="451"/>
      <c r="D2233" s="454"/>
      <c r="E2233" s="451"/>
      <c r="F2233" s="451"/>
      <c r="G2233" s="106"/>
      <c r="H2233" s="77" t="s">
        <v>17</v>
      </c>
      <c r="I2233" s="94"/>
      <c r="J2233" s="79" t="s">
        <v>17</v>
      </c>
      <c r="K2233" s="85"/>
      <c r="L2233" s="79" t="s">
        <v>17</v>
      </c>
    </row>
    <row r="2234" spans="1:12" ht="12" customHeight="1" x14ac:dyDescent="0.35">
      <c r="B2234" s="80" t="s">
        <v>5</v>
      </c>
      <c r="C2234" s="81" t="s">
        <v>417</v>
      </c>
      <c r="D2234" s="82"/>
      <c r="E2234" s="82"/>
      <c r="F2234" s="82"/>
      <c r="G2234" s="82"/>
      <c r="H2234" s="82"/>
      <c r="I2234" s="83"/>
      <c r="J2234" s="83"/>
      <c r="K2234" s="83"/>
      <c r="L2234" s="83"/>
    </row>
    <row r="2235" spans="1:12" ht="12" customHeight="1" x14ac:dyDescent="0.35">
      <c r="A2235" s="134">
        <v>10130000</v>
      </c>
      <c r="B2235" s="84"/>
      <c r="C2235" s="85" t="str">
        <f>VLOOKUP(A2235,'DAFTAR HARGA'!A:D,3,FALSE)</f>
        <v>OH</v>
      </c>
      <c r="D2235" s="84" t="s">
        <v>418</v>
      </c>
      <c r="E2235" s="84">
        <f>VLOOKUP(A2235,'DAFTAR HARGA'!A:D,4,FALSE)</f>
        <v>115000</v>
      </c>
      <c r="F2235" s="128">
        <v>0.8</v>
      </c>
      <c r="G2235" s="87" t="e">
        <f>VLOOKUP(A2235,'DAFTAR HARGA'!A:D,5,FALSE)</f>
        <v>#REF!</v>
      </c>
      <c r="H2235" s="87" t="e">
        <f>F2235*G2235</f>
        <v>#REF!</v>
      </c>
      <c r="I2235" s="87">
        <v>91500</v>
      </c>
      <c r="J2235" s="87">
        <f>F2235*I2235</f>
        <v>73200</v>
      </c>
      <c r="K2235" s="87">
        <v>91500</v>
      </c>
      <c r="L2235" s="87">
        <f>F2235*K2235</f>
        <v>73200</v>
      </c>
    </row>
    <row r="2236" spans="1:12" ht="12" customHeight="1" x14ac:dyDescent="0.35">
      <c r="A2236" s="134">
        <v>10143000</v>
      </c>
      <c r="B2236" s="84"/>
      <c r="C2236" s="85" t="str">
        <f>VLOOKUP(A2236,'DAFTAR HARGA'!A:D,3,FALSE)</f>
        <v>OH</v>
      </c>
      <c r="D2236" s="84" t="s">
        <v>418</v>
      </c>
      <c r="E2236" s="84">
        <f>VLOOKUP(A2236,'DAFTAR HARGA'!A:D,4,FALSE)</f>
        <v>236600</v>
      </c>
      <c r="F2236" s="128">
        <v>0.4</v>
      </c>
      <c r="G2236" s="87" t="e">
        <f>VLOOKUP(A2236,'DAFTAR HARGA'!A:D,5,FALSE)</f>
        <v>#REF!</v>
      </c>
      <c r="H2236" s="87" t="e">
        <f>F2236*G2236</f>
        <v>#REF!</v>
      </c>
      <c r="I2236" s="87"/>
      <c r="J2236" s="87"/>
      <c r="K2236" s="87"/>
      <c r="L2236" s="87"/>
    </row>
    <row r="2237" spans="1:12" ht="12" customHeight="1" x14ac:dyDescent="0.35">
      <c r="A2237" s="134">
        <v>10110000</v>
      </c>
      <c r="B2237" s="84"/>
      <c r="C2237" s="85" t="str">
        <f>VLOOKUP(A2237,'DAFTAR HARGA'!A:D,3,FALSE)</f>
        <v>OH</v>
      </c>
      <c r="D2237" s="84" t="s">
        <v>418</v>
      </c>
      <c r="E2237" s="84">
        <f>VLOOKUP(A2237,'DAFTAR HARGA'!A:D,4,FALSE)</f>
        <v>150000</v>
      </c>
      <c r="F2237" s="128">
        <f>F2235/10</f>
        <v>0.08</v>
      </c>
      <c r="G2237" s="87" t="e">
        <f>VLOOKUP(A2237,'DAFTAR HARGA'!A:D,5,FALSE)</f>
        <v>#REF!</v>
      </c>
      <c r="H2237" s="87" t="e">
        <f>F2237*G2237</f>
        <v>#REF!</v>
      </c>
      <c r="I2237" s="87">
        <v>78600</v>
      </c>
      <c r="J2237" s="87">
        <f>F2237*I2237</f>
        <v>6288</v>
      </c>
      <c r="K2237" s="87">
        <v>78600</v>
      </c>
      <c r="L2237" s="87">
        <f>F2237*K2237</f>
        <v>6288</v>
      </c>
    </row>
    <row r="2238" spans="1:12" ht="12" customHeight="1" x14ac:dyDescent="0.35">
      <c r="B2238" s="84"/>
      <c r="C2238" s="85"/>
      <c r="D2238" s="84"/>
      <c r="E2238" s="84"/>
      <c r="F2238" s="86"/>
      <c r="G2238" s="87"/>
      <c r="H2238" s="87">
        <f>F2238*G2238</f>
        <v>0</v>
      </c>
      <c r="I2238" s="87">
        <v>92500</v>
      </c>
      <c r="J2238" s="87">
        <f>F2238*I2238</f>
        <v>0</v>
      </c>
      <c r="K2238" s="87">
        <v>92500</v>
      </c>
      <c r="L2238" s="87">
        <f>F2238*K2238</f>
        <v>0</v>
      </c>
    </row>
    <row r="2239" spans="1:12" ht="12" customHeight="1" x14ac:dyDescent="0.35">
      <c r="B2239" s="84"/>
      <c r="C2239" s="85"/>
      <c r="D2239" s="84"/>
      <c r="E2239" s="84"/>
      <c r="F2239" s="86"/>
      <c r="G2239" s="87"/>
      <c r="H2239" s="87"/>
      <c r="I2239" s="87"/>
      <c r="J2239" s="87"/>
      <c r="K2239" s="87"/>
      <c r="L2239" s="87"/>
    </row>
    <row r="2240" spans="1:12" ht="12" customHeight="1" x14ac:dyDescent="0.35">
      <c r="B2240" s="84"/>
      <c r="C2240" s="88"/>
      <c r="D2240" s="79"/>
      <c r="E2240" s="79"/>
      <c r="F2240" s="89" t="s">
        <v>421</v>
      </c>
      <c r="G2240" s="101"/>
      <c r="H2240" s="87" t="e">
        <f>SUM(H2235:H2239)</f>
        <v>#REF!</v>
      </c>
      <c r="I2240" s="101"/>
      <c r="J2240" s="87">
        <f>SUM(J2237:J2239)</f>
        <v>6288</v>
      </c>
      <c r="K2240" s="101"/>
      <c r="L2240" s="87">
        <f>SUM(L2237:L2239)</f>
        <v>6288</v>
      </c>
    </row>
    <row r="2241" spans="1:12" ht="12" customHeight="1" x14ac:dyDescent="0.35">
      <c r="B2241" s="84" t="s">
        <v>6</v>
      </c>
      <c r="C2241" s="88" t="s">
        <v>422</v>
      </c>
      <c r="D2241" s="79"/>
      <c r="E2241" s="79"/>
      <c r="F2241" s="90"/>
      <c r="G2241" s="84"/>
      <c r="H2241" s="87"/>
      <c r="I2241" s="84"/>
      <c r="J2241" s="87"/>
      <c r="K2241" s="84"/>
      <c r="L2241" s="87"/>
    </row>
    <row r="2242" spans="1:12" ht="12" customHeight="1" x14ac:dyDescent="0.35">
      <c r="A2242" s="134">
        <v>211100102</v>
      </c>
      <c r="B2242" s="84"/>
      <c r="C2242" s="85" t="str">
        <f>VLOOKUP(A2242,'DAFTAR HARGA'!A:D,3,FALSE)</f>
        <v>m³</v>
      </c>
      <c r="D2242" s="84" t="s">
        <v>418</v>
      </c>
      <c r="E2242" s="84">
        <f>VLOOKUP(A2242,'DAFTAR HARGA'!A:D,4,FALSE)</f>
        <v>236600</v>
      </c>
      <c r="F2242" s="128">
        <v>1.25</v>
      </c>
      <c r="G2242" s="87" t="e">
        <f>VLOOKUP(A2242,'DAFTAR HARGA'!A:D,5,FALSE)</f>
        <v>#REF!</v>
      </c>
      <c r="H2242" s="87" t="e">
        <f>F2242*G2242</f>
        <v>#REF!</v>
      </c>
      <c r="I2242" s="87">
        <v>232500</v>
      </c>
      <c r="J2242" s="87">
        <f>F2242*I2242</f>
        <v>290625</v>
      </c>
      <c r="K2242" s="87">
        <v>270000</v>
      </c>
      <c r="L2242" s="87">
        <f>F2242*K2242</f>
        <v>337500</v>
      </c>
    </row>
    <row r="2243" spans="1:12" ht="12" customHeight="1" x14ac:dyDescent="0.35">
      <c r="B2243" s="84"/>
      <c r="C2243" s="85"/>
      <c r="D2243" s="84"/>
      <c r="E2243" s="84"/>
      <c r="F2243" s="128"/>
      <c r="G2243" s="87"/>
      <c r="H2243" s="87">
        <f>F2243*G2243</f>
        <v>0</v>
      </c>
      <c r="I2243" s="87">
        <v>1060</v>
      </c>
      <c r="J2243" s="87">
        <f>F2243*I2243</f>
        <v>0</v>
      </c>
      <c r="K2243" s="87">
        <v>1060</v>
      </c>
      <c r="L2243" s="87">
        <f>F2243*K2243</f>
        <v>0</v>
      </c>
    </row>
    <row r="2244" spans="1:12" ht="12" customHeight="1" x14ac:dyDescent="0.35">
      <c r="B2244" s="84"/>
      <c r="C2244" s="85"/>
      <c r="D2244" s="84"/>
      <c r="E2244" s="84"/>
      <c r="F2244" s="128"/>
      <c r="G2244" s="87"/>
      <c r="H2244" s="87">
        <f>F2244*G2244</f>
        <v>0</v>
      </c>
      <c r="I2244" s="87">
        <v>215000</v>
      </c>
      <c r="J2244" s="87">
        <f>F2244*I2244</f>
        <v>0</v>
      </c>
      <c r="K2244" s="87">
        <v>250000</v>
      </c>
      <c r="L2244" s="87">
        <f>F2244*K2244</f>
        <v>0</v>
      </c>
    </row>
    <row r="2245" spans="1:12" ht="12" customHeight="1" x14ac:dyDescent="0.35">
      <c r="B2245" s="84"/>
      <c r="C2245" s="85"/>
      <c r="D2245" s="84"/>
      <c r="E2245" s="84"/>
      <c r="F2245" s="128"/>
      <c r="G2245" s="87"/>
      <c r="H2245" s="87"/>
      <c r="I2245" s="87"/>
      <c r="J2245" s="87"/>
      <c r="K2245" s="87"/>
      <c r="L2245" s="87"/>
    </row>
    <row r="2246" spans="1:12" ht="12" customHeight="1" x14ac:dyDescent="0.35">
      <c r="B2246" s="84"/>
      <c r="C2246" s="88"/>
      <c r="D2246" s="79"/>
      <c r="E2246" s="79"/>
      <c r="F2246" s="129" t="s">
        <v>423</v>
      </c>
      <c r="G2246" s="129"/>
      <c r="H2246" s="87" t="e">
        <f>SUM(H2242:H2245)</f>
        <v>#REF!</v>
      </c>
      <c r="I2246" s="101"/>
      <c r="J2246" s="87" t="e">
        <f>SUM(#REF!)</f>
        <v>#REF!</v>
      </c>
      <c r="K2246" s="101"/>
      <c r="L2246" s="87" t="e">
        <f>SUM(#REF!)</f>
        <v>#REF!</v>
      </c>
    </row>
    <row r="2247" spans="1:12" ht="12" customHeight="1" x14ac:dyDescent="0.35">
      <c r="B2247" s="84" t="s">
        <v>7</v>
      </c>
      <c r="C2247" s="88" t="s">
        <v>424</v>
      </c>
      <c r="D2247" s="79"/>
      <c r="E2247" s="79"/>
      <c r="F2247" s="90"/>
      <c r="G2247" s="84"/>
      <c r="H2247" s="87"/>
      <c r="I2247" s="84"/>
      <c r="J2247" s="87"/>
      <c r="K2247" s="84"/>
      <c r="L2247" s="87"/>
    </row>
    <row r="2248" spans="1:12" ht="12" customHeight="1" x14ac:dyDescent="0.35">
      <c r="B2248" s="84"/>
      <c r="C2248" s="85"/>
      <c r="D2248" s="84"/>
      <c r="E2248" s="84"/>
      <c r="F2248" s="128"/>
      <c r="G2248" s="87"/>
      <c r="H2248" s="87">
        <f>F2248*G2248</f>
        <v>0</v>
      </c>
      <c r="I2248" s="87"/>
      <c r="J2248" s="87">
        <f>H2248*I2248</f>
        <v>0</v>
      </c>
      <c r="K2248" s="87"/>
      <c r="L2248" s="87">
        <f>J2248*K2248</f>
        <v>0</v>
      </c>
    </row>
    <row r="2249" spans="1:12" ht="12" customHeight="1" x14ac:dyDescent="0.35">
      <c r="B2249" s="84"/>
      <c r="C2249" s="85"/>
      <c r="D2249" s="84"/>
      <c r="E2249" s="84"/>
      <c r="F2249" s="128"/>
      <c r="G2249" s="87"/>
      <c r="H2249" s="87">
        <f>F2249*G2249</f>
        <v>0</v>
      </c>
      <c r="I2249" s="87"/>
      <c r="J2249" s="87"/>
      <c r="K2249" s="87"/>
      <c r="L2249" s="87"/>
    </row>
    <row r="2250" spans="1:12" ht="12" customHeight="1" x14ac:dyDescent="0.35">
      <c r="B2250" s="84"/>
      <c r="C2250" s="88"/>
      <c r="D2250" s="79"/>
      <c r="E2250" s="79"/>
      <c r="F2250" s="89" t="s">
        <v>425</v>
      </c>
      <c r="G2250" s="101"/>
      <c r="H2250" s="87">
        <f>SUM(H2248:H2249)</f>
        <v>0</v>
      </c>
      <c r="I2250" s="101"/>
      <c r="J2250" s="87">
        <f>SUM(J2248)</f>
        <v>0</v>
      </c>
      <c r="K2250" s="101"/>
      <c r="L2250" s="87">
        <f>SUM(L2248)</f>
        <v>0</v>
      </c>
    </row>
    <row r="2251" spans="1:12" ht="12" customHeight="1" x14ac:dyDescent="0.35">
      <c r="B2251" s="84" t="s">
        <v>8</v>
      </c>
      <c r="C2251" s="103" t="s">
        <v>426</v>
      </c>
      <c r="D2251" s="104"/>
      <c r="E2251" s="104"/>
      <c r="F2251" s="104"/>
      <c r="G2251" s="105"/>
      <c r="H2251" s="87" t="e">
        <f>H2240+H2246+H2250</f>
        <v>#REF!</v>
      </c>
      <c r="I2251" s="105"/>
      <c r="J2251" s="87" t="e">
        <f>J2240+J2246+J2250</f>
        <v>#REF!</v>
      </c>
      <c r="K2251" s="105"/>
      <c r="L2251" s="87" t="e">
        <f>L2240+L2246+L2250</f>
        <v>#REF!</v>
      </c>
    </row>
    <row r="2252" spans="1:12" ht="12" customHeight="1" x14ac:dyDescent="0.35">
      <c r="B2252" s="84" t="s">
        <v>9</v>
      </c>
      <c r="C2252" s="455" t="s">
        <v>427</v>
      </c>
      <c r="D2252" s="455"/>
      <c r="E2252" s="455"/>
      <c r="F2252" s="95" t="str">
        <f>OP</f>
        <v>TANJUNG PALAS TENGAH</v>
      </c>
      <c r="G2252" s="85" t="s">
        <v>428</v>
      </c>
      <c r="H2252" s="87" t="e">
        <f>H2251*F2252</f>
        <v>#REF!</v>
      </c>
      <c r="I2252" s="85" t="s">
        <v>428</v>
      </c>
      <c r="J2252" s="87" t="e">
        <f>J2251*F2252</f>
        <v>#REF!</v>
      </c>
      <c r="K2252" s="85" t="s">
        <v>428</v>
      </c>
      <c r="L2252" s="87" t="e">
        <f>L2251*F2252</f>
        <v>#REF!</v>
      </c>
    </row>
    <row r="2253" spans="1:12" ht="12" customHeight="1" x14ac:dyDescent="0.35">
      <c r="B2253" s="84" t="s">
        <v>10</v>
      </c>
      <c r="C2253" s="103" t="s">
        <v>429</v>
      </c>
      <c r="D2253" s="104"/>
      <c r="E2253" s="104"/>
      <c r="F2253" s="104"/>
      <c r="G2253" s="105"/>
      <c r="H2253" s="96" t="e">
        <f>H2251+H2252</f>
        <v>#REF!</v>
      </c>
      <c r="I2253" s="97"/>
      <c r="J2253" s="96" t="e">
        <f>J2251+J2252</f>
        <v>#REF!</v>
      </c>
      <c r="K2253" s="97"/>
      <c r="L2253" s="96" t="e">
        <f>L2251+L2252</f>
        <v>#REF!</v>
      </c>
    </row>
    <row r="2255" spans="1:12" ht="37" customHeight="1" x14ac:dyDescent="0.35">
      <c r="B2255" s="76" t="s">
        <v>690</v>
      </c>
      <c r="C2255" s="458" t="s">
        <v>687</v>
      </c>
      <c r="D2255" s="459"/>
      <c r="E2255" s="459"/>
      <c r="F2255" s="459"/>
      <c r="G2255" s="456"/>
      <c r="H2255" s="457"/>
      <c r="I2255" s="455" t="s">
        <v>3</v>
      </c>
      <c r="J2255" s="455"/>
      <c r="K2255" s="455" t="s">
        <v>4</v>
      </c>
      <c r="L2255" s="455"/>
    </row>
    <row r="2256" spans="1:12" ht="12" customHeight="1" x14ac:dyDescent="0.35">
      <c r="B2256" s="451" t="s">
        <v>409</v>
      </c>
      <c r="C2256" s="451" t="s">
        <v>410</v>
      </c>
      <c r="D2256" s="452" t="s">
        <v>411</v>
      </c>
      <c r="E2256" s="451" t="s">
        <v>412</v>
      </c>
      <c r="F2256" s="451" t="s">
        <v>413</v>
      </c>
      <c r="G2256" s="77" t="s">
        <v>414</v>
      </c>
      <c r="H2256" s="77" t="s">
        <v>415</v>
      </c>
      <c r="I2256" s="78" t="s">
        <v>414</v>
      </c>
      <c r="J2256" s="79" t="s">
        <v>415</v>
      </c>
      <c r="K2256" s="79" t="s">
        <v>414</v>
      </c>
      <c r="L2256" s="79" t="s">
        <v>415</v>
      </c>
    </row>
    <row r="2257" spans="1:12" ht="12" customHeight="1" x14ac:dyDescent="0.35">
      <c r="B2257" s="451"/>
      <c r="C2257" s="451"/>
      <c r="D2257" s="453"/>
      <c r="E2257" s="451"/>
      <c r="F2257" s="451"/>
      <c r="G2257" s="77" t="s">
        <v>17</v>
      </c>
      <c r="H2257" s="77" t="s">
        <v>416</v>
      </c>
      <c r="I2257" s="78" t="s">
        <v>17</v>
      </c>
      <c r="J2257" s="79" t="s">
        <v>416</v>
      </c>
      <c r="K2257" s="79" t="s">
        <v>17</v>
      </c>
      <c r="L2257" s="79" t="s">
        <v>416</v>
      </c>
    </row>
    <row r="2258" spans="1:12" ht="12" customHeight="1" x14ac:dyDescent="0.35">
      <c r="B2258" s="451"/>
      <c r="C2258" s="451"/>
      <c r="D2258" s="454"/>
      <c r="E2258" s="451"/>
      <c r="F2258" s="451"/>
      <c r="G2258" s="106"/>
      <c r="H2258" s="77" t="s">
        <v>17</v>
      </c>
      <c r="I2258" s="94"/>
      <c r="J2258" s="79" t="s">
        <v>17</v>
      </c>
      <c r="K2258" s="85"/>
      <c r="L2258" s="79" t="s">
        <v>17</v>
      </c>
    </row>
    <row r="2259" spans="1:12" ht="12" customHeight="1" x14ac:dyDescent="0.35">
      <c r="B2259" s="80" t="s">
        <v>5</v>
      </c>
      <c r="C2259" s="81" t="s">
        <v>417</v>
      </c>
      <c r="D2259" s="82"/>
      <c r="E2259" s="82"/>
      <c r="F2259" s="82"/>
      <c r="G2259" s="82"/>
      <c r="H2259" s="82"/>
      <c r="I2259" s="83"/>
      <c r="J2259" s="83"/>
      <c r="K2259" s="83"/>
      <c r="L2259" s="83"/>
    </row>
    <row r="2260" spans="1:12" ht="12" customHeight="1" x14ac:dyDescent="0.35">
      <c r="A2260" s="134">
        <v>10130000</v>
      </c>
      <c r="B2260" s="84"/>
      <c r="C2260" s="85" t="str">
        <f>VLOOKUP(A2260,'DAFTAR HARGA'!A:D,3,FALSE)</f>
        <v>OH</v>
      </c>
      <c r="D2260" s="84" t="s">
        <v>418</v>
      </c>
      <c r="E2260" s="84">
        <f>VLOOKUP(A2260,'DAFTAR HARGA'!A:D,4,FALSE)</f>
        <v>115000</v>
      </c>
      <c r="F2260" s="128">
        <v>1.1416999999999999</v>
      </c>
      <c r="G2260" s="87" t="e">
        <f>VLOOKUP(A2260,'DAFTAR HARGA'!A:D,5,FALSE)</f>
        <v>#REF!</v>
      </c>
      <c r="H2260" s="87" t="e">
        <f>F2260*G2260</f>
        <v>#REF!</v>
      </c>
      <c r="I2260" s="87">
        <v>91500</v>
      </c>
      <c r="J2260" s="87">
        <f>F2260*I2260</f>
        <v>104465.54999999999</v>
      </c>
      <c r="K2260" s="87">
        <v>91500</v>
      </c>
      <c r="L2260" s="87">
        <f>F2260*K2260</f>
        <v>104465.54999999999</v>
      </c>
    </row>
    <row r="2261" spans="1:12" ht="12" customHeight="1" x14ac:dyDescent="0.35">
      <c r="A2261" s="134">
        <v>10143000</v>
      </c>
      <c r="B2261" s="84"/>
      <c r="C2261" s="85" t="str">
        <f>VLOOKUP(A2261,'DAFTAR HARGA'!A:D,3,FALSE)</f>
        <v>OH</v>
      </c>
      <c r="D2261" s="84" t="s">
        <v>418</v>
      </c>
      <c r="E2261" s="84">
        <f>VLOOKUP(A2261,'DAFTAR HARGA'!A:D,4,FALSE)</f>
        <v>236600</v>
      </c>
      <c r="F2261" s="128">
        <v>0.57089999999999996</v>
      </c>
      <c r="G2261" s="87" t="e">
        <f>VLOOKUP(A2261,'DAFTAR HARGA'!A:D,5,FALSE)</f>
        <v>#REF!</v>
      </c>
      <c r="H2261" s="87" t="e">
        <f>F2261*G2261</f>
        <v>#REF!</v>
      </c>
      <c r="I2261" s="87"/>
      <c r="J2261" s="87"/>
      <c r="K2261" s="87"/>
      <c r="L2261" s="87"/>
    </row>
    <row r="2262" spans="1:12" ht="12" customHeight="1" x14ac:dyDescent="0.35">
      <c r="A2262" s="134">
        <v>10110000</v>
      </c>
      <c r="B2262" s="84"/>
      <c r="C2262" s="85" t="str">
        <f>VLOOKUP(A2262,'DAFTAR HARGA'!A:D,3,FALSE)</f>
        <v>OH</v>
      </c>
      <c r="D2262" s="84" t="s">
        <v>418</v>
      </c>
      <c r="E2262" s="84">
        <f>VLOOKUP(A2262,'DAFTAR HARGA'!A:D,4,FALSE)</f>
        <v>150000</v>
      </c>
      <c r="F2262" s="128">
        <f>F2260/10</f>
        <v>0.11416999999999999</v>
      </c>
      <c r="G2262" s="87" t="e">
        <f>VLOOKUP(A2262,'DAFTAR HARGA'!A:D,5,FALSE)</f>
        <v>#REF!</v>
      </c>
      <c r="H2262" s="87" t="e">
        <f>F2262*G2262</f>
        <v>#REF!</v>
      </c>
      <c r="I2262" s="87">
        <v>78600</v>
      </c>
      <c r="J2262" s="87">
        <f>F2262*I2262</f>
        <v>8973.7619999999988</v>
      </c>
      <c r="K2262" s="87">
        <v>78600</v>
      </c>
      <c r="L2262" s="87">
        <f>F2262*K2262</f>
        <v>8973.7619999999988</v>
      </c>
    </row>
    <row r="2263" spans="1:12" ht="12" customHeight="1" x14ac:dyDescent="0.35">
      <c r="B2263" s="84"/>
      <c r="C2263" s="85"/>
      <c r="D2263" s="84"/>
      <c r="E2263" s="84"/>
      <c r="F2263" s="86"/>
      <c r="G2263" s="87"/>
      <c r="H2263" s="87">
        <f>F2263*G2263</f>
        <v>0</v>
      </c>
      <c r="I2263" s="87">
        <v>92500</v>
      </c>
      <c r="J2263" s="87">
        <f>F2263*I2263</f>
        <v>0</v>
      </c>
      <c r="K2263" s="87">
        <v>92500</v>
      </c>
      <c r="L2263" s="87">
        <f>F2263*K2263</f>
        <v>0</v>
      </c>
    </row>
    <row r="2264" spans="1:12" ht="12" customHeight="1" x14ac:dyDescent="0.35">
      <c r="B2264" s="84"/>
      <c r="C2264" s="85"/>
      <c r="D2264" s="84"/>
      <c r="E2264" s="84"/>
      <c r="F2264" s="86"/>
      <c r="G2264" s="87"/>
      <c r="H2264" s="87"/>
      <c r="I2264" s="87"/>
      <c r="J2264" s="87"/>
      <c r="K2264" s="87"/>
      <c r="L2264" s="87"/>
    </row>
    <row r="2265" spans="1:12" ht="12" customHeight="1" x14ac:dyDescent="0.35">
      <c r="B2265" s="84"/>
      <c r="C2265" s="88"/>
      <c r="D2265" s="79"/>
      <c r="E2265" s="79"/>
      <c r="F2265" s="89" t="s">
        <v>421</v>
      </c>
      <c r="G2265" s="101"/>
      <c r="H2265" s="87" t="e">
        <f>SUM(H2260:H2264)</f>
        <v>#REF!</v>
      </c>
      <c r="I2265" s="101"/>
      <c r="J2265" s="87">
        <f>SUM(J2262:J2264)</f>
        <v>8973.7619999999988</v>
      </c>
      <c r="K2265" s="101"/>
      <c r="L2265" s="87">
        <f>SUM(L2262:L2264)</f>
        <v>8973.7619999999988</v>
      </c>
    </row>
    <row r="2266" spans="1:12" ht="12" customHeight="1" x14ac:dyDescent="0.35">
      <c r="B2266" s="84" t="s">
        <v>6</v>
      </c>
      <c r="C2266" s="88" t="s">
        <v>422</v>
      </c>
      <c r="D2266" s="79"/>
      <c r="E2266" s="79"/>
      <c r="F2266" s="90"/>
      <c r="G2266" s="84"/>
      <c r="H2266" s="87"/>
      <c r="I2266" s="84"/>
      <c r="J2266" s="87"/>
      <c r="K2266" s="84"/>
      <c r="L2266" s="87"/>
    </row>
    <row r="2267" spans="1:12" ht="12" customHeight="1" x14ac:dyDescent="0.35">
      <c r="A2267" s="134">
        <v>211100102</v>
      </c>
      <c r="B2267" s="84"/>
      <c r="C2267" s="85" t="str">
        <f>VLOOKUP(A2267,'DAFTAR HARGA'!A:D,3,FALSE)</f>
        <v>m³</v>
      </c>
      <c r="D2267" s="84" t="s">
        <v>418</v>
      </c>
      <c r="E2267" s="84">
        <f>VLOOKUP(A2267,'DAFTAR HARGA'!A:D,4,FALSE)</f>
        <v>236600</v>
      </c>
      <c r="F2267" s="128">
        <v>1.25</v>
      </c>
      <c r="G2267" s="87" t="e">
        <f>VLOOKUP(A2267,'DAFTAR HARGA'!A:D,5,FALSE)</f>
        <v>#REF!</v>
      </c>
      <c r="H2267" s="87" t="e">
        <f>F2267*G2267</f>
        <v>#REF!</v>
      </c>
      <c r="I2267" s="87">
        <v>232500</v>
      </c>
      <c r="J2267" s="87">
        <f>F2267*I2267</f>
        <v>290625</v>
      </c>
      <c r="K2267" s="87">
        <v>270000</v>
      </c>
      <c r="L2267" s="87">
        <f>F2267*K2267</f>
        <v>337500</v>
      </c>
    </row>
    <row r="2268" spans="1:12" ht="12" customHeight="1" x14ac:dyDescent="0.35">
      <c r="B2268" s="84"/>
      <c r="C2268" s="85"/>
      <c r="D2268" s="84"/>
      <c r="E2268" s="84"/>
      <c r="F2268" s="128"/>
      <c r="G2268" s="87"/>
      <c r="H2268" s="87">
        <f>F2268*G2268</f>
        <v>0</v>
      </c>
      <c r="I2268" s="87">
        <v>1060</v>
      </c>
      <c r="J2268" s="87">
        <f>F2268*I2268</f>
        <v>0</v>
      </c>
      <c r="K2268" s="87">
        <v>1060</v>
      </c>
      <c r="L2268" s="87">
        <f>F2268*K2268</f>
        <v>0</v>
      </c>
    </row>
    <row r="2269" spans="1:12" ht="12" customHeight="1" x14ac:dyDescent="0.35">
      <c r="B2269" s="84"/>
      <c r="C2269" s="85"/>
      <c r="D2269" s="84"/>
      <c r="E2269" s="84"/>
      <c r="F2269" s="128"/>
      <c r="G2269" s="87"/>
      <c r="H2269" s="87">
        <f>F2269*G2269</f>
        <v>0</v>
      </c>
      <c r="I2269" s="87">
        <v>215000</v>
      </c>
      <c r="J2269" s="87">
        <f>F2269*I2269</f>
        <v>0</v>
      </c>
      <c r="K2269" s="87">
        <v>250000</v>
      </c>
      <c r="L2269" s="87">
        <f>F2269*K2269</f>
        <v>0</v>
      </c>
    </row>
    <row r="2270" spans="1:12" ht="12" customHeight="1" x14ac:dyDescent="0.35">
      <c r="B2270" s="84"/>
      <c r="C2270" s="85"/>
      <c r="D2270" s="84"/>
      <c r="E2270" s="84"/>
      <c r="F2270" s="128"/>
      <c r="G2270" s="87"/>
      <c r="H2270" s="87"/>
      <c r="I2270" s="87"/>
      <c r="J2270" s="87"/>
      <c r="K2270" s="87"/>
      <c r="L2270" s="87"/>
    </row>
    <row r="2271" spans="1:12" ht="12" customHeight="1" x14ac:dyDescent="0.35">
      <c r="B2271" s="84"/>
      <c r="C2271" s="88"/>
      <c r="D2271" s="79"/>
      <c r="E2271" s="79"/>
      <c r="F2271" s="129" t="s">
        <v>423</v>
      </c>
      <c r="G2271" s="129"/>
      <c r="H2271" s="87" t="e">
        <f>SUM(H2267:H2270)</f>
        <v>#REF!</v>
      </c>
      <c r="I2271" s="101"/>
      <c r="J2271" s="87" t="e">
        <f>SUM(#REF!)</f>
        <v>#REF!</v>
      </c>
      <c r="K2271" s="101"/>
      <c r="L2271" s="87" t="e">
        <f>SUM(#REF!)</f>
        <v>#REF!</v>
      </c>
    </row>
    <row r="2272" spans="1:12" ht="12" customHeight="1" x14ac:dyDescent="0.35">
      <c r="B2272" s="84" t="s">
        <v>7</v>
      </c>
      <c r="C2272" s="88" t="s">
        <v>424</v>
      </c>
      <c r="D2272" s="79"/>
      <c r="E2272" s="79"/>
      <c r="F2272" s="90"/>
      <c r="G2272" s="84"/>
      <c r="H2272" s="87"/>
      <c r="I2272" s="84"/>
      <c r="J2272" s="87"/>
      <c r="K2272" s="84"/>
      <c r="L2272" s="87"/>
    </row>
    <row r="2273" spans="1:12" ht="12" customHeight="1" x14ac:dyDescent="0.35">
      <c r="B2273" s="84"/>
      <c r="C2273" s="85"/>
      <c r="D2273" s="84"/>
      <c r="E2273" s="84"/>
      <c r="F2273" s="128"/>
      <c r="G2273" s="87"/>
      <c r="H2273" s="87">
        <f>F2273*G2273</f>
        <v>0</v>
      </c>
      <c r="I2273" s="87"/>
      <c r="J2273" s="87">
        <f>H2273*I2273</f>
        <v>0</v>
      </c>
      <c r="K2273" s="87"/>
      <c r="L2273" s="87">
        <f>J2273*K2273</f>
        <v>0</v>
      </c>
    </row>
    <row r="2274" spans="1:12" ht="12" customHeight="1" x14ac:dyDescent="0.35">
      <c r="B2274" s="84"/>
      <c r="C2274" s="85"/>
      <c r="D2274" s="84"/>
      <c r="E2274" s="84"/>
      <c r="F2274" s="128"/>
      <c r="G2274" s="87"/>
      <c r="H2274" s="87">
        <f>F2274*G2274</f>
        <v>0</v>
      </c>
      <c r="I2274" s="87"/>
      <c r="J2274" s="87"/>
      <c r="K2274" s="87"/>
      <c r="L2274" s="87"/>
    </row>
    <row r="2275" spans="1:12" ht="12" customHeight="1" x14ac:dyDescent="0.35">
      <c r="B2275" s="84"/>
      <c r="C2275" s="88"/>
      <c r="D2275" s="79"/>
      <c r="E2275" s="79"/>
      <c r="F2275" s="89" t="s">
        <v>425</v>
      </c>
      <c r="G2275" s="101"/>
      <c r="H2275" s="87">
        <f>SUM(H2273:H2274)</f>
        <v>0</v>
      </c>
      <c r="I2275" s="101"/>
      <c r="J2275" s="87">
        <f>SUM(J2273)</f>
        <v>0</v>
      </c>
      <c r="K2275" s="101"/>
      <c r="L2275" s="87">
        <f>SUM(L2273)</f>
        <v>0</v>
      </c>
    </row>
    <row r="2276" spans="1:12" ht="12" customHeight="1" x14ac:dyDescent="0.35">
      <c r="B2276" s="84" t="s">
        <v>8</v>
      </c>
      <c r="C2276" s="103" t="s">
        <v>426</v>
      </c>
      <c r="D2276" s="104"/>
      <c r="E2276" s="104"/>
      <c r="F2276" s="104"/>
      <c r="G2276" s="105"/>
      <c r="H2276" s="87" t="e">
        <f>H2265+H2271+H2275</f>
        <v>#REF!</v>
      </c>
      <c r="I2276" s="105"/>
      <c r="J2276" s="87" t="e">
        <f>J2265+J2271+J2275</f>
        <v>#REF!</v>
      </c>
      <c r="K2276" s="105"/>
      <c r="L2276" s="87" t="e">
        <f>L2265+L2271+L2275</f>
        <v>#REF!</v>
      </c>
    </row>
    <row r="2277" spans="1:12" ht="12" customHeight="1" x14ac:dyDescent="0.35">
      <c r="B2277" s="84" t="s">
        <v>9</v>
      </c>
      <c r="C2277" s="455" t="s">
        <v>427</v>
      </c>
      <c r="D2277" s="455"/>
      <c r="E2277" s="455"/>
      <c r="F2277" s="95" t="str">
        <f>OP</f>
        <v>TANJUNG PALAS TENGAH</v>
      </c>
      <c r="G2277" s="85" t="s">
        <v>428</v>
      </c>
      <c r="H2277" s="87" t="e">
        <f>H2276*F2277</f>
        <v>#REF!</v>
      </c>
      <c r="I2277" s="85" t="s">
        <v>428</v>
      </c>
      <c r="J2277" s="87" t="e">
        <f>J2276*F2277</f>
        <v>#REF!</v>
      </c>
      <c r="K2277" s="85" t="s">
        <v>428</v>
      </c>
      <c r="L2277" s="87" t="e">
        <f>L2276*F2277</f>
        <v>#REF!</v>
      </c>
    </row>
    <row r="2278" spans="1:12" ht="12" customHeight="1" x14ac:dyDescent="0.35">
      <c r="B2278" s="84" t="s">
        <v>10</v>
      </c>
      <c r="C2278" s="103" t="s">
        <v>429</v>
      </c>
      <c r="D2278" s="104"/>
      <c r="E2278" s="104"/>
      <c r="F2278" s="104"/>
      <c r="G2278" s="105"/>
      <c r="H2278" s="96" t="e">
        <f>H2276+H2277</f>
        <v>#REF!</v>
      </c>
      <c r="I2278" s="97"/>
      <c r="J2278" s="96" t="e">
        <f>J2276+J2277</f>
        <v>#REF!</v>
      </c>
      <c r="K2278" s="97"/>
      <c r="L2278" s="96" t="e">
        <f>L2276+L2277</f>
        <v>#REF!</v>
      </c>
    </row>
    <row r="2280" spans="1:12" ht="37" customHeight="1" x14ac:dyDescent="0.35">
      <c r="B2280" s="76" t="s">
        <v>688</v>
      </c>
      <c r="C2280" s="458" t="s">
        <v>692</v>
      </c>
      <c r="D2280" s="459"/>
      <c r="E2280" s="459"/>
      <c r="F2280" s="459"/>
      <c r="G2280" s="456"/>
      <c r="H2280" s="457"/>
      <c r="I2280" s="455" t="s">
        <v>3</v>
      </c>
      <c r="J2280" s="455"/>
      <c r="K2280" s="455" t="s">
        <v>4</v>
      </c>
      <c r="L2280" s="455"/>
    </row>
    <row r="2281" spans="1:12" ht="12" customHeight="1" x14ac:dyDescent="0.35">
      <c r="B2281" s="451" t="s">
        <v>409</v>
      </c>
      <c r="C2281" s="451" t="s">
        <v>410</v>
      </c>
      <c r="D2281" s="452" t="s">
        <v>411</v>
      </c>
      <c r="E2281" s="451" t="s">
        <v>412</v>
      </c>
      <c r="F2281" s="451" t="s">
        <v>413</v>
      </c>
      <c r="G2281" s="77" t="s">
        <v>414</v>
      </c>
      <c r="H2281" s="77" t="s">
        <v>415</v>
      </c>
      <c r="I2281" s="78" t="s">
        <v>414</v>
      </c>
      <c r="J2281" s="79" t="s">
        <v>415</v>
      </c>
      <c r="K2281" s="79" t="s">
        <v>414</v>
      </c>
      <c r="L2281" s="79" t="s">
        <v>415</v>
      </c>
    </row>
    <row r="2282" spans="1:12" ht="12" customHeight="1" x14ac:dyDescent="0.35">
      <c r="B2282" s="451"/>
      <c r="C2282" s="451"/>
      <c r="D2282" s="453"/>
      <c r="E2282" s="451"/>
      <c r="F2282" s="451"/>
      <c r="G2282" s="77" t="s">
        <v>17</v>
      </c>
      <c r="H2282" s="77" t="s">
        <v>416</v>
      </c>
      <c r="I2282" s="78" t="s">
        <v>17</v>
      </c>
      <c r="J2282" s="79" t="s">
        <v>416</v>
      </c>
      <c r="K2282" s="79" t="s">
        <v>17</v>
      </c>
      <c r="L2282" s="79" t="s">
        <v>416</v>
      </c>
    </row>
    <row r="2283" spans="1:12" ht="12" customHeight="1" x14ac:dyDescent="0.35">
      <c r="B2283" s="451"/>
      <c r="C2283" s="451"/>
      <c r="D2283" s="454"/>
      <c r="E2283" s="451"/>
      <c r="F2283" s="451"/>
      <c r="G2283" s="106"/>
      <c r="H2283" s="77" t="s">
        <v>17</v>
      </c>
      <c r="I2283" s="94"/>
      <c r="J2283" s="79" t="s">
        <v>17</v>
      </c>
      <c r="K2283" s="85"/>
      <c r="L2283" s="79" t="s">
        <v>17</v>
      </c>
    </row>
    <row r="2284" spans="1:12" ht="12" customHeight="1" x14ac:dyDescent="0.35">
      <c r="B2284" s="80" t="s">
        <v>5</v>
      </c>
      <c r="C2284" s="81" t="s">
        <v>417</v>
      </c>
      <c r="D2284" s="82"/>
      <c r="E2284" s="82"/>
      <c r="F2284" s="82"/>
      <c r="G2284" s="82"/>
      <c r="H2284" s="82"/>
      <c r="I2284" s="83"/>
      <c r="J2284" s="83"/>
      <c r="K2284" s="83"/>
      <c r="L2284" s="83"/>
    </row>
    <row r="2285" spans="1:12" ht="12" customHeight="1" x14ac:dyDescent="0.35">
      <c r="A2285" s="134">
        <v>10130000</v>
      </c>
      <c r="B2285" s="84"/>
      <c r="C2285" s="85" t="str">
        <f>VLOOKUP(A2285,'DAFTAR HARGA'!A:D,3,FALSE)</f>
        <v>OH</v>
      </c>
      <c r="D2285" s="84" t="s">
        <v>418</v>
      </c>
      <c r="E2285" s="84">
        <f>VLOOKUP(A2285,'DAFTAR HARGA'!A:D,4,FALSE)</f>
        <v>115000</v>
      </c>
      <c r="F2285" s="128">
        <v>0.4</v>
      </c>
      <c r="G2285" s="87" t="e">
        <f>VLOOKUP(A2285,'DAFTAR HARGA'!A:D,5,FALSE)</f>
        <v>#REF!</v>
      </c>
      <c r="H2285" s="87" t="e">
        <f>F2285*G2285</f>
        <v>#REF!</v>
      </c>
      <c r="I2285" s="87">
        <v>91500</v>
      </c>
      <c r="J2285" s="87">
        <f>F2285*I2285</f>
        <v>36600</v>
      </c>
      <c r="K2285" s="87">
        <v>91500</v>
      </c>
      <c r="L2285" s="87">
        <f>F2285*K2285</f>
        <v>36600</v>
      </c>
    </row>
    <row r="2286" spans="1:12" ht="12" customHeight="1" x14ac:dyDescent="0.35">
      <c r="A2286" s="134">
        <v>10143000</v>
      </c>
      <c r="B2286" s="84"/>
      <c r="C2286" s="85" t="str">
        <f>VLOOKUP(A2286,'DAFTAR HARGA'!A:D,3,FALSE)</f>
        <v>OH</v>
      </c>
      <c r="D2286" s="84" t="s">
        <v>418</v>
      </c>
      <c r="E2286" s="84">
        <f>VLOOKUP(A2286,'DAFTAR HARGA'!A:D,4,FALSE)</f>
        <v>236600</v>
      </c>
      <c r="F2286" s="128">
        <v>0.2</v>
      </c>
      <c r="G2286" s="87" t="e">
        <f>VLOOKUP(A2286,'DAFTAR HARGA'!A:D,5,FALSE)</f>
        <v>#REF!</v>
      </c>
      <c r="H2286" s="87" t="e">
        <f>F2286*G2286</f>
        <v>#REF!</v>
      </c>
      <c r="I2286" s="87"/>
      <c r="J2286" s="87"/>
      <c r="K2286" s="87"/>
      <c r="L2286" s="87"/>
    </row>
    <row r="2287" spans="1:12" ht="12" customHeight="1" x14ac:dyDescent="0.35">
      <c r="A2287" s="134">
        <v>10110000</v>
      </c>
      <c r="B2287" s="84"/>
      <c r="C2287" s="85" t="str">
        <f>VLOOKUP(A2287,'DAFTAR HARGA'!A:D,3,FALSE)</f>
        <v>OH</v>
      </c>
      <c r="D2287" s="84" t="s">
        <v>418</v>
      </c>
      <c r="E2287" s="84">
        <f>VLOOKUP(A2287,'DAFTAR HARGA'!A:D,4,FALSE)</f>
        <v>150000</v>
      </c>
      <c r="F2287" s="128">
        <f>F2285/10</f>
        <v>0.04</v>
      </c>
      <c r="G2287" s="87" t="e">
        <f>VLOOKUP(A2287,'DAFTAR HARGA'!A:D,5,FALSE)</f>
        <v>#REF!</v>
      </c>
      <c r="H2287" s="87" t="e">
        <f>F2287*G2287</f>
        <v>#REF!</v>
      </c>
      <c r="I2287" s="87">
        <v>78600</v>
      </c>
      <c r="J2287" s="87">
        <f>F2287*I2287</f>
        <v>3144</v>
      </c>
      <c r="K2287" s="87">
        <v>78600</v>
      </c>
      <c r="L2287" s="87">
        <f>F2287*K2287</f>
        <v>3144</v>
      </c>
    </row>
    <row r="2288" spans="1:12" ht="12" customHeight="1" x14ac:dyDescent="0.35">
      <c r="B2288" s="84"/>
      <c r="C2288" s="85"/>
      <c r="D2288" s="84"/>
      <c r="E2288" s="84"/>
      <c r="F2288" s="86"/>
      <c r="G2288" s="87"/>
      <c r="H2288" s="87">
        <f>F2288*G2288</f>
        <v>0</v>
      </c>
      <c r="I2288" s="87">
        <v>92500</v>
      </c>
      <c r="J2288" s="87">
        <f>F2288*I2288</f>
        <v>0</v>
      </c>
      <c r="K2288" s="87">
        <v>92500</v>
      </c>
      <c r="L2288" s="87">
        <f>F2288*K2288</f>
        <v>0</v>
      </c>
    </row>
    <row r="2289" spans="1:12" ht="12" customHeight="1" x14ac:dyDescent="0.35">
      <c r="B2289" s="84"/>
      <c r="C2289" s="85"/>
      <c r="D2289" s="84"/>
      <c r="E2289" s="84"/>
      <c r="F2289" s="86"/>
      <c r="G2289" s="87"/>
      <c r="H2289" s="87"/>
      <c r="I2289" s="87"/>
      <c r="J2289" s="87"/>
      <c r="K2289" s="87"/>
      <c r="L2289" s="87"/>
    </row>
    <row r="2290" spans="1:12" ht="12" customHeight="1" x14ac:dyDescent="0.35">
      <c r="B2290" s="84"/>
      <c r="C2290" s="88"/>
      <c r="D2290" s="79"/>
      <c r="E2290" s="79"/>
      <c r="F2290" s="89" t="s">
        <v>421</v>
      </c>
      <c r="G2290" s="101"/>
      <c r="H2290" s="87" t="e">
        <f>SUM(H2285:H2289)</f>
        <v>#REF!</v>
      </c>
      <c r="I2290" s="101"/>
      <c r="J2290" s="87">
        <f>SUM(J2287:J2289)</f>
        <v>3144</v>
      </c>
      <c r="K2290" s="101"/>
      <c r="L2290" s="87">
        <f>SUM(L2287:L2289)</f>
        <v>3144</v>
      </c>
    </row>
    <row r="2291" spans="1:12" ht="12" customHeight="1" x14ac:dyDescent="0.35">
      <c r="B2291" s="84" t="s">
        <v>6</v>
      </c>
      <c r="C2291" s="88" t="s">
        <v>422</v>
      </c>
      <c r="D2291" s="79"/>
      <c r="E2291" s="79"/>
      <c r="F2291" s="90"/>
      <c r="G2291" s="84"/>
      <c r="H2291" s="87"/>
      <c r="I2291" s="84"/>
      <c r="J2291" s="87"/>
      <c r="K2291" s="84"/>
      <c r="L2291" s="87"/>
    </row>
    <row r="2292" spans="1:12" ht="12" customHeight="1" x14ac:dyDescent="0.35">
      <c r="A2292" s="134">
        <v>211100102</v>
      </c>
      <c r="B2292" s="84"/>
      <c r="C2292" s="85" t="str">
        <f>VLOOKUP(A2292,'DAFTAR HARGA'!A:D,3,FALSE)</f>
        <v>m³</v>
      </c>
      <c r="D2292" s="84" t="s">
        <v>418</v>
      </c>
      <c r="E2292" s="84">
        <f>VLOOKUP(A2292,'DAFTAR HARGA'!A:D,4,FALSE)</f>
        <v>236600</v>
      </c>
      <c r="F2292" s="128">
        <v>1.2</v>
      </c>
      <c r="G2292" s="87" t="e">
        <f>VLOOKUP(A2292,'DAFTAR HARGA'!A:D,5,FALSE)</f>
        <v>#REF!</v>
      </c>
      <c r="H2292" s="87" t="e">
        <f>F2292*G2292</f>
        <v>#REF!</v>
      </c>
      <c r="I2292" s="87">
        <v>232500</v>
      </c>
      <c r="J2292" s="87">
        <f>F2292*I2292</f>
        <v>279000</v>
      </c>
      <c r="K2292" s="87">
        <v>270000</v>
      </c>
      <c r="L2292" s="87">
        <f>F2292*K2292</f>
        <v>324000</v>
      </c>
    </row>
    <row r="2293" spans="1:12" ht="12" customHeight="1" x14ac:dyDescent="0.35">
      <c r="B2293" s="84"/>
      <c r="C2293" s="85"/>
      <c r="D2293" s="84"/>
      <c r="E2293" s="84"/>
      <c r="F2293" s="128"/>
      <c r="G2293" s="87"/>
      <c r="H2293" s="87">
        <f>F2293*G2293</f>
        <v>0</v>
      </c>
      <c r="I2293" s="87">
        <v>1060</v>
      </c>
      <c r="J2293" s="87">
        <f>F2293*I2293</f>
        <v>0</v>
      </c>
      <c r="K2293" s="87">
        <v>1060</v>
      </c>
      <c r="L2293" s="87">
        <f>F2293*K2293</f>
        <v>0</v>
      </c>
    </row>
    <row r="2294" spans="1:12" ht="12" customHeight="1" x14ac:dyDescent="0.35">
      <c r="B2294" s="84"/>
      <c r="C2294" s="85"/>
      <c r="D2294" s="84"/>
      <c r="E2294" s="84"/>
      <c r="F2294" s="128"/>
      <c r="G2294" s="87"/>
      <c r="H2294" s="87">
        <f>F2294*G2294</f>
        <v>0</v>
      </c>
      <c r="I2294" s="87">
        <v>215000</v>
      </c>
      <c r="J2294" s="87">
        <f>F2294*I2294</f>
        <v>0</v>
      </c>
      <c r="K2294" s="87">
        <v>250000</v>
      </c>
      <c r="L2294" s="87">
        <f>F2294*K2294</f>
        <v>0</v>
      </c>
    </row>
    <row r="2295" spans="1:12" ht="12" customHeight="1" x14ac:dyDescent="0.35">
      <c r="B2295" s="84"/>
      <c r="C2295" s="85"/>
      <c r="D2295" s="84"/>
      <c r="E2295" s="84"/>
      <c r="F2295" s="128"/>
      <c r="G2295" s="87"/>
      <c r="H2295" s="87"/>
      <c r="I2295" s="87"/>
      <c r="J2295" s="87"/>
      <c r="K2295" s="87"/>
      <c r="L2295" s="87"/>
    </row>
    <row r="2296" spans="1:12" ht="12" customHeight="1" x14ac:dyDescent="0.35">
      <c r="B2296" s="84"/>
      <c r="C2296" s="88"/>
      <c r="D2296" s="79"/>
      <c r="E2296" s="79"/>
      <c r="F2296" s="129" t="s">
        <v>423</v>
      </c>
      <c r="G2296" s="129"/>
      <c r="H2296" s="87" t="e">
        <f>SUM(H2292:H2295)</f>
        <v>#REF!</v>
      </c>
      <c r="I2296" s="101"/>
      <c r="J2296" s="87" t="e">
        <f>SUM(#REF!)</f>
        <v>#REF!</v>
      </c>
      <c r="K2296" s="101"/>
      <c r="L2296" s="87" t="e">
        <f>SUM(#REF!)</f>
        <v>#REF!</v>
      </c>
    </row>
    <row r="2297" spans="1:12" ht="12" customHeight="1" x14ac:dyDescent="0.35">
      <c r="B2297" s="84" t="s">
        <v>7</v>
      </c>
      <c r="C2297" s="88" t="s">
        <v>424</v>
      </c>
      <c r="D2297" s="79"/>
      <c r="E2297" s="79"/>
      <c r="F2297" s="90"/>
      <c r="G2297" s="84"/>
      <c r="H2297" s="87"/>
      <c r="I2297" s="84"/>
      <c r="J2297" s="87"/>
      <c r="K2297" s="84"/>
      <c r="L2297" s="87"/>
    </row>
    <row r="2298" spans="1:12" ht="12" customHeight="1" x14ac:dyDescent="0.35">
      <c r="B2298" s="84"/>
      <c r="C2298" s="85"/>
      <c r="D2298" s="84"/>
      <c r="E2298" s="84"/>
      <c r="F2298" s="128"/>
      <c r="G2298" s="87"/>
      <c r="H2298" s="87">
        <f>F2298*G2298</f>
        <v>0</v>
      </c>
      <c r="I2298" s="87"/>
      <c r="J2298" s="87">
        <f>H2298*I2298</f>
        <v>0</v>
      </c>
      <c r="K2298" s="87"/>
      <c r="L2298" s="87">
        <f>J2298*K2298</f>
        <v>0</v>
      </c>
    </row>
    <row r="2299" spans="1:12" ht="12" customHeight="1" x14ac:dyDescent="0.35">
      <c r="B2299" s="84"/>
      <c r="C2299" s="85"/>
      <c r="D2299" s="84"/>
      <c r="E2299" s="84"/>
      <c r="F2299" s="128"/>
      <c r="G2299" s="87"/>
      <c r="H2299" s="87">
        <f>F2299*G2299</f>
        <v>0</v>
      </c>
      <c r="I2299" s="87"/>
      <c r="J2299" s="87"/>
      <c r="K2299" s="87"/>
      <c r="L2299" s="87"/>
    </row>
    <row r="2300" spans="1:12" ht="12" customHeight="1" x14ac:dyDescent="0.35">
      <c r="B2300" s="84"/>
      <c r="C2300" s="88"/>
      <c r="D2300" s="79"/>
      <c r="E2300" s="79"/>
      <c r="F2300" s="89" t="s">
        <v>425</v>
      </c>
      <c r="G2300" s="101"/>
      <c r="H2300" s="87">
        <f>SUM(H2298:H2299)</f>
        <v>0</v>
      </c>
      <c r="I2300" s="101"/>
      <c r="J2300" s="87">
        <f>SUM(J2298)</f>
        <v>0</v>
      </c>
      <c r="K2300" s="101"/>
      <c r="L2300" s="87">
        <f>SUM(L2298)</f>
        <v>0</v>
      </c>
    </row>
    <row r="2301" spans="1:12" ht="12" customHeight="1" x14ac:dyDescent="0.35">
      <c r="B2301" s="84" t="s">
        <v>8</v>
      </c>
      <c r="C2301" s="103" t="s">
        <v>426</v>
      </c>
      <c r="D2301" s="104"/>
      <c r="E2301" s="104"/>
      <c r="F2301" s="104"/>
      <c r="G2301" s="105"/>
      <c r="H2301" s="87" t="e">
        <f>H2290+H2296+H2300</f>
        <v>#REF!</v>
      </c>
      <c r="I2301" s="105"/>
      <c r="J2301" s="87" t="e">
        <f>J2290+J2296+J2300</f>
        <v>#REF!</v>
      </c>
      <c r="K2301" s="105"/>
      <c r="L2301" s="87" t="e">
        <f>L2290+L2296+L2300</f>
        <v>#REF!</v>
      </c>
    </row>
    <row r="2302" spans="1:12" ht="12" customHeight="1" x14ac:dyDescent="0.35">
      <c r="B2302" s="84" t="s">
        <v>9</v>
      </c>
      <c r="C2302" s="455" t="s">
        <v>427</v>
      </c>
      <c r="D2302" s="455"/>
      <c r="E2302" s="455"/>
      <c r="F2302" s="95" t="str">
        <f>OP</f>
        <v>TANJUNG PALAS TENGAH</v>
      </c>
      <c r="G2302" s="85" t="s">
        <v>428</v>
      </c>
      <c r="H2302" s="87" t="e">
        <f>H2301*F2302</f>
        <v>#REF!</v>
      </c>
      <c r="I2302" s="85" t="s">
        <v>428</v>
      </c>
      <c r="J2302" s="87" t="e">
        <f>J2301*F2302</f>
        <v>#REF!</v>
      </c>
      <c r="K2302" s="85" t="s">
        <v>428</v>
      </c>
      <c r="L2302" s="87" t="e">
        <f>L2301*F2302</f>
        <v>#REF!</v>
      </c>
    </row>
    <row r="2303" spans="1:12" ht="12" customHeight="1" x14ac:dyDescent="0.35">
      <c r="B2303" s="84" t="s">
        <v>10</v>
      </c>
      <c r="C2303" s="103" t="s">
        <v>429</v>
      </c>
      <c r="D2303" s="104"/>
      <c r="E2303" s="104"/>
      <c r="F2303" s="104"/>
      <c r="G2303" s="105"/>
      <c r="H2303" s="96" t="e">
        <f>H2301+H2302</f>
        <v>#REF!</v>
      </c>
      <c r="I2303" s="97"/>
      <c r="J2303" s="96" t="e">
        <f>J2301+J2302</f>
        <v>#REF!</v>
      </c>
      <c r="K2303" s="97"/>
      <c r="L2303" s="96" t="e">
        <f>L2301+L2302</f>
        <v>#REF!</v>
      </c>
    </row>
    <row r="2305" spans="1:12" ht="37" customHeight="1" x14ac:dyDescent="0.35">
      <c r="B2305" s="76" t="s">
        <v>689</v>
      </c>
      <c r="C2305" s="458" t="s">
        <v>693</v>
      </c>
      <c r="D2305" s="459"/>
      <c r="E2305" s="459"/>
      <c r="F2305" s="459"/>
      <c r="G2305" s="456"/>
      <c r="H2305" s="457"/>
      <c r="I2305" s="455" t="s">
        <v>3</v>
      </c>
      <c r="J2305" s="455"/>
      <c r="K2305" s="455" t="s">
        <v>4</v>
      </c>
      <c r="L2305" s="455"/>
    </row>
    <row r="2306" spans="1:12" ht="12" customHeight="1" x14ac:dyDescent="0.35">
      <c r="B2306" s="451" t="s">
        <v>409</v>
      </c>
      <c r="C2306" s="451" t="s">
        <v>410</v>
      </c>
      <c r="D2306" s="452" t="s">
        <v>411</v>
      </c>
      <c r="E2306" s="451" t="s">
        <v>412</v>
      </c>
      <c r="F2306" s="451" t="s">
        <v>413</v>
      </c>
      <c r="G2306" s="77" t="s">
        <v>414</v>
      </c>
      <c r="H2306" s="77" t="s">
        <v>415</v>
      </c>
      <c r="I2306" s="78" t="s">
        <v>414</v>
      </c>
      <c r="J2306" s="79" t="s">
        <v>415</v>
      </c>
      <c r="K2306" s="79" t="s">
        <v>414</v>
      </c>
      <c r="L2306" s="79" t="s">
        <v>415</v>
      </c>
    </row>
    <row r="2307" spans="1:12" ht="12" customHeight="1" x14ac:dyDescent="0.35">
      <c r="B2307" s="451"/>
      <c r="C2307" s="451"/>
      <c r="D2307" s="453"/>
      <c r="E2307" s="451"/>
      <c r="F2307" s="451"/>
      <c r="G2307" s="77" t="s">
        <v>17</v>
      </c>
      <c r="H2307" s="77" t="s">
        <v>416</v>
      </c>
      <c r="I2307" s="78" t="s">
        <v>17</v>
      </c>
      <c r="J2307" s="79" t="s">
        <v>416</v>
      </c>
      <c r="K2307" s="79" t="s">
        <v>17</v>
      </c>
      <c r="L2307" s="79" t="s">
        <v>416</v>
      </c>
    </row>
    <row r="2308" spans="1:12" ht="12" customHeight="1" x14ac:dyDescent="0.35">
      <c r="B2308" s="451"/>
      <c r="C2308" s="451"/>
      <c r="D2308" s="454"/>
      <c r="E2308" s="451"/>
      <c r="F2308" s="451"/>
      <c r="G2308" s="106"/>
      <c r="H2308" s="77" t="s">
        <v>17</v>
      </c>
      <c r="I2308" s="94"/>
      <c r="J2308" s="79" t="s">
        <v>17</v>
      </c>
      <c r="K2308" s="85"/>
      <c r="L2308" s="79" t="s">
        <v>17</v>
      </c>
    </row>
    <row r="2309" spans="1:12" ht="12" customHeight="1" x14ac:dyDescent="0.35">
      <c r="B2309" s="80" t="s">
        <v>5</v>
      </c>
      <c r="C2309" s="81" t="s">
        <v>417</v>
      </c>
      <c r="D2309" s="82"/>
      <c r="E2309" s="82"/>
      <c r="F2309" s="82"/>
      <c r="G2309" s="82"/>
      <c r="H2309" s="82"/>
      <c r="I2309" s="83"/>
      <c r="J2309" s="83"/>
      <c r="K2309" s="83"/>
      <c r="L2309" s="83"/>
    </row>
    <row r="2310" spans="1:12" ht="12" customHeight="1" x14ac:dyDescent="0.35">
      <c r="A2310" s="134">
        <v>10130000</v>
      </c>
      <c r="B2310" s="84"/>
      <c r="C2310" s="85" t="str">
        <f>VLOOKUP(A2310,'DAFTAR HARGA'!A:D,3,FALSE)</f>
        <v>OH</v>
      </c>
      <c r="D2310" s="84" t="s">
        <v>418</v>
      </c>
      <c r="E2310" s="84">
        <f>VLOOKUP(A2310,'DAFTAR HARGA'!A:D,4,FALSE)</f>
        <v>115000</v>
      </c>
      <c r="F2310" s="128">
        <v>0.74170000000000003</v>
      </c>
      <c r="G2310" s="87" t="e">
        <f>VLOOKUP(A2310,'DAFTAR HARGA'!A:D,5,FALSE)</f>
        <v>#REF!</v>
      </c>
      <c r="H2310" s="87" t="e">
        <f>F2310*G2310</f>
        <v>#REF!</v>
      </c>
      <c r="I2310" s="87">
        <v>91500</v>
      </c>
      <c r="J2310" s="87">
        <f>F2310*I2310</f>
        <v>67865.55</v>
      </c>
      <c r="K2310" s="87">
        <v>91500</v>
      </c>
      <c r="L2310" s="87">
        <f>F2310*K2310</f>
        <v>67865.55</v>
      </c>
    </row>
    <row r="2311" spans="1:12" ht="12" customHeight="1" x14ac:dyDescent="0.35">
      <c r="A2311" s="134">
        <v>10143000</v>
      </c>
      <c r="B2311" s="84"/>
      <c r="C2311" s="85" t="str">
        <f>VLOOKUP(A2311,'DAFTAR HARGA'!A:D,3,FALSE)</f>
        <v>OH</v>
      </c>
      <c r="D2311" s="84" t="s">
        <v>418</v>
      </c>
      <c r="E2311" s="84">
        <f>VLOOKUP(A2311,'DAFTAR HARGA'!A:D,4,FALSE)</f>
        <v>236600</v>
      </c>
      <c r="F2311" s="128">
        <v>0.37090000000000001</v>
      </c>
      <c r="G2311" s="87" t="e">
        <f>VLOOKUP(A2311,'DAFTAR HARGA'!A:D,5,FALSE)</f>
        <v>#REF!</v>
      </c>
      <c r="H2311" s="87" t="e">
        <f>F2311*G2311</f>
        <v>#REF!</v>
      </c>
      <c r="I2311" s="87"/>
      <c r="J2311" s="87"/>
      <c r="K2311" s="87"/>
      <c r="L2311" s="87"/>
    </row>
    <row r="2312" spans="1:12" ht="12" customHeight="1" x14ac:dyDescent="0.35">
      <c r="A2312" s="134">
        <v>10110000</v>
      </c>
      <c r="B2312" s="84"/>
      <c r="C2312" s="85" t="str">
        <f>VLOOKUP(A2312,'DAFTAR HARGA'!A:D,3,FALSE)</f>
        <v>OH</v>
      </c>
      <c r="D2312" s="84" t="s">
        <v>418</v>
      </c>
      <c r="E2312" s="84">
        <f>VLOOKUP(A2312,'DAFTAR HARGA'!A:D,4,FALSE)</f>
        <v>150000</v>
      </c>
      <c r="F2312" s="128">
        <f>F2310/10</f>
        <v>7.417E-2</v>
      </c>
      <c r="G2312" s="87" t="e">
        <f>VLOOKUP(A2312,'DAFTAR HARGA'!A:D,5,FALSE)</f>
        <v>#REF!</v>
      </c>
      <c r="H2312" s="87" t="e">
        <f>F2312*G2312</f>
        <v>#REF!</v>
      </c>
      <c r="I2312" s="87">
        <v>78600</v>
      </c>
      <c r="J2312" s="87">
        <f>F2312*I2312</f>
        <v>5829.7619999999997</v>
      </c>
      <c r="K2312" s="87">
        <v>78600</v>
      </c>
      <c r="L2312" s="87">
        <f>F2312*K2312</f>
        <v>5829.7619999999997</v>
      </c>
    </row>
    <row r="2313" spans="1:12" ht="12" customHeight="1" x14ac:dyDescent="0.35">
      <c r="B2313" s="84"/>
      <c r="C2313" s="85"/>
      <c r="D2313" s="84"/>
      <c r="E2313" s="84"/>
      <c r="F2313" s="86"/>
      <c r="G2313" s="87"/>
      <c r="H2313" s="87">
        <f>F2313*G2313</f>
        <v>0</v>
      </c>
      <c r="I2313" s="87">
        <v>92500</v>
      </c>
      <c r="J2313" s="87">
        <f>F2313*I2313</f>
        <v>0</v>
      </c>
      <c r="K2313" s="87">
        <v>92500</v>
      </c>
      <c r="L2313" s="87">
        <f>F2313*K2313</f>
        <v>0</v>
      </c>
    </row>
    <row r="2314" spans="1:12" ht="12" customHeight="1" x14ac:dyDescent="0.35">
      <c r="B2314" s="84"/>
      <c r="C2314" s="85"/>
      <c r="D2314" s="84"/>
      <c r="E2314" s="84"/>
      <c r="F2314" s="86"/>
      <c r="G2314" s="87"/>
      <c r="H2314" s="87"/>
      <c r="I2314" s="87"/>
      <c r="J2314" s="87"/>
      <c r="K2314" s="87"/>
      <c r="L2314" s="87"/>
    </row>
    <row r="2315" spans="1:12" ht="12" customHeight="1" x14ac:dyDescent="0.35">
      <c r="B2315" s="84"/>
      <c r="C2315" s="88"/>
      <c r="D2315" s="79"/>
      <c r="E2315" s="79"/>
      <c r="F2315" s="89" t="s">
        <v>421</v>
      </c>
      <c r="G2315" s="101"/>
      <c r="H2315" s="87" t="e">
        <f>SUM(H2310:H2314)</f>
        <v>#REF!</v>
      </c>
      <c r="I2315" s="101"/>
      <c r="J2315" s="87">
        <f>SUM(J2312:J2314)</f>
        <v>5829.7619999999997</v>
      </c>
      <c r="K2315" s="101"/>
      <c r="L2315" s="87">
        <f>SUM(L2312:L2314)</f>
        <v>5829.7619999999997</v>
      </c>
    </row>
    <row r="2316" spans="1:12" ht="12" customHeight="1" x14ac:dyDescent="0.35">
      <c r="B2316" s="84" t="s">
        <v>6</v>
      </c>
      <c r="C2316" s="88" t="s">
        <v>422</v>
      </c>
      <c r="D2316" s="79"/>
      <c r="E2316" s="79"/>
      <c r="F2316" s="90"/>
      <c r="G2316" s="84"/>
      <c r="H2316" s="87"/>
      <c r="I2316" s="84"/>
      <c r="J2316" s="87"/>
      <c r="K2316" s="84"/>
      <c r="L2316" s="87"/>
    </row>
    <row r="2317" spans="1:12" ht="12" customHeight="1" x14ac:dyDescent="0.35">
      <c r="A2317" s="134">
        <v>211100102</v>
      </c>
      <c r="B2317" s="84"/>
      <c r="C2317" s="85" t="str">
        <f>VLOOKUP(A2317,'DAFTAR HARGA'!A:D,3,FALSE)</f>
        <v>m³</v>
      </c>
      <c r="D2317" s="84" t="s">
        <v>418</v>
      </c>
      <c r="E2317" s="84">
        <f>VLOOKUP(A2317,'DAFTAR HARGA'!A:D,4,FALSE)</f>
        <v>236600</v>
      </c>
      <c r="F2317" s="128">
        <v>1.2</v>
      </c>
      <c r="G2317" s="87" t="e">
        <f>VLOOKUP(A2317,'DAFTAR HARGA'!A:D,5,FALSE)</f>
        <v>#REF!</v>
      </c>
      <c r="H2317" s="87" t="e">
        <f>F2317*G2317</f>
        <v>#REF!</v>
      </c>
      <c r="I2317" s="87">
        <v>232500</v>
      </c>
      <c r="J2317" s="87">
        <f>F2317*I2317</f>
        <v>279000</v>
      </c>
      <c r="K2317" s="87">
        <v>270000</v>
      </c>
      <c r="L2317" s="87">
        <f>F2317*K2317</f>
        <v>324000</v>
      </c>
    </row>
    <row r="2318" spans="1:12" ht="12" customHeight="1" x14ac:dyDescent="0.35">
      <c r="B2318" s="84"/>
      <c r="C2318" s="85"/>
      <c r="D2318" s="84"/>
      <c r="E2318" s="84"/>
      <c r="F2318" s="128"/>
      <c r="G2318" s="87"/>
      <c r="H2318" s="87">
        <f>F2318*G2318</f>
        <v>0</v>
      </c>
      <c r="I2318" s="87">
        <v>1060</v>
      </c>
      <c r="J2318" s="87">
        <f>F2318*I2318</f>
        <v>0</v>
      </c>
      <c r="K2318" s="87">
        <v>1060</v>
      </c>
      <c r="L2318" s="87">
        <f>F2318*K2318</f>
        <v>0</v>
      </c>
    </row>
    <row r="2319" spans="1:12" ht="12" customHeight="1" x14ac:dyDescent="0.35">
      <c r="B2319" s="84"/>
      <c r="C2319" s="85"/>
      <c r="D2319" s="84"/>
      <c r="E2319" s="84"/>
      <c r="F2319" s="128"/>
      <c r="G2319" s="87"/>
      <c r="H2319" s="87">
        <f>F2319*G2319</f>
        <v>0</v>
      </c>
      <c r="I2319" s="87">
        <v>215000</v>
      </c>
      <c r="J2319" s="87">
        <f>F2319*I2319</f>
        <v>0</v>
      </c>
      <c r="K2319" s="87">
        <v>250000</v>
      </c>
      <c r="L2319" s="87">
        <f>F2319*K2319</f>
        <v>0</v>
      </c>
    </row>
    <row r="2320" spans="1:12" ht="12" customHeight="1" x14ac:dyDescent="0.35">
      <c r="B2320" s="84"/>
      <c r="C2320" s="85"/>
      <c r="D2320" s="84"/>
      <c r="E2320" s="84"/>
      <c r="F2320" s="128"/>
      <c r="G2320" s="87"/>
      <c r="H2320" s="87"/>
      <c r="I2320" s="87"/>
      <c r="J2320" s="87"/>
      <c r="K2320" s="87"/>
      <c r="L2320" s="87"/>
    </row>
    <row r="2321" spans="1:12" ht="12" customHeight="1" x14ac:dyDescent="0.35">
      <c r="B2321" s="84"/>
      <c r="C2321" s="88"/>
      <c r="D2321" s="79"/>
      <c r="E2321" s="79"/>
      <c r="F2321" s="129" t="s">
        <v>423</v>
      </c>
      <c r="G2321" s="129"/>
      <c r="H2321" s="87" t="e">
        <f>SUM(H2317:H2320)</f>
        <v>#REF!</v>
      </c>
      <c r="I2321" s="101"/>
      <c r="J2321" s="87" t="e">
        <f>SUM(#REF!)</f>
        <v>#REF!</v>
      </c>
      <c r="K2321" s="101"/>
      <c r="L2321" s="87" t="e">
        <f>SUM(#REF!)</f>
        <v>#REF!</v>
      </c>
    </row>
    <row r="2322" spans="1:12" ht="12" customHeight="1" x14ac:dyDescent="0.35">
      <c r="B2322" s="84" t="s">
        <v>7</v>
      </c>
      <c r="C2322" s="88" t="s">
        <v>424</v>
      </c>
      <c r="D2322" s="79"/>
      <c r="E2322" s="79"/>
      <c r="F2322" s="90"/>
      <c r="G2322" s="84"/>
      <c r="H2322" s="87"/>
      <c r="I2322" s="84"/>
      <c r="J2322" s="87"/>
      <c r="K2322" s="84"/>
      <c r="L2322" s="87"/>
    </row>
    <row r="2323" spans="1:12" ht="12" customHeight="1" x14ac:dyDescent="0.35">
      <c r="B2323" s="84"/>
      <c r="C2323" s="85"/>
      <c r="D2323" s="84"/>
      <c r="E2323" s="84"/>
      <c r="F2323" s="128"/>
      <c r="G2323" s="87"/>
      <c r="H2323" s="87">
        <f>F2323*G2323</f>
        <v>0</v>
      </c>
      <c r="I2323" s="87"/>
      <c r="J2323" s="87">
        <f>H2323*I2323</f>
        <v>0</v>
      </c>
      <c r="K2323" s="87"/>
      <c r="L2323" s="87">
        <f>J2323*K2323</f>
        <v>0</v>
      </c>
    </row>
    <row r="2324" spans="1:12" ht="12" customHeight="1" x14ac:dyDescent="0.35">
      <c r="B2324" s="84"/>
      <c r="C2324" s="85"/>
      <c r="D2324" s="84"/>
      <c r="E2324" s="84"/>
      <c r="F2324" s="128"/>
      <c r="G2324" s="87"/>
      <c r="H2324" s="87">
        <f>F2324*G2324</f>
        <v>0</v>
      </c>
      <c r="I2324" s="87"/>
      <c r="J2324" s="87"/>
      <c r="K2324" s="87"/>
      <c r="L2324" s="87"/>
    </row>
    <row r="2325" spans="1:12" ht="12" customHeight="1" x14ac:dyDescent="0.35">
      <c r="B2325" s="84"/>
      <c r="C2325" s="88"/>
      <c r="D2325" s="79"/>
      <c r="E2325" s="79"/>
      <c r="F2325" s="89" t="s">
        <v>425</v>
      </c>
      <c r="G2325" s="101"/>
      <c r="H2325" s="87">
        <f>SUM(H2323:H2324)</f>
        <v>0</v>
      </c>
      <c r="I2325" s="101"/>
      <c r="J2325" s="87">
        <f>SUM(J2323)</f>
        <v>0</v>
      </c>
      <c r="K2325" s="101"/>
      <c r="L2325" s="87">
        <f>SUM(L2323)</f>
        <v>0</v>
      </c>
    </row>
    <row r="2326" spans="1:12" ht="12" customHeight="1" x14ac:dyDescent="0.35">
      <c r="B2326" s="84" t="s">
        <v>8</v>
      </c>
      <c r="C2326" s="103" t="s">
        <v>426</v>
      </c>
      <c r="D2326" s="104"/>
      <c r="E2326" s="104"/>
      <c r="F2326" s="104"/>
      <c r="G2326" s="105"/>
      <c r="H2326" s="87" t="e">
        <f>H2315+H2321+H2325</f>
        <v>#REF!</v>
      </c>
      <c r="I2326" s="105"/>
      <c r="J2326" s="87" t="e">
        <f>J2315+J2321+J2325</f>
        <v>#REF!</v>
      </c>
      <c r="K2326" s="105"/>
      <c r="L2326" s="87" t="e">
        <f>L2315+L2321+L2325</f>
        <v>#REF!</v>
      </c>
    </row>
    <row r="2327" spans="1:12" ht="12" customHeight="1" x14ac:dyDescent="0.35">
      <c r="B2327" s="84" t="s">
        <v>9</v>
      </c>
      <c r="C2327" s="455" t="s">
        <v>427</v>
      </c>
      <c r="D2327" s="455"/>
      <c r="E2327" s="455"/>
      <c r="F2327" s="95" t="str">
        <f>OP</f>
        <v>TANJUNG PALAS TENGAH</v>
      </c>
      <c r="G2327" s="85" t="s">
        <v>428</v>
      </c>
      <c r="H2327" s="87" t="e">
        <f>H2326*F2327</f>
        <v>#REF!</v>
      </c>
      <c r="I2327" s="85" t="s">
        <v>428</v>
      </c>
      <c r="J2327" s="87" t="e">
        <f>J2326*F2327</f>
        <v>#REF!</v>
      </c>
      <c r="K2327" s="85" t="s">
        <v>428</v>
      </c>
      <c r="L2327" s="87" t="e">
        <f>L2326*F2327</f>
        <v>#REF!</v>
      </c>
    </row>
    <row r="2328" spans="1:12" ht="12" customHeight="1" x14ac:dyDescent="0.35">
      <c r="B2328" s="84" t="s">
        <v>10</v>
      </c>
      <c r="C2328" s="103" t="s">
        <v>429</v>
      </c>
      <c r="D2328" s="104"/>
      <c r="E2328" s="104"/>
      <c r="F2328" s="104"/>
      <c r="G2328" s="105"/>
      <c r="H2328" s="96" t="e">
        <f>H2326+H2327</f>
        <v>#REF!</v>
      </c>
      <c r="I2328" s="97"/>
      <c r="J2328" s="96" t="e">
        <f>J2326+J2327</f>
        <v>#REF!</v>
      </c>
      <c r="K2328" s="97"/>
      <c r="L2328" s="96" t="e">
        <f>L2326+L2327</f>
        <v>#REF!</v>
      </c>
    </row>
    <row r="2330" spans="1:12" ht="37" customHeight="1" x14ac:dyDescent="0.35">
      <c r="B2330" s="76" t="s">
        <v>701</v>
      </c>
      <c r="C2330" s="458" t="s">
        <v>698</v>
      </c>
      <c r="D2330" s="459"/>
      <c r="E2330" s="459"/>
      <c r="F2330" s="459"/>
      <c r="G2330" s="456"/>
      <c r="H2330" s="457"/>
      <c r="I2330" s="455" t="s">
        <v>3</v>
      </c>
      <c r="J2330" s="455"/>
      <c r="K2330" s="455" t="s">
        <v>4</v>
      </c>
      <c r="L2330" s="455"/>
    </row>
    <row r="2331" spans="1:12" ht="12" customHeight="1" x14ac:dyDescent="0.35">
      <c r="B2331" s="451" t="s">
        <v>409</v>
      </c>
      <c r="C2331" s="451" t="s">
        <v>410</v>
      </c>
      <c r="D2331" s="452" t="s">
        <v>411</v>
      </c>
      <c r="E2331" s="451" t="s">
        <v>412</v>
      </c>
      <c r="F2331" s="451" t="s">
        <v>413</v>
      </c>
      <c r="G2331" s="77" t="s">
        <v>414</v>
      </c>
      <c r="H2331" s="77" t="s">
        <v>415</v>
      </c>
      <c r="I2331" s="78" t="s">
        <v>414</v>
      </c>
      <c r="J2331" s="79" t="s">
        <v>415</v>
      </c>
      <c r="K2331" s="79" t="s">
        <v>414</v>
      </c>
      <c r="L2331" s="79" t="s">
        <v>415</v>
      </c>
    </row>
    <row r="2332" spans="1:12" ht="12" customHeight="1" x14ac:dyDescent="0.35">
      <c r="B2332" s="451"/>
      <c r="C2332" s="451"/>
      <c r="D2332" s="453"/>
      <c r="E2332" s="451"/>
      <c r="F2332" s="451"/>
      <c r="G2332" s="77" t="s">
        <v>17</v>
      </c>
      <c r="H2332" s="77" t="s">
        <v>416</v>
      </c>
      <c r="I2332" s="78" t="s">
        <v>17</v>
      </c>
      <c r="J2332" s="79" t="s">
        <v>416</v>
      </c>
      <c r="K2332" s="79" t="s">
        <v>17</v>
      </c>
      <c r="L2332" s="79" t="s">
        <v>416</v>
      </c>
    </row>
    <row r="2333" spans="1:12" ht="12" customHeight="1" x14ac:dyDescent="0.35">
      <c r="B2333" s="451"/>
      <c r="C2333" s="451"/>
      <c r="D2333" s="454"/>
      <c r="E2333" s="451"/>
      <c r="F2333" s="451"/>
      <c r="G2333" s="106"/>
      <c r="H2333" s="77" t="s">
        <v>17</v>
      </c>
      <c r="I2333" s="94"/>
      <c r="J2333" s="79" t="s">
        <v>17</v>
      </c>
      <c r="K2333" s="85"/>
      <c r="L2333" s="79" t="s">
        <v>17</v>
      </c>
    </row>
    <row r="2334" spans="1:12" ht="12" customHeight="1" x14ac:dyDescent="0.35">
      <c r="B2334" s="80" t="s">
        <v>5</v>
      </c>
      <c r="C2334" s="81" t="s">
        <v>417</v>
      </c>
      <c r="D2334" s="82"/>
      <c r="E2334" s="82"/>
      <c r="F2334" s="82"/>
      <c r="G2334" s="82"/>
      <c r="H2334" s="82"/>
      <c r="I2334" s="83"/>
      <c r="J2334" s="83"/>
      <c r="K2334" s="83"/>
      <c r="L2334" s="83"/>
    </row>
    <row r="2335" spans="1:12" ht="12" customHeight="1" x14ac:dyDescent="0.35">
      <c r="A2335" s="134">
        <v>10130000</v>
      </c>
      <c r="B2335" s="84"/>
      <c r="C2335" s="85" t="str">
        <f>VLOOKUP(A2335,'DAFTAR HARGA'!A:D,3,FALSE)</f>
        <v>OH</v>
      </c>
      <c r="D2335" s="84" t="s">
        <v>418</v>
      </c>
      <c r="E2335" s="84">
        <f>VLOOKUP(A2335,'DAFTAR HARGA'!A:D,4,FALSE)</f>
        <v>115000</v>
      </c>
      <c r="F2335" s="128">
        <v>0.36</v>
      </c>
      <c r="G2335" s="87" t="e">
        <f>VLOOKUP(A2335,'DAFTAR HARGA'!A:D,5,FALSE)</f>
        <v>#REF!</v>
      </c>
      <c r="H2335" s="87" t="e">
        <f>F2335*G2335</f>
        <v>#REF!</v>
      </c>
      <c r="I2335" s="87">
        <v>91500</v>
      </c>
      <c r="J2335" s="87">
        <f>F2335*I2335</f>
        <v>32940</v>
      </c>
      <c r="K2335" s="87">
        <v>91500</v>
      </c>
      <c r="L2335" s="87">
        <f>F2335*K2335</f>
        <v>32940</v>
      </c>
    </row>
    <row r="2336" spans="1:12" ht="12" customHeight="1" x14ac:dyDescent="0.35">
      <c r="A2336" s="134">
        <v>10143000</v>
      </c>
      <c r="B2336" s="84"/>
      <c r="C2336" s="85" t="str">
        <f>VLOOKUP(A2336,'DAFTAR HARGA'!A:D,3,FALSE)</f>
        <v>OH</v>
      </c>
      <c r="D2336" s="84" t="s">
        <v>418</v>
      </c>
      <c r="E2336" s="84">
        <f>VLOOKUP(A2336,'DAFTAR HARGA'!A:D,4,FALSE)</f>
        <v>236600</v>
      </c>
      <c r="F2336" s="128">
        <v>0.12</v>
      </c>
      <c r="G2336" s="87" t="e">
        <f>VLOOKUP(A2336,'DAFTAR HARGA'!A:D,5,FALSE)</f>
        <v>#REF!</v>
      </c>
      <c r="H2336" s="87" t="e">
        <f>F2336*G2336</f>
        <v>#REF!</v>
      </c>
      <c r="I2336" s="87"/>
      <c r="J2336" s="87"/>
      <c r="K2336" s="87"/>
      <c r="L2336" s="87"/>
    </row>
    <row r="2337" spans="1:12" ht="12" customHeight="1" x14ac:dyDescent="0.35">
      <c r="A2337" s="134">
        <v>10110000</v>
      </c>
      <c r="B2337" s="84"/>
      <c r="C2337" s="85" t="str">
        <f>VLOOKUP(A2337,'DAFTAR HARGA'!A:D,3,FALSE)</f>
        <v>OH</v>
      </c>
      <c r="D2337" s="84" t="s">
        <v>418</v>
      </c>
      <c r="E2337" s="84">
        <f>VLOOKUP(A2337,'DAFTAR HARGA'!A:D,4,FALSE)</f>
        <v>150000</v>
      </c>
      <c r="F2337" s="128">
        <f>F2335/10</f>
        <v>3.5999999999999997E-2</v>
      </c>
      <c r="G2337" s="87" t="e">
        <f>VLOOKUP(A2337,'DAFTAR HARGA'!A:D,5,FALSE)</f>
        <v>#REF!</v>
      </c>
      <c r="H2337" s="87" t="e">
        <f>F2337*G2337</f>
        <v>#REF!</v>
      </c>
      <c r="I2337" s="87">
        <v>78600</v>
      </c>
      <c r="J2337" s="87">
        <f>F2337*I2337</f>
        <v>2829.6</v>
      </c>
      <c r="K2337" s="87">
        <v>78600</v>
      </c>
      <c r="L2337" s="87">
        <f>F2337*K2337</f>
        <v>2829.6</v>
      </c>
    </row>
    <row r="2338" spans="1:12" ht="12" customHeight="1" x14ac:dyDescent="0.35">
      <c r="B2338" s="84"/>
      <c r="C2338" s="85"/>
      <c r="D2338" s="84"/>
      <c r="E2338" s="84"/>
      <c r="F2338" s="86"/>
      <c r="G2338" s="87"/>
      <c r="H2338" s="87">
        <f>F2338*G2338</f>
        <v>0</v>
      </c>
      <c r="I2338" s="87">
        <v>92500</v>
      </c>
      <c r="J2338" s="87">
        <f>F2338*I2338</f>
        <v>0</v>
      </c>
      <c r="K2338" s="87">
        <v>92500</v>
      </c>
      <c r="L2338" s="87">
        <f>F2338*K2338</f>
        <v>0</v>
      </c>
    </row>
    <row r="2339" spans="1:12" ht="12" customHeight="1" x14ac:dyDescent="0.35">
      <c r="B2339" s="84"/>
      <c r="C2339" s="85"/>
      <c r="D2339" s="84"/>
      <c r="E2339" s="84"/>
      <c r="F2339" s="86"/>
      <c r="G2339" s="87"/>
      <c r="H2339" s="87"/>
      <c r="I2339" s="87"/>
      <c r="J2339" s="87"/>
      <c r="K2339" s="87"/>
      <c r="L2339" s="87"/>
    </row>
    <row r="2340" spans="1:12" ht="12" customHeight="1" x14ac:dyDescent="0.35">
      <c r="B2340" s="84"/>
      <c r="C2340" s="88"/>
      <c r="D2340" s="79"/>
      <c r="E2340" s="79"/>
      <c r="F2340" s="89" t="s">
        <v>421</v>
      </c>
      <c r="G2340" s="101"/>
      <c r="H2340" s="87" t="e">
        <f>SUM(H2335:H2339)</f>
        <v>#REF!</v>
      </c>
      <c r="I2340" s="101"/>
      <c r="J2340" s="87">
        <f>SUM(J2337:J2339)</f>
        <v>2829.6</v>
      </c>
      <c r="K2340" s="101"/>
      <c r="L2340" s="87">
        <f>SUM(L2337:L2339)</f>
        <v>2829.6</v>
      </c>
    </row>
    <row r="2341" spans="1:12" ht="12" customHeight="1" x14ac:dyDescent="0.35">
      <c r="B2341" s="84" t="s">
        <v>6</v>
      </c>
      <c r="C2341" s="88" t="s">
        <v>422</v>
      </c>
      <c r="D2341" s="79"/>
      <c r="E2341" s="79"/>
      <c r="F2341" s="90"/>
      <c r="G2341" s="84"/>
      <c r="H2341" s="87"/>
      <c r="I2341" s="84"/>
      <c r="J2341" s="87"/>
      <c r="K2341" s="84"/>
      <c r="L2341" s="87"/>
    </row>
    <row r="2342" spans="1:12" ht="12" customHeight="1" x14ac:dyDescent="0.35">
      <c r="A2342" s="134">
        <v>211100102</v>
      </c>
      <c r="B2342" s="84"/>
      <c r="C2342" s="85" t="str">
        <f>VLOOKUP(A2342,'DAFTAR HARGA'!A:D,3,FALSE)</f>
        <v>m³</v>
      </c>
      <c r="D2342" s="84" t="s">
        <v>418</v>
      </c>
      <c r="E2342" s="84">
        <f>VLOOKUP(A2342,'DAFTAR HARGA'!A:D,4,FALSE)</f>
        <v>236600</v>
      </c>
      <c r="F2342" s="128">
        <v>1.3</v>
      </c>
      <c r="G2342" s="87" t="e">
        <f>VLOOKUP(A2342,'DAFTAR HARGA'!A:D,5,FALSE)</f>
        <v>#REF!</v>
      </c>
      <c r="H2342" s="87" t="e">
        <f>F2342*G2342</f>
        <v>#REF!</v>
      </c>
      <c r="I2342" s="87">
        <v>232500</v>
      </c>
      <c r="J2342" s="87">
        <f>F2342*I2342</f>
        <v>302250</v>
      </c>
      <c r="K2342" s="87">
        <v>270000</v>
      </c>
      <c r="L2342" s="87">
        <f>F2342*K2342</f>
        <v>351000</v>
      </c>
    </row>
    <row r="2343" spans="1:12" ht="12" customHeight="1" x14ac:dyDescent="0.35">
      <c r="A2343" s="134">
        <v>21905011</v>
      </c>
      <c r="B2343" s="84"/>
      <c r="C2343" s="85" t="str">
        <f>VLOOKUP(A2343,'DAFTAR HARGA'!A:D,3,FALSE)</f>
        <v>lembar</v>
      </c>
      <c r="D2343" s="84" t="s">
        <v>418</v>
      </c>
      <c r="E2343" s="84">
        <f>VLOOKUP(A2343,'DAFTAR HARGA'!A:D,4,FALSE)</f>
        <v>275000</v>
      </c>
      <c r="F2343" s="128">
        <v>1</v>
      </c>
      <c r="G2343" s="87" t="e">
        <f>VLOOKUP(A2343,'DAFTAR HARGA'!A:D,5,FALSE)</f>
        <v>#REF!</v>
      </c>
      <c r="H2343" s="87" t="e">
        <f>F2343*G2343</f>
        <v>#REF!</v>
      </c>
      <c r="I2343" s="87">
        <v>1060</v>
      </c>
      <c r="J2343" s="87">
        <f>F2343*I2343</f>
        <v>1060</v>
      </c>
      <c r="K2343" s="87">
        <v>1060</v>
      </c>
      <c r="L2343" s="87">
        <f>F2343*K2343</f>
        <v>1060</v>
      </c>
    </row>
    <row r="2344" spans="1:12" ht="12" customHeight="1" x14ac:dyDescent="0.35">
      <c r="A2344" s="134">
        <v>211100113</v>
      </c>
      <c r="B2344" s="84"/>
      <c r="C2344" s="130" t="str">
        <f>VLOOKUP(A2344,'DAFTAR HARGA'!A:D,3,FALSE)</f>
        <v>m³</v>
      </c>
      <c r="D2344" s="131" t="s">
        <v>418</v>
      </c>
      <c r="E2344" s="131">
        <f>VLOOKUP(A2344,'DAFTAR HARGA'!A:D,4,FALSE)</f>
        <v>217500</v>
      </c>
      <c r="F2344" s="132">
        <v>0.432</v>
      </c>
      <c r="G2344" s="133" t="e">
        <f>VLOOKUP(A2344,'DAFTAR HARGA'!A:D,5,FALSE)</f>
        <v>#REF!</v>
      </c>
      <c r="H2344" s="133" t="e">
        <f>F2344*G2344</f>
        <v>#REF!</v>
      </c>
      <c r="I2344" s="87">
        <v>215000</v>
      </c>
      <c r="J2344" s="87">
        <f>F2344*I2344</f>
        <v>92880</v>
      </c>
      <c r="K2344" s="87">
        <v>250000</v>
      </c>
      <c r="L2344" s="87">
        <f>F2344*K2344</f>
        <v>108000</v>
      </c>
    </row>
    <row r="2345" spans="1:12" ht="12" customHeight="1" x14ac:dyDescent="0.35">
      <c r="B2345" s="84"/>
      <c r="C2345" s="85"/>
      <c r="D2345" s="84"/>
      <c r="E2345" s="84"/>
      <c r="F2345" s="128"/>
      <c r="G2345" s="87"/>
      <c r="H2345" s="87"/>
      <c r="I2345" s="87"/>
      <c r="J2345" s="87"/>
      <c r="K2345" s="87"/>
      <c r="L2345" s="87"/>
    </row>
    <row r="2346" spans="1:12" ht="12" customHeight="1" x14ac:dyDescent="0.35">
      <c r="B2346" s="84"/>
      <c r="C2346" s="88"/>
      <c r="D2346" s="79"/>
      <c r="E2346" s="79"/>
      <c r="F2346" s="129" t="s">
        <v>423</v>
      </c>
      <c r="G2346" s="129"/>
      <c r="H2346" s="87" t="e">
        <f>SUM(H2342:H2345)</f>
        <v>#REF!</v>
      </c>
      <c r="I2346" s="101"/>
      <c r="J2346" s="87" t="e">
        <f>SUM(#REF!)</f>
        <v>#REF!</v>
      </c>
      <c r="K2346" s="101"/>
      <c r="L2346" s="87" t="e">
        <f>SUM(#REF!)</f>
        <v>#REF!</v>
      </c>
    </row>
    <row r="2347" spans="1:12" ht="12" customHeight="1" x14ac:dyDescent="0.35">
      <c r="B2347" s="84" t="s">
        <v>7</v>
      </c>
      <c r="C2347" s="88" t="s">
        <v>424</v>
      </c>
      <c r="D2347" s="79"/>
      <c r="E2347" s="79"/>
      <c r="F2347" s="90"/>
      <c r="G2347" s="84"/>
      <c r="H2347" s="87"/>
      <c r="I2347" s="84"/>
      <c r="J2347" s="87"/>
      <c r="K2347" s="84"/>
      <c r="L2347" s="87"/>
    </row>
    <row r="2348" spans="1:12" ht="12" customHeight="1" x14ac:dyDescent="0.35">
      <c r="B2348" s="84"/>
      <c r="C2348" s="85"/>
      <c r="D2348" s="84"/>
      <c r="E2348" s="84"/>
      <c r="F2348" s="128"/>
      <c r="G2348" s="87"/>
      <c r="H2348" s="87">
        <f>F2348*G2348</f>
        <v>0</v>
      </c>
      <c r="I2348" s="87"/>
      <c r="J2348" s="87">
        <f>H2348*I2348</f>
        <v>0</v>
      </c>
      <c r="K2348" s="87"/>
      <c r="L2348" s="87">
        <f>J2348*K2348</f>
        <v>0</v>
      </c>
    </row>
    <row r="2349" spans="1:12" ht="12" customHeight="1" x14ac:dyDescent="0.35">
      <c r="B2349" s="84"/>
      <c r="C2349" s="85"/>
      <c r="D2349" s="84"/>
      <c r="E2349" s="84"/>
      <c r="F2349" s="128"/>
      <c r="G2349" s="87"/>
      <c r="H2349" s="87">
        <f>F2349*G2349</f>
        <v>0</v>
      </c>
      <c r="I2349" s="87"/>
      <c r="J2349" s="87"/>
      <c r="K2349" s="87"/>
      <c r="L2349" s="87"/>
    </row>
    <row r="2350" spans="1:12" ht="12" customHeight="1" x14ac:dyDescent="0.35">
      <c r="B2350" s="84"/>
      <c r="C2350" s="88"/>
      <c r="D2350" s="79"/>
      <c r="E2350" s="79"/>
      <c r="F2350" s="89" t="s">
        <v>425</v>
      </c>
      <c r="G2350" s="101"/>
      <c r="H2350" s="87">
        <f>SUM(H2348:H2349)</f>
        <v>0</v>
      </c>
      <c r="I2350" s="101"/>
      <c r="J2350" s="87">
        <f>SUM(J2348)</f>
        <v>0</v>
      </c>
      <c r="K2350" s="101"/>
      <c r="L2350" s="87">
        <f>SUM(L2348)</f>
        <v>0</v>
      </c>
    </row>
    <row r="2351" spans="1:12" ht="12" customHeight="1" x14ac:dyDescent="0.35">
      <c r="B2351" s="84" t="s">
        <v>8</v>
      </c>
      <c r="C2351" s="103" t="s">
        <v>426</v>
      </c>
      <c r="D2351" s="104"/>
      <c r="E2351" s="104"/>
      <c r="F2351" s="104"/>
      <c r="G2351" s="105"/>
      <c r="H2351" s="87" t="e">
        <f>H2340+H2346+H2350</f>
        <v>#REF!</v>
      </c>
      <c r="I2351" s="105"/>
      <c r="J2351" s="87" t="e">
        <f>J2340+J2346+J2350</f>
        <v>#REF!</v>
      </c>
      <c r="K2351" s="105"/>
      <c r="L2351" s="87" t="e">
        <f>L2340+L2346+L2350</f>
        <v>#REF!</v>
      </c>
    </row>
    <row r="2352" spans="1:12" ht="12" customHeight="1" x14ac:dyDescent="0.35">
      <c r="B2352" s="84" t="s">
        <v>9</v>
      </c>
      <c r="C2352" s="455" t="s">
        <v>427</v>
      </c>
      <c r="D2352" s="455"/>
      <c r="E2352" s="455"/>
      <c r="F2352" s="95" t="str">
        <f>OP</f>
        <v>TANJUNG PALAS TENGAH</v>
      </c>
      <c r="G2352" s="85" t="s">
        <v>428</v>
      </c>
      <c r="H2352" s="87" t="e">
        <f>H2351*F2352</f>
        <v>#REF!</v>
      </c>
      <c r="I2352" s="85" t="s">
        <v>428</v>
      </c>
      <c r="J2352" s="87" t="e">
        <f>J2351*F2352</f>
        <v>#REF!</v>
      </c>
      <c r="K2352" s="85" t="s">
        <v>428</v>
      </c>
      <c r="L2352" s="87" t="e">
        <f>L2351*F2352</f>
        <v>#REF!</v>
      </c>
    </row>
    <row r="2353" spans="1:12" ht="12" customHeight="1" x14ac:dyDescent="0.35">
      <c r="B2353" s="84" t="s">
        <v>10</v>
      </c>
      <c r="C2353" s="103" t="s">
        <v>429</v>
      </c>
      <c r="D2353" s="104"/>
      <c r="E2353" s="104"/>
      <c r="F2353" s="104"/>
      <c r="G2353" s="105"/>
      <c r="H2353" s="96" t="e">
        <f>H2351+H2352</f>
        <v>#REF!</v>
      </c>
      <c r="I2353" s="97"/>
      <c r="J2353" s="96" t="e">
        <f>J2351+J2352</f>
        <v>#REF!</v>
      </c>
      <c r="K2353" s="97"/>
      <c r="L2353" s="96" t="e">
        <f>L2351+L2352</f>
        <v>#REF!</v>
      </c>
    </row>
    <row r="2354" spans="1:12" x14ac:dyDescent="0.35">
      <c r="B2354" s="75" t="s">
        <v>699</v>
      </c>
    </row>
    <row r="2355" spans="1:12" x14ac:dyDescent="0.35">
      <c r="B2355" s="75" t="s">
        <v>700</v>
      </c>
    </row>
    <row r="2357" spans="1:12" ht="37" customHeight="1" x14ac:dyDescent="0.35">
      <c r="B2357" s="76" t="s">
        <v>702</v>
      </c>
      <c r="C2357" s="458" t="s">
        <v>703</v>
      </c>
      <c r="D2357" s="459"/>
      <c r="E2357" s="459"/>
      <c r="F2357" s="459"/>
      <c r="G2357" s="456"/>
      <c r="H2357" s="457"/>
      <c r="I2357" s="455" t="s">
        <v>3</v>
      </c>
      <c r="J2357" s="455"/>
      <c r="K2357" s="455" t="s">
        <v>4</v>
      </c>
      <c r="L2357" s="455"/>
    </row>
    <row r="2358" spans="1:12" ht="12" customHeight="1" x14ac:dyDescent="0.35">
      <c r="B2358" s="451" t="s">
        <v>409</v>
      </c>
      <c r="C2358" s="451" t="s">
        <v>410</v>
      </c>
      <c r="D2358" s="452" t="s">
        <v>411</v>
      </c>
      <c r="E2358" s="451" t="s">
        <v>412</v>
      </c>
      <c r="F2358" s="451" t="s">
        <v>413</v>
      </c>
      <c r="G2358" s="77" t="s">
        <v>414</v>
      </c>
      <c r="H2358" s="77" t="s">
        <v>415</v>
      </c>
      <c r="I2358" s="78" t="s">
        <v>414</v>
      </c>
      <c r="J2358" s="79" t="s">
        <v>415</v>
      </c>
      <c r="K2358" s="79" t="s">
        <v>414</v>
      </c>
      <c r="L2358" s="79" t="s">
        <v>415</v>
      </c>
    </row>
    <row r="2359" spans="1:12" ht="12" customHeight="1" x14ac:dyDescent="0.35">
      <c r="B2359" s="451"/>
      <c r="C2359" s="451"/>
      <c r="D2359" s="453"/>
      <c r="E2359" s="451"/>
      <c r="F2359" s="451"/>
      <c r="G2359" s="77" t="s">
        <v>17</v>
      </c>
      <c r="H2359" s="77" t="s">
        <v>416</v>
      </c>
      <c r="I2359" s="78" t="s">
        <v>17</v>
      </c>
      <c r="J2359" s="79" t="s">
        <v>416</v>
      </c>
      <c r="K2359" s="79" t="s">
        <v>17</v>
      </c>
      <c r="L2359" s="79" t="s">
        <v>416</v>
      </c>
    </row>
    <row r="2360" spans="1:12" ht="12" customHeight="1" x14ac:dyDescent="0.35">
      <c r="B2360" s="451"/>
      <c r="C2360" s="451"/>
      <c r="D2360" s="454"/>
      <c r="E2360" s="451"/>
      <c r="F2360" s="451"/>
      <c r="G2360" s="106"/>
      <c r="H2360" s="77" t="s">
        <v>17</v>
      </c>
      <c r="I2360" s="94"/>
      <c r="J2360" s="79" t="s">
        <v>17</v>
      </c>
      <c r="K2360" s="85"/>
      <c r="L2360" s="79" t="s">
        <v>17</v>
      </c>
    </row>
    <row r="2361" spans="1:12" ht="12" customHeight="1" x14ac:dyDescent="0.35">
      <c r="B2361" s="80" t="s">
        <v>5</v>
      </c>
      <c r="C2361" s="81" t="s">
        <v>417</v>
      </c>
      <c r="D2361" s="82"/>
      <c r="E2361" s="82"/>
      <c r="F2361" s="82"/>
      <c r="G2361" s="82"/>
      <c r="H2361" s="82"/>
      <c r="I2361" s="83"/>
      <c r="J2361" s="83"/>
      <c r="K2361" s="83"/>
      <c r="L2361" s="83"/>
    </row>
    <row r="2362" spans="1:12" ht="12" customHeight="1" x14ac:dyDescent="0.35">
      <c r="A2362" s="134">
        <v>10130000</v>
      </c>
      <c r="B2362" s="84"/>
      <c r="C2362" s="85" t="str">
        <f>VLOOKUP(A2362,'DAFTAR HARGA'!A:D,3,FALSE)</f>
        <v>OH</v>
      </c>
      <c r="D2362" s="84" t="s">
        <v>418</v>
      </c>
      <c r="E2362" s="84">
        <f>VLOOKUP(A2362,'DAFTAR HARGA'!A:D,4,FALSE)</f>
        <v>115000</v>
      </c>
      <c r="F2362" s="128">
        <v>0.70169999999999999</v>
      </c>
      <c r="G2362" s="87" t="e">
        <f>VLOOKUP(A2362,'DAFTAR HARGA'!A:D,5,FALSE)</f>
        <v>#REF!</v>
      </c>
      <c r="H2362" s="87" t="e">
        <f>F2362*G2362</f>
        <v>#REF!</v>
      </c>
      <c r="I2362" s="87">
        <v>91500</v>
      </c>
      <c r="J2362" s="87">
        <f>F2362*I2362</f>
        <v>64205.549999999996</v>
      </c>
      <c r="K2362" s="87">
        <v>91500</v>
      </c>
      <c r="L2362" s="87">
        <f>F2362*K2362</f>
        <v>64205.549999999996</v>
      </c>
    </row>
    <row r="2363" spans="1:12" ht="12" customHeight="1" x14ac:dyDescent="0.35">
      <c r="A2363" s="134">
        <v>10143000</v>
      </c>
      <c r="B2363" s="84"/>
      <c r="C2363" s="85" t="str">
        <f>VLOOKUP(A2363,'DAFTAR HARGA'!A:D,3,FALSE)</f>
        <v>OH</v>
      </c>
      <c r="D2363" s="84" t="s">
        <v>418</v>
      </c>
      <c r="E2363" s="84">
        <f>VLOOKUP(A2363,'DAFTAR HARGA'!A:D,4,FALSE)</f>
        <v>236600</v>
      </c>
      <c r="F2363" s="128">
        <v>0.2339</v>
      </c>
      <c r="G2363" s="87" t="e">
        <f>VLOOKUP(A2363,'DAFTAR HARGA'!A:D,5,FALSE)</f>
        <v>#REF!</v>
      </c>
      <c r="H2363" s="87" t="e">
        <f>F2363*G2363</f>
        <v>#REF!</v>
      </c>
      <c r="I2363" s="87"/>
      <c r="J2363" s="87"/>
      <c r="K2363" s="87"/>
      <c r="L2363" s="87"/>
    </row>
    <row r="2364" spans="1:12" ht="12" customHeight="1" x14ac:dyDescent="0.35">
      <c r="A2364" s="134">
        <v>10110000</v>
      </c>
      <c r="B2364" s="84"/>
      <c r="C2364" s="85" t="str">
        <f>VLOOKUP(A2364,'DAFTAR HARGA'!A:D,3,FALSE)</f>
        <v>OH</v>
      </c>
      <c r="D2364" s="84" t="s">
        <v>418</v>
      </c>
      <c r="E2364" s="84">
        <f>VLOOKUP(A2364,'DAFTAR HARGA'!A:D,4,FALSE)</f>
        <v>150000</v>
      </c>
      <c r="F2364" s="128">
        <f>F2362/10</f>
        <v>7.0169999999999996E-2</v>
      </c>
      <c r="G2364" s="87" t="e">
        <f>VLOOKUP(A2364,'DAFTAR HARGA'!A:D,5,FALSE)</f>
        <v>#REF!</v>
      </c>
      <c r="H2364" s="87" t="e">
        <f>F2364*G2364</f>
        <v>#REF!</v>
      </c>
      <c r="I2364" s="87">
        <v>78600</v>
      </c>
      <c r="J2364" s="87">
        <f>F2364*I2364</f>
        <v>5515.3620000000001</v>
      </c>
      <c r="K2364" s="87">
        <v>78600</v>
      </c>
      <c r="L2364" s="87">
        <f>F2364*K2364</f>
        <v>5515.3620000000001</v>
      </c>
    </row>
    <row r="2365" spans="1:12" ht="12" customHeight="1" x14ac:dyDescent="0.35">
      <c r="B2365" s="84"/>
      <c r="C2365" s="85"/>
      <c r="D2365" s="84"/>
      <c r="E2365" s="84"/>
      <c r="F2365" s="86"/>
      <c r="G2365" s="87"/>
      <c r="H2365" s="87">
        <f>F2365*G2365</f>
        <v>0</v>
      </c>
      <c r="I2365" s="87">
        <v>92500</v>
      </c>
      <c r="J2365" s="87">
        <f>F2365*I2365</f>
        <v>0</v>
      </c>
      <c r="K2365" s="87">
        <v>92500</v>
      </c>
      <c r="L2365" s="87">
        <f>F2365*K2365</f>
        <v>0</v>
      </c>
    </row>
    <row r="2366" spans="1:12" ht="12" customHeight="1" x14ac:dyDescent="0.35">
      <c r="B2366" s="84"/>
      <c r="C2366" s="85"/>
      <c r="D2366" s="84"/>
      <c r="E2366" s="84"/>
      <c r="F2366" s="86"/>
      <c r="G2366" s="87"/>
      <c r="H2366" s="87"/>
      <c r="I2366" s="87"/>
      <c r="J2366" s="87"/>
      <c r="K2366" s="87"/>
      <c r="L2366" s="87"/>
    </row>
    <row r="2367" spans="1:12" ht="12" customHeight="1" x14ac:dyDescent="0.35">
      <c r="B2367" s="84"/>
      <c r="C2367" s="88"/>
      <c r="D2367" s="79"/>
      <c r="E2367" s="79"/>
      <c r="F2367" s="89" t="s">
        <v>421</v>
      </c>
      <c r="G2367" s="101"/>
      <c r="H2367" s="87" t="e">
        <f>SUM(H2362:H2366)</f>
        <v>#REF!</v>
      </c>
      <c r="I2367" s="101"/>
      <c r="J2367" s="87">
        <f>SUM(J2364:J2366)</f>
        <v>5515.3620000000001</v>
      </c>
      <c r="K2367" s="101"/>
      <c r="L2367" s="87">
        <f>SUM(L2364:L2366)</f>
        <v>5515.3620000000001</v>
      </c>
    </row>
    <row r="2368" spans="1:12" ht="12" customHeight="1" x14ac:dyDescent="0.35">
      <c r="B2368" s="84" t="s">
        <v>6</v>
      </c>
      <c r="C2368" s="88" t="s">
        <v>422</v>
      </c>
      <c r="D2368" s="79"/>
      <c r="E2368" s="79"/>
      <c r="F2368" s="90"/>
      <c r="G2368" s="84"/>
      <c r="H2368" s="87"/>
      <c r="I2368" s="84"/>
      <c r="J2368" s="87"/>
      <c r="K2368" s="84"/>
      <c r="L2368" s="87"/>
    </row>
    <row r="2369" spans="1:12" ht="12" customHeight="1" x14ac:dyDescent="0.35">
      <c r="A2369" s="134">
        <v>211100102</v>
      </c>
      <c r="B2369" s="84"/>
      <c r="C2369" s="85" t="str">
        <f>VLOOKUP(A2369,'DAFTAR HARGA'!A:D,3,FALSE)</f>
        <v>m³</v>
      </c>
      <c r="D2369" s="84" t="s">
        <v>418</v>
      </c>
      <c r="E2369" s="84">
        <f>VLOOKUP(A2369,'DAFTAR HARGA'!A:D,4,FALSE)</f>
        <v>236600</v>
      </c>
      <c r="F2369" s="128">
        <v>1.3</v>
      </c>
      <c r="G2369" s="87" t="e">
        <f>VLOOKUP(A2369,'DAFTAR HARGA'!A:D,5,FALSE)</f>
        <v>#REF!</v>
      </c>
      <c r="H2369" s="87" t="e">
        <f>F2369*G2369</f>
        <v>#REF!</v>
      </c>
      <c r="I2369" s="87">
        <v>232500</v>
      </c>
      <c r="J2369" s="87">
        <f>F2369*I2369</f>
        <v>302250</v>
      </c>
      <c r="K2369" s="87">
        <v>270000</v>
      </c>
      <c r="L2369" s="87">
        <f>F2369*K2369</f>
        <v>351000</v>
      </c>
    </row>
    <row r="2370" spans="1:12" ht="12" customHeight="1" x14ac:dyDescent="0.35">
      <c r="A2370" s="134">
        <v>21905011</v>
      </c>
      <c r="B2370" s="84"/>
      <c r="C2370" s="85" t="str">
        <f>VLOOKUP(A2370,'DAFTAR HARGA'!A:D,3,FALSE)</f>
        <v>lembar</v>
      </c>
      <c r="D2370" s="84" t="s">
        <v>418</v>
      </c>
      <c r="E2370" s="84">
        <f>VLOOKUP(A2370,'DAFTAR HARGA'!A:D,4,FALSE)</f>
        <v>275000</v>
      </c>
      <c r="F2370" s="128">
        <v>1</v>
      </c>
      <c r="G2370" s="87" t="e">
        <f>VLOOKUP(A2370,'DAFTAR HARGA'!A:D,5,FALSE)</f>
        <v>#REF!</v>
      </c>
      <c r="H2370" s="87" t="e">
        <f>F2370*G2370</f>
        <v>#REF!</v>
      </c>
      <c r="I2370" s="87">
        <v>1060</v>
      </c>
      <c r="J2370" s="87">
        <f>F2370*I2370</f>
        <v>1060</v>
      </c>
      <c r="K2370" s="87">
        <v>1060</v>
      </c>
      <c r="L2370" s="87">
        <f>F2370*K2370</f>
        <v>1060</v>
      </c>
    </row>
    <row r="2371" spans="1:12" ht="12" customHeight="1" x14ac:dyDescent="0.35">
      <c r="A2371" s="134">
        <v>211100113</v>
      </c>
      <c r="B2371" s="84"/>
      <c r="C2371" s="130" t="str">
        <f>VLOOKUP(A2371,'DAFTAR HARGA'!A:D,3,FALSE)</f>
        <v>m³</v>
      </c>
      <c r="D2371" s="131" t="s">
        <v>418</v>
      </c>
      <c r="E2371" s="131">
        <f>VLOOKUP(A2371,'DAFTAR HARGA'!A:D,4,FALSE)</f>
        <v>217500</v>
      </c>
      <c r="F2371" s="132">
        <v>0.432</v>
      </c>
      <c r="G2371" s="133" t="e">
        <f>VLOOKUP(A2371,'DAFTAR HARGA'!A:D,5,FALSE)</f>
        <v>#REF!</v>
      </c>
      <c r="H2371" s="133" t="e">
        <f>F2371*G2371</f>
        <v>#REF!</v>
      </c>
      <c r="I2371" s="87">
        <v>215000</v>
      </c>
      <c r="J2371" s="87">
        <f>F2371*I2371</f>
        <v>92880</v>
      </c>
      <c r="K2371" s="87">
        <v>250000</v>
      </c>
      <c r="L2371" s="87">
        <f>F2371*K2371</f>
        <v>108000</v>
      </c>
    </row>
    <row r="2372" spans="1:12" ht="12" customHeight="1" x14ac:dyDescent="0.35">
      <c r="B2372" s="84"/>
      <c r="C2372" s="85"/>
      <c r="D2372" s="84"/>
      <c r="E2372" s="84"/>
      <c r="F2372" s="128"/>
      <c r="G2372" s="87"/>
      <c r="H2372" s="87"/>
      <c r="I2372" s="87"/>
      <c r="J2372" s="87"/>
      <c r="K2372" s="87"/>
      <c r="L2372" s="87"/>
    </row>
    <row r="2373" spans="1:12" ht="12" customHeight="1" x14ac:dyDescent="0.35">
      <c r="B2373" s="84"/>
      <c r="C2373" s="88"/>
      <c r="D2373" s="79"/>
      <c r="E2373" s="79"/>
      <c r="F2373" s="129" t="s">
        <v>423</v>
      </c>
      <c r="G2373" s="129"/>
      <c r="H2373" s="87" t="e">
        <f>SUM(H2369:H2372)</f>
        <v>#REF!</v>
      </c>
      <c r="I2373" s="101"/>
      <c r="J2373" s="87" t="e">
        <f>SUM(#REF!)</f>
        <v>#REF!</v>
      </c>
      <c r="K2373" s="101"/>
      <c r="L2373" s="87" t="e">
        <f>SUM(#REF!)</f>
        <v>#REF!</v>
      </c>
    </row>
    <row r="2374" spans="1:12" ht="12" customHeight="1" x14ac:dyDescent="0.35">
      <c r="B2374" s="84" t="s">
        <v>7</v>
      </c>
      <c r="C2374" s="88" t="s">
        <v>424</v>
      </c>
      <c r="D2374" s="79"/>
      <c r="E2374" s="79"/>
      <c r="F2374" s="90"/>
      <c r="G2374" s="84"/>
      <c r="H2374" s="87"/>
      <c r="I2374" s="84"/>
      <c r="J2374" s="87"/>
      <c r="K2374" s="84"/>
      <c r="L2374" s="87"/>
    </row>
    <row r="2375" spans="1:12" ht="12" customHeight="1" x14ac:dyDescent="0.35">
      <c r="B2375" s="84"/>
      <c r="C2375" s="85"/>
      <c r="D2375" s="84"/>
      <c r="E2375" s="84"/>
      <c r="F2375" s="128"/>
      <c r="G2375" s="87"/>
      <c r="H2375" s="87">
        <f>F2375*G2375</f>
        <v>0</v>
      </c>
      <c r="I2375" s="87"/>
      <c r="J2375" s="87">
        <f>H2375*I2375</f>
        <v>0</v>
      </c>
      <c r="K2375" s="87"/>
      <c r="L2375" s="87">
        <f>J2375*K2375</f>
        <v>0</v>
      </c>
    </row>
    <row r="2376" spans="1:12" ht="12" customHeight="1" x14ac:dyDescent="0.35">
      <c r="B2376" s="84"/>
      <c r="C2376" s="85"/>
      <c r="D2376" s="84"/>
      <c r="E2376" s="84"/>
      <c r="F2376" s="128"/>
      <c r="G2376" s="87"/>
      <c r="H2376" s="87">
        <f>F2376*G2376</f>
        <v>0</v>
      </c>
      <c r="I2376" s="87"/>
      <c r="J2376" s="87"/>
      <c r="K2376" s="87"/>
      <c r="L2376" s="87"/>
    </row>
    <row r="2377" spans="1:12" ht="12" customHeight="1" x14ac:dyDescent="0.35">
      <c r="B2377" s="84"/>
      <c r="C2377" s="88"/>
      <c r="D2377" s="79"/>
      <c r="E2377" s="79"/>
      <c r="F2377" s="89" t="s">
        <v>425</v>
      </c>
      <c r="G2377" s="101"/>
      <c r="H2377" s="87">
        <f>SUM(H2375:H2376)</f>
        <v>0</v>
      </c>
      <c r="I2377" s="101"/>
      <c r="J2377" s="87">
        <f>SUM(J2375)</f>
        <v>0</v>
      </c>
      <c r="K2377" s="101"/>
      <c r="L2377" s="87">
        <f>SUM(L2375)</f>
        <v>0</v>
      </c>
    </row>
    <row r="2378" spans="1:12" ht="12" customHeight="1" x14ac:dyDescent="0.35">
      <c r="B2378" s="84" t="s">
        <v>8</v>
      </c>
      <c r="C2378" s="103" t="s">
        <v>426</v>
      </c>
      <c r="D2378" s="104"/>
      <c r="E2378" s="104"/>
      <c r="F2378" s="104"/>
      <c r="G2378" s="105"/>
      <c r="H2378" s="87" t="e">
        <f>H2367+H2373+H2377</f>
        <v>#REF!</v>
      </c>
      <c r="I2378" s="105"/>
      <c r="J2378" s="87" t="e">
        <f>J2367+J2373+J2377</f>
        <v>#REF!</v>
      </c>
      <c r="K2378" s="105"/>
      <c r="L2378" s="87" t="e">
        <f>L2367+L2373+L2377</f>
        <v>#REF!</v>
      </c>
    </row>
    <row r="2379" spans="1:12" ht="12" customHeight="1" x14ac:dyDescent="0.35">
      <c r="B2379" s="84" t="s">
        <v>9</v>
      </c>
      <c r="C2379" s="455" t="s">
        <v>427</v>
      </c>
      <c r="D2379" s="455"/>
      <c r="E2379" s="455"/>
      <c r="F2379" s="95" t="str">
        <f>OP</f>
        <v>TANJUNG PALAS TENGAH</v>
      </c>
      <c r="G2379" s="85" t="s">
        <v>428</v>
      </c>
      <c r="H2379" s="87" t="e">
        <f>H2378*F2379</f>
        <v>#REF!</v>
      </c>
      <c r="I2379" s="85" t="s">
        <v>428</v>
      </c>
      <c r="J2379" s="87" t="e">
        <f>J2378*F2379</f>
        <v>#REF!</v>
      </c>
      <c r="K2379" s="85" t="s">
        <v>428</v>
      </c>
      <c r="L2379" s="87" t="e">
        <f>L2378*F2379</f>
        <v>#REF!</v>
      </c>
    </row>
    <row r="2380" spans="1:12" ht="12" customHeight="1" x14ac:dyDescent="0.35">
      <c r="B2380" s="84" t="s">
        <v>10</v>
      </c>
      <c r="C2380" s="103" t="s">
        <v>429</v>
      </c>
      <c r="D2380" s="104"/>
      <c r="E2380" s="104"/>
      <c r="F2380" s="104"/>
      <c r="G2380" s="105"/>
      <c r="H2380" s="96" t="e">
        <f>H2378+H2379</f>
        <v>#REF!</v>
      </c>
      <c r="I2380" s="97"/>
      <c r="J2380" s="96" t="e">
        <f>J2378+J2379</f>
        <v>#REF!</v>
      </c>
      <c r="K2380" s="97"/>
      <c r="L2380" s="96" t="e">
        <f>L2378+L2379</f>
        <v>#REF!</v>
      </c>
    </row>
    <row r="2381" spans="1:12" x14ac:dyDescent="0.35">
      <c r="B2381" s="75" t="s">
        <v>699</v>
      </c>
    </row>
    <row r="2382" spans="1:12" x14ac:dyDescent="0.35">
      <c r="B2382" s="75" t="s">
        <v>700</v>
      </c>
    </row>
    <row r="2384" spans="1:12" ht="37" customHeight="1" x14ac:dyDescent="0.35">
      <c r="B2384" s="76" t="s">
        <v>704</v>
      </c>
      <c r="C2384" s="458" t="s">
        <v>705</v>
      </c>
      <c r="D2384" s="459"/>
      <c r="E2384" s="459"/>
      <c r="F2384" s="459"/>
      <c r="G2384" s="456"/>
      <c r="H2384" s="457"/>
      <c r="I2384" s="455" t="s">
        <v>3</v>
      </c>
      <c r="J2384" s="455"/>
      <c r="K2384" s="455" t="s">
        <v>4</v>
      </c>
      <c r="L2384" s="455"/>
    </row>
    <row r="2385" spans="1:12" ht="12" customHeight="1" x14ac:dyDescent="0.35">
      <c r="B2385" s="451" t="s">
        <v>409</v>
      </c>
      <c r="C2385" s="451" t="s">
        <v>410</v>
      </c>
      <c r="D2385" s="452" t="s">
        <v>411</v>
      </c>
      <c r="E2385" s="451" t="s">
        <v>412</v>
      </c>
      <c r="F2385" s="451" t="s">
        <v>413</v>
      </c>
      <c r="G2385" s="77" t="s">
        <v>414</v>
      </c>
      <c r="H2385" s="77" t="s">
        <v>415</v>
      </c>
      <c r="I2385" s="78" t="s">
        <v>414</v>
      </c>
      <c r="J2385" s="79" t="s">
        <v>415</v>
      </c>
      <c r="K2385" s="79" t="s">
        <v>414</v>
      </c>
      <c r="L2385" s="79" t="s">
        <v>415</v>
      </c>
    </row>
    <row r="2386" spans="1:12" ht="12" customHeight="1" x14ac:dyDescent="0.35">
      <c r="B2386" s="451"/>
      <c r="C2386" s="451"/>
      <c r="D2386" s="453"/>
      <c r="E2386" s="451"/>
      <c r="F2386" s="451"/>
      <c r="G2386" s="77" t="s">
        <v>17</v>
      </c>
      <c r="H2386" s="77" t="s">
        <v>416</v>
      </c>
      <c r="I2386" s="78" t="s">
        <v>17</v>
      </c>
      <c r="J2386" s="79" t="s">
        <v>416</v>
      </c>
      <c r="K2386" s="79" t="s">
        <v>17</v>
      </c>
      <c r="L2386" s="79" t="s">
        <v>416</v>
      </c>
    </row>
    <row r="2387" spans="1:12" ht="12" customHeight="1" x14ac:dyDescent="0.35">
      <c r="B2387" s="451"/>
      <c r="C2387" s="451"/>
      <c r="D2387" s="454"/>
      <c r="E2387" s="451"/>
      <c r="F2387" s="451"/>
      <c r="G2387" s="106"/>
      <c r="H2387" s="77" t="s">
        <v>17</v>
      </c>
      <c r="I2387" s="94"/>
      <c r="J2387" s="79" t="s">
        <v>17</v>
      </c>
      <c r="K2387" s="85"/>
      <c r="L2387" s="79" t="s">
        <v>17</v>
      </c>
    </row>
    <row r="2388" spans="1:12" ht="12" customHeight="1" x14ac:dyDescent="0.35">
      <c r="B2388" s="80" t="s">
        <v>5</v>
      </c>
      <c r="C2388" s="81" t="s">
        <v>417</v>
      </c>
      <c r="D2388" s="82"/>
      <c r="E2388" s="82"/>
      <c r="F2388" s="82"/>
      <c r="G2388" s="82"/>
      <c r="H2388" s="82"/>
      <c r="I2388" s="83"/>
      <c r="J2388" s="83"/>
      <c r="K2388" s="83"/>
      <c r="L2388" s="83"/>
    </row>
    <row r="2389" spans="1:12" ht="12" customHeight="1" x14ac:dyDescent="0.35">
      <c r="A2389" s="134">
        <v>10130000</v>
      </c>
      <c r="B2389" s="84"/>
      <c r="C2389" s="85" t="str">
        <f>VLOOKUP(A2389,'DAFTAR HARGA'!A:D,3,FALSE)</f>
        <v>OH</v>
      </c>
      <c r="D2389" s="84" t="s">
        <v>418</v>
      </c>
      <c r="E2389" s="84">
        <f>VLOOKUP(A2389,'DAFTAR HARGA'!A:D,4,FALSE)</f>
        <v>115000</v>
      </c>
      <c r="F2389" s="128">
        <v>0.24</v>
      </c>
      <c r="G2389" s="87" t="e">
        <f>VLOOKUP(A2389,'DAFTAR HARGA'!A:D,5,FALSE)</f>
        <v>#REF!</v>
      </c>
      <c r="H2389" s="87" t="e">
        <f>F2389*G2389</f>
        <v>#REF!</v>
      </c>
      <c r="I2389" s="87">
        <v>91500</v>
      </c>
      <c r="J2389" s="87">
        <f>F2389*I2389</f>
        <v>21960</v>
      </c>
      <c r="K2389" s="87">
        <v>91500</v>
      </c>
      <c r="L2389" s="87">
        <f>F2389*K2389</f>
        <v>21960</v>
      </c>
    </row>
    <row r="2390" spans="1:12" ht="12" customHeight="1" x14ac:dyDescent="0.35">
      <c r="A2390" s="134">
        <v>10143000</v>
      </c>
      <c r="B2390" s="84"/>
      <c r="C2390" s="85" t="str">
        <f>VLOOKUP(A2390,'DAFTAR HARGA'!A:D,3,FALSE)</f>
        <v>OH</v>
      </c>
      <c r="D2390" s="84" t="s">
        <v>418</v>
      </c>
      <c r="E2390" s="84">
        <f>VLOOKUP(A2390,'DAFTAR HARGA'!A:D,4,FALSE)</f>
        <v>236600</v>
      </c>
      <c r="F2390" s="128">
        <v>0.12</v>
      </c>
      <c r="G2390" s="87" t="e">
        <f>VLOOKUP(A2390,'DAFTAR HARGA'!A:D,5,FALSE)</f>
        <v>#REF!</v>
      </c>
      <c r="H2390" s="87" t="e">
        <f>F2390*G2390</f>
        <v>#REF!</v>
      </c>
      <c r="I2390" s="87"/>
      <c r="J2390" s="87"/>
      <c r="K2390" s="87"/>
      <c r="L2390" s="87"/>
    </row>
    <row r="2391" spans="1:12" ht="12" customHeight="1" x14ac:dyDescent="0.35">
      <c r="A2391" s="134">
        <v>10120000</v>
      </c>
      <c r="B2391" s="84"/>
      <c r="C2391" s="85" t="str">
        <f>VLOOKUP(A2391,'DAFTAR HARGA'!A:D,3,FALSE)</f>
        <v>OH</v>
      </c>
      <c r="D2391" s="84" t="s">
        <v>418</v>
      </c>
      <c r="E2391" s="84">
        <f>VLOOKUP(A2391,'DAFTAR HARGA'!A:D,4,FALSE)</f>
        <v>130000</v>
      </c>
      <c r="F2391" s="128">
        <f>F2390/10</f>
        <v>1.2E-2</v>
      </c>
      <c r="G2391" s="87" t="e">
        <f>VLOOKUP(A2391,'DAFTAR HARGA'!A:D,5,FALSE)</f>
        <v>#REF!</v>
      </c>
      <c r="H2391" s="87" t="e">
        <f>F2391*G2391</f>
        <v>#REF!</v>
      </c>
      <c r="I2391" s="87"/>
      <c r="J2391" s="87"/>
      <c r="K2391" s="87"/>
      <c r="L2391" s="87"/>
    </row>
    <row r="2392" spans="1:12" ht="12" customHeight="1" x14ac:dyDescent="0.35">
      <c r="A2392" s="134">
        <v>10110000</v>
      </c>
      <c r="B2392" s="84"/>
      <c r="C2392" s="85" t="str">
        <f>VLOOKUP(A2392,'DAFTAR HARGA'!A:D,3,FALSE)</f>
        <v>OH</v>
      </c>
      <c r="D2392" s="84" t="s">
        <v>418</v>
      </c>
      <c r="E2392" s="84">
        <f>VLOOKUP(A2392,'DAFTAR HARGA'!A:D,4,FALSE)</f>
        <v>150000</v>
      </c>
      <c r="F2392" s="128">
        <f>F2389/10</f>
        <v>2.4E-2</v>
      </c>
      <c r="G2392" s="87" t="e">
        <f>VLOOKUP(A2392,'DAFTAR HARGA'!A:D,5,FALSE)</f>
        <v>#REF!</v>
      </c>
      <c r="H2392" s="87" t="e">
        <f>F2392*G2392</f>
        <v>#REF!</v>
      </c>
      <c r="I2392" s="87">
        <v>78600</v>
      </c>
      <c r="J2392" s="87">
        <f>F2392*I2392</f>
        <v>1886.4</v>
      </c>
      <c r="K2392" s="87">
        <v>78600</v>
      </c>
      <c r="L2392" s="87">
        <f>F2392*K2392</f>
        <v>1886.4</v>
      </c>
    </row>
    <row r="2393" spans="1:12" ht="12" customHeight="1" x14ac:dyDescent="0.35">
      <c r="B2393" s="84"/>
      <c r="C2393" s="85"/>
      <c r="D2393" s="84"/>
      <c r="E2393" s="84"/>
      <c r="F2393" s="86"/>
      <c r="G2393" s="87"/>
      <c r="H2393" s="87">
        <f>F2393*G2393</f>
        <v>0</v>
      </c>
      <c r="I2393" s="87">
        <v>92500</v>
      </c>
      <c r="J2393" s="87">
        <f>F2393*I2393</f>
        <v>0</v>
      </c>
      <c r="K2393" s="87">
        <v>92500</v>
      </c>
      <c r="L2393" s="87">
        <f>F2393*K2393</f>
        <v>0</v>
      </c>
    </row>
    <row r="2394" spans="1:12" ht="12" customHeight="1" x14ac:dyDescent="0.35">
      <c r="B2394" s="84"/>
      <c r="C2394" s="85"/>
      <c r="D2394" s="84"/>
      <c r="E2394" s="84"/>
      <c r="F2394" s="86"/>
      <c r="G2394" s="87"/>
      <c r="H2394" s="87"/>
      <c r="I2394" s="87"/>
      <c r="J2394" s="87"/>
      <c r="K2394" s="87"/>
      <c r="L2394" s="87"/>
    </row>
    <row r="2395" spans="1:12" ht="12" customHeight="1" x14ac:dyDescent="0.35">
      <c r="B2395" s="84"/>
      <c r="C2395" s="88"/>
      <c r="D2395" s="79"/>
      <c r="E2395" s="79"/>
      <c r="F2395" s="89" t="s">
        <v>421</v>
      </c>
      <c r="G2395" s="101"/>
      <c r="H2395" s="87" t="e">
        <f>SUM(H2389:H2394)</f>
        <v>#REF!</v>
      </c>
      <c r="I2395" s="101"/>
      <c r="J2395" s="87">
        <f>SUM(J2392:J2394)</f>
        <v>1886.4</v>
      </c>
      <c r="K2395" s="101"/>
      <c r="L2395" s="87">
        <f>SUM(L2392:L2394)</f>
        <v>1886.4</v>
      </c>
    </row>
    <row r="2396" spans="1:12" ht="12" customHeight="1" x14ac:dyDescent="0.35">
      <c r="B2396" s="84" t="s">
        <v>6</v>
      </c>
      <c r="C2396" s="88" t="s">
        <v>422</v>
      </c>
      <c r="D2396" s="79"/>
      <c r="E2396" s="79"/>
      <c r="F2396" s="90"/>
      <c r="G2396" s="84"/>
      <c r="H2396" s="87"/>
      <c r="I2396" s="84"/>
      <c r="J2396" s="87"/>
      <c r="K2396" s="84"/>
      <c r="L2396" s="87"/>
    </row>
    <row r="2397" spans="1:12" ht="12" customHeight="1" x14ac:dyDescent="0.35">
      <c r="A2397" s="134">
        <v>211102116</v>
      </c>
      <c r="B2397" s="84"/>
      <c r="C2397" s="85" t="str">
        <f>VLOOKUP(A2397,'DAFTAR HARGA'!A:D,3,FALSE)</f>
        <v>m³</v>
      </c>
      <c r="D2397" s="84" t="s">
        <v>418</v>
      </c>
      <c r="E2397" s="84">
        <f>VLOOKUP(A2397,'DAFTAR HARGA'!A:D,4,FALSE)</f>
        <v>175000</v>
      </c>
      <c r="F2397" s="128">
        <v>1.25</v>
      </c>
      <c r="G2397" s="87" t="e">
        <f>VLOOKUP(A2397,'DAFTAR HARGA'!A:D,5,FALSE)</f>
        <v>#REF!</v>
      </c>
      <c r="H2397" s="87" t="e">
        <f>F2397*G2397</f>
        <v>#REF!</v>
      </c>
      <c r="I2397" s="87">
        <v>232500</v>
      </c>
      <c r="J2397" s="87">
        <f>F2397*I2397</f>
        <v>290625</v>
      </c>
      <c r="K2397" s="87">
        <v>270000</v>
      </c>
      <c r="L2397" s="87">
        <f>F2397*K2397</f>
        <v>337500</v>
      </c>
    </row>
    <row r="2398" spans="1:12" ht="12" customHeight="1" x14ac:dyDescent="0.35">
      <c r="A2398" s="134">
        <v>211100113</v>
      </c>
      <c r="B2398" s="84"/>
      <c r="C2398" s="85" t="str">
        <f>VLOOKUP(A2398,'DAFTAR HARGA'!A:D,3,FALSE)</f>
        <v>m³</v>
      </c>
      <c r="D2398" s="84" t="s">
        <v>418</v>
      </c>
      <c r="E2398" s="84">
        <f>VLOOKUP(A2398,'DAFTAR HARGA'!A:D,4,FALSE)</f>
        <v>217500</v>
      </c>
      <c r="F2398" s="128">
        <v>2.5000000000000001E-2</v>
      </c>
      <c r="G2398" s="87" t="e">
        <f>VLOOKUP(A2398,'DAFTAR HARGA'!A:D,5,FALSE)</f>
        <v>#REF!</v>
      </c>
      <c r="H2398" s="87" t="e">
        <f>F2398*G2398</f>
        <v>#REF!</v>
      </c>
      <c r="I2398" s="87">
        <v>1060</v>
      </c>
      <c r="J2398" s="87">
        <f>F2398*I2398</f>
        <v>26.5</v>
      </c>
      <c r="K2398" s="87">
        <v>1060</v>
      </c>
      <c r="L2398" s="87">
        <f>F2398*K2398</f>
        <v>26.5</v>
      </c>
    </row>
    <row r="2399" spans="1:12" ht="12" customHeight="1" x14ac:dyDescent="0.35">
      <c r="A2399" s="134">
        <v>21301000</v>
      </c>
      <c r="B2399" s="84"/>
      <c r="C2399" s="85" t="str">
        <f>VLOOKUP(A2399,'DAFTAR HARGA'!A:D,3,FALSE)</f>
        <v>Kg</v>
      </c>
      <c r="D2399" s="84" t="s">
        <v>418</v>
      </c>
      <c r="E2399" s="84">
        <f>VLOOKUP(A2399,'DAFTAR HARGA'!A:D,4,FALSE)</f>
        <v>1350</v>
      </c>
      <c r="F2399" s="128">
        <v>5</v>
      </c>
      <c r="G2399" s="87" t="e">
        <f>VLOOKUP(A2399,'DAFTAR HARGA'!A:D,5,FALSE)</f>
        <v>#REF!</v>
      </c>
      <c r="H2399" s="87" t="e">
        <f>F2399*G2399</f>
        <v>#REF!</v>
      </c>
      <c r="I2399" s="87">
        <v>215000</v>
      </c>
      <c r="J2399" s="87">
        <f>F2399*I2399</f>
        <v>1075000</v>
      </c>
      <c r="K2399" s="87">
        <v>250000</v>
      </c>
      <c r="L2399" s="87">
        <f>F2399*K2399</f>
        <v>1250000</v>
      </c>
    </row>
    <row r="2400" spans="1:12" ht="12" customHeight="1" x14ac:dyDescent="0.35">
      <c r="B2400" s="84"/>
      <c r="C2400" s="85"/>
      <c r="D2400" s="84"/>
      <c r="E2400" s="84"/>
      <c r="F2400" s="128"/>
      <c r="G2400" s="87"/>
      <c r="H2400" s="87"/>
      <c r="I2400" s="87"/>
      <c r="J2400" s="87"/>
      <c r="K2400" s="87"/>
      <c r="L2400" s="87"/>
    </row>
    <row r="2401" spans="1:12" ht="12" customHeight="1" x14ac:dyDescent="0.35">
      <c r="B2401" s="84"/>
      <c r="C2401" s="88"/>
      <c r="D2401" s="79"/>
      <c r="E2401" s="79"/>
      <c r="F2401" s="129" t="s">
        <v>423</v>
      </c>
      <c r="G2401" s="129"/>
      <c r="H2401" s="87" t="e">
        <f>SUM(H2397:H2400)</f>
        <v>#REF!</v>
      </c>
      <c r="I2401" s="101"/>
      <c r="J2401" s="87" t="e">
        <f>SUM(#REF!)</f>
        <v>#REF!</v>
      </c>
      <c r="K2401" s="101"/>
      <c r="L2401" s="87" t="e">
        <f>SUM(#REF!)</f>
        <v>#REF!</v>
      </c>
    </row>
    <row r="2402" spans="1:12" ht="12" customHeight="1" x14ac:dyDescent="0.35">
      <c r="B2402" s="84" t="s">
        <v>7</v>
      </c>
      <c r="C2402" s="88" t="s">
        <v>424</v>
      </c>
      <c r="D2402" s="79"/>
      <c r="E2402" s="79"/>
      <c r="F2402" s="90"/>
      <c r="G2402" s="84"/>
      <c r="H2402" s="87"/>
      <c r="I2402" s="84"/>
      <c r="J2402" s="87"/>
      <c r="K2402" s="84"/>
      <c r="L2402" s="87"/>
    </row>
    <row r="2403" spans="1:12" ht="12" customHeight="1" x14ac:dyDescent="0.35">
      <c r="B2403" s="84"/>
      <c r="C2403" s="85"/>
      <c r="D2403" s="84"/>
      <c r="E2403" s="84"/>
      <c r="F2403" s="128"/>
      <c r="G2403" s="87"/>
      <c r="H2403" s="87">
        <f>F2403*G2403</f>
        <v>0</v>
      </c>
      <c r="I2403" s="87"/>
      <c r="J2403" s="87">
        <f>H2403*I2403</f>
        <v>0</v>
      </c>
      <c r="K2403" s="87"/>
      <c r="L2403" s="87">
        <f>J2403*K2403</f>
        <v>0</v>
      </c>
    </row>
    <row r="2404" spans="1:12" ht="12" customHeight="1" x14ac:dyDescent="0.35">
      <c r="B2404" s="84"/>
      <c r="C2404" s="85"/>
      <c r="D2404" s="84"/>
      <c r="E2404" s="84"/>
      <c r="F2404" s="128"/>
      <c r="G2404" s="87"/>
      <c r="H2404" s="87">
        <f>F2404*G2404</f>
        <v>0</v>
      </c>
      <c r="I2404" s="87"/>
      <c r="J2404" s="87"/>
      <c r="K2404" s="87"/>
      <c r="L2404" s="87"/>
    </row>
    <row r="2405" spans="1:12" ht="12" customHeight="1" x14ac:dyDescent="0.35">
      <c r="B2405" s="84"/>
      <c r="C2405" s="88"/>
      <c r="D2405" s="79"/>
      <c r="E2405" s="79"/>
      <c r="F2405" s="89" t="s">
        <v>425</v>
      </c>
      <c r="G2405" s="101"/>
      <c r="H2405" s="87">
        <f>SUM(H2403:H2404)</f>
        <v>0</v>
      </c>
      <c r="I2405" s="101"/>
      <c r="J2405" s="87">
        <f>SUM(J2403)</f>
        <v>0</v>
      </c>
      <c r="K2405" s="101"/>
      <c r="L2405" s="87">
        <f>SUM(L2403)</f>
        <v>0</v>
      </c>
    </row>
    <row r="2406" spans="1:12" ht="12" customHeight="1" x14ac:dyDescent="0.35">
      <c r="B2406" s="84" t="s">
        <v>8</v>
      </c>
      <c r="C2406" s="103" t="s">
        <v>426</v>
      </c>
      <c r="D2406" s="104"/>
      <c r="E2406" s="104"/>
      <c r="F2406" s="104"/>
      <c r="G2406" s="105"/>
      <c r="H2406" s="87" t="e">
        <f>H2395+H2401+H2405</f>
        <v>#REF!</v>
      </c>
      <c r="I2406" s="105"/>
      <c r="J2406" s="87" t="e">
        <f>J2395+J2401+J2405</f>
        <v>#REF!</v>
      </c>
      <c r="K2406" s="105"/>
      <c r="L2406" s="87" t="e">
        <f>L2395+L2401+L2405</f>
        <v>#REF!</v>
      </c>
    </row>
    <row r="2407" spans="1:12" ht="12" customHeight="1" x14ac:dyDescent="0.35">
      <c r="B2407" s="84" t="s">
        <v>9</v>
      </c>
      <c r="C2407" s="455" t="s">
        <v>427</v>
      </c>
      <c r="D2407" s="455"/>
      <c r="E2407" s="455"/>
      <c r="F2407" s="95" t="str">
        <f>OP</f>
        <v>TANJUNG PALAS TENGAH</v>
      </c>
      <c r="G2407" s="85" t="s">
        <v>428</v>
      </c>
      <c r="H2407" s="87" t="e">
        <f>H2406*F2407</f>
        <v>#REF!</v>
      </c>
      <c r="I2407" s="85" t="s">
        <v>428</v>
      </c>
      <c r="J2407" s="87" t="e">
        <f>J2406*F2407</f>
        <v>#REF!</v>
      </c>
      <c r="K2407" s="85" t="s">
        <v>428</v>
      </c>
      <c r="L2407" s="87" t="e">
        <f>L2406*F2407</f>
        <v>#REF!</v>
      </c>
    </row>
    <row r="2408" spans="1:12" ht="12" customHeight="1" x14ac:dyDescent="0.35">
      <c r="B2408" s="84" t="s">
        <v>10</v>
      </c>
      <c r="C2408" s="103" t="s">
        <v>429</v>
      </c>
      <c r="D2408" s="104"/>
      <c r="E2408" s="104"/>
      <c r="F2408" s="104"/>
      <c r="G2408" s="105"/>
      <c r="H2408" s="96" t="e">
        <f>H2406+H2407</f>
        <v>#REF!</v>
      </c>
      <c r="I2408" s="97"/>
      <c r="J2408" s="96" t="e">
        <f>J2406+J2407</f>
        <v>#REF!</v>
      </c>
      <c r="K2408" s="97"/>
      <c r="L2408" s="96" t="e">
        <f>L2406+L2407</f>
        <v>#REF!</v>
      </c>
    </row>
    <row r="2410" spans="1:12" ht="37" customHeight="1" x14ac:dyDescent="0.35">
      <c r="B2410" s="76" t="s">
        <v>708</v>
      </c>
      <c r="C2410" s="458" t="s">
        <v>709</v>
      </c>
      <c r="D2410" s="459"/>
      <c r="E2410" s="459"/>
      <c r="F2410" s="459"/>
      <c r="G2410" s="456"/>
      <c r="H2410" s="457"/>
      <c r="I2410" s="455" t="s">
        <v>3</v>
      </c>
      <c r="J2410" s="455"/>
      <c r="K2410" s="455" t="s">
        <v>4</v>
      </c>
      <c r="L2410" s="455"/>
    </row>
    <row r="2411" spans="1:12" ht="12" customHeight="1" x14ac:dyDescent="0.35">
      <c r="B2411" s="451" t="s">
        <v>409</v>
      </c>
      <c r="C2411" s="451" t="s">
        <v>410</v>
      </c>
      <c r="D2411" s="452" t="s">
        <v>411</v>
      </c>
      <c r="E2411" s="451" t="s">
        <v>412</v>
      </c>
      <c r="F2411" s="451" t="s">
        <v>413</v>
      </c>
      <c r="G2411" s="77" t="s">
        <v>414</v>
      </c>
      <c r="H2411" s="77" t="s">
        <v>415</v>
      </c>
      <c r="I2411" s="78" t="s">
        <v>414</v>
      </c>
      <c r="J2411" s="79" t="s">
        <v>415</v>
      </c>
      <c r="K2411" s="79" t="s">
        <v>414</v>
      </c>
      <c r="L2411" s="79" t="s">
        <v>415</v>
      </c>
    </row>
    <row r="2412" spans="1:12" ht="12" customHeight="1" x14ac:dyDescent="0.35">
      <c r="B2412" s="451"/>
      <c r="C2412" s="451"/>
      <c r="D2412" s="453"/>
      <c r="E2412" s="451"/>
      <c r="F2412" s="451"/>
      <c r="G2412" s="77" t="s">
        <v>17</v>
      </c>
      <c r="H2412" s="77" t="s">
        <v>416</v>
      </c>
      <c r="I2412" s="78" t="s">
        <v>17</v>
      </c>
      <c r="J2412" s="79" t="s">
        <v>416</v>
      </c>
      <c r="K2412" s="79" t="s">
        <v>17</v>
      </c>
      <c r="L2412" s="79" t="s">
        <v>416</v>
      </c>
    </row>
    <row r="2413" spans="1:12" ht="12" customHeight="1" x14ac:dyDescent="0.35">
      <c r="B2413" s="451"/>
      <c r="C2413" s="451"/>
      <c r="D2413" s="454"/>
      <c r="E2413" s="451"/>
      <c r="F2413" s="451"/>
      <c r="G2413" s="106"/>
      <c r="H2413" s="77" t="s">
        <v>17</v>
      </c>
      <c r="I2413" s="94"/>
      <c r="J2413" s="79" t="s">
        <v>17</v>
      </c>
      <c r="K2413" s="85"/>
      <c r="L2413" s="79" t="s">
        <v>17</v>
      </c>
    </row>
    <row r="2414" spans="1:12" ht="12" customHeight="1" x14ac:dyDescent="0.35">
      <c r="B2414" s="80" t="s">
        <v>5</v>
      </c>
      <c r="C2414" s="81" t="s">
        <v>417</v>
      </c>
      <c r="D2414" s="82"/>
      <c r="E2414" s="82"/>
      <c r="F2414" s="82"/>
      <c r="G2414" s="82"/>
      <c r="H2414" s="82"/>
      <c r="I2414" s="83"/>
      <c r="J2414" s="83"/>
      <c r="K2414" s="83"/>
      <c r="L2414" s="83"/>
    </row>
    <row r="2415" spans="1:12" ht="12" customHeight="1" x14ac:dyDescent="0.35">
      <c r="A2415" s="134">
        <v>10130000</v>
      </c>
      <c r="B2415" s="84"/>
      <c r="C2415" s="85" t="str">
        <f>VLOOKUP(A2415,'DAFTAR HARGA'!A:D,3,FALSE)</f>
        <v>OH</v>
      </c>
      <c r="D2415" s="84" t="s">
        <v>418</v>
      </c>
      <c r="E2415" s="84">
        <f>VLOOKUP(A2415,'DAFTAR HARGA'!A:D,4,FALSE)</f>
        <v>115000</v>
      </c>
      <c r="F2415" s="128">
        <v>0.24</v>
      </c>
      <c r="G2415" s="87" t="e">
        <f>VLOOKUP(A2415,'DAFTAR HARGA'!A:D,5,FALSE)</f>
        <v>#REF!</v>
      </c>
      <c r="H2415" s="87" t="e">
        <f>F2415*G2415</f>
        <v>#REF!</v>
      </c>
      <c r="I2415" s="87">
        <v>91500</v>
      </c>
      <c r="J2415" s="87">
        <f>F2415*I2415</f>
        <v>21960</v>
      </c>
      <c r="K2415" s="87">
        <v>91500</v>
      </c>
      <c r="L2415" s="87">
        <f>F2415*K2415</f>
        <v>21960</v>
      </c>
    </row>
    <row r="2416" spans="1:12" ht="12" customHeight="1" x14ac:dyDescent="0.35">
      <c r="A2416" s="134">
        <v>10143000</v>
      </c>
      <c r="B2416" s="84"/>
      <c r="C2416" s="85" t="str">
        <f>VLOOKUP(A2416,'DAFTAR HARGA'!A:D,3,FALSE)</f>
        <v>OH</v>
      </c>
      <c r="D2416" s="84" t="s">
        <v>418</v>
      </c>
      <c r="E2416" s="84">
        <f>VLOOKUP(A2416,'DAFTAR HARGA'!A:D,4,FALSE)</f>
        <v>236600</v>
      </c>
      <c r="F2416" s="128">
        <v>0.12</v>
      </c>
      <c r="G2416" s="87" t="e">
        <f>VLOOKUP(A2416,'DAFTAR HARGA'!A:D,5,FALSE)</f>
        <v>#REF!</v>
      </c>
      <c r="H2416" s="87" t="e">
        <f>F2416*G2416</f>
        <v>#REF!</v>
      </c>
      <c r="I2416" s="87"/>
      <c r="J2416" s="87"/>
      <c r="K2416" s="87"/>
      <c r="L2416" s="87"/>
    </row>
    <row r="2417" spans="1:12" ht="12" customHeight="1" x14ac:dyDescent="0.35">
      <c r="A2417" s="134">
        <v>10120000</v>
      </c>
      <c r="B2417" s="84"/>
      <c r="C2417" s="85" t="str">
        <f>VLOOKUP(A2417,'DAFTAR HARGA'!A:D,3,FALSE)</f>
        <v>OH</v>
      </c>
      <c r="D2417" s="84" t="s">
        <v>418</v>
      </c>
      <c r="E2417" s="84">
        <f>VLOOKUP(A2417,'DAFTAR HARGA'!A:D,4,FALSE)</f>
        <v>130000</v>
      </c>
      <c r="F2417" s="128">
        <f>F2416/10</f>
        <v>1.2E-2</v>
      </c>
      <c r="G2417" s="87" t="e">
        <f>VLOOKUP(A2417,'DAFTAR HARGA'!A:D,5,FALSE)</f>
        <v>#REF!</v>
      </c>
      <c r="H2417" s="87" t="e">
        <f>F2417*G2417</f>
        <v>#REF!</v>
      </c>
      <c r="I2417" s="87"/>
      <c r="J2417" s="87"/>
      <c r="K2417" s="87"/>
      <c r="L2417" s="87"/>
    </row>
    <row r="2418" spans="1:12" ht="12" customHeight="1" x14ac:dyDescent="0.35">
      <c r="A2418" s="134">
        <v>10110000</v>
      </c>
      <c r="B2418" s="84"/>
      <c r="C2418" s="85" t="str">
        <f>VLOOKUP(A2418,'DAFTAR HARGA'!A:D,3,FALSE)</f>
        <v>OH</v>
      </c>
      <c r="D2418" s="84" t="s">
        <v>418</v>
      </c>
      <c r="E2418" s="84">
        <f>VLOOKUP(A2418,'DAFTAR HARGA'!A:D,4,FALSE)</f>
        <v>150000</v>
      </c>
      <c r="F2418" s="128">
        <f>F2415/10</f>
        <v>2.4E-2</v>
      </c>
      <c r="G2418" s="87" t="e">
        <f>VLOOKUP(A2418,'DAFTAR HARGA'!A:D,5,FALSE)</f>
        <v>#REF!</v>
      </c>
      <c r="H2418" s="87" t="e">
        <f>F2418*G2418</f>
        <v>#REF!</v>
      </c>
      <c r="I2418" s="87">
        <v>78600</v>
      </c>
      <c r="J2418" s="87">
        <f>F2418*I2418</f>
        <v>1886.4</v>
      </c>
      <c r="K2418" s="87">
        <v>78600</v>
      </c>
      <c r="L2418" s="87">
        <f>F2418*K2418</f>
        <v>1886.4</v>
      </c>
    </row>
    <row r="2419" spans="1:12" ht="12" customHeight="1" x14ac:dyDescent="0.35">
      <c r="B2419" s="84"/>
      <c r="C2419" s="85"/>
      <c r="D2419" s="84"/>
      <c r="E2419" s="84"/>
      <c r="F2419" s="86"/>
      <c r="G2419" s="87"/>
      <c r="H2419" s="87">
        <f>F2419*G2419</f>
        <v>0</v>
      </c>
      <c r="I2419" s="87">
        <v>92500</v>
      </c>
      <c r="J2419" s="87">
        <f>F2419*I2419</f>
        <v>0</v>
      </c>
      <c r="K2419" s="87">
        <v>92500</v>
      </c>
      <c r="L2419" s="87">
        <f>F2419*K2419</f>
        <v>0</v>
      </c>
    </row>
    <row r="2420" spans="1:12" ht="12" customHeight="1" x14ac:dyDescent="0.35">
      <c r="B2420" s="84"/>
      <c r="C2420" s="85"/>
      <c r="D2420" s="84"/>
      <c r="E2420" s="84"/>
      <c r="F2420" s="86"/>
      <c r="G2420" s="87"/>
      <c r="H2420" s="87"/>
      <c r="I2420" s="87"/>
      <c r="J2420" s="87"/>
      <c r="K2420" s="87"/>
      <c r="L2420" s="87"/>
    </row>
    <row r="2421" spans="1:12" ht="12" customHeight="1" x14ac:dyDescent="0.35">
      <c r="B2421" s="84"/>
      <c r="C2421" s="88"/>
      <c r="D2421" s="79"/>
      <c r="E2421" s="79"/>
      <c r="F2421" s="89" t="s">
        <v>421</v>
      </c>
      <c r="G2421" s="101"/>
      <c r="H2421" s="87" t="e">
        <f>SUM(H2415:H2420)</f>
        <v>#REF!</v>
      </c>
      <c r="I2421" s="101"/>
      <c r="J2421" s="87">
        <f>SUM(J2418:J2420)</f>
        <v>1886.4</v>
      </c>
      <c r="K2421" s="101"/>
      <c r="L2421" s="87">
        <f>SUM(L2418:L2420)</f>
        <v>1886.4</v>
      </c>
    </row>
    <row r="2422" spans="1:12" ht="12" customHeight="1" x14ac:dyDescent="0.35">
      <c r="B2422" s="84" t="s">
        <v>6</v>
      </c>
      <c r="C2422" s="88" t="s">
        <v>422</v>
      </c>
      <c r="D2422" s="79"/>
      <c r="E2422" s="79"/>
      <c r="F2422" s="90"/>
      <c r="G2422" s="84"/>
      <c r="H2422" s="87"/>
      <c r="I2422" s="84"/>
      <c r="J2422" s="87"/>
      <c r="K2422" s="84"/>
      <c r="L2422" s="87"/>
    </row>
    <row r="2423" spans="1:12" ht="12" customHeight="1" x14ac:dyDescent="0.35">
      <c r="A2423" s="134">
        <v>211102120</v>
      </c>
      <c r="B2423" s="84"/>
      <c r="C2423" s="85" t="str">
        <f>VLOOKUP(A2423,'DAFTAR HARGA'!A:D,3,FALSE)</f>
        <v>m³</v>
      </c>
      <c r="D2423" s="84" t="s">
        <v>418</v>
      </c>
      <c r="E2423" s="84">
        <f>VLOOKUP(A2423,'DAFTAR HARGA'!A:D,4,FALSE)</f>
        <v>150000</v>
      </c>
      <c r="F2423" s="128">
        <v>1.25</v>
      </c>
      <c r="G2423" s="87" t="e">
        <f>VLOOKUP(A2423,'DAFTAR HARGA'!A:D,5,FALSE)</f>
        <v>#REF!</v>
      </c>
      <c r="H2423" s="87" t="e">
        <f>F2423*G2423</f>
        <v>#REF!</v>
      </c>
      <c r="I2423" s="87">
        <v>232500</v>
      </c>
      <c r="J2423" s="87">
        <f>F2423*I2423</f>
        <v>290625</v>
      </c>
      <c r="K2423" s="87">
        <v>270000</v>
      </c>
      <c r="L2423" s="87">
        <f>F2423*K2423</f>
        <v>337500</v>
      </c>
    </row>
    <row r="2424" spans="1:12" ht="12" customHeight="1" x14ac:dyDescent="0.35">
      <c r="A2424" s="134">
        <v>211100113</v>
      </c>
      <c r="B2424" s="84"/>
      <c r="C2424" s="85" t="str">
        <f>VLOOKUP(A2424,'DAFTAR HARGA'!A:D,3,FALSE)</f>
        <v>m³</v>
      </c>
      <c r="D2424" s="84" t="s">
        <v>418</v>
      </c>
      <c r="E2424" s="84">
        <f>VLOOKUP(A2424,'DAFTAR HARGA'!A:D,4,FALSE)</f>
        <v>217500</v>
      </c>
      <c r="F2424" s="128">
        <v>2.5000000000000001E-2</v>
      </c>
      <c r="G2424" s="87" t="e">
        <f>VLOOKUP(A2424,'DAFTAR HARGA'!A:D,5,FALSE)</f>
        <v>#REF!</v>
      </c>
      <c r="H2424" s="87" t="e">
        <f>F2424*G2424</f>
        <v>#REF!</v>
      </c>
      <c r="I2424" s="87">
        <v>1060</v>
      </c>
      <c r="J2424" s="87">
        <f>F2424*I2424</f>
        <v>26.5</v>
      </c>
      <c r="K2424" s="87">
        <v>1060</v>
      </c>
      <c r="L2424" s="87">
        <f>F2424*K2424</f>
        <v>26.5</v>
      </c>
    </row>
    <row r="2425" spans="1:12" ht="12" customHeight="1" x14ac:dyDescent="0.35">
      <c r="A2425" s="134">
        <v>21301000</v>
      </c>
      <c r="B2425" s="84"/>
      <c r="C2425" s="85" t="str">
        <f>VLOOKUP(A2425,'DAFTAR HARGA'!A:D,3,FALSE)</f>
        <v>Kg</v>
      </c>
      <c r="D2425" s="84" t="s">
        <v>418</v>
      </c>
      <c r="E2425" s="84">
        <f>VLOOKUP(A2425,'DAFTAR HARGA'!A:D,4,FALSE)</f>
        <v>1350</v>
      </c>
      <c r="F2425" s="128">
        <v>5</v>
      </c>
      <c r="G2425" s="87" t="e">
        <f>VLOOKUP(A2425,'DAFTAR HARGA'!A:D,5,FALSE)</f>
        <v>#REF!</v>
      </c>
      <c r="H2425" s="87" t="e">
        <f>F2425*G2425</f>
        <v>#REF!</v>
      </c>
      <c r="I2425" s="87">
        <v>215000</v>
      </c>
      <c r="J2425" s="87">
        <f>F2425*I2425</f>
        <v>1075000</v>
      </c>
      <c r="K2425" s="87">
        <v>250000</v>
      </c>
      <c r="L2425" s="87">
        <f>F2425*K2425</f>
        <v>1250000</v>
      </c>
    </row>
    <row r="2426" spans="1:12" ht="12" customHeight="1" x14ac:dyDescent="0.35">
      <c r="B2426" s="84"/>
      <c r="C2426" s="85"/>
      <c r="D2426" s="84"/>
      <c r="E2426" s="84"/>
      <c r="F2426" s="128"/>
      <c r="G2426" s="87"/>
      <c r="H2426" s="87"/>
      <c r="I2426" s="87"/>
      <c r="J2426" s="87"/>
      <c r="K2426" s="87"/>
      <c r="L2426" s="87"/>
    </row>
    <row r="2427" spans="1:12" ht="12" customHeight="1" x14ac:dyDescent="0.35">
      <c r="B2427" s="84"/>
      <c r="C2427" s="88"/>
      <c r="D2427" s="79"/>
      <c r="E2427" s="79"/>
      <c r="F2427" s="129" t="s">
        <v>423</v>
      </c>
      <c r="G2427" s="129"/>
      <c r="H2427" s="87" t="e">
        <f>SUM(H2423:H2426)</f>
        <v>#REF!</v>
      </c>
      <c r="I2427" s="101"/>
      <c r="J2427" s="87" t="e">
        <f>SUM(#REF!)</f>
        <v>#REF!</v>
      </c>
      <c r="K2427" s="101"/>
      <c r="L2427" s="87" t="e">
        <f>SUM(#REF!)</f>
        <v>#REF!</v>
      </c>
    </row>
    <row r="2428" spans="1:12" ht="12" customHeight="1" x14ac:dyDescent="0.35">
      <c r="B2428" s="84" t="s">
        <v>7</v>
      </c>
      <c r="C2428" s="88" t="s">
        <v>424</v>
      </c>
      <c r="D2428" s="79"/>
      <c r="E2428" s="79"/>
      <c r="F2428" s="90"/>
      <c r="G2428" s="84"/>
      <c r="H2428" s="87"/>
      <c r="I2428" s="84"/>
      <c r="J2428" s="87"/>
      <c r="K2428" s="84"/>
      <c r="L2428" s="87"/>
    </row>
    <row r="2429" spans="1:12" ht="12" customHeight="1" x14ac:dyDescent="0.35">
      <c r="B2429" s="84"/>
      <c r="C2429" s="85"/>
      <c r="D2429" s="84"/>
      <c r="E2429" s="84"/>
      <c r="F2429" s="128"/>
      <c r="G2429" s="87"/>
      <c r="H2429" s="87">
        <f>F2429*G2429</f>
        <v>0</v>
      </c>
      <c r="I2429" s="87"/>
      <c r="J2429" s="87">
        <f>H2429*I2429</f>
        <v>0</v>
      </c>
      <c r="K2429" s="87"/>
      <c r="L2429" s="87">
        <f>J2429*K2429</f>
        <v>0</v>
      </c>
    </row>
    <row r="2430" spans="1:12" ht="12" customHeight="1" x14ac:dyDescent="0.35">
      <c r="B2430" s="84"/>
      <c r="C2430" s="85"/>
      <c r="D2430" s="84"/>
      <c r="E2430" s="84"/>
      <c r="F2430" s="128"/>
      <c r="G2430" s="87"/>
      <c r="H2430" s="87">
        <f>F2430*G2430</f>
        <v>0</v>
      </c>
      <c r="I2430" s="87"/>
      <c r="J2430" s="87"/>
      <c r="K2430" s="87"/>
      <c r="L2430" s="87"/>
    </row>
    <row r="2431" spans="1:12" ht="12" customHeight="1" x14ac:dyDescent="0.35">
      <c r="B2431" s="84"/>
      <c r="C2431" s="88"/>
      <c r="D2431" s="79"/>
      <c r="E2431" s="79"/>
      <c r="F2431" s="89" t="s">
        <v>425</v>
      </c>
      <c r="G2431" s="101"/>
      <c r="H2431" s="87">
        <f>SUM(H2429:H2430)</f>
        <v>0</v>
      </c>
      <c r="I2431" s="101"/>
      <c r="J2431" s="87">
        <f>SUM(J2429)</f>
        <v>0</v>
      </c>
      <c r="K2431" s="101"/>
      <c r="L2431" s="87">
        <f>SUM(L2429)</f>
        <v>0</v>
      </c>
    </row>
    <row r="2432" spans="1:12" ht="12" customHeight="1" x14ac:dyDescent="0.35">
      <c r="B2432" s="84" t="s">
        <v>8</v>
      </c>
      <c r="C2432" s="103" t="s">
        <v>426</v>
      </c>
      <c r="D2432" s="104"/>
      <c r="E2432" s="104"/>
      <c r="F2432" s="104"/>
      <c r="G2432" s="105"/>
      <c r="H2432" s="87" t="e">
        <f>H2421+H2427+H2431</f>
        <v>#REF!</v>
      </c>
      <c r="I2432" s="105"/>
      <c r="J2432" s="87" t="e">
        <f>J2421+J2427+J2431</f>
        <v>#REF!</v>
      </c>
      <c r="K2432" s="105"/>
      <c r="L2432" s="87" t="e">
        <f>L2421+L2427+L2431</f>
        <v>#REF!</v>
      </c>
    </row>
    <row r="2433" spans="1:12" ht="12" customHeight="1" x14ac:dyDescent="0.35">
      <c r="B2433" s="84" t="s">
        <v>9</v>
      </c>
      <c r="C2433" s="455" t="s">
        <v>427</v>
      </c>
      <c r="D2433" s="455"/>
      <c r="E2433" s="455"/>
      <c r="F2433" s="95" t="str">
        <f>OP</f>
        <v>TANJUNG PALAS TENGAH</v>
      </c>
      <c r="G2433" s="85" t="s">
        <v>428</v>
      </c>
      <c r="H2433" s="87" t="e">
        <f>H2432*F2433</f>
        <v>#REF!</v>
      </c>
      <c r="I2433" s="85" t="s">
        <v>428</v>
      </c>
      <c r="J2433" s="87" t="e">
        <f>J2432*F2433</f>
        <v>#REF!</v>
      </c>
      <c r="K2433" s="85" t="s">
        <v>428</v>
      </c>
      <c r="L2433" s="87" t="e">
        <f>L2432*F2433</f>
        <v>#REF!</v>
      </c>
    </row>
    <row r="2434" spans="1:12" ht="12" customHeight="1" x14ac:dyDescent="0.35">
      <c r="B2434" s="84" t="s">
        <v>10</v>
      </c>
      <c r="C2434" s="103" t="s">
        <v>429</v>
      </c>
      <c r="D2434" s="104"/>
      <c r="E2434" s="104"/>
      <c r="F2434" s="104"/>
      <c r="G2434" s="105"/>
      <c r="H2434" s="96" t="e">
        <f>H2432+H2433</f>
        <v>#REF!</v>
      </c>
      <c r="I2434" s="97"/>
      <c r="J2434" s="96" t="e">
        <f>J2432+J2433</f>
        <v>#REF!</v>
      </c>
      <c r="K2434" s="97"/>
      <c r="L2434" s="96" t="e">
        <f>L2432+L2433</f>
        <v>#REF!</v>
      </c>
    </row>
    <row r="2436" spans="1:12" ht="37" customHeight="1" x14ac:dyDescent="0.35">
      <c r="B2436" s="76" t="s">
        <v>710</v>
      </c>
      <c r="C2436" s="458" t="s">
        <v>711</v>
      </c>
      <c r="D2436" s="459"/>
      <c r="E2436" s="459"/>
      <c r="F2436" s="459"/>
      <c r="G2436" s="456"/>
      <c r="H2436" s="457"/>
      <c r="I2436" s="455" t="s">
        <v>3</v>
      </c>
      <c r="J2436" s="455"/>
      <c r="K2436" s="455" t="s">
        <v>4</v>
      </c>
      <c r="L2436" s="455"/>
    </row>
    <row r="2437" spans="1:12" ht="12" customHeight="1" x14ac:dyDescent="0.35">
      <c r="B2437" s="451" t="s">
        <v>409</v>
      </c>
      <c r="C2437" s="451" t="s">
        <v>410</v>
      </c>
      <c r="D2437" s="452" t="s">
        <v>411</v>
      </c>
      <c r="E2437" s="451" t="s">
        <v>412</v>
      </c>
      <c r="F2437" s="451" t="s">
        <v>413</v>
      </c>
      <c r="G2437" s="77" t="s">
        <v>414</v>
      </c>
      <c r="H2437" s="77" t="s">
        <v>415</v>
      </c>
      <c r="I2437" s="78" t="s">
        <v>414</v>
      </c>
      <c r="J2437" s="79" t="s">
        <v>415</v>
      </c>
      <c r="K2437" s="79" t="s">
        <v>414</v>
      </c>
      <c r="L2437" s="79" t="s">
        <v>415</v>
      </c>
    </row>
    <row r="2438" spans="1:12" ht="12" customHeight="1" x14ac:dyDescent="0.35">
      <c r="B2438" s="451"/>
      <c r="C2438" s="451"/>
      <c r="D2438" s="453"/>
      <c r="E2438" s="451"/>
      <c r="F2438" s="451"/>
      <c r="G2438" s="77" t="s">
        <v>17</v>
      </c>
      <c r="H2438" s="77" t="s">
        <v>416</v>
      </c>
      <c r="I2438" s="78" t="s">
        <v>17</v>
      </c>
      <c r="J2438" s="79" t="s">
        <v>416</v>
      </c>
      <c r="K2438" s="79" t="s">
        <v>17</v>
      </c>
      <c r="L2438" s="79" t="s">
        <v>416</v>
      </c>
    </row>
    <row r="2439" spans="1:12" ht="12" customHeight="1" x14ac:dyDescent="0.35">
      <c r="B2439" s="451"/>
      <c r="C2439" s="451"/>
      <c r="D2439" s="454"/>
      <c r="E2439" s="451"/>
      <c r="F2439" s="451"/>
      <c r="G2439" s="106"/>
      <c r="H2439" s="77" t="s">
        <v>17</v>
      </c>
      <c r="I2439" s="94"/>
      <c r="J2439" s="79" t="s">
        <v>17</v>
      </c>
      <c r="K2439" s="85"/>
      <c r="L2439" s="79" t="s">
        <v>17</v>
      </c>
    </row>
    <row r="2440" spans="1:12" ht="12" customHeight="1" x14ac:dyDescent="0.35">
      <c r="B2440" s="80" t="s">
        <v>5</v>
      </c>
      <c r="C2440" s="81" t="s">
        <v>417</v>
      </c>
      <c r="D2440" s="82"/>
      <c r="E2440" s="82"/>
      <c r="F2440" s="82"/>
      <c r="G2440" s="82"/>
      <c r="H2440" s="82"/>
      <c r="I2440" s="83"/>
      <c r="J2440" s="83"/>
      <c r="K2440" s="83"/>
      <c r="L2440" s="83"/>
    </row>
    <row r="2441" spans="1:12" ht="12" customHeight="1" x14ac:dyDescent="0.35">
      <c r="A2441" s="134">
        <v>10130000</v>
      </c>
      <c r="B2441" s="84"/>
      <c r="C2441" s="85" t="str">
        <f>VLOOKUP(A2441,'DAFTAR HARGA'!A:D,3,FALSE)</f>
        <v>OH</v>
      </c>
      <c r="D2441" s="84" t="s">
        <v>418</v>
      </c>
      <c r="E2441" s="84">
        <f>VLOOKUP(A2441,'DAFTAR HARGA'!A:D,4,FALSE)</f>
        <v>115000</v>
      </c>
      <c r="F2441" s="128">
        <v>1.2E-2</v>
      </c>
      <c r="G2441" s="87" t="e">
        <f>VLOOKUP(A2441,'DAFTAR HARGA'!A:D,5,FALSE)</f>
        <v>#REF!</v>
      </c>
      <c r="H2441" s="87" t="e">
        <f>F2441*G2441</f>
        <v>#REF!</v>
      </c>
      <c r="I2441" s="87">
        <v>91500</v>
      </c>
      <c r="J2441" s="87">
        <f>F2441*I2441</f>
        <v>1098</v>
      </c>
      <c r="K2441" s="87">
        <v>91500</v>
      </c>
      <c r="L2441" s="87">
        <f>F2441*K2441</f>
        <v>1098</v>
      </c>
    </row>
    <row r="2442" spans="1:12" ht="12" customHeight="1" x14ac:dyDescent="0.35">
      <c r="A2442" s="134">
        <v>10121100</v>
      </c>
      <c r="B2442" s="84"/>
      <c r="C2442" s="85" t="str">
        <f>VLOOKUP(A2442,'DAFTAR HARGA'!A:D,3,FALSE)</f>
        <v>OH</v>
      </c>
      <c r="D2442" s="84" t="s">
        <v>418</v>
      </c>
      <c r="E2442" s="84">
        <f>VLOOKUP(A2442,'DAFTAR HARGA'!A:D,4,FALSE)</f>
        <v>100000</v>
      </c>
      <c r="F2442" s="128">
        <v>2.3999999999999998E-3</v>
      </c>
      <c r="G2442" s="87" t="e">
        <f>VLOOKUP(A2442,'DAFTAR HARGA'!A:D,5,FALSE)</f>
        <v>#REF!</v>
      </c>
      <c r="H2442" s="87" t="e">
        <f>F2442*G2442</f>
        <v>#REF!</v>
      </c>
      <c r="I2442" s="87"/>
      <c r="J2442" s="87"/>
      <c r="K2442" s="87"/>
      <c r="L2442" s="87"/>
    </row>
    <row r="2443" spans="1:12" ht="12" customHeight="1" x14ac:dyDescent="0.35">
      <c r="A2443" s="134">
        <v>10110000</v>
      </c>
      <c r="B2443" s="84"/>
      <c r="C2443" s="85" t="str">
        <f>VLOOKUP(A2443,'DAFTAR HARGA'!A:D,3,FALSE)</f>
        <v>OH</v>
      </c>
      <c r="D2443" s="84" t="s">
        <v>418</v>
      </c>
      <c r="E2443" s="84">
        <f>VLOOKUP(A2443,'DAFTAR HARGA'!A:D,4,FALSE)</f>
        <v>150000</v>
      </c>
      <c r="F2443" s="128">
        <f>F2441/10</f>
        <v>1.2000000000000001E-3</v>
      </c>
      <c r="G2443" s="87" t="e">
        <f>VLOOKUP(A2443,'DAFTAR HARGA'!A:D,5,FALSE)</f>
        <v>#REF!</v>
      </c>
      <c r="H2443" s="87" t="e">
        <f>F2443*G2443</f>
        <v>#REF!</v>
      </c>
      <c r="I2443" s="87">
        <v>78600</v>
      </c>
      <c r="J2443" s="87">
        <f>F2443*I2443</f>
        <v>94.320000000000007</v>
      </c>
      <c r="K2443" s="87">
        <v>78600</v>
      </c>
      <c r="L2443" s="87">
        <f>F2443*K2443</f>
        <v>94.320000000000007</v>
      </c>
    </row>
    <row r="2444" spans="1:12" ht="12" customHeight="1" x14ac:dyDescent="0.35">
      <c r="B2444" s="84"/>
      <c r="C2444" s="85"/>
      <c r="D2444" s="84"/>
      <c r="E2444" s="84"/>
      <c r="F2444" s="86"/>
      <c r="G2444" s="87"/>
      <c r="H2444" s="87">
        <f>F2444*G2444</f>
        <v>0</v>
      </c>
      <c r="I2444" s="87">
        <v>92500</v>
      </c>
      <c r="J2444" s="87">
        <f>F2444*I2444</f>
        <v>0</v>
      </c>
      <c r="K2444" s="87">
        <v>92500</v>
      </c>
      <c r="L2444" s="87">
        <f>F2444*K2444</f>
        <v>0</v>
      </c>
    </row>
    <row r="2445" spans="1:12" ht="12" customHeight="1" x14ac:dyDescent="0.35">
      <c r="B2445" s="84"/>
      <c r="C2445" s="85"/>
      <c r="D2445" s="84"/>
      <c r="E2445" s="84"/>
      <c r="F2445" s="86"/>
      <c r="G2445" s="87"/>
      <c r="H2445" s="87"/>
      <c r="I2445" s="87"/>
      <c r="J2445" s="87"/>
      <c r="K2445" s="87"/>
      <c r="L2445" s="87"/>
    </row>
    <row r="2446" spans="1:12" ht="12" customHeight="1" x14ac:dyDescent="0.35">
      <c r="B2446" s="84"/>
      <c r="C2446" s="88"/>
      <c r="D2446" s="79"/>
      <c r="E2446" s="79"/>
      <c r="F2446" s="89" t="s">
        <v>421</v>
      </c>
      <c r="G2446" s="101"/>
      <c r="H2446" s="87" t="e">
        <f>SUM(H2441:H2445)</f>
        <v>#REF!</v>
      </c>
      <c r="I2446" s="101"/>
      <c r="J2446" s="87">
        <f>SUM(J2443:J2445)</f>
        <v>94.320000000000007</v>
      </c>
      <c r="K2446" s="101"/>
      <c r="L2446" s="87">
        <f>SUM(L2443:L2445)</f>
        <v>94.320000000000007</v>
      </c>
    </row>
    <row r="2447" spans="1:12" ht="12" customHeight="1" x14ac:dyDescent="0.35">
      <c r="B2447" s="84" t="s">
        <v>6</v>
      </c>
      <c r="C2447" s="88" t="s">
        <v>422</v>
      </c>
      <c r="D2447" s="79"/>
      <c r="E2447" s="79"/>
      <c r="F2447" s="90"/>
      <c r="G2447" s="84"/>
      <c r="H2447" s="87"/>
      <c r="I2447" s="84"/>
      <c r="J2447" s="87"/>
      <c r="K2447" s="84"/>
      <c r="L2447" s="87"/>
    </row>
    <row r="2448" spans="1:12" ht="26" customHeight="1" x14ac:dyDescent="0.35">
      <c r="A2448" s="134">
        <v>21603004</v>
      </c>
      <c r="B2448" s="84"/>
      <c r="C2448" s="85" t="str">
        <f>VLOOKUP(A2448,'DAFTAR HARGA'!A:D,3,FALSE)</f>
        <v>m2</v>
      </c>
      <c r="D2448" s="84" t="s">
        <v>418</v>
      </c>
      <c r="E2448" s="84">
        <f>VLOOKUP(A2448,'DAFTAR HARGA'!A:D,4,FALSE)</f>
        <v>6750</v>
      </c>
      <c r="F2448" s="128">
        <v>1.07</v>
      </c>
      <c r="G2448" s="87" t="e">
        <f>VLOOKUP(A2448,'DAFTAR HARGA'!A:D,5,FALSE)</f>
        <v>#REF!</v>
      </c>
      <c r="H2448" s="87" t="e">
        <f>F2448*G2448</f>
        <v>#REF!</v>
      </c>
      <c r="I2448" s="87">
        <v>232500</v>
      </c>
      <c r="J2448" s="87">
        <f>F2448*I2448</f>
        <v>248775</v>
      </c>
      <c r="K2448" s="87">
        <v>270000</v>
      </c>
      <c r="L2448" s="87">
        <f>F2448*K2448</f>
        <v>288900</v>
      </c>
    </row>
    <row r="2449" spans="2:12" ht="12" customHeight="1" x14ac:dyDescent="0.35">
      <c r="B2449" s="84"/>
      <c r="C2449" s="85"/>
      <c r="D2449" s="84"/>
      <c r="E2449" s="84"/>
      <c r="F2449" s="128"/>
      <c r="G2449" s="87"/>
      <c r="H2449" s="87">
        <f>F2449*G2449</f>
        <v>0</v>
      </c>
      <c r="I2449" s="87">
        <v>1060</v>
      </c>
      <c r="J2449" s="87">
        <f>F2449*I2449</f>
        <v>0</v>
      </c>
      <c r="K2449" s="87">
        <v>1060</v>
      </c>
      <c r="L2449" s="87">
        <f>F2449*K2449</f>
        <v>0</v>
      </c>
    </row>
    <row r="2450" spans="2:12" ht="12" customHeight="1" x14ac:dyDescent="0.35">
      <c r="B2450" s="84"/>
      <c r="C2450" s="85"/>
      <c r="D2450" s="84"/>
      <c r="E2450" s="84"/>
      <c r="F2450" s="128"/>
      <c r="G2450" s="87"/>
      <c r="H2450" s="87">
        <f>F2450*G2450</f>
        <v>0</v>
      </c>
      <c r="I2450" s="87">
        <v>215000</v>
      </c>
      <c r="J2450" s="87">
        <f>F2450*I2450</f>
        <v>0</v>
      </c>
      <c r="K2450" s="87">
        <v>250000</v>
      </c>
      <c r="L2450" s="87">
        <f>F2450*K2450</f>
        <v>0</v>
      </c>
    </row>
    <row r="2451" spans="2:12" ht="12" customHeight="1" x14ac:dyDescent="0.35">
      <c r="B2451" s="84"/>
      <c r="C2451" s="85"/>
      <c r="D2451" s="84"/>
      <c r="E2451" s="84"/>
      <c r="F2451" s="128"/>
      <c r="G2451" s="87"/>
      <c r="H2451" s="87"/>
      <c r="I2451" s="87"/>
      <c r="J2451" s="87"/>
      <c r="K2451" s="87"/>
      <c r="L2451" s="87"/>
    </row>
    <row r="2452" spans="2:12" ht="12" customHeight="1" x14ac:dyDescent="0.35">
      <c r="B2452" s="84"/>
      <c r="C2452" s="88"/>
      <c r="D2452" s="79"/>
      <c r="E2452" s="79"/>
      <c r="F2452" s="129" t="s">
        <v>423</v>
      </c>
      <c r="G2452" s="129"/>
      <c r="H2452" s="87" t="e">
        <f>SUM(H2448:H2451)</f>
        <v>#REF!</v>
      </c>
      <c r="I2452" s="101"/>
      <c r="J2452" s="87" t="e">
        <f>SUM(#REF!)</f>
        <v>#REF!</v>
      </c>
      <c r="K2452" s="101"/>
      <c r="L2452" s="87" t="e">
        <f>SUM(#REF!)</f>
        <v>#REF!</v>
      </c>
    </row>
    <row r="2453" spans="2:12" ht="12" customHeight="1" x14ac:dyDescent="0.35">
      <c r="B2453" s="84" t="s">
        <v>7</v>
      </c>
      <c r="C2453" s="88" t="s">
        <v>424</v>
      </c>
      <c r="D2453" s="79"/>
      <c r="E2453" s="79"/>
      <c r="F2453" s="90"/>
      <c r="G2453" s="84"/>
      <c r="H2453" s="87"/>
      <c r="I2453" s="84"/>
      <c r="J2453" s="87"/>
      <c r="K2453" s="84"/>
      <c r="L2453" s="87"/>
    </row>
    <row r="2454" spans="2:12" ht="12" customHeight="1" x14ac:dyDescent="0.35">
      <c r="B2454" s="84"/>
      <c r="C2454" s="85"/>
      <c r="D2454" s="84"/>
      <c r="E2454" s="84"/>
      <c r="F2454" s="128"/>
      <c r="G2454" s="87"/>
      <c r="H2454" s="87">
        <f>F2454*G2454</f>
        <v>0</v>
      </c>
      <c r="I2454" s="87"/>
      <c r="J2454" s="87">
        <f>H2454*I2454</f>
        <v>0</v>
      </c>
      <c r="K2454" s="87"/>
      <c r="L2454" s="87">
        <f>J2454*K2454</f>
        <v>0</v>
      </c>
    </row>
    <row r="2455" spans="2:12" ht="12" customHeight="1" x14ac:dyDescent="0.35">
      <c r="B2455" s="84"/>
      <c r="C2455" s="85"/>
      <c r="D2455" s="84"/>
      <c r="E2455" s="84"/>
      <c r="F2455" s="128"/>
      <c r="G2455" s="87"/>
      <c r="H2455" s="87">
        <f>F2455*G2455</f>
        <v>0</v>
      </c>
      <c r="I2455" s="87"/>
      <c r="J2455" s="87"/>
      <c r="K2455" s="87"/>
      <c r="L2455" s="87"/>
    </row>
    <row r="2456" spans="2:12" ht="12" customHeight="1" x14ac:dyDescent="0.35">
      <c r="B2456" s="84"/>
      <c r="C2456" s="88"/>
      <c r="D2456" s="79"/>
      <c r="E2456" s="79"/>
      <c r="F2456" s="89" t="s">
        <v>425</v>
      </c>
      <c r="G2456" s="101"/>
      <c r="H2456" s="87">
        <f>SUM(H2454:H2455)</f>
        <v>0</v>
      </c>
      <c r="I2456" s="101"/>
      <c r="J2456" s="87">
        <f>SUM(J2454)</f>
        <v>0</v>
      </c>
      <c r="K2456" s="101"/>
      <c r="L2456" s="87">
        <f>SUM(L2454)</f>
        <v>0</v>
      </c>
    </row>
    <row r="2457" spans="2:12" ht="12" customHeight="1" x14ac:dyDescent="0.35">
      <c r="B2457" s="84" t="s">
        <v>8</v>
      </c>
      <c r="C2457" s="103" t="s">
        <v>426</v>
      </c>
      <c r="D2457" s="104"/>
      <c r="E2457" s="104"/>
      <c r="F2457" s="104"/>
      <c r="G2457" s="105"/>
      <c r="H2457" s="87" t="e">
        <f>H2446+H2452+H2456</f>
        <v>#REF!</v>
      </c>
      <c r="I2457" s="105"/>
      <c r="J2457" s="87" t="e">
        <f>J2446+J2452+J2456</f>
        <v>#REF!</v>
      </c>
      <c r="K2457" s="105"/>
      <c r="L2457" s="87" t="e">
        <f>L2446+L2452+L2456</f>
        <v>#REF!</v>
      </c>
    </row>
    <row r="2458" spans="2:12" ht="12" customHeight="1" x14ac:dyDescent="0.35">
      <c r="B2458" s="84" t="s">
        <v>9</v>
      </c>
      <c r="C2458" s="455" t="s">
        <v>427</v>
      </c>
      <c r="D2458" s="455"/>
      <c r="E2458" s="455"/>
      <c r="F2458" s="95" t="str">
        <f>OP</f>
        <v>TANJUNG PALAS TENGAH</v>
      </c>
      <c r="G2458" s="85" t="s">
        <v>428</v>
      </c>
      <c r="H2458" s="87" t="e">
        <f>H2457*F2458</f>
        <v>#REF!</v>
      </c>
      <c r="I2458" s="85" t="s">
        <v>428</v>
      </c>
      <c r="J2458" s="87" t="e">
        <f>J2457*F2458</f>
        <v>#REF!</v>
      </c>
      <c r="K2458" s="85" t="s">
        <v>428</v>
      </c>
      <c r="L2458" s="87" t="e">
        <f>L2457*F2458</f>
        <v>#REF!</v>
      </c>
    </row>
    <row r="2459" spans="2:12" ht="12" customHeight="1" x14ac:dyDescent="0.35">
      <c r="B2459" s="84" t="s">
        <v>10</v>
      </c>
      <c r="C2459" s="103" t="s">
        <v>429</v>
      </c>
      <c r="D2459" s="104"/>
      <c r="E2459" s="104"/>
      <c r="F2459" s="104"/>
      <c r="G2459" s="105"/>
      <c r="H2459" s="96" t="e">
        <f>H2457+H2458</f>
        <v>#REF!</v>
      </c>
      <c r="I2459" s="97"/>
      <c r="J2459" s="96" t="e">
        <f>J2457+J2458</f>
        <v>#REF!</v>
      </c>
      <c r="K2459" s="97"/>
      <c r="L2459" s="96" t="e">
        <f>L2457+L2458</f>
        <v>#REF!</v>
      </c>
    </row>
    <row r="2461" spans="2:12" ht="37" customHeight="1" x14ac:dyDescent="0.35">
      <c r="B2461" s="76" t="s">
        <v>715</v>
      </c>
      <c r="C2461" s="458" t="s">
        <v>716</v>
      </c>
      <c r="D2461" s="459"/>
      <c r="E2461" s="459"/>
      <c r="F2461" s="459"/>
      <c r="G2461" s="456"/>
      <c r="H2461" s="457"/>
      <c r="I2461" s="455" t="s">
        <v>3</v>
      </c>
      <c r="J2461" s="455"/>
      <c r="K2461" s="455" t="s">
        <v>4</v>
      </c>
      <c r="L2461" s="455"/>
    </row>
    <row r="2462" spans="2:12" ht="12" customHeight="1" x14ac:dyDescent="0.35">
      <c r="B2462" s="451" t="s">
        <v>409</v>
      </c>
      <c r="C2462" s="451" t="s">
        <v>410</v>
      </c>
      <c r="D2462" s="452" t="s">
        <v>411</v>
      </c>
      <c r="E2462" s="451" t="s">
        <v>412</v>
      </c>
      <c r="F2462" s="451" t="s">
        <v>413</v>
      </c>
      <c r="G2462" s="77" t="s">
        <v>414</v>
      </c>
      <c r="H2462" s="77" t="s">
        <v>415</v>
      </c>
      <c r="I2462" s="78" t="s">
        <v>414</v>
      </c>
      <c r="J2462" s="79" t="s">
        <v>415</v>
      </c>
      <c r="K2462" s="79" t="s">
        <v>414</v>
      </c>
      <c r="L2462" s="79" t="s">
        <v>415</v>
      </c>
    </row>
    <row r="2463" spans="2:12" ht="12" customHeight="1" x14ac:dyDescent="0.35">
      <c r="B2463" s="451"/>
      <c r="C2463" s="451"/>
      <c r="D2463" s="453"/>
      <c r="E2463" s="451"/>
      <c r="F2463" s="451"/>
      <c r="G2463" s="77" t="s">
        <v>17</v>
      </c>
      <c r="H2463" s="77" t="s">
        <v>416</v>
      </c>
      <c r="I2463" s="78" t="s">
        <v>17</v>
      </c>
      <c r="J2463" s="79" t="s">
        <v>416</v>
      </c>
      <c r="K2463" s="79" t="s">
        <v>17</v>
      </c>
      <c r="L2463" s="79" t="s">
        <v>416</v>
      </c>
    </row>
    <row r="2464" spans="2:12" ht="12" customHeight="1" x14ac:dyDescent="0.35">
      <c r="B2464" s="451"/>
      <c r="C2464" s="451"/>
      <c r="D2464" s="454"/>
      <c r="E2464" s="451"/>
      <c r="F2464" s="451"/>
      <c r="G2464" s="106"/>
      <c r="H2464" s="77" t="s">
        <v>17</v>
      </c>
      <c r="I2464" s="94"/>
      <c r="J2464" s="79" t="s">
        <v>17</v>
      </c>
      <c r="K2464" s="85"/>
      <c r="L2464" s="79" t="s">
        <v>17</v>
      </c>
    </row>
    <row r="2465" spans="1:12" ht="12" customHeight="1" x14ac:dyDescent="0.35">
      <c r="B2465" s="80" t="s">
        <v>5</v>
      </c>
      <c r="C2465" s="81" t="s">
        <v>417</v>
      </c>
      <c r="D2465" s="82"/>
      <c r="E2465" s="82"/>
      <c r="F2465" s="82"/>
      <c r="G2465" s="82"/>
      <c r="H2465" s="82"/>
      <c r="I2465" s="83"/>
      <c r="J2465" s="83"/>
      <c r="K2465" s="83"/>
      <c r="L2465" s="83"/>
    </row>
    <row r="2466" spans="1:12" ht="12" customHeight="1" x14ac:dyDescent="0.35">
      <c r="A2466" s="134">
        <v>10130000</v>
      </c>
      <c r="B2466" s="84"/>
      <c r="C2466" s="85" t="str">
        <f>VLOOKUP(A2466,'DAFTAR HARGA'!A:D,3,FALSE)</f>
        <v>OH</v>
      </c>
      <c r="D2466" s="84" t="s">
        <v>418</v>
      </c>
      <c r="E2466" s="84">
        <f>VLOOKUP(A2466,'DAFTAR HARGA'!A:D,4,FALSE)</f>
        <v>115000</v>
      </c>
      <c r="F2466" s="128">
        <v>1.6E-2</v>
      </c>
      <c r="G2466" s="87" t="e">
        <f>VLOOKUP(A2466,'DAFTAR HARGA'!A:D,5,FALSE)</f>
        <v>#REF!</v>
      </c>
      <c r="H2466" s="87" t="e">
        <f>F2466*G2466</f>
        <v>#REF!</v>
      </c>
      <c r="I2466" s="87">
        <v>91500</v>
      </c>
      <c r="J2466" s="87">
        <f>F2466*I2466</f>
        <v>1464</v>
      </c>
      <c r="K2466" s="87">
        <v>91500</v>
      </c>
      <c r="L2466" s="87">
        <f>F2466*K2466</f>
        <v>1464</v>
      </c>
    </row>
    <row r="2467" spans="1:12" ht="12" customHeight="1" x14ac:dyDescent="0.35">
      <c r="A2467" s="134">
        <v>10121100</v>
      </c>
      <c r="B2467" s="84"/>
      <c r="C2467" s="85" t="str">
        <f>VLOOKUP(A2467,'DAFTAR HARGA'!A:D,3,FALSE)</f>
        <v>OH</v>
      </c>
      <c r="D2467" s="84" t="s">
        <v>418</v>
      </c>
      <c r="E2467" s="84">
        <f>VLOOKUP(A2467,'DAFTAR HARGA'!A:D,4,FALSE)</f>
        <v>100000</v>
      </c>
      <c r="F2467" s="128">
        <v>3.2000000000000002E-3</v>
      </c>
      <c r="G2467" s="87" t="e">
        <f>VLOOKUP(A2467,'DAFTAR HARGA'!A:D,5,FALSE)</f>
        <v>#REF!</v>
      </c>
      <c r="H2467" s="87" t="e">
        <f>F2467*G2467</f>
        <v>#REF!</v>
      </c>
      <c r="I2467" s="87"/>
      <c r="J2467" s="87"/>
      <c r="K2467" s="87"/>
      <c r="L2467" s="87"/>
    </row>
    <row r="2468" spans="1:12" ht="12" customHeight="1" x14ac:dyDescent="0.35">
      <c r="A2468" s="134">
        <v>10110000</v>
      </c>
      <c r="B2468" s="84"/>
      <c r="C2468" s="85" t="str">
        <f>VLOOKUP(A2468,'DAFTAR HARGA'!A:D,3,FALSE)</f>
        <v>OH</v>
      </c>
      <c r="D2468" s="84" t="s">
        <v>418</v>
      </c>
      <c r="E2468" s="84">
        <f>VLOOKUP(A2468,'DAFTAR HARGA'!A:D,4,FALSE)</f>
        <v>150000</v>
      </c>
      <c r="F2468" s="128">
        <f>F2466/10</f>
        <v>1.6000000000000001E-3</v>
      </c>
      <c r="G2468" s="87" t="e">
        <f>VLOOKUP(A2468,'DAFTAR HARGA'!A:D,5,FALSE)</f>
        <v>#REF!</v>
      </c>
      <c r="H2468" s="87" t="e">
        <f>F2468*G2468</f>
        <v>#REF!</v>
      </c>
      <c r="I2468" s="87">
        <v>78600</v>
      </c>
      <c r="J2468" s="87">
        <f>F2468*I2468</f>
        <v>125.76</v>
      </c>
      <c r="K2468" s="87">
        <v>78600</v>
      </c>
      <c r="L2468" s="87">
        <f>F2468*K2468</f>
        <v>125.76</v>
      </c>
    </row>
    <row r="2469" spans="1:12" ht="12" customHeight="1" x14ac:dyDescent="0.35">
      <c r="B2469" s="84"/>
      <c r="C2469" s="85"/>
      <c r="D2469" s="84"/>
      <c r="E2469" s="84"/>
      <c r="F2469" s="86"/>
      <c r="G2469" s="87"/>
      <c r="H2469" s="87">
        <f>F2469*G2469</f>
        <v>0</v>
      </c>
      <c r="I2469" s="87">
        <v>92500</v>
      </c>
      <c r="J2469" s="87">
        <f>F2469*I2469</f>
        <v>0</v>
      </c>
      <c r="K2469" s="87">
        <v>92500</v>
      </c>
      <c r="L2469" s="87">
        <f>F2469*K2469</f>
        <v>0</v>
      </c>
    </row>
    <row r="2470" spans="1:12" ht="12" customHeight="1" x14ac:dyDescent="0.35">
      <c r="B2470" s="84"/>
      <c r="C2470" s="85"/>
      <c r="D2470" s="84"/>
      <c r="E2470" s="84"/>
      <c r="F2470" s="86"/>
      <c r="G2470" s="87"/>
      <c r="H2470" s="87"/>
      <c r="I2470" s="87"/>
      <c r="J2470" s="87"/>
      <c r="K2470" s="87"/>
      <c r="L2470" s="87"/>
    </row>
    <row r="2471" spans="1:12" ht="12" customHeight="1" x14ac:dyDescent="0.35">
      <c r="B2471" s="84"/>
      <c r="C2471" s="88"/>
      <c r="D2471" s="79"/>
      <c r="E2471" s="79"/>
      <c r="F2471" s="89" t="s">
        <v>421</v>
      </c>
      <c r="G2471" s="101"/>
      <c r="H2471" s="87" t="e">
        <f>SUM(H2466:H2470)</f>
        <v>#REF!</v>
      </c>
      <c r="I2471" s="101"/>
      <c r="J2471" s="87">
        <f>SUM(J2468:J2470)</f>
        <v>125.76</v>
      </c>
      <c r="K2471" s="101"/>
      <c r="L2471" s="87">
        <f>SUM(L2468:L2470)</f>
        <v>125.76</v>
      </c>
    </row>
    <row r="2472" spans="1:12" ht="12" customHeight="1" x14ac:dyDescent="0.35">
      <c r="B2472" s="84" t="s">
        <v>6</v>
      </c>
      <c r="C2472" s="88" t="s">
        <v>422</v>
      </c>
      <c r="D2472" s="79"/>
      <c r="E2472" s="79"/>
      <c r="F2472" s="90"/>
      <c r="G2472" s="84"/>
      <c r="H2472" s="87"/>
      <c r="I2472" s="84"/>
      <c r="J2472" s="87"/>
      <c r="K2472" s="84"/>
      <c r="L2472" s="87"/>
    </row>
    <row r="2473" spans="1:12" ht="26" customHeight="1" x14ac:dyDescent="0.35">
      <c r="A2473" s="134">
        <v>21603010</v>
      </c>
      <c r="B2473" s="84"/>
      <c r="C2473" s="85" t="str">
        <f>VLOOKUP(A2473,'DAFTAR HARGA'!A:D,3,FALSE)</f>
        <v>m2</v>
      </c>
      <c r="D2473" s="84" t="s">
        <v>418</v>
      </c>
      <c r="E2473" s="84">
        <f>VLOOKUP(A2473,'DAFTAR HARGA'!A:D,4,FALSE)</f>
        <v>17500</v>
      </c>
      <c r="F2473" s="128">
        <v>1.1399999999999999</v>
      </c>
      <c r="G2473" s="87" t="e">
        <f>VLOOKUP(A2473,'DAFTAR HARGA'!A:D,5,FALSE)</f>
        <v>#REF!</v>
      </c>
      <c r="H2473" s="87" t="e">
        <f>F2473*G2473</f>
        <v>#REF!</v>
      </c>
      <c r="I2473" s="87">
        <v>232500</v>
      </c>
      <c r="J2473" s="87">
        <f>F2473*I2473</f>
        <v>265050</v>
      </c>
      <c r="K2473" s="87">
        <v>270000</v>
      </c>
      <c r="L2473" s="87">
        <f>F2473*K2473</f>
        <v>307800</v>
      </c>
    </row>
    <row r="2474" spans="1:12" ht="12" customHeight="1" x14ac:dyDescent="0.35">
      <c r="B2474" s="84"/>
      <c r="C2474" s="85"/>
      <c r="D2474" s="84"/>
      <c r="E2474" s="84"/>
      <c r="F2474" s="128"/>
      <c r="G2474" s="87"/>
      <c r="H2474" s="87">
        <f>F2474*G2474</f>
        <v>0</v>
      </c>
      <c r="I2474" s="87">
        <v>1060</v>
      </c>
      <c r="J2474" s="87">
        <f>F2474*I2474</f>
        <v>0</v>
      </c>
      <c r="K2474" s="87">
        <v>1060</v>
      </c>
      <c r="L2474" s="87">
        <f>F2474*K2474</f>
        <v>0</v>
      </c>
    </row>
    <row r="2475" spans="1:12" ht="12" customHeight="1" x14ac:dyDescent="0.35">
      <c r="B2475" s="84"/>
      <c r="C2475" s="85"/>
      <c r="D2475" s="84"/>
      <c r="E2475" s="84"/>
      <c r="F2475" s="128"/>
      <c r="G2475" s="87"/>
      <c r="H2475" s="87">
        <f>F2475*G2475</f>
        <v>0</v>
      </c>
      <c r="I2475" s="87">
        <v>215000</v>
      </c>
      <c r="J2475" s="87">
        <f>F2475*I2475</f>
        <v>0</v>
      </c>
      <c r="K2475" s="87">
        <v>250000</v>
      </c>
      <c r="L2475" s="87">
        <f>F2475*K2475</f>
        <v>0</v>
      </c>
    </row>
    <row r="2476" spans="1:12" ht="12" customHeight="1" x14ac:dyDescent="0.35">
      <c r="B2476" s="84"/>
      <c r="C2476" s="85"/>
      <c r="D2476" s="84"/>
      <c r="E2476" s="84"/>
      <c r="F2476" s="128"/>
      <c r="G2476" s="87"/>
      <c r="H2476" s="87"/>
      <c r="I2476" s="87"/>
      <c r="J2476" s="87"/>
      <c r="K2476" s="87"/>
      <c r="L2476" s="87"/>
    </row>
    <row r="2477" spans="1:12" ht="12" customHeight="1" x14ac:dyDescent="0.35">
      <c r="B2477" s="84"/>
      <c r="C2477" s="88"/>
      <c r="D2477" s="79"/>
      <c r="E2477" s="79"/>
      <c r="F2477" s="129" t="s">
        <v>423</v>
      </c>
      <c r="G2477" s="129"/>
      <c r="H2477" s="87" t="e">
        <f>SUM(H2473:H2476)</f>
        <v>#REF!</v>
      </c>
      <c r="I2477" s="101"/>
      <c r="J2477" s="87" t="e">
        <f>SUM(#REF!)</f>
        <v>#REF!</v>
      </c>
      <c r="K2477" s="101"/>
      <c r="L2477" s="87" t="e">
        <f>SUM(#REF!)</f>
        <v>#REF!</v>
      </c>
    </row>
    <row r="2478" spans="1:12" ht="12" customHeight="1" x14ac:dyDescent="0.35">
      <c r="B2478" s="84" t="s">
        <v>7</v>
      </c>
      <c r="C2478" s="88" t="s">
        <v>424</v>
      </c>
      <c r="D2478" s="79"/>
      <c r="E2478" s="79"/>
      <c r="F2478" s="90"/>
      <c r="G2478" s="84"/>
      <c r="H2478" s="87"/>
      <c r="I2478" s="84"/>
      <c r="J2478" s="87"/>
      <c r="K2478" s="84"/>
      <c r="L2478" s="87"/>
    </row>
    <row r="2479" spans="1:12" ht="12" customHeight="1" x14ac:dyDescent="0.35">
      <c r="B2479" s="84"/>
      <c r="C2479" s="85"/>
      <c r="D2479" s="84"/>
      <c r="E2479" s="84"/>
      <c r="F2479" s="128"/>
      <c r="G2479" s="87"/>
      <c r="H2479" s="87">
        <f>F2479*G2479</f>
        <v>0</v>
      </c>
      <c r="I2479" s="87"/>
      <c r="J2479" s="87">
        <f>H2479*I2479</f>
        <v>0</v>
      </c>
      <c r="K2479" s="87"/>
      <c r="L2479" s="87">
        <f>J2479*K2479</f>
        <v>0</v>
      </c>
    </row>
    <row r="2480" spans="1:12" ht="12" customHeight="1" x14ac:dyDescent="0.35">
      <c r="B2480" s="84"/>
      <c r="C2480" s="85"/>
      <c r="D2480" s="84"/>
      <c r="E2480" s="84"/>
      <c r="F2480" s="128"/>
      <c r="G2480" s="87"/>
      <c r="H2480" s="87">
        <f>F2480*G2480</f>
        <v>0</v>
      </c>
      <c r="I2480" s="87"/>
      <c r="J2480" s="87"/>
      <c r="K2480" s="87"/>
      <c r="L2480" s="87"/>
    </row>
    <row r="2481" spans="1:12" ht="12" customHeight="1" x14ac:dyDescent="0.35">
      <c r="B2481" s="84"/>
      <c r="C2481" s="88"/>
      <c r="D2481" s="79"/>
      <c r="E2481" s="79"/>
      <c r="F2481" s="89" t="s">
        <v>425</v>
      </c>
      <c r="G2481" s="101"/>
      <c r="H2481" s="87">
        <f>SUM(H2479:H2480)</f>
        <v>0</v>
      </c>
      <c r="I2481" s="101"/>
      <c r="J2481" s="87">
        <f>SUM(J2479)</f>
        <v>0</v>
      </c>
      <c r="K2481" s="101"/>
      <c r="L2481" s="87">
        <f>SUM(L2479)</f>
        <v>0</v>
      </c>
    </row>
    <row r="2482" spans="1:12" ht="12" customHeight="1" x14ac:dyDescent="0.35">
      <c r="B2482" s="84" t="s">
        <v>8</v>
      </c>
      <c r="C2482" s="103" t="s">
        <v>426</v>
      </c>
      <c r="D2482" s="104"/>
      <c r="E2482" s="104"/>
      <c r="F2482" s="104"/>
      <c r="G2482" s="105"/>
      <c r="H2482" s="87" t="e">
        <f>H2471+H2477+H2481</f>
        <v>#REF!</v>
      </c>
      <c r="I2482" s="105"/>
      <c r="J2482" s="87" t="e">
        <f>J2471+J2477+J2481</f>
        <v>#REF!</v>
      </c>
      <c r="K2482" s="105"/>
      <c r="L2482" s="87" t="e">
        <f>L2471+L2477+L2481</f>
        <v>#REF!</v>
      </c>
    </row>
    <row r="2483" spans="1:12" ht="12" customHeight="1" x14ac:dyDescent="0.35">
      <c r="B2483" s="84" t="s">
        <v>9</v>
      </c>
      <c r="C2483" s="455" t="s">
        <v>427</v>
      </c>
      <c r="D2483" s="455"/>
      <c r="E2483" s="455"/>
      <c r="F2483" s="95" t="str">
        <f>OP</f>
        <v>TANJUNG PALAS TENGAH</v>
      </c>
      <c r="G2483" s="85" t="s">
        <v>428</v>
      </c>
      <c r="H2483" s="87" t="e">
        <f>H2482*F2483</f>
        <v>#REF!</v>
      </c>
      <c r="I2483" s="85" t="s">
        <v>428</v>
      </c>
      <c r="J2483" s="87" t="e">
        <f>J2482*F2483</f>
        <v>#REF!</v>
      </c>
      <c r="K2483" s="85" t="s">
        <v>428</v>
      </c>
      <c r="L2483" s="87" t="e">
        <f>L2482*F2483</f>
        <v>#REF!</v>
      </c>
    </row>
    <row r="2484" spans="1:12" ht="12" customHeight="1" x14ac:dyDescent="0.35">
      <c r="B2484" s="84" t="s">
        <v>10</v>
      </c>
      <c r="C2484" s="103" t="s">
        <v>429</v>
      </c>
      <c r="D2484" s="104"/>
      <c r="E2484" s="104"/>
      <c r="F2484" s="104"/>
      <c r="G2484" s="105"/>
      <c r="H2484" s="96" t="e">
        <f>H2482+H2483</f>
        <v>#REF!</v>
      </c>
      <c r="I2484" s="97"/>
      <c r="J2484" s="96" t="e">
        <f>J2482+J2483</f>
        <v>#REF!</v>
      </c>
      <c r="K2484" s="97"/>
      <c r="L2484" s="96" t="e">
        <f>L2482+L2483</f>
        <v>#REF!</v>
      </c>
    </row>
    <row r="2486" spans="1:12" ht="37" customHeight="1" x14ac:dyDescent="0.35">
      <c r="B2486" s="76" t="s">
        <v>719</v>
      </c>
      <c r="C2486" s="458" t="s">
        <v>720</v>
      </c>
      <c r="D2486" s="459"/>
      <c r="E2486" s="459"/>
      <c r="F2486" s="459"/>
      <c r="G2486" s="456"/>
      <c r="H2486" s="457"/>
      <c r="I2486" s="455" t="s">
        <v>3</v>
      </c>
      <c r="J2486" s="455"/>
      <c r="K2486" s="455" t="s">
        <v>4</v>
      </c>
      <c r="L2486" s="455"/>
    </row>
    <row r="2487" spans="1:12" ht="12" customHeight="1" x14ac:dyDescent="0.35">
      <c r="B2487" s="451" t="s">
        <v>409</v>
      </c>
      <c r="C2487" s="451" t="s">
        <v>410</v>
      </c>
      <c r="D2487" s="452" t="s">
        <v>411</v>
      </c>
      <c r="E2487" s="451" t="s">
        <v>412</v>
      </c>
      <c r="F2487" s="451" t="s">
        <v>413</v>
      </c>
      <c r="G2487" s="77" t="s">
        <v>414</v>
      </c>
      <c r="H2487" s="77" t="s">
        <v>415</v>
      </c>
      <c r="I2487" s="78" t="s">
        <v>414</v>
      </c>
      <c r="J2487" s="79" t="s">
        <v>415</v>
      </c>
      <c r="K2487" s="79" t="s">
        <v>414</v>
      </c>
      <c r="L2487" s="79" t="s">
        <v>415</v>
      </c>
    </row>
    <row r="2488" spans="1:12" ht="12" customHeight="1" x14ac:dyDescent="0.35">
      <c r="B2488" s="451"/>
      <c r="C2488" s="451"/>
      <c r="D2488" s="453"/>
      <c r="E2488" s="451"/>
      <c r="F2488" s="451"/>
      <c r="G2488" s="77" t="s">
        <v>17</v>
      </c>
      <c r="H2488" s="77" t="s">
        <v>416</v>
      </c>
      <c r="I2488" s="78" t="s">
        <v>17</v>
      </c>
      <c r="J2488" s="79" t="s">
        <v>416</v>
      </c>
      <c r="K2488" s="79" t="s">
        <v>17</v>
      </c>
      <c r="L2488" s="79" t="s">
        <v>416</v>
      </c>
    </row>
    <row r="2489" spans="1:12" ht="12" customHeight="1" x14ac:dyDescent="0.35">
      <c r="B2489" s="451"/>
      <c r="C2489" s="451"/>
      <c r="D2489" s="454"/>
      <c r="E2489" s="451"/>
      <c r="F2489" s="451"/>
      <c r="G2489" s="106"/>
      <c r="H2489" s="77" t="s">
        <v>17</v>
      </c>
      <c r="I2489" s="94"/>
      <c r="J2489" s="79" t="s">
        <v>17</v>
      </c>
      <c r="K2489" s="85"/>
      <c r="L2489" s="79" t="s">
        <v>17</v>
      </c>
    </row>
    <row r="2490" spans="1:12" ht="12" customHeight="1" x14ac:dyDescent="0.35">
      <c r="B2490" s="80" t="s">
        <v>5</v>
      </c>
      <c r="C2490" s="81" t="s">
        <v>417</v>
      </c>
      <c r="D2490" s="82"/>
      <c r="E2490" s="82"/>
      <c r="F2490" s="82"/>
      <c r="G2490" s="82"/>
      <c r="H2490" s="82"/>
      <c r="I2490" s="83"/>
      <c r="J2490" s="83"/>
      <c r="K2490" s="83"/>
      <c r="L2490" s="83"/>
    </row>
    <row r="2491" spans="1:12" ht="12" customHeight="1" x14ac:dyDescent="0.35">
      <c r="A2491" s="134">
        <v>10130000</v>
      </c>
      <c r="B2491" s="84"/>
      <c r="C2491" s="85" t="str">
        <f>VLOOKUP(A2491,'DAFTAR HARGA'!A:D,3,FALSE)</f>
        <v>OH</v>
      </c>
      <c r="D2491" s="84" t="s">
        <v>418</v>
      </c>
      <c r="E2491" s="84">
        <f>VLOOKUP(A2491,'DAFTAR HARGA'!A:D,4,FALSE)</f>
        <v>115000</v>
      </c>
      <c r="F2491" s="128">
        <v>9.2899999999999996E-3</v>
      </c>
      <c r="G2491" s="87" t="e">
        <f>VLOOKUP(A2491,'DAFTAR HARGA'!A:D,5,FALSE)</f>
        <v>#REF!</v>
      </c>
      <c r="H2491" s="87" t="e">
        <f>F2491*G2491</f>
        <v>#REF!</v>
      </c>
      <c r="I2491" s="87">
        <v>91500</v>
      </c>
      <c r="J2491" s="87">
        <f>F2491*I2491</f>
        <v>850.03499999999997</v>
      </c>
      <c r="K2491" s="87">
        <v>91500</v>
      </c>
      <c r="L2491" s="87">
        <f>F2491*K2491</f>
        <v>850.03499999999997</v>
      </c>
    </row>
    <row r="2492" spans="1:12" ht="12" customHeight="1" x14ac:dyDescent="0.35">
      <c r="A2492" s="134">
        <v>10121100</v>
      </c>
      <c r="B2492" s="84"/>
      <c r="C2492" s="85" t="str">
        <f>VLOOKUP(A2492,'DAFTAR HARGA'!A:D,3,FALSE)</f>
        <v>OH</v>
      </c>
      <c r="D2492" s="84" t="s">
        <v>418</v>
      </c>
      <c r="E2492" s="84">
        <f>VLOOKUP(A2492,'DAFTAR HARGA'!A:D,4,FALSE)</f>
        <v>100000</v>
      </c>
      <c r="F2492" s="128"/>
      <c r="G2492" s="87" t="e">
        <f>VLOOKUP(A2492,'DAFTAR HARGA'!A:D,5,FALSE)</f>
        <v>#REF!</v>
      </c>
      <c r="H2492" s="87" t="e">
        <f>F2492*G2492</f>
        <v>#REF!</v>
      </c>
      <c r="I2492" s="87"/>
      <c r="J2492" s="87"/>
      <c r="K2492" s="87"/>
      <c r="L2492" s="87"/>
    </row>
    <row r="2493" spans="1:12" ht="12" customHeight="1" x14ac:dyDescent="0.35">
      <c r="A2493" s="134">
        <v>10110000</v>
      </c>
      <c r="B2493" s="84"/>
      <c r="C2493" s="85" t="str">
        <f>VLOOKUP(A2493,'DAFTAR HARGA'!A:D,3,FALSE)</f>
        <v>OH</v>
      </c>
      <c r="D2493" s="84" t="s">
        <v>418</v>
      </c>
      <c r="E2493" s="84">
        <f>VLOOKUP(A2493,'DAFTAR HARGA'!A:D,4,FALSE)</f>
        <v>150000</v>
      </c>
      <c r="F2493" s="128">
        <f>F2491/10</f>
        <v>9.2899999999999992E-4</v>
      </c>
      <c r="G2493" s="87" t="e">
        <f>VLOOKUP(A2493,'DAFTAR HARGA'!A:D,5,FALSE)</f>
        <v>#REF!</v>
      </c>
      <c r="H2493" s="87" t="e">
        <f>F2493*G2493</f>
        <v>#REF!</v>
      </c>
      <c r="I2493" s="87">
        <v>78600</v>
      </c>
      <c r="J2493" s="87">
        <f>F2493*I2493</f>
        <v>73.01939999999999</v>
      </c>
      <c r="K2493" s="87">
        <v>78600</v>
      </c>
      <c r="L2493" s="87">
        <f>F2493*K2493</f>
        <v>73.01939999999999</v>
      </c>
    </row>
    <row r="2494" spans="1:12" ht="12" customHeight="1" x14ac:dyDescent="0.35">
      <c r="B2494" s="84"/>
      <c r="C2494" s="85"/>
      <c r="D2494" s="84"/>
      <c r="E2494" s="84"/>
      <c r="F2494" s="86"/>
      <c r="G2494" s="87"/>
      <c r="H2494" s="87">
        <f>F2494*G2494</f>
        <v>0</v>
      </c>
      <c r="I2494" s="87">
        <v>92500</v>
      </c>
      <c r="J2494" s="87">
        <f>F2494*I2494</f>
        <v>0</v>
      </c>
      <c r="K2494" s="87">
        <v>92500</v>
      </c>
      <c r="L2494" s="87">
        <f>F2494*K2494</f>
        <v>0</v>
      </c>
    </row>
    <row r="2495" spans="1:12" ht="12" customHeight="1" x14ac:dyDescent="0.35">
      <c r="B2495" s="84"/>
      <c r="C2495" s="85"/>
      <c r="D2495" s="84"/>
      <c r="E2495" s="84"/>
      <c r="F2495" s="86"/>
      <c r="G2495" s="87"/>
      <c r="H2495" s="87"/>
      <c r="I2495" s="87"/>
      <c r="J2495" s="87"/>
      <c r="K2495" s="87"/>
      <c r="L2495" s="87"/>
    </row>
    <row r="2496" spans="1:12" ht="12" customHeight="1" x14ac:dyDescent="0.35">
      <c r="B2496" s="84"/>
      <c r="C2496" s="88"/>
      <c r="D2496" s="79"/>
      <c r="E2496" s="79"/>
      <c r="F2496" s="89" t="s">
        <v>421</v>
      </c>
      <c r="G2496" s="101"/>
      <c r="H2496" s="87" t="e">
        <f>SUM(H2491:H2495)</f>
        <v>#REF!</v>
      </c>
      <c r="I2496" s="101"/>
      <c r="J2496" s="87">
        <f>SUM(J2493:J2495)</f>
        <v>73.01939999999999</v>
      </c>
      <c r="K2496" s="101"/>
      <c r="L2496" s="87">
        <f>SUM(L2493:L2495)</f>
        <v>73.01939999999999</v>
      </c>
    </row>
    <row r="2497" spans="1:12" ht="12" customHeight="1" x14ac:dyDescent="0.35">
      <c r="B2497" s="84" t="s">
        <v>6</v>
      </c>
      <c r="C2497" s="88" t="s">
        <v>422</v>
      </c>
      <c r="D2497" s="79"/>
      <c r="E2497" s="79"/>
      <c r="F2497" s="90"/>
      <c r="G2497" s="84"/>
      <c r="H2497" s="87"/>
      <c r="I2497" s="84"/>
      <c r="J2497" s="87"/>
      <c r="K2497" s="84"/>
      <c r="L2497" s="87"/>
    </row>
    <row r="2498" spans="1:12" ht="26" customHeight="1" x14ac:dyDescent="0.35">
      <c r="A2498" s="134">
        <v>21603111</v>
      </c>
      <c r="B2498" s="84"/>
      <c r="C2498" s="85" t="str">
        <f>VLOOKUP(A2498,'DAFTAR HARGA'!A:D,3,FALSE)</f>
        <v>m'</v>
      </c>
      <c r="D2498" s="84" t="s">
        <v>418</v>
      </c>
      <c r="E2498" s="84">
        <f>VLOOKUP(A2498,'DAFTAR HARGA'!A:D,4,FALSE)</f>
        <v>75</v>
      </c>
      <c r="F2498" s="128">
        <v>5</v>
      </c>
      <c r="G2498" s="87" t="e">
        <f>VLOOKUP(A2498,'DAFTAR HARGA'!A:D,5,FALSE)</f>
        <v>#REF!</v>
      </c>
      <c r="H2498" s="87" t="e">
        <f>F2498*G2498</f>
        <v>#REF!</v>
      </c>
      <c r="I2498" s="87">
        <v>232500</v>
      </c>
      <c r="J2498" s="87">
        <f>F2498*I2498</f>
        <v>1162500</v>
      </c>
      <c r="K2498" s="87">
        <v>270000</v>
      </c>
      <c r="L2498" s="87">
        <f>F2498*K2498</f>
        <v>1350000</v>
      </c>
    </row>
    <row r="2499" spans="1:12" ht="12" customHeight="1" x14ac:dyDescent="0.35">
      <c r="B2499" s="84"/>
      <c r="C2499" s="85"/>
      <c r="D2499" s="84"/>
      <c r="E2499" s="84"/>
      <c r="F2499" s="128"/>
      <c r="G2499" s="87"/>
      <c r="H2499" s="87">
        <f>F2499*G2499</f>
        <v>0</v>
      </c>
      <c r="I2499" s="87">
        <v>1060</v>
      </c>
      <c r="J2499" s="87">
        <f>F2499*I2499</f>
        <v>0</v>
      </c>
      <c r="K2499" s="87">
        <v>1060</v>
      </c>
      <c r="L2499" s="87">
        <f>F2499*K2499</f>
        <v>0</v>
      </c>
    </row>
    <row r="2500" spans="1:12" ht="12" customHeight="1" x14ac:dyDescent="0.35">
      <c r="B2500" s="84"/>
      <c r="C2500" s="85"/>
      <c r="D2500" s="84"/>
      <c r="E2500" s="84"/>
      <c r="F2500" s="128"/>
      <c r="G2500" s="87"/>
      <c r="H2500" s="87">
        <f>F2500*G2500</f>
        <v>0</v>
      </c>
      <c r="I2500" s="87">
        <v>215000</v>
      </c>
      <c r="J2500" s="87">
        <f>F2500*I2500</f>
        <v>0</v>
      </c>
      <c r="K2500" s="87">
        <v>250000</v>
      </c>
      <c r="L2500" s="87">
        <f>F2500*K2500</f>
        <v>0</v>
      </c>
    </row>
    <row r="2501" spans="1:12" ht="12" customHeight="1" x14ac:dyDescent="0.35">
      <c r="B2501" s="84"/>
      <c r="C2501" s="85"/>
      <c r="D2501" s="84"/>
      <c r="E2501" s="84"/>
      <c r="F2501" s="128"/>
      <c r="G2501" s="87"/>
      <c r="H2501" s="87"/>
      <c r="I2501" s="87"/>
      <c r="J2501" s="87"/>
      <c r="K2501" s="87"/>
      <c r="L2501" s="87"/>
    </row>
    <row r="2502" spans="1:12" ht="12" customHeight="1" x14ac:dyDescent="0.35">
      <c r="B2502" s="84"/>
      <c r="C2502" s="88"/>
      <c r="D2502" s="79"/>
      <c r="E2502" s="79"/>
      <c r="F2502" s="129" t="s">
        <v>423</v>
      </c>
      <c r="G2502" s="129"/>
      <c r="H2502" s="87" t="e">
        <f>SUM(H2498:H2501)</f>
        <v>#REF!</v>
      </c>
      <c r="I2502" s="101"/>
      <c r="J2502" s="87" t="e">
        <f>SUM(#REF!)</f>
        <v>#REF!</v>
      </c>
      <c r="K2502" s="101"/>
      <c r="L2502" s="87" t="e">
        <f>SUM(#REF!)</f>
        <v>#REF!</v>
      </c>
    </row>
    <row r="2503" spans="1:12" ht="12" customHeight="1" x14ac:dyDescent="0.35">
      <c r="B2503" s="84" t="s">
        <v>7</v>
      </c>
      <c r="C2503" s="88" t="s">
        <v>424</v>
      </c>
      <c r="D2503" s="79"/>
      <c r="E2503" s="79"/>
      <c r="F2503" s="90"/>
      <c r="G2503" s="84"/>
      <c r="H2503" s="87"/>
      <c r="I2503" s="84"/>
      <c r="J2503" s="87"/>
      <c r="K2503" s="84"/>
      <c r="L2503" s="87"/>
    </row>
    <row r="2504" spans="1:12" ht="12" customHeight="1" x14ac:dyDescent="0.35">
      <c r="A2504" s="134">
        <v>31220000</v>
      </c>
      <c r="B2504" s="84"/>
      <c r="C2504" s="85" t="str">
        <f>VLOOKUP(A2504,'DAFTAR HARGA'!A:D,3,FALSE)</f>
        <v>hari</v>
      </c>
      <c r="D2504" s="84" t="s">
        <v>418</v>
      </c>
      <c r="E2504" s="84">
        <f>VLOOKUP(A2504,'DAFTAR HARGA'!A:D,4,FALSE)</f>
        <v>50000</v>
      </c>
      <c r="F2504" s="128">
        <v>9.2999999999999992E-3</v>
      </c>
      <c r="G2504" s="87" t="e">
        <f>VLOOKUP(A2504,'DAFTAR HARGA'!A:D,5,FALSE)</f>
        <v>#REF!</v>
      </c>
      <c r="H2504" s="87" t="e">
        <f>F2504*G2504</f>
        <v>#REF!</v>
      </c>
      <c r="I2504" s="87"/>
      <c r="J2504" s="87" t="e">
        <f>H2504*I2504</f>
        <v>#REF!</v>
      </c>
      <c r="K2504" s="87"/>
      <c r="L2504" s="87" t="e">
        <f>J2504*K2504</f>
        <v>#REF!</v>
      </c>
    </row>
    <row r="2505" spans="1:12" ht="12" customHeight="1" x14ac:dyDescent="0.35">
      <c r="B2505" s="84"/>
      <c r="C2505" s="85"/>
      <c r="D2505" s="84"/>
      <c r="E2505" s="84"/>
      <c r="F2505" s="128"/>
      <c r="G2505" s="87"/>
      <c r="H2505" s="87">
        <f>F2505*G2505</f>
        <v>0</v>
      </c>
      <c r="I2505" s="87"/>
      <c r="J2505" s="87"/>
      <c r="K2505" s="87"/>
      <c r="L2505" s="87"/>
    </row>
    <row r="2506" spans="1:12" ht="12" customHeight="1" x14ac:dyDescent="0.35">
      <c r="B2506" s="84"/>
      <c r="C2506" s="88"/>
      <c r="D2506" s="79"/>
      <c r="E2506" s="79"/>
      <c r="F2506" s="89" t="s">
        <v>425</v>
      </c>
      <c r="G2506" s="101"/>
      <c r="H2506" s="87" t="e">
        <f>SUM(H2504:H2505)</f>
        <v>#REF!</v>
      </c>
      <c r="I2506" s="101"/>
      <c r="J2506" s="87" t="e">
        <f>SUM(J2504)</f>
        <v>#REF!</v>
      </c>
      <c r="K2506" s="101"/>
      <c r="L2506" s="87" t="e">
        <f>SUM(L2504)</f>
        <v>#REF!</v>
      </c>
    </row>
    <row r="2507" spans="1:12" ht="12" customHeight="1" x14ac:dyDescent="0.35">
      <c r="B2507" s="84" t="s">
        <v>8</v>
      </c>
      <c r="C2507" s="103" t="s">
        <v>426</v>
      </c>
      <c r="D2507" s="104"/>
      <c r="E2507" s="104"/>
      <c r="F2507" s="104"/>
      <c r="G2507" s="105"/>
      <c r="H2507" s="87" t="e">
        <f>H2496+H2502+H2506</f>
        <v>#REF!</v>
      </c>
      <c r="I2507" s="105"/>
      <c r="J2507" s="87" t="e">
        <f>J2496+J2502+J2506</f>
        <v>#REF!</v>
      </c>
      <c r="K2507" s="105"/>
      <c r="L2507" s="87" t="e">
        <f>L2496+L2502+L2506</f>
        <v>#REF!</v>
      </c>
    </row>
    <row r="2508" spans="1:12" ht="12" customHeight="1" x14ac:dyDescent="0.35">
      <c r="B2508" s="84" t="s">
        <v>9</v>
      </c>
      <c r="C2508" s="455" t="s">
        <v>427</v>
      </c>
      <c r="D2508" s="455"/>
      <c r="E2508" s="455"/>
      <c r="F2508" s="95" t="str">
        <f>OP</f>
        <v>TANJUNG PALAS TENGAH</v>
      </c>
      <c r="G2508" s="85" t="s">
        <v>428</v>
      </c>
      <c r="H2508" s="87" t="e">
        <f>H2507*F2508</f>
        <v>#REF!</v>
      </c>
      <c r="I2508" s="85" t="s">
        <v>428</v>
      </c>
      <c r="J2508" s="87" t="e">
        <f>J2507*F2508</f>
        <v>#REF!</v>
      </c>
      <c r="K2508" s="85" t="s">
        <v>428</v>
      </c>
      <c r="L2508" s="87" t="e">
        <f>L2507*F2508</f>
        <v>#REF!</v>
      </c>
    </row>
    <row r="2509" spans="1:12" ht="12" customHeight="1" x14ac:dyDescent="0.35">
      <c r="B2509" s="84" t="s">
        <v>10</v>
      </c>
      <c r="C2509" s="103" t="s">
        <v>429</v>
      </c>
      <c r="D2509" s="104"/>
      <c r="E2509" s="104"/>
      <c r="F2509" s="104"/>
      <c r="G2509" s="105"/>
      <c r="H2509" s="96" t="e">
        <f>H2507+H2508</f>
        <v>#REF!</v>
      </c>
      <c r="I2509" s="97"/>
      <c r="J2509" s="96" t="e">
        <f>J2507+J2508</f>
        <v>#REF!</v>
      </c>
      <c r="K2509" s="97"/>
      <c r="L2509" s="96" t="e">
        <f>L2507+L2508</f>
        <v>#REF!</v>
      </c>
    </row>
    <row r="2511" spans="1:12" ht="37" customHeight="1" x14ac:dyDescent="0.35">
      <c r="B2511" s="76" t="s">
        <v>725</v>
      </c>
      <c r="C2511" s="458" t="s">
        <v>724</v>
      </c>
      <c r="D2511" s="459"/>
      <c r="E2511" s="459"/>
      <c r="F2511" s="459"/>
      <c r="G2511" s="456"/>
      <c r="H2511" s="457"/>
      <c r="I2511" s="455" t="s">
        <v>3</v>
      </c>
      <c r="J2511" s="455"/>
      <c r="K2511" s="455" t="s">
        <v>4</v>
      </c>
      <c r="L2511" s="455"/>
    </row>
    <row r="2512" spans="1:12" ht="12" customHeight="1" x14ac:dyDescent="0.35">
      <c r="B2512" s="451" t="s">
        <v>409</v>
      </c>
      <c r="C2512" s="451" t="s">
        <v>410</v>
      </c>
      <c r="D2512" s="452" t="s">
        <v>411</v>
      </c>
      <c r="E2512" s="451" t="s">
        <v>412</v>
      </c>
      <c r="F2512" s="451" t="s">
        <v>413</v>
      </c>
      <c r="G2512" s="77" t="s">
        <v>414</v>
      </c>
      <c r="H2512" s="77" t="s">
        <v>415</v>
      </c>
      <c r="I2512" s="78" t="s">
        <v>414</v>
      </c>
      <c r="J2512" s="79" t="s">
        <v>415</v>
      </c>
      <c r="K2512" s="79" t="s">
        <v>414</v>
      </c>
      <c r="L2512" s="79" t="s">
        <v>415</v>
      </c>
    </row>
    <row r="2513" spans="1:12" ht="12" customHeight="1" x14ac:dyDescent="0.35">
      <c r="B2513" s="451"/>
      <c r="C2513" s="451"/>
      <c r="D2513" s="453"/>
      <c r="E2513" s="451"/>
      <c r="F2513" s="451"/>
      <c r="G2513" s="77" t="s">
        <v>17</v>
      </c>
      <c r="H2513" s="77" t="s">
        <v>416</v>
      </c>
      <c r="I2513" s="78" t="s">
        <v>17</v>
      </c>
      <c r="J2513" s="79" t="s">
        <v>416</v>
      </c>
      <c r="K2513" s="79" t="s">
        <v>17</v>
      </c>
      <c r="L2513" s="79" t="s">
        <v>416</v>
      </c>
    </row>
    <row r="2514" spans="1:12" ht="12" customHeight="1" x14ac:dyDescent="0.35">
      <c r="B2514" s="451"/>
      <c r="C2514" s="451"/>
      <c r="D2514" s="454"/>
      <c r="E2514" s="451"/>
      <c r="F2514" s="451"/>
      <c r="G2514" s="106"/>
      <c r="H2514" s="77" t="s">
        <v>17</v>
      </c>
      <c r="I2514" s="94"/>
      <c r="J2514" s="79" t="s">
        <v>17</v>
      </c>
      <c r="K2514" s="85"/>
      <c r="L2514" s="79" t="s">
        <v>17</v>
      </c>
    </row>
    <row r="2515" spans="1:12" ht="12" customHeight="1" x14ac:dyDescent="0.35">
      <c r="B2515" s="80" t="s">
        <v>5</v>
      </c>
      <c r="C2515" s="81" t="s">
        <v>417</v>
      </c>
      <c r="D2515" s="82"/>
      <c r="E2515" s="82"/>
      <c r="F2515" s="82"/>
      <c r="G2515" s="82"/>
      <c r="H2515" s="82"/>
      <c r="I2515" s="83"/>
      <c r="J2515" s="83"/>
      <c r="K2515" s="83"/>
      <c r="L2515" s="83"/>
    </row>
    <row r="2516" spans="1:12" ht="12" customHeight="1" x14ac:dyDescent="0.35">
      <c r="A2516" s="134">
        <v>10130000</v>
      </c>
      <c r="B2516" s="84"/>
      <c r="C2516" s="85" t="str">
        <f>VLOOKUP(A2516,'DAFTAR HARGA'!A:D,3,FALSE)</f>
        <v>OH</v>
      </c>
      <c r="D2516" s="84" t="s">
        <v>418</v>
      </c>
      <c r="E2516" s="84">
        <f>VLOOKUP(A2516,'DAFTAR HARGA'!A:D,4,FALSE)</f>
        <v>115000</v>
      </c>
      <c r="F2516" s="128">
        <v>3.2140000000000002E-2</v>
      </c>
      <c r="G2516" s="87" t="e">
        <f>VLOOKUP(A2516,'DAFTAR HARGA'!A:D,5,FALSE)</f>
        <v>#REF!</v>
      </c>
      <c r="H2516" s="87" t="e">
        <f>F2516*G2516</f>
        <v>#REF!</v>
      </c>
      <c r="I2516" s="87">
        <v>91500</v>
      </c>
      <c r="J2516" s="87">
        <f>F2516*I2516</f>
        <v>2940.8100000000004</v>
      </c>
      <c r="K2516" s="87">
        <v>91500</v>
      </c>
      <c r="L2516" s="87">
        <f>F2516*K2516</f>
        <v>2940.8100000000004</v>
      </c>
    </row>
    <row r="2517" spans="1:12" ht="12" customHeight="1" x14ac:dyDescent="0.35">
      <c r="A2517" s="134">
        <v>10121100</v>
      </c>
      <c r="B2517" s="84"/>
      <c r="C2517" s="85" t="str">
        <f>VLOOKUP(A2517,'DAFTAR HARGA'!A:D,3,FALSE)</f>
        <v>OH</v>
      </c>
      <c r="D2517" s="84" t="s">
        <v>418</v>
      </c>
      <c r="E2517" s="84">
        <f>VLOOKUP(A2517,'DAFTAR HARGA'!A:D,4,FALSE)</f>
        <v>100000</v>
      </c>
      <c r="F2517" s="128"/>
      <c r="G2517" s="87" t="e">
        <f>VLOOKUP(A2517,'DAFTAR HARGA'!A:D,5,FALSE)</f>
        <v>#REF!</v>
      </c>
      <c r="H2517" s="87" t="e">
        <f>F2517*G2517</f>
        <v>#REF!</v>
      </c>
      <c r="I2517" s="87"/>
      <c r="J2517" s="87"/>
      <c r="K2517" s="87"/>
      <c r="L2517" s="87"/>
    </row>
    <row r="2518" spans="1:12" ht="12" customHeight="1" x14ac:dyDescent="0.35">
      <c r="A2518" s="134">
        <v>10110000</v>
      </c>
      <c r="B2518" s="84"/>
      <c r="C2518" s="85" t="str">
        <f>VLOOKUP(A2518,'DAFTAR HARGA'!A:D,3,FALSE)</f>
        <v>OH</v>
      </c>
      <c r="D2518" s="84" t="s">
        <v>418</v>
      </c>
      <c r="E2518" s="84">
        <f>VLOOKUP(A2518,'DAFTAR HARGA'!A:D,4,FALSE)</f>
        <v>150000</v>
      </c>
      <c r="F2518" s="128">
        <f>F2516/10</f>
        <v>3.2140000000000003E-3</v>
      </c>
      <c r="G2518" s="87" t="e">
        <f>VLOOKUP(A2518,'DAFTAR HARGA'!A:D,5,FALSE)</f>
        <v>#REF!</v>
      </c>
      <c r="H2518" s="87" t="e">
        <f>F2518*G2518</f>
        <v>#REF!</v>
      </c>
      <c r="I2518" s="87">
        <v>78600</v>
      </c>
      <c r="J2518" s="87">
        <f>F2518*I2518</f>
        <v>252.62040000000002</v>
      </c>
      <c r="K2518" s="87">
        <v>78600</v>
      </c>
      <c r="L2518" s="87">
        <f>F2518*K2518</f>
        <v>252.62040000000002</v>
      </c>
    </row>
    <row r="2519" spans="1:12" ht="12" customHeight="1" x14ac:dyDescent="0.35">
      <c r="B2519" s="84"/>
      <c r="C2519" s="85"/>
      <c r="D2519" s="84"/>
      <c r="E2519" s="84"/>
      <c r="F2519" s="86"/>
      <c r="G2519" s="87"/>
      <c r="H2519" s="87">
        <f>F2519*G2519</f>
        <v>0</v>
      </c>
      <c r="I2519" s="87">
        <v>92500</v>
      </c>
      <c r="J2519" s="87">
        <f>F2519*I2519</f>
        <v>0</v>
      </c>
      <c r="K2519" s="87">
        <v>92500</v>
      </c>
      <c r="L2519" s="87">
        <f>F2519*K2519</f>
        <v>0</v>
      </c>
    </row>
    <row r="2520" spans="1:12" ht="12" customHeight="1" x14ac:dyDescent="0.35">
      <c r="B2520" s="84"/>
      <c r="C2520" s="85"/>
      <c r="D2520" s="84"/>
      <c r="E2520" s="84"/>
      <c r="F2520" s="86"/>
      <c r="G2520" s="87"/>
      <c r="H2520" s="87"/>
      <c r="I2520" s="87"/>
      <c r="J2520" s="87"/>
      <c r="K2520" s="87"/>
      <c r="L2520" s="87"/>
    </row>
    <row r="2521" spans="1:12" ht="12" customHeight="1" x14ac:dyDescent="0.35">
      <c r="B2521" s="84"/>
      <c r="C2521" s="88"/>
      <c r="D2521" s="79"/>
      <c r="E2521" s="79"/>
      <c r="F2521" s="89" t="s">
        <v>421</v>
      </c>
      <c r="G2521" s="101"/>
      <c r="H2521" s="87" t="e">
        <f>SUM(H2516:H2520)</f>
        <v>#REF!</v>
      </c>
      <c r="I2521" s="101"/>
      <c r="J2521" s="87">
        <f>SUM(J2518:J2520)</f>
        <v>252.62040000000002</v>
      </c>
      <c r="K2521" s="101"/>
      <c r="L2521" s="87">
        <f>SUM(L2518:L2520)</f>
        <v>252.62040000000002</v>
      </c>
    </row>
    <row r="2522" spans="1:12" ht="12" customHeight="1" x14ac:dyDescent="0.35">
      <c r="B2522" s="84" t="s">
        <v>6</v>
      </c>
      <c r="C2522" s="88" t="s">
        <v>422</v>
      </c>
      <c r="D2522" s="79"/>
      <c r="E2522" s="79"/>
      <c r="F2522" s="90"/>
      <c r="G2522" s="84"/>
      <c r="H2522" s="87"/>
      <c r="I2522" s="84"/>
      <c r="J2522" s="87"/>
      <c r="K2522" s="84"/>
      <c r="L2522" s="87"/>
    </row>
    <row r="2523" spans="1:12" ht="26" customHeight="1" x14ac:dyDescent="0.35">
      <c r="A2523" s="134">
        <v>21603111</v>
      </c>
      <c r="B2523" s="84"/>
      <c r="C2523" s="85" t="str">
        <f>VLOOKUP(A2523,'DAFTAR HARGA'!A:D,3,FALSE)</f>
        <v>m'</v>
      </c>
      <c r="D2523" s="84" t="s">
        <v>418</v>
      </c>
      <c r="E2523" s="84">
        <f>VLOOKUP(A2523,'DAFTAR HARGA'!A:D,4,FALSE)</f>
        <v>75</v>
      </c>
      <c r="F2523" s="128">
        <v>4.0999999999999996</v>
      </c>
      <c r="G2523" s="87" t="e">
        <f>VLOOKUP(A2523,'DAFTAR HARGA'!A:D,5,FALSE)</f>
        <v>#REF!</v>
      </c>
      <c r="H2523" s="87" t="e">
        <f>F2523*G2523</f>
        <v>#REF!</v>
      </c>
      <c r="I2523" s="87">
        <v>232500</v>
      </c>
      <c r="J2523" s="87">
        <f>F2523*I2523</f>
        <v>953249.99999999988</v>
      </c>
      <c r="K2523" s="87">
        <v>270000</v>
      </c>
      <c r="L2523" s="87">
        <f>F2523*K2523</f>
        <v>1107000</v>
      </c>
    </row>
    <row r="2524" spans="1:12" ht="12" customHeight="1" x14ac:dyDescent="0.35">
      <c r="B2524" s="84"/>
      <c r="C2524" s="85"/>
      <c r="D2524" s="84"/>
      <c r="E2524" s="84"/>
      <c r="F2524" s="128"/>
      <c r="G2524" s="87"/>
      <c r="H2524" s="87">
        <f>F2524*G2524</f>
        <v>0</v>
      </c>
      <c r="I2524" s="87">
        <v>1060</v>
      </c>
      <c r="J2524" s="87">
        <f>F2524*I2524</f>
        <v>0</v>
      </c>
      <c r="K2524" s="87">
        <v>1060</v>
      </c>
      <c r="L2524" s="87">
        <f>F2524*K2524</f>
        <v>0</v>
      </c>
    </row>
    <row r="2525" spans="1:12" ht="12" customHeight="1" x14ac:dyDescent="0.35">
      <c r="B2525" s="84"/>
      <c r="C2525" s="85"/>
      <c r="D2525" s="84"/>
      <c r="E2525" s="84"/>
      <c r="F2525" s="128"/>
      <c r="G2525" s="87"/>
      <c r="H2525" s="87">
        <f>F2525*G2525</f>
        <v>0</v>
      </c>
      <c r="I2525" s="87">
        <v>215000</v>
      </c>
      <c r="J2525" s="87">
        <f>F2525*I2525</f>
        <v>0</v>
      </c>
      <c r="K2525" s="87">
        <v>250000</v>
      </c>
      <c r="L2525" s="87">
        <f>F2525*K2525</f>
        <v>0</v>
      </c>
    </row>
    <row r="2526" spans="1:12" ht="12" customHeight="1" x14ac:dyDescent="0.35">
      <c r="B2526" s="84"/>
      <c r="C2526" s="85"/>
      <c r="D2526" s="84"/>
      <c r="E2526" s="84"/>
      <c r="F2526" s="128"/>
      <c r="G2526" s="87"/>
      <c r="H2526" s="87"/>
      <c r="I2526" s="87"/>
      <c r="J2526" s="87"/>
      <c r="K2526" s="87"/>
      <c r="L2526" s="87"/>
    </row>
    <row r="2527" spans="1:12" ht="12" customHeight="1" x14ac:dyDescent="0.35">
      <c r="B2527" s="84"/>
      <c r="C2527" s="88"/>
      <c r="D2527" s="79"/>
      <c r="E2527" s="79"/>
      <c r="F2527" s="129" t="s">
        <v>423</v>
      </c>
      <c r="G2527" s="129"/>
      <c r="H2527" s="87" t="e">
        <f>SUM(H2523:H2526)</f>
        <v>#REF!</v>
      </c>
      <c r="I2527" s="101"/>
      <c r="J2527" s="87" t="e">
        <f>SUM(#REF!)</f>
        <v>#REF!</v>
      </c>
      <c r="K2527" s="101"/>
      <c r="L2527" s="87" t="e">
        <f>SUM(#REF!)</f>
        <v>#REF!</v>
      </c>
    </row>
    <row r="2528" spans="1:12" ht="12" customHeight="1" x14ac:dyDescent="0.35">
      <c r="B2528" s="84" t="s">
        <v>7</v>
      </c>
      <c r="C2528" s="88" t="s">
        <v>424</v>
      </c>
      <c r="D2528" s="79"/>
      <c r="E2528" s="79"/>
      <c r="F2528" s="90"/>
      <c r="G2528" s="84"/>
      <c r="H2528" s="87"/>
      <c r="I2528" s="84"/>
      <c r="J2528" s="87"/>
      <c r="K2528" s="84"/>
      <c r="L2528" s="87"/>
    </row>
    <row r="2529" spans="1:12" ht="12" customHeight="1" x14ac:dyDescent="0.35">
      <c r="A2529" s="134">
        <v>31220000</v>
      </c>
      <c r="B2529" s="84"/>
      <c r="C2529" s="85" t="str">
        <f>VLOOKUP(A2529,'DAFTAR HARGA'!A:D,3,FALSE)</f>
        <v>hari</v>
      </c>
      <c r="D2529" s="84" t="s">
        <v>418</v>
      </c>
      <c r="E2529" s="84">
        <f>VLOOKUP(A2529,'DAFTAR HARGA'!A:D,4,FALSE)</f>
        <v>50000</v>
      </c>
      <c r="F2529" s="128">
        <v>3.2099999999999997E-2</v>
      </c>
      <c r="G2529" s="87" t="e">
        <f>VLOOKUP(A2529,'DAFTAR HARGA'!A:D,5,FALSE)</f>
        <v>#REF!</v>
      </c>
      <c r="H2529" s="87" t="e">
        <f>F2529*G2529</f>
        <v>#REF!</v>
      </c>
      <c r="I2529" s="87"/>
      <c r="J2529" s="87" t="e">
        <f>H2529*I2529</f>
        <v>#REF!</v>
      </c>
      <c r="K2529" s="87"/>
      <c r="L2529" s="87" t="e">
        <f>J2529*K2529</f>
        <v>#REF!</v>
      </c>
    </row>
    <row r="2530" spans="1:12" ht="12" customHeight="1" x14ac:dyDescent="0.35">
      <c r="B2530" s="84"/>
      <c r="C2530" s="85"/>
      <c r="D2530" s="84"/>
      <c r="E2530" s="84"/>
      <c r="F2530" s="128"/>
      <c r="G2530" s="87"/>
      <c r="H2530" s="87">
        <f>F2530*G2530</f>
        <v>0</v>
      </c>
      <c r="I2530" s="87"/>
      <c r="J2530" s="87"/>
      <c r="K2530" s="87"/>
      <c r="L2530" s="87"/>
    </row>
    <row r="2531" spans="1:12" ht="12" customHeight="1" x14ac:dyDescent="0.35">
      <c r="B2531" s="84"/>
      <c r="C2531" s="88"/>
      <c r="D2531" s="79"/>
      <c r="E2531" s="79"/>
      <c r="F2531" s="89" t="s">
        <v>425</v>
      </c>
      <c r="G2531" s="101"/>
      <c r="H2531" s="87" t="e">
        <f>SUM(H2529:H2530)</f>
        <v>#REF!</v>
      </c>
      <c r="I2531" s="101"/>
      <c r="J2531" s="87" t="e">
        <f>SUM(J2529)</f>
        <v>#REF!</v>
      </c>
      <c r="K2531" s="101"/>
      <c r="L2531" s="87" t="e">
        <f>SUM(L2529)</f>
        <v>#REF!</v>
      </c>
    </row>
    <row r="2532" spans="1:12" ht="12" customHeight="1" x14ac:dyDescent="0.35">
      <c r="B2532" s="84" t="s">
        <v>8</v>
      </c>
      <c r="C2532" s="103" t="s">
        <v>426</v>
      </c>
      <c r="D2532" s="104"/>
      <c r="E2532" s="104"/>
      <c r="F2532" s="104"/>
      <c r="G2532" s="105"/>
      <c r="H2532" s="87" t="e">
        <f>H2521+H2527+H2531</f>
        <v>#REF!</v>
      </c>
      <c r="I2532" s="105"/>
      <c r="J2532" s="87" t="e">
        <f>J2521+J2527+J2531</f>
        <v>#REF!</v>
      </c>
      <c r="K2532" s="105"/>
      <c r="L2532" s="87" t="e">
        <f>L2521+L2527+L2531</f>
        <v>#REF!</v>
      </c>
    </row>
    <row r="2533" spans="1:12" ht="12" customHeight="1" x14ac:dyDescent="0.35">
      <c r="B2533" s="84" t="s">
        <v>9</v>
      </c>
      <c r="C2533" s="455" t="s">
        <v>427</v>
      </c>
      <c r="D2533" s="455"/>
      <c r="E2533" s="455"/>
      <c r="F2533" s="95" t="str">
        <f>OP</f>
        <v>TANJUNG PALAS TENGAH</v>
      </c>
      <c r="G2533" s="85" t="s">
        <v>428</v>
      </c>
      <c r="H2533" s="87" t="e">
        <f>H2532*F2533</f>
        <v>#REF!</v>
      </c>
      <c r="I2533" s="85" t="s">
        <v>428</v>
      </c>
      <c r="J2533" s="87" t="e">
        <f>J2532*F2533</f>
        <v>#REF!</v>
      </c>
      <c r="K2533" s="85" t="s">
        <v>428</v>
      </c>
      <c r="L2533" s="87" t="e">
        <f>L2532*F2533</f>
        <v>#REF!</v>
      </c>
    </row>
    <row r="2534" spans="1:12" ht="12" customHeight="1" x14ac:dyDescent="0.35">
      <c r="B2534" s="84" t="s">
        <v>10</v>
      </c>
      <c r="C2534" s="103" t="s">
        <v>429</v>
      </c>
      <c r="D2534" s="104"/>
      <c r="E2534" s="104"/>
      <c r="F2534" s="104"/>
      <c r="G2534" s="105"/>
      <c r="H2534" s="96" t="e">
        <f>H2532+H2533</f>
        <v>#REF!</v>
      </c>
      <c r="I2534" s="97"/>
      <c r="J2534" s="96" t="e">
        <f>J2532+J2533</f>
        <v>#REF!</v>
      </c>
      <c r="K2534" s="97"/>
      <c r="L2534" s="96" t="e">
        <f>L2532+L2533</f>
        <v>#REF!</v>
      </c>
    </row>
    <row r="2536" spans="1:12" ht="37" customHeight="1" x14ac:dyDescent="0.35">
      <c r="B2536" s="76" t="s">
        <v>726</v>
      </c>
      <c r="C2536" s="458" t="s">
        <v>727</v>
      </c>
      <c r="D2536" s="459"/>
      <c r="E2536" s="459"/>
      <c r="F2536" s="459"/>
      <c r="G2536" s="456"/>
      <c r="H2536" s="457"/>
      <c r="I2536" s="455" t="s">
        <v>3</v>
      </c>
      <c r="J2536" s="455"/>
      <c r="K2536" s="455" t="s">
        <v>4</v>
      </c>
      <c r="L2536" s="455"/>
    </row>
    <row r="2537" spans="1:12" ht="12" customHeight="1" x14ac:dyDescent="0.35">
      <c r="B2537" s="451" t="s">
        <v>409</v>
      </c>
      <c r="C2537" s="451" t="s">
        <v>410</v>
      </c>
      <c r="D2537" s="452" t="s">
        <v>411</v>
      </c>
      <c r="E2537" s="451" t="s">
        <v>412</v>
      </c>
      <c r="F2537" s="451" t="s">
        <v>413</v>
      </c>
      <c r="G2537" s="77" t="s">
        <v>414</v>
      </c>
      <c r="H2537" s="77" t="s">
        <v>415</v>
      </c>
      <c r="I2537" s="78" t="s">
        <v>414</v>
      </c>
      <c r="J2537" s="79" t="s">
        <v>415</v>
      </c>
      <c r="K2537" s="79" t="s">
        <v>414</v>
      </c>
      <c r="L2537" s="79" t="s">
        <v>415</v>
      </c>
    </row>
    <row r="2538" spans="1:12" ht="12" customHeight="1" x14ac:dyDescent="0.35">
      <c r="B2538" s="451"/>
      <c r="C2538" s="451"/>
      <c r="D2538" s="453"/>
      <c r="E2538" s="451"/>
      <c r="F2538" s="451"/>
      <c r="G2538" s="77" t="s">
        <v>17</v>
      </c>
      <c r="H2538" s="77" t="s">
        <v>416</v>
      </c>
      <c r="I2538" s="78" t="s">
        <v>17</v>
      </c>
      <c r="J2538" s="79" t="s">
        <v>416</v>
      </c>
      <c r="K2538" s="79" t="s">
        <v>17</v>
      </c>
      <c r="L2538" s="79" t="s">
        <v>416</v>
      </c>
    </row>
    <row r="2539" spans="1:12" ht="12" customHeight="1" x14ac:dyDescent="0.35">
      <c r="B2539" s="451"/>
      <c r="C2539" s="451"/>
      <c r="D2539" s="454"/>
      <c r="E2539" s="451"/>
      <c r="F2539" s="451"/>
      <c r="G2539" s="106"/>
      <c r="H2539" s="77" t="s">
        <v>17</v>
      </c>
      <c r="I2539" s="94"/>
      <c r="J2539" s="79" t="s">
        <v>17</v>
      </c>
      <c r="K2539" s="85"/>
      <c r="L2539" s="79" t="s">
        <v>17</v>
      </c>
    </row>
    <row r="2540" spans="1:12" ht="12" customHeight="1" x14ac:dyDescent="0.35">
      <c r="B2540" s="80" t="s">
        <v>5</v>
      </c>
      <c r="C2540" s="81" t="s">
        <v>417</v>
      </c>
      <c r="D2540" s="82"/>
      <c r="E2540" s="82"/>
      <c r="F2540" s="82"/>
      <c r="G2540" s="82"/>
      <c r="H2540" s="82"/>
      <c r="I2540" s="83"/>
      <c r="J2540" s="83"/>
      <c r="K2540" s="83"/>
      <c r="L2540" s="83"/>
    </row>
    <row r="2541" spans="1:12" ht="12" customHeight="1" x14ac:dyDescent="0.35">
      <c r="A2541" s="134">
        <v>10130000</v>
      </c>
      <c r="B2541" s="84"/>
      <c r="C2541" s="85" t="str">
        <f>VLOOKUP(A2541,'DAFTAR HARGA'!A:D,3,FALSE)</f>
        <v>OH</v>
      </c>
      <c r="D2541" s="84" t="s">
        <v>418</v>
      </c>
      <c r="E2541" s="84">
        <f>VLOOKUP(A2541,'DAFTAR HARGA'!A:D,4,FALSE)</f>
        <v>115000</v>
      </c>
      <c r="F2541" s="128">
        <v>0.75</v>
      </c>
      <c r="G2541" s="87" t="e">
        <f>VLOOKUP(A2541,'DAFTAR HARGA'!A:D,5,FALSE)</f>
        <v>#REF!</v>
      </c>
      <c r="H2541" s="87" t="e">
        <f>F2541*G2541</f>
        <v>#REF!</v>
      </c>
      <c r="I2541" s="87">
        <v>91500</v>
      </c>
      <c r="J2541" s="87">
        <f>F2541*I2541</f>
        <v>68625</v>
      </c>
      <c r="K2541" s="87">
        <v>91500</v>
      </c>
      <c r="L2541" s="87">
        <f>F2541*K2541</f>
        <v>68625</v>
      </c>
    </row>
    <row r="2542" spans="1:12" ht="12" customHeight="1" x14ac:dyDescent="0.35">
      <c r="A2542" s="134">
        <v>10143000</v>
      </c>
      <c r="B2542" s="84"/>
      <c r="C2542" s="85" t="str">
        <f>VLOOKUP(A2542,'DAFTAR HARGA'!A:D,3,FALSE)</f>
        <v>OH</v>
      </c>
      <c r="D2542" s="84" t="s">
        <v>418</v>
      </c>
      <c r="E2542" s="84">
        <f>VLOOKUP(A2542,'DAFTAR HARGA'!A:D,4,FALSE)</f>
        <v>236600</v>
      </c>
      <c r="F2542" s="128">
        <v>0.25</v>
      </c>
      <c r="G2542" s="87" t="e">
        <f>VLOOKUP(A2542,'DAFTAR HARGA'!A:D,5,FALSE)</f>
        <v>#REF!</v>
      </c>
      <c r="H2542" s="87" t="e">
        <f>F2542*G2542</f>
        <v>#REF!</v>
      </c>
      <c r="I2542" s="87"/>
      <c r="J2542" s="87"/>
      <c r="K2542" s="87"/>
      <c r="L2542" s="87"/>
    </row>
    <row r="2543" spans="1:12" ht="12" customHeight="1" x14ac:dyDescent="0.35">
      <c r="A2543" s="134">
        <v>10120000</v>
      </c>
      <c r="B2543" s="84"/>
      <c r="C2543" s="85" t="str">
        <f>VLOOKUP(A2543,'DAFTAR HARGA'!A:D,3,FALSE)</f>
        <v>OH</v>
      </c>
      <c r="D2543" s="84" t="s">
        <v>418</v>
      </c>
      <c r="E2543" s="84">
        <f>VLOOKUP(A2543,'DAFTAR HARGA'!A:D,4,FALSE)</f>
        <v>130000</v>
      </c>
      <c r="F2543" s="128">
        <v>2.5000000000000001E-2</v>
      </c>
      <c r="G2543" s="87" t="e">
        <f>VLOOKUP(A2543,'DAFTAR HARGA'!A:D,5,FALSE)</f>
        <v>#REF!</v>
      </c>
      <c r="H2543" s="87" t="e">
        <f t="shared" ref="H2543:H2544" si="5">F2543*G2543</f>
        <v>#REF!</v>
      </c>
      <c r="I2543" s="87"/>
      <c r="J2543" s="87"/>
      <c r="K2543" s="87"/>
      <c r="L2543" s="87"/>
    </row>
    <row r="2544" spans="1:12" ht="12" customHeight="1" x14ac:dyDescent="0.35">
      <c r="A2544" s="134">
        <v>10146000</v>
      </c>
      <c r="B2544" s="84"/>
      <c r="C2544" s="85" t="str">
        <f>VLOOKUP(A2544,'DAFTAR HARGA'!A:D,3,FALSE)</f>
        <v>OH</v>
      </c>
      <c r="D2544" s="84" t="s">
        <v>418</v>
      </c>
      <c r="E2544" s="84">
        <f>VLOOKUP(A2544,'DAFTAR HARGA'!A:D,4,FALSE)</f>
        <v>236600</v>
      </c>
      <c r="F2544" s="128">
        <v>0.15</v>
      </c>
      <c r="G2544" s="87" t="e">
        <f>VLOOKUP(A2544,'DAFTAR HARGA'!A:D,5,FALSE)</f>
        <v>#REF!</v>
      </c>
      <c r="H2544" s="87" t="e">
        <f t="shared" si="5"/>
        <v>#REF!</v>
      </c>
      <c r="I2544" s="87"/>
      <c r="J2544" s="87"/>
      <c r="K2544" s="87"/>
      <c r="L2544" s="87"/>
    </row>
    <row r="2545" spans="1:12" ht="12" customHeight="1" x14ac:dyDescent="0.35">
      <c r="A2545" s="134">
        <v>10110000</v>
      </c>
      <c r="B2545" s="84"/>
      <c r="C2545" s="85" t="str">
        <f>VLOOKUP(A2545,'DAFTAR HARGA'!A:D,3,FALSE)</f>
        <v>OH</v>
      </c>
      <c r="D2545" s="84" t="s">
        <v>418</v>
      </c>
      <c r="E2545" s="84">
        <f>VLOOKUP(A2545,'DAFTAR HARGA'!A:D,4,FALSE)</f>
        <v>150000</v>
      </c>
      <c r="F2545" s="128">
        <f>F2541/10</f>
        <v>7.4999999999999997E-2</v>
      </c>
      <c r="G2545" s="87" t="e">
        <f>VLOOKUP(A2545,'DAFTAR HARGA'!A:D,5,FALSE)</f>
        <v>#REF!</v>
      </c>
      <c r="H2545" s="87" t="e">
        <f>F2545*G2545</f>
        <v>#REF!</v>
      </c>
      <c r="I2545" s="87">
        <v>78600</v>
      </c>
      <c r="J2545" s="87">
        <f>F2545*I2545</f>
        <v>5895</v>
      </c>
      <c r="K2545" s="87">
        <v>78600</v>
      </c>
      <c r="L2545" s="87">
        <f>F2545*K2545</f>
        <v>5895</v>
      </c>
    </row>
    <row r="2546" spans="1:12" ht="12" customHeight="1" x14ac:dyDescent="0.35">
      <c r="B2546" s="84"/>
      <c r="C2546" s="85"/>
      <c r="D2546" s="84"/>
      <c r="E2546" s="84"/>
      <c r="F2546" s="86"/>
      <c r="G2546" s="87"/>
      <c r="H2546" s="87">
        <f>F2546*G2546</f>
        <v>0</v>
      </c>
      <c r="I2546" s="87">
        <v>92500</v>
      </c>
      <c r="J2546" s="87">
        <f>F2546*I2546</f>
        <v>0</v>
      </c>
      <c r="K2546" s="87">
        <v>92500</v>
      </c>
      <c r="L2546" s="87">
        <f>F2546*K2546</f>
        <v>0</v>
      </c>
    </row>
    <row r="2547" spans="1:12" ht="12" customHeight="1" x14ac:dyDescent="0.35">
      <c r="B2547" s="84"/>
      <c r="C2547" s="85"/>
      <c r="D2547" s="84"/>
      <c r="E2547" s="84"/>
      <c r="F2547" s="86"/>
      <c r="G2547" s="87"/>
      <c r="H2547" s="87"/>
      <c r="I2547" s="87"/>
      <c r="J2547" s="87"/>
      <c r="K2547" s="87"/>
      <c r="L2547" s="87"/>
    </row>
    <row r="2548" spans="1:12" ht="12" customHeight="1" x14ac:dyDescent="0.35">
      <c r="B2548" s="84"/>
      <c r="C2548" s="88"/>
      <c r="D2548" s="79"/>
      <c r="E2548" s="79"/>
      <c r="F2548" s="89" t="s">
        <v>421</v>
      </c>
      <c r="G2548" s="101"/>
      <c r="H2548" s="87" t="e">
        <f>SUM(H2541:H2547)</f>
        <v>#REF!</v>
      </c>
      <c r="I2548" s="101"/>
      <c r="J2548" s="87">
        <f>SUM(J2545:J2547)</f>
        <v>5895</v>
      </c>
      <c r="K2548" s="101"/>
      <c r="L2548" s="87">
        <f>SUM(L2545:L2547)</f>
        <v>5895</v>
      </c>
    </row>
    <row r="2549" spans="1:12" ht="12" customHeight="1" x14ac:dyDescent="0.35">
      <c r="B2549" s="84" t="s">
        <v>6</v>
      </c>
      <c r="C2549" s="88" t="s">
        <v>422</v>
      </c>
      <c r="D2549" s="79"/>
      <c r="E2549" s="79"/>
      <c r="F2549" s="90"/>
      <c r="G2549" s="84"/>
      <c r="H2549" s="87"/>
      <c r="I2549" s="84"/>
      <c r="J2549" s="87"/>
      <c r="K2549" s="84"/>
      <c r="L2549" s="87"/>
    </row>
    <row r="2550" spans="1:12" ht="26" customHeight="1" x14ac:dyDescent="0.35">
      <c r="A2550" s="134">
        <v>21901000</v>
      </c>
      <c r="B2550" s="84"/>
      <c r="C2550" s="85" t="str">
        <f>VLOOKUP(A2550,'DAFTAR HARGA'!A:D,3,FALSE)</f>
        <v>Kg</v>
      </c>
      <c r="D2550" s="84" t="s">
        <v>418</v>
      </c>
      <c r="E2550" s="84">
        <f>VLOOKUP(A2550,'DAFTAR HARGA'!A:D,4,FALSE)</f>
        <v>12200</v>
      </c>
      <c r="F2550" s="128">
        <v>30</v>
      </c>
      <c r="G2550" s="87" t="e">
        <f>VLOOKUP(A2550,'DAFTAR HARGA'!A:D,5,FALSE)</f>
        <v>#REF!</v>
      </c>
      <c r="H2550" s="87" t="e">
        <f>F2550*G2550</f>
        <v>#REF!</v>
      </c>
      <c r="I2550" s="87">
        <v>232500</v>
      </c>
      <c r="J2550" s="87">
        <f>F2550*I2550</f>
        <v>6975000</v>
      </c>
      <c r="K2550" s="87">
        <v>270000</v>
      </c>
      <c r="L2550" s="87">
        <f>F2550*K2550</f>
        <v>8100000</v>
      </c>
    </row>
    <row r="2551" spans="1:12" ht="12" customHeight="1" x14ac:dyDescent="0.35">
      <c r="A2551" s="134">
        <v>21904003</v>
      </c>
      <c r="B2551" s="84"/>
      <c r="C2551" s="85" t="str">
        <f>VLOOKUP(A2551,'DAFTAR HARGA'!A:D,3,FALSE)</f>
        <v>kg</v>
      </c>
      <c r="D2551" s="84" t="s">
        <v>418</v>
      </c>
      <c r="E2551" s="84">
        <f>VLOOKUP(A2551,'DAFTAR HARGA'!A:D,4,FALSE)</f>
        <v>13500</v>
      </c>
      <c r="F2551" s="128">
        <v>4</v>
      </c>
      <c r="G2551" s="87" t="e">
        <f>VLOOKUP(A2551,'DAFTAR HARGA'!A:D,5,FALSE)</f>
        <v>#REF!</v>
      </c>
      <c r="H2551" s="87" t="e">
        <f>F2551*G2551</f>
        <v>#REF!</v>
      </c>
      <c r="I2551" s="87">
        <v>1060</v>
      </c>
      <c r="J2551" s="87">
        <f>F2551*I2551</f>
        <v>4240</v>
      </c>
      <c r="K2551" s="87">
        <v>1060</v>
      </c>
      <c r="L2551" s="87">
        <f>F2551*K2551</f>
        <v>4240</v>
      </c>
    </row>
    <row r="2552" spans="1:12" ht="12" customHeight="1" x14ac:dyDescent="0.35">
      <c r="A2552" s="134">
        <v>23100103</v>
      </c>
      <c r="B2552" s="84"/>
      <c r="C2552" s="85" t="str">
        <f>VLOOKUP(A2552,'DAFTAR HARGA'!A:D,3,FALSE)</f>
        <v>kg</v>
      </c>
      <c r="D2552" s="84" t="s">
        <v>418</v>
      </c>
      <c r="E2552" s="84">
        <f>VLOOKUP(A2552,'DAFTAR HARGA'!A:D,4,FALSE)</f>
        <v>35000</v>
      </c>
      <c r="F2552" s="128">
        <v>5.4</v>
      </c>
      <c r="G2552" s="87" t="e">
        <f>VLOOKUP(A2552,'DAFTAR HARGA'!A:D,5,FALSE)</f>
        <v>#REF!</v>
      </c>
      <c r="H2552" s="87" t="e">
        <f>F2552*G2552</f>
        <v>#REF!</v>
      </c>
      <c r="I2552" s="87">
        <v>215000</v>
      </c>
      <c r="J2552" s="87">
        <f>F2552*I2552</f>
        <v>1161000</v>
      </c>
      <c r="K2552" s="87">
        <v>250000</v>
      </c>
      <c r="L2552" s="87">
        <f>F2552*K2552</f>
        <v>1350000</v>
      </c>
    </row>
    <row r="2553" spans="1:12" ht="12" customHeight="1" x14ac:dyDescent="0.35">
      <c r="B2553" s="84"/>
      <c r="C2553" s="85"/>
      <c r="D2553" s="84"/>
      <c r="E2553" s="84"/>
      <c r="F2553" s="128"/>
      <c r="G2553" s="87"/>
      <c r="H2553" s="87"/>
      <c r="I2553" s="87"/>
      <c r="J2553" s="87"/>
      <c r="K2553" s="87"/>
      <c r="L2553" s="87"/>
    </row>
    <row r="2554" spans="1:12" ht="12" customHeight="1" x14ac:dyDescent="0.35">
      <c r="B2554" s="84"/>
      <c r="C2554" s="88"/>
      <c r="D2554" s="79"/>
      <c r="E2554" s="79"/>
      <c r="F2554" s="129" t="s">
        <v>423</v>
      </c>
      <c r="G2554" s="129"/>
      <c r="H2554" s="87" t="e">
        <f>SUM(H2550:H2553)</f>
        <v>#REF!</v>
      </c>
      <c r="I2554" s="101"/>
      <c r="J2554" s="87" t="e">
        <f>SUM(#REF!)</f>
        <v>#REF!</v>
      </c>
      <c r="K2554" s="101"/>
      <c r="L2554" s="87" t="e">
        <f>SUM(#REF!)</f>
        <v>#REF!</v>
      </c>
    </row>
    <row r="2555" spans="1:12" ht="12" customHeight="1" x14ac:dyDescent="0.35">
      <c r="B2555" s="84" t="s">
        <v>7</v>
      </c>
      <c r="C2555" s="88" t="s">
        <v>424</v>
      </c>
      <c r="D2555" s="79"/>
      <c r="E2555" s="79"/>
      <c r="F2555" s="90"/>
      <c r="G2555" s="84"/>
      <c r="H2555" s="87"/>
      <c r="I2555" s="84"/>
      <c r="J2555" s="87"/>
      <c r="K2555" s="84"/>
      <c r="L2555" s="87"/>
    </row>
    <row r="2556" spans="1:12" ht="12" customHeight="1" x14ac:dyDescent="0.35">
      <c r="A2556" s="134">
        <v>31220101</v>
      </c>
      <c r="B2556" s="84"/>
      <c r="C2556" s="85" t="str">
        <f>VLOOKUP(A2556,'DAFTAR HARGA'!A:D,3,FALSE)</f>
        <v>hari</v>
      </c>
      <c r="D2556" s="84" t="s">
        <v>418</v>
      </c>
      <c r="E2556" s="84">
        <f>VLOOKUP(A2556,'DAFTAR HARGA'!A:D,4,FALSE)</f>
        <v>55000</v>
      </c>
      <c r="F2556" s="128">
        <v>0.15</v>
      </c>
      <c r="G2556" s="87" t="e">
        <f>VLOOKUP(A2556,'DAFTAR HARGA'!A:D,5,FALSE)</f>
        <v>#REF!</v>
      </c>
      <c r="H2556" s="87" t="e">
        <f>F2556*G2556</f>
        <v>#REF!</v>
      </c>
      <c r="I2556" s="87"/>
      <c r="J2556" s="87" t="e">
        <f>H2556*I2556</f>
        <v>#REF!</v>
      </c>
      <c r="K2556" s="87"/>
      <c r="L2556" s="87" t="e">
        <f>J2556*K2556</f>
        <v>#REF!</v>
      </c>
    </row>
    <row r="2557" spans="1:12" ht="12" customHeight="1" x14ac:dyDescent="0.35">
      <c r="A2557" s="134">
        <v>31220105</v>
      </c>
      <c r="B2557" s="84"/>
      <c r="C2557" s="85" t="str">
        <f>VLOOKUP(A2557,'DAFTAR HARGA'!A:D,3,FALSE)</f>
        <v>hari</v>
      </c>
      <c r="D2557" s="84" t="s">
        <v>418</v>
      </c>
      <c r="E2557" s="84">
        <f>VLOOKUP(A2557,'DAFTAR HARGA'!A:D,4,FALSE)</f>
        <v>50000</v>
      </c>
      <c r="F2557" s="128">
        <v>0.15</v>
      </c>
      <c r="G2557" s="87" t="e">
        <f>VLOOKUP(A2557,'DAFTAR HARGA'!A:D,5,FALSE)</f>
        <v>#REF!</v>
      </c>
      <c r="H2557" s="87" t="e">
        <f>F2557*G2557</f>
        <v>#REF!</v>
      </c>
      <c r="I2557" s="87"/>
      <c r="J2557" s="87"/>
      <c r="K2557" s="87"/>
      <c r="L2557" s="87"/>
    </row>
    <row r="2558" spans="1:12" ht="12" customHeight="1" x14ac:dyDescent="0.35">
      <c r="B2558" s="84"/>
      <c r="C2558" s="85"/>
      <c r="D2558" s="84"/>
      <c r="E2558" s="84"/>
      <c r="F2558" s="128"/>
      <c r="G2558" s="87"/>
      <c r="H2558" s="87">
        <f>F2558*G2558</f>
        <v>0</v>
      </c>
      <c r="I2558" s="87"/>
      <c r="J2558" s="87"/>
      <c r="K2558" s="87"/>
      <c r="L2558" s="87"/>
    </row>
    <row r="2559" spans="1:12" ht="12" customHeight="1" x14ac:dyDescent="0.35">
      <c r="B2559" s="84"/>
      <c r="C2559" s="88"/>
      <c r="D2559" s="79"/>
      <c r="E2559" s="79"/>
      <c r="F2559" s="89" t="s">
        <v>425</v>
      </c>
      <c r="G2559" s="101"/>
      <c r="H2559" s="87" t="e">
        <f>SUM(H2556:H2558)</f>
        <v>#REF!</v>
      </c>
      <c r="I2559" s="101"/>
      <c r="J2559" s="87" t="e">
        <f>SUM(J2556)</f>
        <v>#REF!</v>
      </c>
      <c r="K2559" s="101"/>
      <c r="L2559" s="87" t="e">
        <f>SUM(L2556)</f>
        <v>#REF!</v>
      </c>
    </row>
    <row r="2560" spans="1:12" ht="12" customHeight="1" x14ac:dyDescent="0.35">
      <c r="B2560" s="84" t="s">
        <v>8</v>
      </c>
      <c r="C2560" s="103" t="s">
        <v>426</v>
      </c>
      <c r="D2560" s="104"/>
      <c r="E2560" s="104"/>
      <c r="F2560" s="104"/>
      <c r="G2560" s="105"/>
      <c r="H2560" s="87" t="e">
        <f>H2548+H2554+H2559</f>
        <v>#REF!</v>
      </c>
      <c r="I2560" s="105"/>
      <c r="J2560" s="87" t="e">
        <f>J2548+J2554+J2559</f>
        <v>#REF!</v>
      </c>
      <c r="K2560" s="105"/>
      <c r="L2560" s="87" t="e">
        <f>L2548+L2554+L2559</f>
        <v>#REF!</v>
      </c>
    </row>
    <row r="2561" spans="1:12" ht="12" customHeight="1" x14ac:dyDescent="0.35">
      <c r="B2561" s="84" t="s">
        <v>9</v>
      </c>
      <c r="C2561" s="455" t="s">
        <v>427</v>
      </c>
      <c r="D2561" s="455"/>
      <c r="E2561" s="455"/>
      <c r="F2561" s="95" t="str">
        <f>OP</f>
        <v>TANJUNG PALAS TENGAH</v>
      </c>
      <c r="G2561" s="85" t="s">
        <v>428</v>
      </c>
      <c r="H2561" s="87" t="e">
        <f>H2560*F2561</f>
        <v>#REF!</v>
      </c>
      <c r="I2561" s="85" t="s">
        <v>428</v>
      </c>
      <c r="J2561" s="87" t="e">
        <f>J2560*F2561</f>
        <v>#REF!</v>
      </c>
      <c r="K2561" s="85" t="s">
        <v>428</v>
      </c>
      <c r="L2561" s="87" t="e">
        <f>L2560*F2561</f>
        <v>#REF!</v>
      </c>
    </row>
    <row r="2562" spans="1:12" ht="12" customHeight="1" x14ac:dyDescent="0.35">
      <c r="B2562" s="84" t="s">
        <v>10</v>
      </c>
      <c r="C2562" s="103" t="s">
        <v>429</v>
      </c>
      <c r="D2562" s="104"/>
      <c r="E2562" s="104"/>
      <c r="F2562" s="104"/>
      <c r="G2562" s="105"/>
      <c r="H2562" s="96" t="e">
        <f>H2560+H2561</f>
        <v>#REF!</v>
      </c>
      <c r="I2562" s="97"/>
      <c r="J2562" s="96" t="e">
        <f>J2560+J2561</f>
        <v>#REF!</v>
      </c>
      <c r="K2562" s="97"/>
      <c r="L2562" s="96" t="e">
        <f>L2560+L2561</f>
        <v>#REF!</v>
      </c>
    </row>
    <row r="2564" spans="1:12" ht="37" customHeight="1" x14ac:dyDescent="0.35">
      <c r="B2564" s="76" t="s">
        <v>730</v>
      </c>
      <c r="C2564" s="458" t="s">
        <v>731</v>
      </c>
      <c r="D2564" s="459"/>
      <c r="E2564" s="459"/>
      <c r="F2564" s="459"/>
      <c r="G2564" s="456"/>
      <c r="H2564" s="457"/>
      <c r="I2564" s="455" t="s">
        <v>3</v>
      </c>
      <c r="J2564" s="455"/>
      <c r="K2564" s="455" t="s">
        <v>4</v>
      </c>
      <c r="L2564" s="455"/>
    </row>
    <row r="2565" spans="1:12" ht="12" customHeight="1" x14ac:dyDescent="0.35">
      <c r="B2565" s="451" t="s">
        <v>409</v>
      </c>
      <c r="C2565" s="451" t="s">
        <v>410</v>
      </c>
      <c r="D2565" s="452" t="s">
        <v>411</v>
      </c>
      <c r="E2565" s="451" t="s">
        <v>412</v>
      </c>
      <c r="F2565" s="451" t="s">
        <v>413</v>
      </c>
      <c r="G2565" s="77" t="s">
        <v>414</v>
      </c>
      <c r="H2565" s="77" t="s">
        <v>415</v>
      </c>
      <c r="I2565" s="78" t="s">
        <v>414</v>
      </c>
      <c r="J2565" s="79" t="s">
        <v>415</v>
      </c>
      <c r="K2565" s="79" t="s">
        <v>414</v>
      </c>
      <c r="L2565" s="79" t="s">
        <v>415</v>
      </c>
    </row>
    <row r="2566" spans="1:12" ht="12" customHeight="1" x14ac:dyDescent="0.35">
      <c r="B2566" s="451"/>
      <c r="C2566" s="451"/>
      <c r="D2566" s="453"/>
      <c r="E2566" s="451"/>
      <c r="F2566" s="451"/>
      <c r="G2566" s="77" t="s">
        <v>17</v>
      </c>
      <c r="H2566" s="77" t="s">
        <v>416</v>
      </c>
      <c r="I2566" s="78" t="s">
        <v>17</v>
      </c>
      <c r="J2566" s="79" t="s">
        <v>416</v>
      </c>
      <c r="K2566" s="79" t="s">
        <v>17</v>
      </c>
      <c r="L2566" s="79" t="s">
        <v>416</v>
      </c>
    </row>
    <row r="2567" spans="1:12" ht="12" customHeight="1" x14ac:dyDescent="0.35">
      <c r="B2567" s="451"/>
      <c r="C2567" s="451"/>
      <c r="D2567" s="454"/>
      <c r="E2567" s="451"/>
      <c r="F2567" s="451"/>
      <c r="G2567" s="106"/>
      <c r="H2567" s="77" t="s">
        <v>17</v>
      </c>
      <c r="I2567" s="94"/>
      <c r="J2567" s="79" t="s">
        <v>17</v>
      </c>
      <c r="K2567" s="85"/>
      <c r="L2567" s="79" t="s">
        <v>17</v>
      </c>
    </row>
    <row r="2568" spans="1:12" ht="12" customHeight="1" x14ac:dyDescent="0.35">
      <c r="B2568" s="80" t="s">
        <v>5</v>
      </c>
      <c r="C2568" s="81" t="s">
        <v>417</v>
      </c>
      <c r="D2568" s="82"/>
      <c r="E2568" s="82"/>
      <c r="F2568" s="82"/>
      <c r="G2568" s="82"/>
      <c r="H2568" s="82"/>
      <c r="I2568" s="83"/>
      <c r="J2568" s="83"/>
      <c r="K2568" s="83"/>
      <c r="L2568" s="83"/>
    </row>
    <row r="2569" spans="1:12" ht="12" customHeight="1" x14ac:dyDescent="0.35">
      <c r="A2569" s="134">
        <v>10130000</v>
      </c>
      <c r="B2569" s="84"/>
      <c r="C2569" s="85" t="str">
        <f>VLOOKUP(A2569,'DAFTAR HARGA'!A:D,3,FALSE)</f>
        <v>OH</v>
      </c>
      <c r="D2569" s="84" t="s">
        <v>418</v>
      </c>
      <c r="E2569" s="84">
        <f>VLOOKUP(A2569,'DAFTAR HARGA'!A:D,4,FALSE)</f>
        <v>115000</v>
      </c>
      <c r="F2569" s="128">
        <v>0.25</v>
      </c>
      <c r="G2569" s="87" t="e">
        <f>VLOOKUP(A2569,'DAFTAR HARGA'!A:D,5,FALSE)</f>
        <v>#REF!</v>
      </c>
      <c r="H2569" s="87" t="e">
        <f>F2569*G2569</f>
        <v>#REF!</v>
      </c>
      <c r="I2569" s="87">
        <v>91500</v>
      </c>
      <c r="J2569" s="87">
        <f>F2569*I2569</f>
        <v>22875</v>
      </c>
      <c r="K2569" s="87">
        <v>91500</v>
      </c>
      <c r="L2569" s="87">
        <f>F2569*K2569</f>
        <v>22875</v>
      </c>
    </row>
    <row r="2570" spans="1:12" ht="12" customHeight="1" x14ac:dyDescent="0.35">
      <c r="A2570" s="134">
        <v>10143000</v>
      </c>
      <c r="B2570" s="84"/>
      <c r="C2570" s="85" t="str">
        <f>VLOOKUP(A2570,'DAFTAR HARGA'!A:D,3,FALSE)</f>
        <v>OH</v>
      </c>
      <c r="D2570" s="84" t="s">
        <v>418</v>
      </c>
      <c r="E2570" s="84">
        <f>VLOOKUP(A2570,'DAFTAR HARGA'!A:D,4,FALSE)</f>
        <v>236600</v>
      </c>
      <c r="F2570" s="128">
        <v>0.11</v>
      </c>
      <c r="G2570" s="87" t="e">
        <f>VLOOKUP(A2570,'DAFTAR HARGA'!A:D,5,FALSE)</f>
        <v>#REF!</v>
      </c>
      <c r="H2570" s="87" t="e">
        <f>F2570*G2570</f>
        <v>#REF!</v>
      </c>
      <c r="I2570" s="87"/>
      <c r="J2570" s="87"/>
      <c r="K2570" s="87"/>
      <c r="L2570" s="87"/>
    </row>
    <row r="2571" spans="1:12" ht="12" customHeight="1" x14ac:dyDescent="0.35">
      <c r="A2571" s="134">
        <v>10120000</v>
      </c>
      <c r="B2571" s="84"/>
      <c r="C2571" s="85" t="str">
        <f>VLOOKUP(A2571,'DAFTAR HARGA'!A:D,3,FALSE)</f>
        <v>OH</v>
      </c>
      <c r="D2571" s="84" t="s">
        <v>418</v>
      </c>
      <c r="E2571" s="84">
        <f>VLOOKUP(A2571,'DAFTAR HARGA'!A:D,4,FALSE)</f>
        <v>130000</v>
      </c>
      <c r="F2571" s="128">
        <v>0.125</v>
      </c>
      <c r="G2571" s="87" t="e">
        <f>VLOOKUP(A2571,'DAFTAR HARGA'!A:D,5,FALSE)</f>
        <v>#REF!</v>
      </c>
      <c r="H2571" s="87" t="e">
        <f t="shared" ref="H2571:H2572" si="6">F2571*G2571</f>
        <v>#REF!</v>
      </c>
      <c r="I2571" s="87"/>
      <c r="J2571" s="87"/>
      <c r="K2571" s="87"/>
      <c r="L2571" s="87"/>
    </row>
    <row r="2572" spans="1:12" ht="12" customHeight="1" x14ac:dyDescent="0.35">
      <c r="A2572" s="134">
        <v>10146000</v>
      </c>
      <c r="B2572" s="84"/>
      <c r="C2572" s="85" t="str">
        <f>VLOOKUP(A2572,'DAFTAR HARGA'!A:D,3,FALSE)</f>
        <v>OH</v>
      </c>
      <c r="D2572" s="84" t="s">
        <v>418</v>
      </c>
      <c r="E2572" s="84">
        <f>VLOOKUP(A2572,'DAFTAR HARGA'!A:D,4,FALSE)</f>
        <v>236600</v>
      </c>
      <c r="F2572" s="128">
        <v>1.2999999999999999E-2</v>
      </c>
      <c r="G2572" s="87" t="e">
        <f>VLOOKUP(A2572,'DAFTAR HARGA'!A:D,5,FALSE)</f>
        <v>#REF!</v>
      </c>
      <c r="H2572" s="87" t="e">
        <f t="shared" si="6"/>
        <v>#REF!</v>
      </c>
      <c r="I2572" s="87"/>
      <c r="J2572" s="87"/>
      <c r="K2572" s="87"/>
      <c r="L2572" s="87"/>
    </row>
    <row r="2573" spans="1:12" ht="12" customHeight="1" x14ac:dyDescent="0.35">
      <c r="A2573" s="134">
        <v>10110000</v>
      </c>
      <c r="B2573" s="84"/>
      <c r="C2573" s="85" t="str">
        <f>VLOOKUP(A2573,'DAFTAR HARGA'!A:D,3,FALSE)</f>
        <v>OH</v>
      </c>
      <c r="D2573" s="84" t="s">
        <v>418</v>
      </c>
      <c r="E2573" s="84">
        <f>VLOOKUP(A2573,'DAFTAR HARGA'!A:D,4,FALSE)</f>
        <v>150000</v>
      </c>
      <c r="F2573" s="128">
        <f>F2569/10</f>
        <v>2.5000000000000001E-2</v>
      </c>
      <c r="G2573" s="87" t="e">
        <f>VLOOKUP(A2573,'DAFTAR HARGA'!A:D,5,FALSE)</f>
        <v>#REF!</v>
      </c>
      <c r="H2573" s="87" t="e">
        <f>F2573*G2573</f>
        <v>#REF!</v>
      </c>
      <c r="I2573" s="87">
        <v>78600</v>
      </c>
      <c r="J2573" s="87">
        <f>F2573*I2573</f>
        <v>1965</v>
      </c>
      <c r="K2573" s="87">
        <v>78600</v>
      </c>
      <c r="L2573" s="87">
        <f>F2573*K2573</f>
        <v>1965</v>
      </c>
    </row>
    <row r="2574" spans="1:12" ht="12" customHeight="1" x14ac:dyDescent="0.35">
      <c r="B2574" s="84"/>
      <c r="C2574" s="85"/>
      <c r="D2574" s="84"/>
      <c r="E2574" s="84"/>
      <c r="F2574" s="86"/>
      <c r="G2574" s="87"/>
      <c r="H2574" s="87">
        <f>F2574*G2574</f>
        <v>0</v>
      </c>
      <c r="I2574" s="87">
        <v>92500</v>
      </c>
      <c r="J2574" s="87">
        <f>F2574*I2574</f>
        <v>0</v>
      </c>
      <c r="K2574" s="87">
        <v>92500</v>
      </c>
      <c r="L2574" s="87">
        <f>F2574*K2574</f>
        <v>0</v>
      </c>
    </row>
    <row r="2575" spans="1:12" ht="12" customHeight="1" x14ac:dyDescent="0.35">
      <c r="B2575" s="84"/>
      <c r="C2575" s="85"/>
      <c r="D2575" s="84"/>
      <c r="E2575" s="84"/>
      <c r="F2575" s="86"/>
      <c r="G2575" s="87"/>
      <c r="H2575" s="87"/>
      <c r="I2575" s="87"/>
      <c r="J2575" s="87"/>
      <c r="K2575" s="87"/>
      <c r="L2575" s="87"/>
    </row>
    <row r="2576" spans="1:12" ht="12" customHeight="1" x14ac:dyDescent="0.35">
      <c r="B2576" s="84"/>
      <c r="C2576" s="88"/>
      <c r="D2576" s="79"/>
      <c r="E2576" s="79"/>
      <c r="F2576" s="89" t="s">
        <v>421</v>
      </c>
      <c r="G2576" s="101"/>
      <c r="H2576" s="87" t="e">
        <f>SUM(H2569:H2575)</f>
        <v>#REF!</v>
      </c>
      <c r="I2576" s="101"/>
      <c r="J2576" s="87">
        <f>SUM(J2573:J2575)</f>
        <v>1965</v>
      </c>
      <c r="K2576" s="101"/>
      <c r="L2576" s="87">
        <f>SUM(L2573:L2575)</f>
        <v>1965</v>
      </c>
    </row>
    <row r="2577" spans="1:12" ht="12" customHeight="1" x14ac:dyDescent="0.35">
      <c r="B2577" s="84" t="s">
        <v>6</v>
      </c>
      <c r="C2577" s="88" t="s">
        <v>422</v>
      </c>
      <c r="D2577" s="79"/>
      <c r="E2577" s="79"/>
      <c r="F2577" s="90"/>
      <c r="G2577" s="84"/>
      <c r="H2577" s="87"/>
      <c r="I2577" s="84"/>
      <c r="J2577" s="87"/>
      <c r="K2577" s="84"/>
      <c r="L2577" s="87"/>
    </row>
    <row r="2578" spans="1:12" ht="26" customHeight="1" x14ac:dyDescent="0.35">
      <c r="A2578" s="134">
        <v>21912008</v>
      </c>
      <c r="B2578" s="84"/>
      <c r="C2578" s="85" t="str">
        <f>VLOOKUP(A2578,'DAFTAR HARGA'!A:D,3,FALSE)</f>
        <v>pcs</v>
      </c>
      <c r="D2578" s="84" t="s">
        <v>418</v>
      </c>
      <c r="E2578" s="84">
        <f>VLOOKUP(A2578,'DAFTAR HARGA'!A:D,4,FALSE)</f>
        <v>850</v>
      </c>
      <c r="F2578" s="128">
        <v>20</v>
      </c>
      <c r="G2578" s="87" t="e">
        <f>VLOOKUP(A2578,'DAFTAR HARGA'!A:D,5,FALSE)</f>
        <v>#REF!</v>
      </c>
      <c r="H2578" s="87" t="e">
        <f>F2578*G2578</f>
        <v>#REF!</v>
      </c>
      <c r="I2578" s="87">
        <v>232500</v>
      </c>
      <c r="J2578" s="87">
        <f>F2578*I2578</f>
        <v>4650000</v>
      </c>
      <c r="K2578" s="87">
        <v>270000</v>
      </c>
      <c r="L2578" s="87">
        <f>F2578*K2578</f>
        <v>5400000</v>
      </c>
    </row>
    <row r="2579" spans="1:12" ht="12" customHeight="1" x14ac:dyDescent="0.35">
      <c r="A2579" s="134" t="s">
        <v>740</v>
      </c>
      <c r="B2579" s="84"/>
      <c r="C2579" s="85" t="str">
        <f>VLOOKUP(A2579,'DAFTAR HARGA'!A:D,3,FALSE)</f>
        <v>btg</v>
      </c>
      <c r="D2579" s="84" t="s">
        <v>418</v>
      </c>
      <c r="E2579" s="84">
        <f>VLOOKUP(A2579,'DAFTAR HARGA'!A:D,4,FALSE)</f>
        <v>258500</v>
      </c>
      <c r="F2579" s="128">
        <v>4</v>
      </c>
      <c r="G2579" s="87" t="e">
        <f>VLOOKUP(A2579,'DAFTAR HARGA'!A:D,5,FALSE)/4</f>
        <v>#REF!</v>
      </c>
      <c r="H2579" s="87" t="e">
        <f>F2579*G2579</f>
        <v>#REF!</v>
      </c>
      <c r="I2579" s="87">
        <v>1060</v>
      </c>
      <c r="J2579" s="87">
        <f>F2579*I2579</f>
        <v>4240</v>
      </c>
      <c r="K2579" s="87">
        <v>1060</v>
      </c>
      <c r="L2579" s="87">
        <f>F2579*K2579</f>
        <v>4240</v>
      </c>
    </row>
    <row r="2580" spans="1:12" ht="12" customHeight="1" x14ac:dyDescent="0.35">
      <c r="A2580" s="134">
        <v>23100103</v>
      </c>
      <c r="B2580" s="84"/>
      <c r="C2580" s="85" t="str">
        <f>VLOOKUP(A2580,'DAFTAR HARGA'!A:D,3,FALSE)</f>
        <v>kg</v>
      </c>
      <c r="D2580" s="84" t="s">
        <v>418</v>
      </c>
      <c r="E2580" s="84">
        <f>VLOOKUP(A2580,'DAFTAR HARGA'!A:D,4,FALSE)</f>
        <v>35000</v>
      </c>
      <c r="F2580" s="128">
        <v>0.02</v>
      </c>
      <c r="G2580" s="87" t="e">
        <f>VLOOKUP(A2580,'DAFTAR HARGA'!A:D,5,FALSE)</f>
        <v>#REF!</v>
      </c>
      <c r="H2580" s="87" t="e">
        <f>F2580*G2580</f>
        <v>#REF!</v>
      </c>
      <c r="I2580" s="87">
        <v>215000</v>
      </c>
      <c r="J2580" s="87">
        <f>F2580*I2580</f>
        <v>4300</v>
      </c>
      <c r="K2580" s="87">
        <v>250000</v>
      </c>
      <c r="L2580" s="87">
        <f>F2580*K2580</f>
        <v>5000</v>
      </c>
    </row>
    <row r="2581" spans="1:12" ht="12" customHeight="1" x14ac:dyDescent="0.35">
      <c r="B2581" s="84"/>
      <c r="C2581" s="85"/>
      <c r="D2581" s="84"/>
      <c r="E2581" s="84"/>
      <c r="F2581" s="128"/>
      <c r="G2581" s="87"/>
      <c r="H2581" s="87"/>
      <c r="I2581" s="87"/>
      <c r="J2581" s="87"/>
      <c r="K2581" s="87"/>
      <c r="L2581" s="87"/>
    </row>
    <row r="2582" spans="1:12" ht="12" customHeight="1" x14ac:dyDescent="0.35">
      <c r="B2582" s="84"/>
      <c r="C2582" s="88"/>
      <c r="D2582" s="79"/>
      <c r="E2582" s="79"/>
      <c r="F2582" s="129" t="s">
        <v>423</v>
      </c>
      <c r="G2582" s="129"/>
      <c r="H2582" s="87" t="e">
        <f>SUM(H2578:H2581)</f>
        <v>#REF!</v>
      </c>
      <c r="I2582" s="101"/>
      <c r="J2582" s="87" t="e">
        <f>SUM(#REF!)</f>
        <v>#REF!</v>
      </c>
      <c r="K2582" s="101"/>
      <c r="L2582" s="87" t="e">
        <f>SUM(#REF!)</f>
        <v>#REF!</v>
      </c>
    </row>
    <row r="2583" spans="1:12" ht="12" customHeight="1" x14ac:dyDescent="0.35">
      <c r="B2583" s="84" t="s">
        <v>7</v>
      </c>
      <c r="C2583" s="88" t="s">
        <v>424</v>
      </c>
      <c r="D2583" s="79"/>
      <c r="E2583" s="79"/>
      <c r="F2583" s="90"/>
      <c r="G2583" s="84"/>
      <c r="H2583" s="87"/>
      <c r="I2583" s="84"/>
      <c r="J2583" s="87"/>
      <c r="K2583" s="84"/>
      <c r="L2583" s="87"/>
    </row>
    <row r="2584" spans="1:12" ht="12" customHeight="1" x14ac:dyDescent="0.35">
      <c r="A2584" s="134">
        <v>31220101</v>
      </c>
      <c r="B2584" s="84"/>
      <c r="C2584" s="85" t="str">
        <f>VLOOKUP(A2584,'DAFTAR HARGA'!A:D,3,FALSE)</f>
        <v>hari</v>
      </c>
      <c r="D2584" s="84" t="s">
        <v>418</v>
      </c>
      <c r="E2584" s="84">
        <f>VLOOKUP(A2584,'DAFTAR HARGA'!A:D,4,FALSE)</f>
        <v>55000</v>
      </c>
      <c r="F2584" s="128">
        <v>0.05</v>
      </c>
      <c r="G2584" s="87" t="e">
        <f>VLOOKUP(A2584,'DAFTAR HARGA'!A:D,5,FALSE)</f>
        <v>#REF!</v>
      </c>
      <c r="H2584" s="87" t="e">
        <f>F2584*G2584</f>
        <v>#REF!</v>
      </c>
      <c r="I2584" s="87"/>
      <c r="J2584" s="87" t="e">
        <f>H2584*I2584</f>
        <v>#REF!</v>
      </c>
      <c r="K2584" s="87"/>
      <c r="L2584" s="87" t="e">
        <f>J2584*K2584</f>
        <v>#REF!</v>
      </c>
    </row>
    <row r="2585" spans="1:12" ht="12" customHeight="1" x14ac:dyDescent="0.35">
      <c r="A2585" s="134">
        <v>31220105</v>
      </c>
      <c r="B2585" s="84"/>
      <c r="C2585" s="85" t="str">
        <f>VLOOKUP(A2585,'DAFTAR HARGA'!A:D,3,FALSE)</f>
        <v>hari</v>
      </c>
      <c r="D2585" s="84" t="s">
        <v>418</v>
      </c>
      <c r="E2585" s="84">
        <f>VLOOKUP(A2585,'DAFTAR HARGA'!A:D,4,FALSE)</f>
        <v>50000</v>
      </c>
      <c r="F2585" s="128">
        <v>0.05</v>
      </c>
      <c r="G2585" s="87" t="e">
        <f>VLOOKUP(A2585,'DAFTAR HARGA'!A:D,5,FALSE)</f>
        <v>#REF!</v>
      </c>
      <c r="H2585" s="87" t="e">
        <f>F2585*G2585</f>
        <v>#REF!</v>
      </c>
      <c r="I2585" s="87"/>
      <c r="J2585" s="87"/>
      <c r="K2585" s="87"/>
      <c r="L2585" s="87"/>
    </row>
    <row r="2586" spans="1:12" ht="12" customHeight="1" x14ac:dyDescent="0.35">
      <c r="B2586" s="84"/>
      <c r="C2586" s="85"/>
      <c r="D2586" s="84"/>
      <c r="E2586" s="84"/>
      <c r="F2586" s="128"/>
      <c r="G2586" s="87"/>
      <c r="H2586" s="87">
        <f>F2586*G2586</f>
        <v>0</v>
      </c>
      <c r="I2586" s="87"/>
      <c r="J2586" s="87"/>
      <c r="K2586" s="87"/>
      <c r="L2586" s="87"/>
    </row>
    <row r="2587" spans="1:12" ht="12" customHeight="1" x14ac:dyDescent="0.35">
      <c r="B2587" s="84"/>
      <c r="C2587" s="88"/>
      <c r="D2587" s="79"/>
      <c r="E2587" s="79"/>
      <c r="F2587" s="89" t="s">
        <v>425</v>
      </c>
      <c r="G2587" s="101"/>
      <c r="H2587" s="87" t="e">
        <f>SUM(H2584:H2586)</f>
        <v>#REF!</v>
      </c>
      <c r="I2587" s="101"/>
      <c r="J2587" s="87" t="e">
        <f>SUM(J2584)</f>
        <v>#REF!</v>
      </c>
      <c r="K2587" s="101"/>
      <c r="L2587" s="87" t="e">
        <f>SUM(L2584)</f>
        <v>#REF!</v>
      </c>
    </row>
    <row r="2588" spans="1:12" ht="12" customHeight="1" x14ac:dyDescent="0.35">
      <c r="B2588" s="84" t="s">
        <v>8</v>
      </c>
      <c r="C2588" s="103" t="s">
        <v>426</v>
      </c>
      <c r="D2588" s="104"/>
      <c r="E2588" s="104"/>
      <c r="F2588" s="104"/>
      <c r="G2588" s="105"/>
      <c r="H2588" s="87" t="e">
        <f>H2576+H2582+H2587</f>
        <v>#REF!</v>
      </c>
      <c r="I2588" s="105"/>
      <c r="J2588" s="87" t="e">
        <f>J2576+J2582+J2587</f>
        <v>#REF!</v>
      </c>
      <c r="K2588" s="105"/>
      <c r="L2588" s="87" t="e">
        <f>L2576+L2582+L2587</f>
        <v>#REF!</v>
      </c>
    </row>
    <row r="2589" spans="1:12" ht="12" customHeight="1" x14ac:dyDescent="0.35">
      <c r="B2589" s="84" t="s">
        <v>9</v>
      </c>
      <c r="C2589" s="455" t="s">
        <v>427</v>
      </c>
      <c r="D2589" s="455"/>
      <c r="E2589" s="455"/>
      <c r="F2589" s="95" t="str">
        <f>OP</f>
        <v>TANJUNG PALAS TENGAH</v>
      </c>
      <c r="G2589" s="85" t="s">
        <v>428</v>
      </c>
      <c r="H2589" s="87" t="e">
        <f>H2588*F2589</f>
        <v>#REF!</v>
      </c>
      <c r="I2589" s="85" t="s">
        <v>428</v>
      </c>
      <c r="J2589" s="87" t="e">
        <f>J2588*F2589</f>
        <v>#REF!</v>
      </c>
      <c r="K2589" s="85" t="s">
        <v>428</v>
      </c>
      <c r="L2589" s="87" t="e">
        <f>L2588*F2589</f>
        <v>#REF!</v>
      </c>
    </row>
    <row r="2590" spans="1:12" ht="12" customHeight="1" x14ac:dyDescent="0.35">
      <c r="B2590" s="84" t="s">
        <v>10</v>
      </c>
      <c r="C2590" s="103" t="s">
        <v>429</v>
      </c>
      <c r="D2590" s="104"/>
      <c r="E2590" s="104"/>
      <c r="F2590" s="104"/>
      <c r="G2590" s="105"/>
      <c r="H2590" s="96" t="e">
        <f>H2588+H2589</f>
        <v>#REF!</v>
      </c>
      <c r="I2590" s="97"/>
      <c r="J2590" s="96" t="e">
        <f>J2588+J2589</f>
        <v>#REF!</v>
      </c>
      <c r="K2590" s="97"/>
      <c r="L2590" s="96" t="e">
        <f>L2588+L2589</f>
        <v>#REF!</v>
      </c>
    </row>
    <row r="2591" spans="1:12" ht="14" customHeight="1" x14ac:dyDescent="0.35"/>
    <row r="2592" spans="1:12" ht="37" customHeight="1" x14ac:dyDescent="0.35">
      <c r="B2592" s="76" t="s">
        <v>742</v>
      </c>
      <c r="C2592" s="458" t="s">
        <v>743</v>
      </c>
      <c r="D2592" s="459"/>
      <c r="E2592" s="459"/>
      <c r="F2592" s="459"/>
      <c r="G2592" s="456"/>
      <c r="H2592" s="457"/>
      <c r="I2592" s="455" t="s">
        <v>3</v>
      </c>
      <c r="J2592" s="455"/>
      <c r="K2592" s="455" t="s">
        <v>4</v>
      </c>
      <c r="L2592" s="455"/>
    </row>
    <row r="2593" spans="1:12" ht="12" customHeight="1" x14ac:dyDescent="0.35">
      <c r="B2593" s="451" t="s">
        <v>409</v>
      </c>
      <c r="C2593" s="451" t="s">
        <v>410</v>
      </c>
      <c r="D2593" s="452" t="s">
        <v>411</v>
      </c>
      <c r="E2593" s="451" t="s">
        <v>412</v>
      </c>
      <c r="F2593" s="451" t="s">
        <v>413</v>
      </c>
      <c r="G2593" s="77" t="s">
        <v>414</v>
      </c>
      <c r="H2593" s="77" t="s">
        <v>415</v>
      </c>
      <c r="I2593" s="78" t="s">
        <v>414</v>
      </c>
      <c r="J2593" s="79" t="s">
        <v>415</v>
      </c>
      <c r="K2593" s="79" t="s">
        <v>414</v>
      </c>
      <c r="L2593" s="79" t="s">
        <v>415</v>
      </c>
    </row>
    <row r="2594" spans="1:12" ht="12" customHeight="1" x14ac:dyDescent="0.35">
      <c r="B2594" s="451"/>
      <c r="C2594" s="451"/>
      <c r="D2594" s="453"/>
      <c r="E2594" s="451"/>
      <c r="F2594" s="451"/>
      <c r="G2594" s="77" t="s">
        <v>17</v>
      </c>
      <c r="H2594" s="77" t="s">
        <v>416</v>
      </c>
      <c r="I2594" s="78" t="s">
        <v>17</v>
      </c>
      <c r="J2594" s="79" t="s">
        <v>416</v>
      </c>
      <c r="K2594" s="79" t="s">
        <v>17</v>
      </c>
      <c r="L2594" s="79" t="s">
        <v>416</v>
      </c>
    </row>
    <row r="2595" spans="1:12" ht="12" customHeight="1" x14ac:dyDescent="0.35">
      <c r="B2595" s="451"/>
      <c r="C2595" s="451"/>
      <c r="D2595" s="454"/>
      <c r="E2595" s="451"/>
      <c r="F2595" s="451"/>
      <c r="G2595" s="106"/>
      <c r="H2595" s="77" t="s">
        <v>17</v>
      </c>
      <c r="I2595" s="94"/>
      <c r="J2595" s="79" t="s">
        <v>17</v>
      </c>
      <c r="K2595" s="85"/>
      <c r="L2595" s="79" t="s">
        <v>17</v>
      </c>
    </row>
    <row r="2596" spans="1:12" ht="12" customHeight="1" x14ac:dyDescent="0.35">
      <c r="B2596" s="80" t="s">
        <v>5</v>
      </c>
      <c r="C2596" s="81" t="s">
        <v>417</v>
      </c>
      <c r="D2596" s="82"/>
      <c r="E2596" s="82"/>
      <c r="F2596" s="82"/>
      <c r="G2596" s="82"/>
      <c r="H2596" s="82"/>
      <c r="I2596" s="83"/>
      <c r="J2596" s="83"/>
      <c r="K2596" s="83"/>
      <c r="L2596" s="83"/>
    </row>
    <row r="2597" spans="1:12" ht="12" customHeight="1" x14ac:dyDescent="0.35">
      <c r="A2597" s="134">
        <v>10130000</v>
      </c>
      <c r="B2597" s="84"/>
      <c r="C2597" s="85" t="str">
        <f>VLOOKUP(A2597,'DAFTAR HARGA'!A:D,3,FALSE)</f>
        <v>OH</v>
      </c>
      <c r="D2597" s="84" t="s">
        <v>418</v>
      </c>
      <c r="E2597" s="84">
        <f>VLOOKUP(A2597,'DAFTAR HARGA'!A:D,4,FALSE)</f>
        <v>115000</v>
      </c>
      <c r="F2597" s="128">
        <v>0.25</v>
      </c>
      <c r="G2597" s="87" t="e">
        <f>VLOOKUP(A2597,'DAFTAR HARGA'!A:D,5,FALSE)</f>
        <v>#REF!</v>
      </c>
      <c r="H2597" s="87" t="e">
        <f>F2597*G2597</f>
        <v>#REF!</v>
      </c>
      <c r="I2597" s="87">
        <v>91500</v>
      </c>
      <c r="J2597" s="87">
        <f>F2597*I2597</f>
        <v>22875</v>
      </c>
      <c r="K2597" s="87">
        <v>91500</v>
      </c>
      <c r="L2597" s="87">
        <f>F2597*K2597</f>
        <v>22875</v>
      </c>
    </row>
    <row r="2598" spans="1:12" ht="12" customHeight="1" x14ac:dyDescent="0.35">
      <c r="A2598" s="134">
        <v>10110000</v>
      </c>
      <c r="B2598" s="84"/>
      <c r="C2598" s="85" t="str">
        <f>VLOOKUP(A2598,'DAFTAR HARGA'!A:D,3,FALSE)</f>
        <v>OH</v>
      </c>
      <c r="D2598" s="84" t="s">
        <v>418</v>
      </c>
      <c r="E2598" s="84">
        <f>VLOOKUP(A2598,'DAFTAR HARGA'!A:D,4,FALSE)</f>
        <v>150000</v>
      </c>
      <c r="F2598" s="128">
        <v>2.5000000000000001E-2</v>
      </c>
      <c r="G2598" s="87" t="e">
        <f>VLOOKUP(A2598,'DAFTAR HARGA'!A:D,5,FALSE)</f>
        <v>#REF!</v>
      </c>
      <c r="H2598" s="87" t="e">
        <f>F2598*G2598</f>
        <v>#REF!</v>
      </c>
      <c r="I2598" s="87"/>
      <c r="J2598" s="87"/>
      <c r="K2598" s="87"/>
      <c r="L2598" s="87"/>
    </row>
    <row r="2599" spans="1:12" ht="12" customHeight="1" x14ac:dyDescent="0.35">
      <c r="A2599" s="134">
        <v>11200003</v>
      </c>
      <c r="B2599" s="84"/>
      <c r="C2599" s="85" t="str">
        <f>VLOOKUP(A2599,'DAFTAR HARGA'!A:D,3,FALSE)</f>
        <v>OH</v>
      </c>
      <c r="D2599" s="84" t="s">
        <v>418</v>
      </c>
      <c r="E2599" s="84">
        <f>VLOOKUP(A2599,'DAFTAR HARGA'!A:D,4,FALSE)</f>
        <v>450000</v>
      </c>
      <c r="F2599" s="128">
        <v>2.5000000000000001E-2</v>
      </c>
      <c r="G2599" s="87" t="e">
        <f>VLOOKUP(A2599,'DAFTAR HARGA'!A:D,5,FALSE)</f>
        <v>#REF!</v>
      </c>
      <c r="H2599" s="87" t="e">
        <f t="shared" ref="H2599" si="7">F2599*G2599</f>
        <v>#REF!</v>
      </c>
      <c r="I2599" s="87"/>
      <c r="J2599" s="87"/>
      <c r="K2599" s="87"/>
      <c r="L2599" s="87"/>
    </row>
    <row r="2600" spans="1:12" ht="12" customHeight="1" x14ac:dyDescent="0.35">
      <c r="B2600" s="84"/>
      <c r="C2600" s="85"/>
      <c r="D2600" s="84"/>
      <c r="E2600" s="84"/>
      <c r="F2600" s="86"/>
      <c r="G2600" s="87"/>
      <c r="H2600" s="87">
        <f>F2600*G2600</f>
        <v>0</v>
      </c>
      <c r="I2600" s="87">
        <v>92500</v>
      </c>
      <c r="J2600" s="87">
        <f>F2600*I2600</f>
        <v>0</v>
      </c>
      <c r="K2600" s="87">
        <v>92500</v>
      </c>
      <c r="L2600" s="87">
        <f>F2600*K2600</f>
        <v>0</v>
      </c>
    </row>
    <row r="2601" spans="1:12" ht="12" customHeight="1" x14ac:dyDescent="0.35">
      <c r="B2601" s="84"/>
      <c r="C2601" s="85"/>
      <c r="D2601" s="84"/>
      <c r="E2601" s="84"/>
      <c r="F2601" s="86"/>
      <c r="G2601" s="87"/>
      <c r="H2601" s="87"/>
      <c r="I2601" s="87"/>
      <c r="J2601" s="87"/>
      <c r="K2601" s="87"/>
      <c r="L2601" s="87"/>
    </row>
    <row r="2602" spans="1:12" ht="12" customHeight="1" x14ac:dyDescent="0.35">
      <c r="B2602" s="84"/>
      <c r="C2602" s="88"/>
      <c r="D2602" s="79"/>
      <c r="E2602" s="79"/>
      <c r="F2602" s="89" t="s">
        <v>421</v>
      </c>
      <c r="G2602" s="101"/>
      <c r="H2602" s="87" t="e">
        <f>SUM(H2597:H2601)</f>
        <v>#REF!</v>
      </c>
      <c r="I2602" s="101"/>
      <c r="J2602" s="87">
        <f>SUM(J2600:J2601)</f>
        <v>0</v>
      </c>
      <c r="K2602" s="101"/>
      <c r="L2602" s="87">
        <f>SUM(L2600:L2601)</f>
        <v>0</v>
      </c>
    </row>
    <row r="2603" spans="1:12" ht="12" customHeight="1" x14ac:dyDescent="0.35">
      <c r="B2603" s="84" t="s">
        <v>6</v>
      </c>
      <c r="C2603" s="88" t="s">
        <v>422</v>
      </c>
      <c r="D2603" s="79"/>
      <c r="E2603" s="79"/>
      <c r="F2603" s="90"/>
      <c r="G2603" s="84"/>
      <c r="H2603" s="87"/>
      <c r="I2603" s="84"/>
      <c r="J2603" s="87"/>
      <c r="K2603" s="84"/>
      <c r="L2603" s="87"/>
    </row>
    <row r="2604" spans="1:12" ht="26" customHeight="1" x14ac:dyDescent="0.35">
      <c r="A2604" s="134">
        <v>21912008</v>
      </c>
      <c r="B2604" s="84"/>
      <c r="C2604" s="85" t="str">
        <f>VLOOKUP(A2604,'DAFTAR HARGA'!A:D,3,FALSE)</f>
        <v>pcs</v>
      </c>
      <c r="D2604" s="84" t="s">
        <v>418</v>
      </c>
      <c r="E2604" s="84">
        <f>VLOOKUP(A2604,'DAFTAR HARGA'!A:D,4,FALSE)</f>
        <v>850</v>
      </c>
      <c r="F2604" s="128">
        <v>4</v>
      </c>
      <c r="G2604" s="87" t="e">
        <f>VLOOKUP(A2604,'DAFTAR HARGA'!A:D,5,FALSE)</f>
        <v>#REF!</v>
      </c>
      <c r="H2604" s="87" t="e">
        <f>F2604*G2604</f>
        <v>#REF!</v>
      </c>
      <c r="I2604" s="87">
        <v>232500</v>
      </c>
      <c r="J2604" s="87">
        <f>F2604*I2604</f>
        <v>930000</v>
      </c>
      <c r="K2604" s="87">
        <v>270000</v>
      </c>
      <c r="L2604" s="87">
        <f>F2604*K2604</f>
        <v>1080000</v>
      </c>
    </row>
    <row r="2605" spans="1:12" ht="12" customHeight="1" x14ac:dyDescent="0.35">
      <c r="A2605" s="134">
        <v>21904003</v>
      </c>
      <c r="B2605" s="84"/>
      <c r="C2605" s="85" t="str">
        <f>VLOOKUP(A2605,'DAFTAR HARGA'!A:D,3,FALSE)</f>
        <v>kg</v>
      </c>
      <c r="D2605" s="84" t="s">
        <v>418</v>
      </c>
      <c r="E2605" s="84">
        <f>VLOOKUP(A2605,'DAFTAR HARGA'!A:D,4,FALSE)</f>
        <v>13500</v>
      </c>
      <c r="F2605" s="128">
        <v>5.5</v>
      </c>
      <c r="G2605" s="87" t="e">
        <f>VLOOKUP(A2605,'DAFTAR HARGA'!A:D,5,FALSE)/4</f>
        <v>#REF!</v>
      </c>
      <c r="H2605" s="87" t="e">
        <f>F2605*G2605</f>
        <v>#REF!</v>
      </c>
      <c r="I2605" s="87">
        <v>1060</v>
      </c>
      <c r="J2605" s="87">
        <f>F2605*I2605</f>
        <v>5830</v>
      </c>
      <c r="K2605" s="87">
        <v>1060</v>
      </c>
      <c r="L2605" s="87">
        <f>F2605*K2605</f>
        <v>5830</v>
      </c>
    </row>
    <row r="2606" spans="1:12" ht="12" customHeight="1" x14ac:dyDescent="0.35">
      <c r="A2606" s="134">
        <v>91110001</v>
      </c>
      <c r="B2606" s="84"/>
      <c r="C2606" s="85" t="e">
        <f>VLOOKUP(A2606,'DAFTAR HARGA'!A:D,3,FALSE)</f>
        <v>#N/A</v>
      </c>
      <c r="D2606" s="84" t="s">
        <v>418</v>
      </c>
      <c r="E2606" s="84" t="e">
        <f>VLOOKUP(A2606,'DAFTAR HARGA'!A:D,4,FALSE)</f>
        <v>#N/A</v>
      </c>
      <c r="F2606" s="128">
        <v>0.09</v>
      </c>
      <c r="G2606" s="87" t="e">
        <f>VLOOKUP(A2606,'DAFTAR HARGA'!A:D,5,FALSE)</f>
        <v>#N/A</v>
      </c>
      <c r="H2606" s="87" t="e">
        <f>F2606*G2606</f>
        <v>#N/A</v>
      </c>
      <c r="I2606" s="87">
        <v>215000</v>
      </c>
      <c r="J2606" s="87">
        <f>F2606*I2606</f>
        <v>19350</v>
      </c>
      <c r="K2606" s="87">
        <v>250000</v>
      </c>
      <c r="L2606" s="87">
        <f>F2606*K2606</f>
        <v>22500</v>
      </c>
    </row>
    <row r="2607" spans="1:12" ht="12" customHeight="1" x14ac:dyDescent="0.35">
      <c r="A2607" s="134">
        <v>21904004</v>
      </c>
      <c r="B2607" s="84"/>
      <c r="C2607" s="85" t="str">
        <f>VLOOKUP(A2607,'DAFTAR HARGA'!A:D,3,FALSE)</f>
        <v>kg</v>
      </c>
      <c r="D2607" s="84" t="s">
        <v>418</v>
      </c>
      <c r="E2607" s="84">
        <f>VLOOKUP(A2607,'DAFTAR HARGA'!A:D,4,FALSE)</f>
        <v>19150</v>
      </c>
      <c r="F2607" s="128">
        <v>0.09</v>
      </c>
      <c r="G2607" s="87" t="e">
        <f>VLOOKUP(A2607,'DAFTAR HARGA'!A:D,5,FALSE)</f>
        <v>#REF!</v>
      </c>
      <c r="H2607" s="87" t="e">
        <f>F2607*G2607</f>
        <v>#REF!</v>
      </c>
      <c r="I2607" s="87"/>
      <c r="J2607" s="87"/>
      <c r="K2607" s="87"/>
      <c r="L2607" s="87"/>
    </row>
    <row r="2608" spans="1:12" ht="12" customHeight="1" x14ac:dyDescent="0.35">
      <c r="A2608" s="134">
        <v>21920001</v>
      </c>
      <c r="B2608" s="84"/>
      <c r="C2608" s="85" t="str">
        <f>VLOOKUP(A2608,'DAFTAR HARGA'!A:D,3,FALSE)</f>
        <v>unit</v>
      </c>
      <c r="D2608" s="84" t="s">
        <v>418</v>
      </c>
      <c r="E2608" s="84">
        <f>VLOOKUP(A2608,'DAFTAR HARGA'!A:D,4,FALSE)</f>
        <v>250000</v>
      </c>
      <c r="F2608" s="128">
        <v>1</v>
      </c>
      <c r="G2608" s="87" t="e">
        <f>VLOOKUP(A2608,'DAFTAR HARGA'!A:D,5,FALSE)</f>
        <v>#REF!</v>
      </c>
      <c r="H2608" s="87" t="e">
        <f>F2608*G2608</f>
        <v>#REF!</v>
      </c>
      <c r="I2608" s="87"/>
      <c r="J2608" s="87"/>
      <c r="K2608" s="87"/>
      <c r="L2608" s="87"/>
    </row>
    <row r="2609" spans="2:12" ht="12" customHeight="1" x14ac:dyDescent="0.35">
      <c r="B2609" s="84"/>
      <c r="C2609" s="85"/>
      <c r="D2609" s="84"/>
      <c r="E2609" s="84"/>
      <c r="F2609" s="128"/>
      <c r="G2609" s="87"/>
      <c r="H2609" s="87"/>
      <c r="I2609" s="87"/>
      <c r="J2609" s="87"/>
      <c r="K2609" s="87"/>
      <c r="L2609" s="87"/>
    </row>
    <row r="2610" spans="2:12" ht="12" customHeight="1" x14ac:dyDescent="0.35">
      <c r="B2610" s="84"/>
      <c r="C2610" s="88"/>
      <c r="D2610" s="79"/>
      <c r="E2610" s="79"/>
      <c r="F2610" s="129" t="s">
        <v>423</v>
      </c>
      <c r="G2610" s="129"/>
      <c r="H2610" s="87" t="e">
        <f>SUM(H2604:H2609)</f>
        <v>#REF!</v>
      </c>
      <c r="I2610" s="101"/>
      <c r="J2610" s="87" t="e">
        <f>SUM(#REF!)</f>
        <v>#REF!</v>
      </c>
      <c r="K2610" s="101"/>
      <c r="L2610" s="87" t="e">
        <f>SUM(#REF!)</f>
        <v>#REF!</v>
      </c>
    </row>
    <row r="2611" spans="2:12" ht="12" customHeight="1" x14ac:dyDescent="0.35">
      <c r="B2611" s="84" t="s">
        <v>7</v>
      </c>
      <c r="C2611" s="88" t="s">
        <v>424</v>
      </c>
      <c r="D2611" s="79"/>
      <c r="E2611" s="79"/>
      <c r="F2611" s="90"/>
      <c r="G2611" s="84"/>
      <c r="H2611" s="87"/>
      <c r="I2611" s="84"/>
      <c r="J2611" s="87"/>
      <c r="K2611" s="84"/>
      <c r="L2611" s="87"/>
    </row>
    <row r="2612" spans="2:12" ht="12" customHeight="1" x14ac:dyDescent="0.35">
      <c r="B2612" s="84"/>
      <c r="C2612" s="85"/>
      <c r="D2612" s="84"/>
      <c r="E2612" s="84"/>
      <c r="F2612" s="128"/>
      <c r="G2612" s="87"/>
      <c r="H2612" s="87">
        <f>F2612*G2612</f>
        <v>0</v>
      </c>
      <c r="I2612" s="87"/>
      <c r="J2612" s="87">
        <f>H2612*I2612</f>
        <v>0</v>
      </c>
      <c r="K2612" s="87"/>
      <c r="L2612" s="87">
        <f>J2612*K2612</f>
        <v>0</v>
      </c>
    </row>
    <row r="2613" spans="2:12" ht="12" customHeight="1" x14ac:dyDescent="0.35">
      <c r="B2613" s="84"/>
      <c r="C2613" s="85"/>
      <c r="D2613" s="84"/>
      <c r="E2613" s="84"/>
      <c r="F2613" s="128"/>
      <c r="G2613" s="87"/>
      <c r="H2613" s="87">
        <f>F2613*G2613</f>
        <v>0</v>
      </c>
      <c r="I2613" s="87"/>
      <c r="J2613" s="87"/>
      <c r="K2613" s="87"/>
      <c r="L2613" s="87"/>
    </row>
    <row r="2614" spans="2:12" ht="12" customHeight="1" x14ac:dyDescent="0.35">
      <c r="B2614" s="84"/>
      <c r="C2614" s="85"/>
      <c r="D2614" s="84"/>
      <c r="E2614" s="84"/>
      <c r="F2614" s="128"/>
      <c r="G2614" s="87"/>
      <c r="H2614" s="87">
        <f>F2614*G2614</f>
        <v>0</v>
      </c>
      <c r="I2614" s="87"/>
      <c r="J2614" s="87"/>
      <c r="K2614" s="87"/>
      <c r="L2614" s="87"/>
    </row>
    <row r="2615" spans="2:12" ht="12" customHeight="1" x14ac:dyDescent="0.35">
      <c r="B2615" s="84"/>
      <c r="C2615" s="88"/>
      <c r="D2615" s="79"/>
      <c r="E2615" s="79"/>
      <c r="F2615" s="89" t="s">
        <v>425</v>
      </c>
      <c r="G2615" s="101"/>
      <c r="H2615" s="87">
        <f>SUM(H2612:H2614)</f>
        <v>0</v>
      </c>
      <c r="I2615" s="101"/>
      <c r="J2615" s="87">
        <f>SUM(J2612)</f>
        <v>0</v>
      </c>
      <c r="K2615" s="101"/>
      <c r="L2615" s="87">
        <f>SUM(L2612)</f>
        <v>0</v>
      </c>
    </row>
    <row r="2616" spans="2:12" ht="12" customHeight="1" x14ac:dyDescent="0.35">
      <c r="B2616" s="84" t="s">
        <v>8</v>
      </c>
      <c r="C2616" s="103" t="s">
        <v>426</v>
      </c>
      <c r="D2616" s="104"/>
      <c r="E2616" s="104"/>
      <c r="F2616" s="104"/>
      <c r="G2616" s="105"/>
      <c r="H2616" s="87" t="e">
        <f>H2602+H2610+H2615</f>
        <v>#REF!</v>
      </c>
      <c r="I2616" s="105"/>
      <c r="J2616" s="87" t="e">
        <f>J2602+J2610+J2615</f>
        <v>#REF!</v>
      </c>
      <c r="K2616" s="105"/>
      <c r="L2616" s="87" t="e">
        <f>L2602+L2610+L2615</f>
        <v>#REF!</v>
      </c>
    </row>
    <row r="2617" spans="2:12" ht="12" customHeight="1" x14ac:dyDescent="0.35">
      <c r="B2617" s="84" t="s">
        <v>9</v>
      </c>
      <c r="C2617" s="455" t="s">
        <v>427</v>
      </c>
      <c r="D2617" s="455"/>
      <c r="E2617" s="455"/>
      <c r="F2617" s="95" t="str">
        <f>OP</f>
        <v>TANJUNG PALAS TENGAH</v>
      </c>
      <c r="G2617" s="85" t="s">
        <v>428</v>
      </c>
      <c r="H2617" s="87" t="e">
        <f>H2616*F2617</f>
        <v>#REF!</v>
      </c>
      <c r="I2617" s="85" t="s">
        <v>428</v>
      </c>
      <c r="J2617" s="87" t="e">
        <f>J2616*F2617</f>
        <v>#REF!</v>
      </c>
      <c r="K2617" s="85" t="s">
        <v>428</v>
      </c>
      <c r="L2617" s="87" t="e">
        <f>L2616*F2617</f>
        <v>#REF!</v>
      </c>
    </row>
    <row r="2618" spans="2:12" ht="12" customHeight="1" x14ac:dyDescent="0.35">
      <c r="B2618" s="84" t="s">
        <v>10</v>
      </c>
      <c r="C2618" s="103" t="s">
        <v>429</v>
      </c>
      <c r="D2618" s="104"/>
      <c r="E2618" s="104"/>
      <c r="F2618" s="104"/>
      <c r="G2618" s="105"/>
      <c r="H2618" s="96" t="e">
        <f>H2616+H2617</f>
        <v>#REF!</v>
      </c>
      <c r="I2618" s="97"/>
      <c r="J2618" s="96" t="e">
        <f>J2616+J2617</f>
        <v>#REF!</v>
      </c>
      <c r="K2618" s="97"/>
      <c r="L2618" s="96" t="e">
        <f>L2616+L2617</f>
        <v>#REF!</v>
      </c>
    </row>
    <row r="2619" spans="2:12" ht="14" customHeight="1" x14ac:dyDescent="0.35"/>
    <row r="2620" spans="2:12" ht="37" customHeight="1" x14ac:dyDescent="0.35">
      <c r="B2620" s="76" t="s">
        <v>761</v>
      </c>
      <c r="C2620" s="458" t="s">
        <v>762</v>
      </c>
      <c r="D2620" s="459"/>
      <c r="E2620" s="459"/>
      <c r="F2620" s="459"/>
      <c r="G2620" s="456"/>
      <c r="H2620" s="457"/>
      <c r="I2620" s="455" t="s">
        <v>3</v>
      </c>
      <c r="J2620" s="455"/>
      <c r="K2620" s="455" t="s">
        <v>4</v>
      </c>
      <c r="L2620" s="455"/>
    </row>
    <row r="2621" spans="2:12" ht="12" customHeight="1" x14ac:dyDescent="0.35">
      <c r="B2621" s="451" t="s">
        <v>409</v>
      </c>
      <c r="C2621" s="451" t="s">
        <v>410</v>
      </c>
      <c r="D2621" s="452" t="s">
        <v>411</v>
      </c>
      <c r="E2621" s="451" t="s">
        <v>412</v>
      </c>
      <c r="F2621" s="451" t="s">
        <v>413</v>
      </c>
      <c r="G2621" s="77" t="s">
        <v>414</v>
      </c>
      <c r="H2621" s="77" t="s">
        <v>415</v>
      </c>
      <c r="I2621" s="78" t="s">
        <v>414</v>
      </c>
      <c r="J2621" s="79" t="s">
        <v>415</v>
      </c>
      <c r="K2621" s="79" t="s">
        <v>414</v>
      </c>
      <c r="L2621" s="79" t="s">
        <v>415</v>
      </c>
    </row>
    <row r="2622" spans="2:12" ht="12" customHeight="1" x14ac:dyDescent="0.35">
      <c r="B2622" s="451"/>
      <c r="C2622" s="451"/>
      <c r="D2622" s="453"/>
      <c r="E2622" s="451"/>
      <c r="F2622" s="451"/>
      <c r="G2622" s="77" t="s">
        <v>17</v>
      </c>
      <c r="H2622" s="77" t="s">
        <v>416</v>
      </c>
      <c r="I2622" s="78" t="s">
        <v>17</v>
      </c>
      <c r="J2622" s="79" t="s">
        <v>416</v>
      </c>
      <c r="K2622" s="79" t="s">
        <v>17</v>
      </c>
      <c r="L2622" s="79" t="s">
        <v>416</v>
      </c>
    </row>
    <row r="2623" spans="2:12" ht="12" customHeight="1" x14ac:dyDescent="0.35">
      <c r="B2623" s="451"/>
      <c r="C2623" s="451"/>
      <c r="D2623" s="454"/>
      <c r="E2623" s="451"/>
      <c r="F2623" s="451"/>
      <c r="G2623" s="106"/>
      <c r="H2623" s="77" t="s">
        <v>17</v>
      </c>
      <c r="I2623" s="94"/>
      <c r="J2623" s="79" t="s">
        <v>17</v>
      </c>
      <c r="K2623" s="85"/>
      <c r="L2623" s="79" t="s">
        <v>17</v>
      </c>
    </row>
    <row r="2624" spans="2:12" ht="12" customHeight="1" x14ac:dyDescent="0.35">
      <c r="B2624" s="80" t="s">
        <v>5</v>
      </c>
      <c r="C2624" s="81" t="s">
        <v>417</v>
      </c>
      <c r="D2624" s="82"/>
      <c r="E2624" s="82"/>
      <c r="F2624" s="82"/>
      <c r="G2624" s="82"/>
      <c r="H2624" s="82"/>
      <c r="I2624" s="83"/>
      <c r="J2624" s="83"/>
      <c r="K2624" s="83"/>
      <c r="L2624" s="83"/>
    </row>
    <row r="2625" spans="1:12" ht="12" customHeight="1" x14ac:dyDescent="0.35">
      <c r="A2625" s="134">
        <v>10130000</v>
      </c>
      <c r="B2625" s="84"/>
      <c r="C2625" s="85" t="str">
        <f>VLOOKUP(A2625,'DAFTAR HARGA'!A:D,3,FALSE)</f>
        <v>OH</v>
      </c>
      <c r="D2625" s="84" t="s">
        <v>418</v>
      </c>
      <c r="E2625" s="84">
        <f>VLOOKUP(A2625,'DAFTAR HARGA'!A:D,4,FALSE)</f>
        <v>115000</v>
      </c>
      <c r="F2625" s="128">
        <v>0.1</v>
      </c>
      <c r="G2625" s="87" t="e">
        <f>VLOOKUP(A2625,'DAFTAR HARGA'!A:D,5,FALSE)</f>
        <v>#REF!</v>
      </c>
      <c r="H2625" s="87" t="e">
        <f>F2625*G2625</f>
        <v>#REF!</v>
      </c>
      <c r="I2625" s="87">
        <v>91500</v>
      </c>
      <c r="J2625" s="87">
        <f>F2625*I2625</f>
        <v>9150</v>
      </c>
      <c r="K2625" s="87">
        <v>91500</v>
      </c>
      <c r="L2625" s="87">
        <f>F2625*K2625</f>
        <v>9150</v>
      </c>
    </row>
    <row r="2626" spans="1:12" ht="12" customHeight="1" x14ac:dyDescent="0.35">
      <c r="A2626" s="134">
        <v>10130000</v>
      </c>
      <c r="B2626" s="84"/>
      <c r="C2626" s="85" t="str">
        <f>VLOOKUP(A2626,'DAFTAR HARGA'!A:D,3,FALSE)</f>
        <v>OH</v>
      </c>
      <c r="D2626" s="84" t="s">
        <v>418</v>
      </c>
      <c r="E2626" s="84">
        <f>VLOOKUP(A2626,'DAFTAR HARGA'!A:D,4,FALSE)</f>
        <v>115000</v>
      </c>
      <c r="F2626" s="128">
        <v>0.01</v>
      </c>
      <c r="G2626" s="87" t="e">
        <f>VLOOKUP(A2626,'DAFTAR HARGA'!A:D,5,FALSE)</f>
        <v>#REF!</v>
      </c>
      <c r="H2626" s="87" t="e">
        <f>F2626*G2626</f>
        <v>#REF!</v>
      </c>
      <c r="I2626" s="87"/>
      <c r="J2626" s="87"/>
      <c r="K2626" s="87"/>
      <c r="L2626" s="87"/>
    </row>
    <row r="2627" spans="1:12" ht="12" customHeight="1" x14ac:dyDescent="0.35">
      <c r="A2627" s="134">
        <v>10110000</v>
      </c>
      <c r="B2627" s="84"/>
      <c r="C2627" s="85" t="str">
        <f>VLOOKUP(A2627,'DAFTAR HARGA'!A:D,3,FALSE)</f>
        <v>OH</v>
      </c>
      <c r="D2627" s="84" t="s">
        <v>418</v>
      </c>
      <c r="E2627" s="84">
        <f>VLOOKUP(A2627,'DAFTAR HARGA'!A:D,4,FALSE)</f>
        <v>150000</v>
      </c>
      <c r="F2627" s="128">
        <v>1E-3</v>
      </c>
      <c r="G2627" s="87" t="e">
        <f>VLOOKUP(A2627,'DAFTAR HARGA'!A:D,5,FALSE)</f>
        <v>#REF!</v>
      </c>
      <c r="H2627" s="87" t="e">
        <f>F2627*G2627</f>
        <v>#REF!</v>
      </c>
      <c r="I2627" s="87"/>
      <c r="J2627" s="87"/>
      <c r="K2627" s="87"/>
      <c r="L2627" s="87"/>
    </row>
    <row r="2628" spans="1:12" ht="12" customHeight="1" x14ac:dyDescent="0.35">
      <c r="B2628" s="84"/>
      <c r="C2628" s="85"/>
      <c r="D2628" s="84"/>
      <c r="E2628" s="84"/>
      <c r="F2628" s="86"/>
      <c r="G2628" s="87"/>
      <c r="H2628" s="87">
        <f>F2628*G2628</f>
        <v>0</v>
      </c>
      <c r="I2628" s="87">
        <v>92500</v>
      </c>
      <c r="J2628" s="87">
        <f>F2628*I2628</f>
        <v>0</v>
      </c>
      <c r="K2628" s="87">
        <v>92500</v>
      </c>
      <c r="L2628" s="87">
        <f>F2628*K2628</f>
        <v>0</v>
      </c>
    </row>
    <row r="2629" spans="1:12" ht="12" customHeight="1" x14ac:dyDescent="0.35">
      <c r="B2629" s="84"/>
      <c r="C2629" s="85"/>
      <c r="D2629" s="84"/>
      <c r="E2629" s="84"/>
      <c r="F2629" s="86"/>
      <c r="G2629" s="87"/>
      <c r="H2629" s="87"/>
      <c r="I2629" s="87"/>
      <c r="J2629" s="87"/>
      <c r="K2629" s="87"/>
      <c r="L2629" s="87"/>
    </row>
    <row r="2630" spans="1:12" ht="12" customHeight="1" x14ac:dyDescent="0.35">
      <c r="B2630" s="84"/>
      <c r="C2630" s="88"/>
      <c r="D2630" s="79"/>
      <c r="E2630" s="79"/>
      <c r="F2630" s="89" t="s">
        <v>421</v>
      </c>
      <c r="G2630" s="101"/>
      <c r="H2630" s="87" t="e">
        <f>SUM(H2625:H2629)</f>
        <v>#REF!</v>
      </c>
      <c r="I2630" s="101"/>
      <c r="J2630" s="87">
        <f>SUM(J2628:J2629)</f>
        <v>0</v>
      </c>
      <c r="K2630" s="101"/>
      <c r="L2630" s="87">
        <f>SUM(L2628:L2629)</f>
        <v>0</v>
      </c>
    </row>
    <row r="2631" spans="1:12" ht="12" customHeight="1" x14ac:dyDescent="0.35">
      <c r="B2631" s="84" t="s">
        <v>6</v>
      </c>
      <c r="C2631" s="88" t="s">
        <v>422</v>
      </c>
      <c r="D2631" s="79"/>
      <c r="E2631" s="79"/>
      <c r="F2631" s="90"/>
      <c r="G2631" s="84"/>
      <c r="H2631" s="87"/>
      <c r="I2631" s="84"/>
      <c r="J2631" s="87"/>
      <c r="K2631" s="84"/>
      <c r="L2631" s="87"/>
    </row>
    <row r="2632" spans="1:12" ht="26" customHeight="1" x14ac:dyDescent="0.35">
      <c r="A2632" s="134">
        <v>21981013</v>
      </c>
      <c r="B2632" s="84"/>
      <c r="C2632" s="85" t="str">
        <f>VLOOKUP(A2632,'DAFTAR HARGA'!A:D,3,FALSE)</f>
        <v>m'</v>
      </c>
      <c r="D2632" s="84" t="s">
        <v>418</v>
      </c>
      <c r="E2632" s="84">
        <f>VLOOKUP(A2632,'DAFTAR HARGA'!A:D,4,FALSE)</f>
        <v>26900</v>
      </c>
      <c r="F2632" s="128">
        <v>1.05</v>
      </c>
      <c r="G2632" s="87" t="e">
        <f>VLOOKUP(A2632,'DAFTAR HARGA'!A:D,5,FALSE)</f>
        <v>#REF!</v>
      </c>
      <c r="H2632" s="87" t="e">
        <f>F2632*G2632</f>
        <v>#REF!</v>
      </c>
      <c r="I2632" s="87">
        <v>232500</v>
      </c>
      <c r="J2632" s="87">
        <f>F2632*I2632</f>
        <v>244125</v>
      </c>
      <c r="K2632" s="87">
        <v>270000</v>
      </c>
      <c r="L2632" s="87">
        <f>F2632*K2632</f>
        <v>283500</v>
      </c>
    </row>
    <row r="2633" spans="1:12" ht="12" customHeight="1" x14ac:dyDescent="0.35">
      <c r="A2633" s="134">
        <v>24100000</v>
      </c>
      <c r="B2633" s="84"/>
      <c r="C2633" s="85" t="str">
        <f>VLOOKUP(A2633,'DAFTAR HARGA'!A:D,3,FALSE)</f>
        <v>kg</v>
      </c>
      <c r="D2633" s="84" t="s">
        <v>418</v>
      </c>
      <c r="E2633" s="84">
        <f>VLOOKUP(A2633,'DAFTAR HARGA'!A:D,4,FALSE)</f>
        <v>6500</v>
      </c>
      <c r="F2633" s="128">
        <v>0.6774</v>
      </c>
      <c r="G2633" s="87" t="e">
        <f>VLOOKUP(A2633,'DAFTAR HARGA'!A:D,5,FALSE)</f>
        <v>#REF!</v>
      </c>
      <c r="H2633" s="87" t="e">
        <f>F2633*G2633</f>
        <v>#REF!</v>
      </c>
      <c r="I2633" s="87">
        <v>1060</v>
      </c>
      <c r="J2633" s="87">
        <f>F2633*I2633</f>
        <v>718.04399999999998</v>
      </c>
      <c r="K2633" s="87">
        <v>1060</v>
      </c>
      <c r="L2633" s="87">
        <f>F2633*K2633</f>
        <v>718.04399999999998</v>
      </c>
    </row>
    <row r="2634" spans="1:12" ht="12" customHeight="1" x14ac:dyDescent="0.35">
      <c r="A2634" s="134">
        <v>211100108</v>
      </c>
      <c r="B2634" s="84"/>
      <c r="C2634" s="85" t="str">
        <f>VLOOKUP(A2634,'DAFTAR HARGA'!A:D,3,FALSE)</f>
        <v>m³</v>
      </c>
      <c r="D2634" s="84" t="s">
        <v>418</v>
      </c>
      <c r="E2634" s="84">
        <f>VLOOKUP(A2634,'DAFTAR HARGA'!A:D,4,FALSE)</f>
        <v>275000</v>
      </c>
      <c r="F2634" s="128">
        <v>2.3599999999999999E-2</v>
      </c>
      <c r="G2634" s="87" t="e">
        <f>VLOOKUP(A2634,'DAFTAR HARGA'!A:D,5,FALSE)</f>
        <v>#REF!</v>
      </c>
      <c r="H2634" s="87" t="e">
        <f>F2634*G2634</f>
        <v>#REF!</v>
      </c>
      <c r="I2634" s="87">
        <v>215000</v>
      </c>
      <c r="J2634" s="87">
        <f>F2634*I2634</f>
        <v>5074</v>
      </c>
      <c r="K2634" s="87">
        <v>250000</v>
      </c>
      <c r="L2634" s="87">
        <f>F2634*K2634</f>
        <v>5900</v>
      </c>
    </row>
    <row r="2635" spans="1:12" ht="12" customHeight="1" x14ac:dyDescent="0.35">
      <c r="B2635" s="84"/>
      <c r="C2635" s="85"/>
      <c r="D2635" s="84"/>
      <c r="E2635" s="84"/>
      <c r="F2635" s="128"/>
      <c r="G2635" s="87"/>
      <c r="H2635" s="87"/>
      <c r="I2635" s="87"/>
      <c r="J2635" s="87"/>
      <c r="K2635" s="87"/>
      <c r="L2635" s="87"/>
    </row>
    <row r="2636" spans="1:12" ht="12" customHeight="1" x14ac:dyDescent="0.35">
      <c r="B2636" s="84"/>
      <c r="C2636" s="88"/>
      <c r="D2636" s="79"/>
      <c r="E2636" s="79"/>
      <c r="F2636" s="129" t="s">
        <v>423</v>
      </c>
      <c r="G2636" s="129"/>
      <c r="H2636" s="87" t="e">
        <f>SUM(H2632:H2635)</f>
        <v>#REF!</v>
      </c>
      <c r="I2636" s="101"/>
      <c r="J2636" s="87" t="e">
        <f>SUM(#REF!)</f>
        <v>#REF!</v>
      </c>
      <c r="K2636" s="101"/>
      <c r="L2636" s="87" t="e">
        <f>SUM(#REF!)</f>
        <v>#REF!</v>
      </c>
    </row>
    <row r="2637" spans="1:12" ht="12" customHeight="1" x14ac:dyDescent="0.35">
      <c r="B2637" s="84" t="s">
        <v>7</v>
      </c>
      <c r="C2637" s="88" t="s">
        <v>424</v>
      </c>
      <c r="D2637" s="79"/>
      <c r="E2637" s="79"/>
      <c r="F2637" s="90"/>
      <c r="G2637" s="84"/>
      <c r="H2637" s="87"/>
      <c r="I2637" s="84"/>
      <c r="J2637" s="87"/>
      <c r="K2637" s="84"/>
      <c r="L2637" s="87"/>
    </row>
    <row r="2638" spans="1:12" ht="12" customHeight="1" x14ac:dyDescent="0.35">
      <c r="B2638" s="84"/>
      <c r="C2638" s="85"/>
      <c r="D2638" s="84"/>
      <c r="E2638" s="84"/>
      <c r="F2638" s="128"/>
      <c r="G2638" s="87"/>
      <c r="H2638" s="87">
        <f>F2638*G2638</f>
        <v>0</v>
      </c>
      <c r="I2638" s="87"/>
      <c r="J2638" s="87">
        <f>H2638*I2638</f>
        <v>0</v>
      </c>
      <c r="K2638" s="87"/>
      <c r="L2638" s="87">
        <f>J2638*K2638</f>
        <v>0</v>
      </c>
    </row>
    <row r="2639" spans="1:12" ht="12" customHeight="1" x14ac:dyDescent="0.35">
      <c r="B2639" s="84"/>
      <c r="C2639" s="85"/>
      <c r="D2639" s="84"/>
      <c r="E2639" s="84"/>
      <c r="F2639" s="128"/>
      <c r="G2639" s="87"/>
      <c r="H2639" s="87">
        <f>F2639*G2639</f>
        <v>0</v>
      </c>
      <c r="I2639" s="87"/>
      <c r="J2639" s="87"/>
      <c r="K2639" s="87"/>
      <c r="L2639" s="87"/>
    </row>
    <row r="2640" spans="1:12" ht="12" customHeight="1" x14ac:dyDescent="0.35">
      <c r="B2640" s="84"/>
      <c r="C2640" s="85"/>
      <c r="D2640" s="84"/>
      <c r="E2640" s="84"/>
      <c r="F2640" s="128"/>
      <c r="G2640" s="87"/>
      <c r="H2640" s="87">
        <f>F2640*G2640</f>
        <v>0</v>
      </c>
      <c r="I2640" s="87"/>
      <c r="J2640" s="87"/>
      <c r="K2640" s="87"/>
      <c r="L2640" s="87"/>
    </row>
    <row r="2641" spans="1:12" ht="12" customHeight="1" x14ac:dyDescent="0.35">
      <c r="B2641" s="84"/>
      <c r="C2641" s="88"/>
      <c r="D2641" s="79"/>
      <c r="E2641" s="79"/>
      <c r="F2641" s="89" t="s">
        <v>425</v>
      </c>
      <c r="G2641" s="101"/>
      <c r="H2641" s="87">
        <f>SUM(H2638:H2640)</f>
        <v>0</v>
      </c>
      <c r="I2641" s="101"/>
      <c r="J2641" s="87">
        <f>SUM(J2638)</f>
        <v>0</v>
      </c>
      <c r="K2641" s="101"/>
      <c r="L2641" s="87">
        <f>SUM(L2638)</f>
        <v>0</v>
      </c>
    </row>
    <row r="2642" spans="1:12" ht="12" customHeight="1" x14ac:dyDescent="0.35">
      <c r="B2642" s="84" t="s">
        <v>8</v>
      </c>
      <c r="C2642" s="103" t="s">
        <v>426</v>
      </c>
      <c r="D2642" s="104"/>
      <c r="E2642" s="104"/>
      <c r="F2642" s="104"/>
      <c r="G2642" s="105"/>
      <c r="H2642" s="87" t="e">
        <f>H2630+H2636+H2641</f>
        <v>#REF!</v>
      </c>
      <c r="I2642" s="105"/>
      <c r="J2642" s="87" t="e">
        <f>J2630+J2636+J2641</f>
        <v>#REF!</v>
      </c>
      <c r="K2642" s="105"/>
      <c r="L2642" s="87" t="e">
        <f>L2630+L2636+L2641</f>
        <v>#REF!</v>
      </c>
    </row>
    <row r="2643" spans="1:12" ht="12" customHeight="1" x14ac:dyDescent="0.35">
      <c r="B2643" s="84" t="s">
        <v>9</v>
      </c>
      <c r="C2643" s="455" t="s">
        <v>427</v>
      </c>
      <c r="D2643" s="455"/>
      <c r="E2643" s="455"/>
      <c r="F2643" s="95" t="str">
        <f>OP</f>
        <v>TANJUNG PALAS TENGAH</v>
      </c>
      <c r="G2643" s="85" t="s">
        <v>428</v>
      </c>
      <c r="H2643" s="87" t="e">
        <f>H2642*F2643</f>
        <v>#REF!</v>
      </c>
      <c r="I2643" s="85" t="s">
        <v>428</v>
      </c>
      <c r="J2643" s="87" t="e">
        <f>J2642*F2643</f>
        <v>#REF!</v>
      </c>
      <c r="K2643" s="85" t="s">
        <v>428</v>
      </c>
      <c r="L2643" s="87" t="e">
        <f>L2642*F2643</f>
        <v>#REF!</v>
      </c>
    </row>
    <row r="2644" spans="1:12" ht="12" customHeight="1" x14ac:dyDescent="0.35">
      <c r="B2644" s="84" t="s">
        <v>10</v>
      </c>
      <c r="C2644" s="103" t="s">
        <v>429</v>
      </c>
      <c r="D2644" s="104"/>
      <c r="E2644" s="104"/>
      <c r="F2644" s="104"/>
      <c r="G2644" s="105"/>
      <c r="H2644" s="96" t="e">
        <f>H2642+H2643</f>
        <v>#REF!</v>
      </c>
      <c r="I2644" s="97"/>
      <c r="J2644" s="96" t="e">
        <f>J2642+J2643</f>
        <v>#REF!</v>
      </c>
      <c r="K2644" s="97"/>
      <c r="L2644" s="96" t="e">
        <f>L2642+L2643</f>
        <v>#REF!</v>
      </c>
    </row>
    <row r="2645" spans="1:12" ht="14" customHeight="1" x14ac:dyDescent="0.35"/>
    <row r="2646" spans="1:12" ht="37" customHeight="1" x14ac:dyDescent="0.35">
      <c r="B2646" s="76" t="s">
        <v>763</v>
      </c>
      <c r="C2646" s="458" t="s">
        <v>764</v>
      </c>
      <c r="D2646" s="459"/>
      <c r="E2646" s="459"/>
      <c r="F2646" s="459"/>
      <c r="G2646" s="456"/>
      <c r="H2646" s="457"/>
      <c r="I2646" s="455" t="s">
        <v>3</v>
      </c>
      <c r="J2646" s="455"/>
      <c r="K2646" s="455" t="s">
        <v>4</v>
      </c>
      <c r="L2646" s="455"/>
    </row>
    <row r="2647" spans="1:12" ht="12" customHeight="1" x14ac:dyDescent="0.35">
      <c r="B2647" s="451" t="s">
        <v>409</v>
      </c>
      <c r="C2647" s="451" t="s">
        <v>410</v>
      </c>
      <c r="D2647" s="452" t="s">
        <v>411</v>
      </c>
      <c r="E2647" s="451" t="s">
        <v>412</v>
      </c>
      <c r="F2647" s="451" t="s">
        <v>413</v>
      </c>
      <c r="G2647" s="77" t="s">
        <v>414</v>
      </c>
      <c r="H2647" s="77" t="s">
        <v>415</v>
      </c>
      <c r="I2647" s="78" t="s">
        <v>414</v>
      </c>
      <c r="J2647" s="79" t="s">
        <v>415</v>
      </c>
      <c r="K2647" s="79" t="s">
        <v>414</v>
      </c>
      <c r="L2647" s="79" t="s">
        <v>415</v>
      </c>
    </row>
    <row r="2648" spans="1:12" ht="12" customHeight="1" x14ac:dyDescent="0.35">
      <c r="B2648" s="451"/>
      <c r="C2648" s="451"/>
      <c r="D2648" s="453"/>
      <c r="E2648" s="451"/>
      <c r="F2648" s="451"/>
      <c r="G2648" s="77" t="s">
        <v>17</v>
      </c>
      <c r="H2648" s="77" t="s">
        <v>416</v>
      </c>
      <c r="I2648" s="78" t="s">
        <v>17</v>
      </c>
      <c r="J2648" s="79" t="s">
        <v>416</v>
      </c>
      <c r="K2648" s="79" t="s">
        <v>17</v>
      </c>
      <c r="L2648" s="79" t="s">
        <v>416</v>
      </c>
    </row>
    <row r="2649" spans="1:12" ht="12" customHeight="1" x14ac:dyDescent="0.35">
      <c r="B2649" s="451"/>
      <c r="C2649" s="451"/>
      <c r="D2649" s="454"/>
      <c r="E2649" s="451"/>
      <c r="F2649" s="451"/>
      <c r="G2649" s="106"/>
      <c r="H2649" s="77" t="s">
        <v>17</v>
      </c>
      <c r="I2649" s="94"/>
      <c r="J2649" s="79" t="s">
        <v>17</v>
      </c>
      <c r="K2649" s="85"/>
      <c r="L2649" s="79" t="s">
        <v>17</v>
      </c>
    </row>
    <row r="2650" spans="1:12" ht="12" customHeight="1" x14ac:dyDescent="0.35">
      <c r="B2650" s="80" t="s">
        <v>5</v>
      </c>
      <c r="C2650" s="81" t="s">
        <v>417</v>
      </c>
      <c r="D2650" s="82"/>
      <c r="E2650" s="82"/>
      <c r="F2650" s="82"/>
      <c r="G2650" s="82"/>
      <c r="H2650" s="82"/>
      <c r="I2650" s="83"/>
      <c r="J2650" s="83"/>
      <c r="K2650" s="83"/>
      <c r="L2650" s="83"/>
    </row>
    <row r="2651" spans="1:12" ht="12" customHeight="1" x14ac:dyDescent="0.35">
      <c r="A2651" s="134">
        <v>10130000</v>
      </c>
      <c r="B2651" s="84"/>
      <c r="C2651" s="85" t="str">
        <f>VLOOKUP(A2651,'DAFTAR HARGA'!A:D,3,FALSE)</f>
        <v>OH</v>
      </c>
      <c r="D2651" s="84" t="s">
        <v>418</v>
      </c>
      <c r="E2651" s="84">
        <f>VLOOKUP(A2651,'DAFTAR HARGA'!A:D,4,FALSE)</f>
        <v>115000</v>
      </c>
      <c r="F2651" s="128">
        <v>1.65</v>
      </c>
      <c r="G2651" s="87" t="e">
        <f>VLOOKUP(A2651,'DAFTAR HARGA'!A:D,5,FALSE)</f>
        <v>#REF!</v>
      </c>
      <c r="H2651" s="87" t="e">
        <f>F2651*G2651</f>
        <v>#REF!</v>
      </c>
      <c r="I2651" s="87">
        <v>91500</v>
      </c>
      <c r="J2651" s="87">
        <f>F2651*I2651</f>
        <v>150975</v>
      </c>
      <c r="K2651" s="87">
        <v>91500</v>
      </c>
      <c r="L2651" s="87">
        <f>F2651*K2651</f>
        <v>150975</v>
      </c>
    </row>
    <row r="2652" spans="1:12" ht="12" customHeight="1" x14ac:dyDescent="0.35">
      <c r="A2652" s="134">
        <v>10143000</v>
      </c>
      <c r="B2652" s="84"/>
      <c r="C2652" s="85" t="str">
        <f>VLOOKUP(A2652,'DAFTAR HARGA'!A:D,3,FALSE)</f>
        <v>OH</v>
      </c>
      <c r="D2652" s="84" t="s">
        <v>418</v>
      </c>
      <c r="E2652" s="84">
        <f>VLOOKUP(A2652,'DAFTAR HARGA'!A:D,4,FALSE)</f>
        <v>236600</v>
      </c>
      <c r="F2652" s="128">
        <v>0.27500000000000002</v>
      </c>
      <c r="G2652" s="87" t="e">
        <f>VLOOKUP(A2652,'DAFTAR HARGA'!A:D,5,FALSE)</f>
        <v>#REF!</v>
      </c>
      <c r="H2652" s="87" t="e">
        <f>F2652*G2652</f>
        <v>#REF!</v>
      </c>
      <c r="I2652" s="87"/>
      <c r="J2652" s="87"/>
      <c r="K2652" s="87"/>
      <c r="L2652" s="87"/>
    </row>
    <row r="2653" spans="1:12" ht="12" customHeight="1" x14ac:dyDescent="0.35">
      <c r="A2653" s="134">
        <v>10120000</v>
      </c>
      <c r="B2653" s="84"/>
      <c r="C2653" s="85" t="str">
        <f>VLOOKUP(A2653,'DAFTAR HARGA'!A:D,3,FALSE)</f>
        <v>OH</v>
      </c>
      <c r="D2653" s="84" t="s">
        <v>418</v>
      </c>
      <c r="E2653" s="84">
        <f>VLOOKUP(A2653,'DAFTAR HARGA'!A:D,4,FALSE)</f>
        <v>130000</v>
      </c>
      <c r="F2653" s="128">
        <f>F2652/10</f>
        <v>2.7500000000000004E-2</v>
      </c>
      <c r="G2653" s="87" t="e">
        <f>VLOOKUP(A2653,'DAFTAR HARGA'!A:D,5,FALSE)</f>
        <v>#REF!</v>
      </c>
      <c r="H2653" s="87" t="e">
        <f>F2653*G2653</f>
        <v>#REF!</v>
      </c>
      <c r="I2653" s="87"/>
      <c r="J2653" s="87"/>
      <c r="K2653" s="87"/>
      <c r="L2653" s="87"/>
    </row>
    <row r="2654" spans="1:12" ht="12" customHeight="1" x14ac:dyDescent="0.35">
      <c r="A2654" s="134">
        <v>10110000</v>
      </c>
      <c r="B2654" s="84"/>
      <c r="C2654" s="85" t="str">
        <f>VLOOKUP(A2654,'DAFTAR HARGA'!A:D,3,FALSE)</f>
        <v>OH</v>
      </c>
      <c r="D2654" s="84" t="s">
        <v>418</v>
      </c>
      <c r="E2654" s="84">
        <f>VLOOKUP(A2654,'DAFTAR HARGA'!A:D,4,FALSE)</f>
        <v>150000</v>
      </c>
      <c r="F2654" s="128">
        <f>F2651/10</f>
        <v>0.16499999999999998</v>
      </c>
      <c r="G2654" s="87" t="e">
        <f>VLOOKUP(A2654,'DAFTAR HARGA'!A:D,5,FALSE)</f>
        <v>#REF!</v>
      </c>
      <c r="H2654" s="87" t="e">
        <f>F2654*G2654</f>
        <v>#REF!</v>
      </c>
      <c r="I2654" s="87">
        <v>92500</v>
      </c>
      <c r="J2654" s="87">
        <f>F2654*I2654</f>
        <v>15262.499999999998</v>
      </c>
      <c r="K2654" s="87">
        <v>92500</v>
      </c>
      <c r="L2654" s="87">
        <f>F2654*K2654</f>
        <v>15262.499999999998</v>
      </c>
    </row>
    <row r="2655" spans="1:12" ht="12" customHeight="1" x14ac:dyDescent="0.35">
      <c r="B2655" s="84"/>
      <c r="C2655" s="85"/>
      <c r="D2655" s="84"/>
      <c r="E2655" s="84"/>
      <c r="F2655" s="86"/>
      <c r="G2655" s="87"/>
      <c r="H2655" s="87"/>
      <c r="I2655" s="87"/>
      <c r="J2655" s="87"/>
      <c r="K2655" s="87"/>
      <c r="L2655" s="87"/>
    </row>
    <row r="2656" spans="1:12" ht="12" customHeight="1" x14ac:dyDescent="0.35">
      <c r="B2656" s="84"/>
      <c r="C2656" s="88"/>
      <c r="D2656" s="79"/>
      <c r="E2656" s="79"/>
      <c r="F2656" s="89" t="s">
        <v>421</v>
      </c>
      <c r="G2656" s="101"/>
      <c r="H2656" s="87" t="e">
        <f>SUM(H2651:H2655)</f>
        <v>#REF!</v>
      </c>
      <c r="I2656" s="101"/>
      <c r="J2656" s="87">
        <f>SUM(J2654:J2655)</f>
        <v>15262.499999999998</v>
      </c>
      <c r="K2656" s="101"/>
      <c r="L2656" s="87">
        <f>SUM(L2654:L2655)</f>
        <v>15262.499999999998</v>
      </c>
    </row>
    <row r="2657" spans="1:18" ht="12" customHeight="1" x14ac:dyDescent="0.35">
      <c r="B2657" s="84" t="s">
        <v>6</v>
      </c>
      <c r="C2657" s="88" t="s">
        <v>422</v>
      </c>
      <c r="D2657" s="79"/>
      <c r="E2657" s="79"/>
      <c r="F2657" s="90"/>
      <c r="G2657" s="84"/>
      <c r="H2657" s="87"/>
      <c r="I2657" s="84"/>
      <c r="J2657" s="87"/>
      <c r="K2657" s="84"/>
      <c r="L2657" s="87"/>
    </row>
    <row r="2658" spans="1:18" ht="26" customHeight="1" x14ac:dyDescent="0.35">
      <c r="A2658" s="134">
        <v>21301000</v>
      </c>
      <c r="B2658" s="84"/>
      <c r="C2658" s="85" t="str">
        <f>VLOOKUP(A2658,'DAFTAR HARGA'!A:D,3,FALSE)</f>
        <v>Kg</v>
      </c>
      <c r="D2658" s="84" t="s">
        <v>418</v>
      </c>
      <c r="E2658" s="84">
        <f>VLOOKUP(A2658,'DAFTAR HARGA'!A:D,4,FALSE)</f>
        <v>1350</v>
      </c>
      <c r="F2658" s="128">
        <v>267</v>
      </c>
      <c r="G2658" s="87" t="e">
        <f>VLOOKUP(A2658,'DAFTAR HARGA'!A:D,5,FALSE)</f>
        <v>#REF!</v>
      </c>
      <c r="H2658" s="87" t="e">
        <f>F2658*G2658</f>
        <v>#REF!</v>
      </c>
      <c r="I2658" s="87">
        <v>232500</v>
      </c>
      <c r="J2658" s="87">
        <f>F2658*I2658</f>
        <v>62077500</v>
      </c>
      <c r="K2658" s="87">
        <v>270000</v>
      </c>
      <c r="L2658" s="87">
        <f>F2658*K2658</f>
        <v>72090000</v>
      </c>
    </row>
    <row r="2659" spans="1:18" ht="12" customHeight="1" x14ac:dyDescent="0.35">
      <c r="A2659" s="134">
        <v>211100115</v>
      </c>
      <c r="B2659" s="84"/>
      <c r="C2659" s="85" t="str">
        <f>VLOOKUP(A2659,'DAFTAR HARGA'!A:D,3,FALSE)</f>
        <v>kg</v>
      </c>
      <c r="D2659" s="84" t="s">
        <v>418</v>
      </c>
      <c r="E2659" s="84">
        <f>VLOOKUP(A2659,'DAFTAR HARGA'!A:D,4,FALSE)</f>
        <v>157.14285714285714</v>
      </c>
      <c r="F2659" s="128">
        <v>871</v>
      </c>
      <c r="G2659" s="87" t="e">
        <f>VLOOKUP(A2659,'DAFTAR HARGA'!A:D,5,FALSE)/1600</f>
        <v>#REF!</v>
      </c>
      <c r="H2659" s="87" t="e">
        <f>F2659*G2659</f>
        <v>#REF!</v>
      </c>
      <c r="I2659" s="87">
        <v>1060</v>
      </c>
      <c r="J2659" s="87">
        <f>F2659*I2659</f>
        <v>923260</v>
      </c>
      <c r="K2659" s="87">
        <v>1060</v>
      </c>
      <c r="L2659" s="87">
        <f>F2659*K2659</f>
        <v>923260</v>
      </c>
      <c r="N2659" s="75">
        <v>1</v>
      </c>
      <c r="O2659" s="75" t="s">
        <v>40</v>
      </c>
      <c r="P2659" s="75" t="s">
        <v>765</v>
      </c>
      <c r="Q2659" s="75">
        <v>6.2500000000000001E-4</v>
      </c>
      <c r="R2659" s="75" t="s">
        <v>43</v>
      </c>
    </row>
    <row r="2660" spans="1:18" ht="12" customHeight="1" x14ac:dyDescent="0.35">
      <c r="A2660" s="134" t="s">
        <v>766</v>
      </c>
      <c r="B2660" s="84"/>
      <c r="C2660" s="85" t="str">
        <f>VLOOKUP(A2660,'DAFTAR HARGA'!A:D,3,FALSE)</f>
        <v>kg</v>
      </c>
      <c r="D2660" s="84" t="s">
        <v>418</v>
      </c>
      <c r="E2660" s="84">
        <f>VLOOKUP(A2660,'DAFTAR HARGA'!A:D,4,FALSE)</f>
        <v>171.875</v>
      </c>
      <c r="F2660" s="128">
        <v>1009</v>
      </c>
      <c r="G2660" s="87" t="e">
        <f>VLOOKUP(A2660,'DAFTAR HARGA'!A:D,5,FALSE)</f>
        <v>#REF!</v>
      </c>
      <c r="H2660" s="87" t="e">
        <f>F2660*G2660</f>
        <v>#REF!</v>
      </c>
      <c r="I2660" s="87">
        <v>215000</v>
      </c>
      <c r="J2660" s="87">
        <f>F2660*I2660</f>
        <v>216935000</v>
      </c>
      <c r="K2660" s="87">
        <v>250000</v>
      </c>
      <c r="L2660" s="87">
        <f>F2660*K2660</f>
        <v>252250000</v>
      </c>
      <c r="N2660" s="75">
        <f>N2659/Q2659</f>
        <v>1600</v>
      </c>
      <c r="O2660" s="75" t="s">
        <v>40</v>
      </c>
      <c r="P2660" s="75" t="s">
        <v>765</v>
      </c>
      <c r="Q2660" s="75">
        <v>1</v>
      </c>
      <c r="R2660" s="75" t="s">
        <v>43</v>
      </c>
    </row>
    <row r="2661" spans="1:18" ht="12" customHeight="1" x14ac:dyDescent="0.35">
      <c r="A2661" s="134">
        <v>21962000</v>
      </c>
      <c r="B2661" s="84"/>
      <c r="C2661" s="85">
        <f>VLOOKUP(A2661,'DAFTAR HARGA'!A:D,3,FALSE)</f>
        <v>0</v>
      </c>
      <c r="D2661" s="84" t="s">
        <v>418</v>
      </c>
      <c r="E2661" s="84">
        <f>VLOOKUP(A2661,'DAFTAR HARGA'!A:D,4,FALSE)</f>
        <v>35</v>
      </c>
      <c r="F2661" s="128">
        <v>202</v>
      </c>
      <c r="G2661" s="87" t="e">
        <f>VLOOKUP(A2661,'DAFTAR HARGA'!A:D,5,FALSE)</f>
        <v>#REF!</v>
      </c>
      <c r="H2661" s="87" t="e">
        <f>F2661*G2661</f>
        <v>#REF!</v>
      </c>
      <c r="I2661" s="87"/>
      <c r="J2661" s="87"/>
      <c r="K2661" s="87"/>
      <c r="L2661" s="87"/>
    </row>
    <row r="2662" spans="1:18" ht="12" customHeight="1" x14ac:dyDescent="0.35">
      <c r="B2662" s="84"/>
      <c r="C2662" s="88"/>
      <c r="D2662" s="79"/>
      <c r="E2662" s="79"/>
      <c r="F2662" s="129" t="s">
        <v>423</v>
      </c>
      <c r="G2662" s="129"/>
      <c r="H2662" s="87" t="e">
        <f>SUM(H2658:H2661)</f>
        <v>#REF!</v>
      </c>
      <c r="I2662" s="101"/>
      <c r="J2662" s="87" t="e">
        <f>SUM(#REF!)</f>
        <v>#REF!</v>
      </c>
      <c r="K2662" s="101"/>
      <c r="L2662" s="87" t="e">
        <f>SUM(#REF!)</f>
        <v>#REF!</v>
      </c>
    </row>
    <row r="2663" spans="1:18" ht="12" customHeight="1" x14ac:dyDescent="0.35">
      <c r="B2663" s="84" t="s">
        <v>7</v>
      </c>
      <c r="C2663" s="88" t="s">
        <v>424</v>
      </c>
      <c r="D2663" s="79"/>
      <c r="E2663" s="79"/>
      <c r="F2663" s="90"/>
      <c r="G2663" s="84"/>
      <c r="H2663" s="87"/>
      <c r="I2663" s="84"/>
      <c r="J2663" s="87"/>
      <c r="K2663" s="84"/>
      <c r="L2663" s="87"/>
    </row>
    <row r="2664" spans="1:18" ht="12" customHeight="1" x14ac:dyDescent="0.35">
      <c r="B2664" s="84"/>
      <c r="C2664" s="85"/>
      <c r="D2664" s="84"/>
      <c r="E2664" s="84"/>
      <c r="F2664" s="128"/>
      <c r="G2664" s="87"/>
      <c r="H2664" s="87">
        <f>F2664*G2664</f>
        <v>0</v>
      </c>
      <c r="I2664" s="87"/>
      <c r="J2664" s="87">
        <f>H2664*I2664</f>
        <v>0</v>
      </c>
      <c r="K2664" s="87"/>
      <c r="L2664" s="87">
        <f>J2664*K2664</f>
        <v>0</v>
      </c>
    </row>
    <row r="2665" spans="1:18" ht="12" customHeight="1" x14ac:dyDescent="0.35">
      <c r="B2665" s="84"/>
      <c r="C2665" s="85"/>
      <c r="D2665" s="84"/>
      <c r="E2665" s="84"/>
      <c r="F2665" s="128"/>
      <c r="G2665" s="87"/>
      <c r="H2665" s="87">
        <f>F2665*G2665</f>
        <v>0</v>
      </c>
      <c r="I2665" s="87"/>
      <c r="J2665" s="87"/>
      <c r="K2665" s="87"/>
      <c r="L2665" s="87"/>
    </row>
    <row r="2666" spans="1:18" ht="12" customHeight="1" x14ac:dyDescent="0.35">
      <c r="B2666" s="84"/>
      <c r="C2666" s="85"/>
      <c r="D2666" s="84"/>
      <c r="E2666" s="84"/>
      <c r="F2666" s="128"/>
      <c r="G2666" s="87"/>
      <c r="H2666" s="87">
        <f>F2666*G2666</f>
        <v>0</v>
      </c>
      <c r="I2666" s="87"/>
      <c r="J2666" s="87"/>
      <c r="K2666" s="87"/>
      <c r="L2666" s="87"/>
    </row>
    <row r="2667" spans="1:18" ht="12" customHeight="1" x14ac:dyDescent="0.35">
      <c r="B2667" s="84"/>
      <c r="C2667" s="88"/>
      <c r="D2667" s="79"/>
      <c r="E2667" s="79"/>
      <c r="F2667" s="89" t="s">
        <v>425</v>
      </c>
      <c r="G2667" s="101"/>
      <c r="H2667" s="87">
        <f>SUM(H2664:H2666)</f>
        <v>0</v>
      </c>
      <c r="I2667" s="101"/>
      <c r="J2667" s="87">
        <f>SUM(J2664)</f>
        <v>0</v>
      </c>
      <c r="K2667" s="101"/>
      <c r="L2667" s="87">
        <f>SUM(L2664)</f>
        <v>0</v>
      </c>
    </row>
    <row r="2668" spans="1:18" ht="12" customHeight="1" x14ac:dyDescent="0.35">
      <c r="B2668" s="84" t="s">
        <v>8</v>
      </c>
      <c r="C2668" s="103" t="s">
        <v>426</v>
      </c>
      <c r="D2668" s="104"/>
      <c r="E2668" s="104"/>
      <c r="F2668" s="104"/>
      <c r="G2668" s="105"/>
      <c r="H2668" s="87" t="e">
        <f>H2656+H2662+H2667</f>
        <v>#REF!</v>
      </c>
      <c r="I2668" s="105"/>
      <c r="J2668" s="87" t="e">
        <f>J2656+J2662+J2667</f>
        <v>#REF!</v>
      </c>
      <c r="K2668" s="105"/>
      <c r="L2668" s="87" t="e">
        <f>L2656+L2662+L2667</f>
        <v>#REF!</v>
      </c>
    </row>
    <row r="2669" spans="1:18" ht="12" customHeight="1" x14ac:dyDescent="0.35">
      <c r="B2669" s="84" t="s">
        <v>9</v>
      </c>
      <c r="C2669" s="455" t="s">
        <v>427</v>
      </c>
      <c r="D2669" s="455"/>
      <c r="E2669" s="455"/>
      <c r="F2669" s="95" t="str">
        <f>OP</f>
        <v>TANJUNG PALAS TENGAH</v>
      </c>
      <c r="G2669" s="85" t="s">
        <v>428</v>
      </c>
      <c r="H2669" s="87" t="e">
        <f>H2668*F2669</f>
        <v>#REF!</v>
      </c>
      <c r="I2669" s="85" t="s">
        <v>428</v>
      </c>
      <c r="J2669" s="87" t="e">
        <f>J2668*F2669</f>
        <v>#REF!</v>
      </c>
      <c r="K2669" s="85" t="s">
        <v>428</v>
      </c>
      <c r="L2669" s="87" t="e">
        <f>L2668*F2669</f>
        <v>#REF!</v>
      </c>
    </row>
    <row r="2670" spans="1:18" ht="12" customHeight="1" x14ac:dyDescent="0.35">
      <c r="B2670" s="84" t="s">
        <v>10</v>
      </c>
      <c r="C2670" s="103" t="s">
        <v>429</v>
      </c>
      <c r="D2670" s="104"/>
      <c r="E2670" s="104"/>
      <c r="F2670" s="104"/>
      <c r="G2670" s="105"/>
      <c r="H2670" s="96" t="e">
        <f>H2668+H2669</f>
        <v>#REF!</v>
      </c>
      <c r="I2670" s="97"/>
      <c r="J2670" s="96" t="e">
        <f>J2668+J2669</f>
        <v>#REF!</v>
      </c>
      <c r="K2670" s="97"/>
      <c r="L2670" s="96" t="e">
        <f>L2668+L2669</f>
        <v>#REF!</v>
      </c>
    </row>
    <row r="2671" spans="1:18" ht="14" customHeight="1" x14ac:dyDescent="0.35"/>
    <row r="2672" spans="1:18" ht="37" customHeight="1" x14ac:dyDescent="0.35">
      <c r="B2672" s="76" t="s">
        <v>767</v>
      </c>
      <c r="C2672" s="458" t="s">
        <v>768</v>
      </c>
      <c r="D2672" s="459"/>
      <c r="E2672" s="459"/>
      <c r="F2672" s="459"/>
      <c r="G2672" s="456"/>
      <c r="H2672" s="457"/>
      <c r="I2672" s="455" t="s">
        <v>3</v>
      </c>
      <c r="J2672" s="455"/>
      <c r="K2672" s="455" t="s">
        <v>4</v>
      </c>
      <c r="L2672" s="455"/>
    </row>
    <row r="2673" spans="1:18" ht="12" customHeight="1" x14ac:dyDescent="0.35">
      <c r="B2673" s="451" t="s">
        <v>409</v>
      </c>
      <c r="C2673" s="451" t="s">
        <v>410</v>
      </c>
      <c r="D2673" s="452" t="s">
        <v>411</v>
      </c>
      <c r="E2673" s="451" t="s">
        <v>412</v>
      </c>
      <c r="F2673" s="451" t="s">
        <v>413</v>
      </c>
      <c r="G2673" s="77" t="s">
        <v>414</v>
      </c>
      <c r="H2673" s="77" t="s">
        <v>415</v>
      </c>
      <c r="I2673" s="78" t="s">
        <v>414</v>
      </c>
      <c r="J2673" s="79" t="s">
        <v>415</v>
      </c>
      <c r="K2673" s="79" t="s">
        <v>414</v>
      </c>
      <c r="L2673" s="79" t="s">
        <v>415</v>
      </c>
    </row>
    <row r="2674" spans="1:18" ht="12" customHeight="1" x14ac:dyDescent="0.35">
      <c r="B2674" s="451"/>
      <c r="C2674" s="451"/>
      <c r="D2674" s="453"/>
      <c r="E2674" s="451"/>
      <c r="F2674" s="451"/>
      <c r="G2674" s="77" t="s">
        <v>17</v>
      </c>
      <c r="H2674" s="77" t="s">
        <v>416</v>
      </c>
      <c r="I2674" s="78" t="s">
        <v>17</v>
      </c>
      <c r="J2674" s="79" t="s">
        <v>416</v>
      </c>
      <c r="K2674" s="79" t="s">
        <v>17</v>
      </c>
      <c r="L2674" s="79" t="s">
        <v>416</v>
      </c>
    </row>
    <row r="2675" spans="1:18" ht="12" customHeight="1" x14ac:dyDescent="0.35">
      <c r="B2675" s="451"/>
      <c r="C2675" s="451"/>
      <c r="D2675" s="454"/>
      <c r="E2675" s="451"/>
      <c r="F2675" s="451"/>
      <c r="G2675" s="106"/>
      <c r="H2675" s="77" t="s">
        <v>17</v>
      </c>
      <c r="I2675" s="94"/>
      <c r="J2675" s="79" t="s">
        <v>17</v>
      </c>
      <c r="K2675" s="85"/>
      <c r="L2675" s="79" t="s">
        <v>17</v>
      </c>
    </row>
    <row r="2676" spans="1:18" ht="12" customHeight="1" x14ac:dyDescent="0.35">
      <c r="B2676" s="80" t="s">
        <v>5</v>
      </c>
      <c r="C2676" s="81" t="s">
        <v>417</v>
      </c>
      <c r="D2676" s="82"/>
      <c r="E2676" s="82"/>
      <c r="F2676" s="82"/>
      <c r="G2676" s="82"/>
      <c r="H2676" s="82"/>
      <c r="I2676" s="83"/>
      <c r="J2676" s="83"/>
      <c r="K2676" s="83"/>
      <c r="L2676" s="83"/>
    </row>
    <row r="2677" spans="1:18" ht="12" customHeight="1" x14ac:dyDescent="0.35">
      <c r="A2677" s="134">
        <v>10130000</v>
      </c>
      <c r="B2677" s="84"/>
      <c r="C2677" s="85" t="str">
        <f>VLOOKUP(A2677,'DAFTAR HARGA'!A:D,3,FALSE)</f>
        <v>OH</v>
      </c>
      <c r="D2677" s="84" t="s">
        <v>418</v>
      </c>
      <c r="E2677" s="84">
        <f>VLOOKUP(A2677,'DAFTAR HARGA'!A:D,4,FALSE)</f>
        <v>115000</v>
      </c>
      <c r="F2677" s="128">
        <v>1.65</v>
      </c>
      <c r="G2677" s="87" t="e">
        <f>VLOOKUP(A2677,'DAFTAR HARGA'!A:D,5,FALSE)</f>
        <v>#REF!</v>
      </c>
      <c r="H2677" s="87" t="e">
        <f>F2677*G2677</f>
        <v>#REF!</v>
      </c>
      <c r="I2677" s="87">
        <v>91500</v>
      </c>
      <c r="J2677" s="87">
        <f>F2677*I2677</f>
        <v>150975</v>
      </c>
      <c r="K2677" s="87">
        <v>91500</v>
      </c>
      <c r="L2677" s="87">
        <f>F2677*K2677</f>
        <v>150975</v>
      </c>
    </row>
    <row r="2678" spans="1:18" ht="12" customHeight="1" x14ac:dyDescent="0.35">
      <c r="A2678" s="134">
        <v>10143000</v>
      </c>
      <c r="B2678" s="84"/>
      <c r="C2678" s="85" t="str">
        <f>VLOOKUP(A2678,'DAFTAR HARGA'!A:D,3,FALSE)</f>
        <v>OH</v>
      </c>
      <c r="D2678" s="84" t="s">
        <v>418</v>
      </c>
      <c r="E2678" s="84">
        <f>VLOOKUP(A2678,'DAFTAR HARGA'!A:D,4,FALSE)</f>
        <v>236600</v>
      </c>
      <c r="F2678" s="128">
        <v>0.27500000000000002</v>
      </c>
      <c r="G2678" s="87" t="e">
        <f>VLOOKUP(A2678,'DAFTAR HARGA'!A:D,5,FALSE)</f>
        <v>#REF!</v>
      </c>
      <c r="H2678" s="87" t="e">
        <f>F2678*G2678</f>
        <v>#REF!</v>
      </c>
      <c r="I2678" s="87"/>
      <c r="J2678" s="87"/>
      <c r="K2678" s="87"/>
      <c r="L2678" s="87"/>
    </row>
    <row r="2679" spans="1:18" ht="12" customHeight="1" x14ac:dyDescent="0.35">
      <c r="A2679" s="134">
        <v>10120000</v>
      </c>
      <c r="B2679" s="84"/>
      <c r="C2679" s="85" t="str">
        <f>VLOOKUP(A2679,'DAFTAR HARGA'!A:D,3,FALSE)</f>
        <v>OH</v>
      </c>
      <c r="D2679" s="84" t="s">
        <v>418</v>
      </c>
      <c r="E2679" s="84">
        <f>VLOOKUP(A2679,'DAFTAR HARGA'!A:D,4,FALSE)</f>
        <v>130000</v>
      </c>
      <c r="F2679" s="128">
        <f>F2678/10</f>
        <v>2.7500000000000004E-2</v>
      </c>
      <c r="G2679" s="87" t="e">
        <f>VLOOKUP(A2679,'DAFTAR HARGA'!A:D,5,FALSE)</f>
        <v>#REF!</v>
      </c>
      <c r="H2679" s="87" t="e">
        <f>F2679*G2679</f>
        <v>#REF!</v>
      </c>
      <c r="I2679" s="87"/>
      <c r="J2679" s="87"/>
      <c r="K2679" s="87"/>
      <c r="L2679" s="87"/>
    </row>
    <row r="2680" spans="1:18" ht="12" customHeight="1" x14ac:dyDescent="0.35">
      <c r="A2680" s="134">
        <v>10110000</v>
      </c>
      <c r="B2680" s="84"/>
      <c r="C2680" s="85" t="str">
        <f>VLOOKUP(A2680,'DAFTAR HARGA'!A:D,3,FALSE)</f>
        <v>OH</v>
      </c>
      <c r="D2680" s="84" t="s">
        <v>418</v>
      </c>
      <c r="E2680" s="84">
        <f>VLOOKUP(A2680,'DAFTAR HARGA'!A:D,4,FALSE)</f>
        <v>150000</v>
      </c>
      <c r="F2680" s="128">
        <f>F2677/10</f>
        <v>0.16499999999999998</v>
      </c>
      <c r="G2680" s="87" t="e">
        <f>VLOOKUP(A2680,'DAFTAR HARGA'!A:D,5,FALSE)</f>
        <v>#REF!</v>
      </c>
      <c r="H2680" s="87" t="e">
        <f>F2680*G2680</f>
        <v>#REF!</v>
      </c>
      <c r="I2680" s="87">
        <v>92500</v>
      </c>
      <c r="J2680" s="87">
        <f>F2680*I2680</f>
        <v>15262.499999999998</v>
      </c>
      <c r="K2680" s="87">
        <v>92500</v>
      </c>
      <c r="L2680" s="87">
        <f>F2680*K2680</f>
        <v>15262.499999999998</v>
      </c>
    </row>
    <row r="2681" spans="1:18" ht="12" customHeight="1" x14ac:dyDescent="0.35">
      <c r="B2681" s="84"/>
      <c r="C2681" s="85"/>
      <c r="D2681" s="84"/>
      <c r="E2681" s="84"/>
      <c r="F2681" s="86"/>
      <c r="G2681" s="87"/>
      <c r="H2681" s="87"/>
      <c r="I2681" s="87"/>
      <c r="J2681" s="87"/>
      <c r="K2681" s="87"/>
      <c r="L2681" s="87"/>
    </row>
    <row r="2682" spans="1:18" ht="12" customHeight="1" x14ac:dyDescent="0.35">
      <c r="B2682" s="84"/>
      <c r="C2682" s="88"/>
      <c r="D2682" s="79"/>
      <c r="E2682" s="79"/>
      <c r="F2682" s="89" t="s">
        <v>421</v>
      </c>
      <c r="G2682" s="101"/>
      <c r="H2682" s="87" t="e">
        <f>SUM(H2677:H2681)</f>
        <v>#REF!</v>
      </c>
      <c r="I2682" s="101"/>
      <c r="J2682" s="87">
        <f>SUM(J2680:J2681)</f>
        <v>15262.499999999998</v>
      </c>
      <c r="K2682" s="101"/>
      <c r="L2682" s="87">
        <f>SUM(L2680:L2681)</f>
        <v>15262.499999999998</v>
      </c>
    </row>
    <row r="2683" spans="1:18" ht="12" customHeight="1" x14ac:dyDescent="0.35">
      <c r="B2683" s="84" t="s">
        <v>6</v>
      </c>
      <c r="C2683" s="88" t="s">
        <v>422</v>
      </c>
      <c r="D2683" s="79"/>
      <c r="E2683" s="79"/>
      <c r="F2683" s="90"/>
      <c r="G2683" s="84"/>
      <c r="H2683" s="87"/>
      <c r="I2683" s="84"/>
      <c r="J2683" s="87"/>
      <c r="K2683" s="84"/>
      <c r="L2683" s="87"/>
    </row>
    <row r="2684" spans="1:18" ht="26" customHeight="1" x14ac:dyDescent="0.35">
      <c r="A2684" s="134">
        <v>21301000</v>
      </c>
      <c r="B2684" s="84"/>
      <c r="C2684" s="85" t="str">
        <f>VLOOKUP(A2684,'DAFTAR HARGA'!A:D,3,FALSE)</f>
        <v>Kg</v>
      </c>
      <c r="D2684" s="84" t="s">
        <v>418</v>
      </c>
      <c r="E2684" s="84">
        <f>VLOOKUP(A2684,'DAFTAR HARGA'!A:D,4,FALSE)</f>
        <v>1350</v>
      </c>
      <c r="F2684" s="128">
        <v>306</v>
      </c>
      <c r="G2684" s="87" t="e">
        <f>VLOOKUP(A2684,'DAFTAR HARGA'!A:D,5,FALSE)</f>
        <v>#REF!</v>
      </c>
      <c r="H2684" s="87" t="e">
        <f>F2684*G2684</f>
        <v>#REF!</v>
      </c>
      <c r="I2684" s="87">
        <v>232500</v>
      </c>
      <c r="J2684" s="87">
        <f>F2684*I2684</f>
        <v>71145000</v>
      </c>
      <c r="K2684" s="87">
        <v>270000</v>
      </c>
      <c r="L2684" s="87">
        <f>F2684*K2684</f>
        <v>82620000</v>
      </c>
    </row>
    <row r="2685" spans="1:18" ht="12" customHeight="1" x14ac:dyDescent="0.35">
      <c r="A2685" s="134">
        <v>211100115</v>
      </c>
      <c r="B2685" s="84"/>
      <c r="C2685" s="85" t="str">
        <f>VLOOKUP(A2685,'DAFTAR HARGA'!A:D,3,FALSE)</f>
        <v>kg</v>
      </c>
      <c r="D2685" s="84" t="s">
        <v>418</v>
      </c>
      <c r="E2685" s="84">
        <f>VLOOKUP(A2685,'DAFTAR HARGA'!A:D,4,FALSE)</f>
        <v>157.14285714285714</v>
      </c>
      <c r="F2685" s="128">
        <v>832</v>
      </c>
      <c r="G2685" s="87" t="e">
        <f>VLOOKUP(A2685,'DAFTAR HARGA'!A:D,5,FALSE)/1600</f>
        <v>#REF!</v>
      </c>
      <c r="H2685" s="87" t="e">
        <f>F2685*G2685</f>
        <v>#REF!</v>
      </c>
      <c r="I2685" s="87">
        <v>1060</v>
      </c>
      <c r="J2685" s="87">
        <f>F2685*I2685</f>
        <v>881920</v>
      </c>
      <c r="K2685" s="87">
        <v>1060</v>
      </c>
      <c r="L2685" s="87">
        <f>F2685*K2685</f>
        <v>881920</v>
      </c>
      <c r="N2685" s="75">
        <v>1</v>
      </c>
      <c r="O2685" s="75" t="s">
        <v>40</v>
      </c>
      <c r="P2685" s="75" t="s">
        <v>765</v>
      </c>
      <c r="Q2685" s="75">
        <v>6.2500000000000001E-4</v>
      </c>
      <c r="R2685" s="75" t="s">
        <v>43</v>
      </c>
    </row>
    <row r="2686" spans="1:18" ht="12" customHeight="1" x14ac:dyDescent="0.35">
      <c r="A2686" s="134" t="s">
        <v>766</v>
      </c>
      <c r="B2686" s="84"/>
      <c r="C2686" s="85" t="str">
        <f>VLOOKUP(A2686,'DAFTAR HARGA'!A:D,3,FALSE)</f>
        <v>kg</v>
      </c>
      <c r="D2686" s="84" t="s">
        <v>418</v>
      </c>
      <c r="E2686" s="84">
        <f>VLOOKUP(A2686,'DAFTAR HARGA'!A:D,4,FALSE)</f>
        <v>171.875</v>
      </c>
      <c r="F2686" s="128">
        <v>1009</v>
      </c>
      <c r="G2686" s="87" t="e">
        <f>VLOOKUP(A2686,'DAFTAR HARGA'!A:D,5,FALSE)</f>
        <v>#REF!</v>
      </c>
      <c r="H2686" s="87" t="e">
        <f>F2686*G2686</f>
        <v>#REF!</v>
      </c>
      <c r="I2686" s="87">
        <v>215000</v>
      </c>
      <c r="J2686" s="87">
        <f>F2686*I2686</f>
        <v>216935000</v>
      </c>
      <c r="K2686" s="87">
        <v>250000</v>
      </c>
      <c r="L2686" s="87">
        <f>F2686*K2686</f>
        <v>252250000</v>
      </c>
      <c r="N2686" s="75">
        <f>N2685/Q2685</f>
        <v>1600</v>
      </c>
      <c r="O2686" s="75" t="s">
        <v>40</v>
      </c>
      <c r="P2686" s="75" t="s">
        <v>765</v>
      </c>
      <c r="Q2686" s="75">
        <v>1</v>
      </c>
      <c r="R2686" s="75" t="s">
        <v>43</v>
      </c>
    </row>
    <row r="2687" spans="1:18" ht="12" customHeight="1" x14ac:dyDescent="0.35">
      <c r="A2687" s="134">
        <v>21962000</v>
      </c>
      <c r="B2687" s="84"/>
      <c r="C2687" s="85">
        <f>VLOOKUP(A2687,'DAFTAR HARGA'!A:D,3,FALSE)</f>
        <v>0</v>
      </c>
      <c r="D2687" s="84" t="s">
        <v>418</v>
      </c>
      <c r="E2687" s="84">
        <f>VLOOKUP(A2687,'DAFTAR HARGA'!A:D,4,FALSE)</f>
        <v>35</v>
      </c>
      <c r="F2687" s="128">
        <v>202</v>
      </c>
      <c r="G2687" s="87" t="e">
        <f>VLOOKUP(A2687,'DAFTAR HARGA'!A:D,5,FALSE)</f>
        <v>#REF!</v>
      </c>
      <c r="H2687" s="87" t="e">
        <f>F2687*G2687</f>
        <v>#REF!</v>
      </c>
      <c r="I2687" s="87"/>
      <c r="J2687" s="87"/>
      <c r="K2687" s="87"/>
      <c r="L2687" s="87"/>
    </row>
    <row r="2688" spans="1:18" ht="12" customHeight="1" x14ac:dyDescent="0.35">
      <c r="B2688" s="84"/>
      <c r="C2688" s="88"/>
      <c r="D2688" s="79"/>
      <c r="E2688" s="79"/>
      <c r="F2688" s="129" t="s">
        <v>423</v>
      </c>
      <c r="G2688" s="129"/>
      <c r="H2688" s="87" t="e">
        <f>SUM(H2684:H2687)</f>
        <v>#REF!</v>
      </c>
      <c r="I2688" s="101"/>
      <c r="J2688" s="87" t="e">
        <f>SUM(#REF!)</f>
        <v>#REF!</v>
      </c>
      <c r="K2688" s="101"/>
      <c r="L2688" s="87" t="e">
        <f>SUM(#REF!)</f>
        <v>#REF!</v>
      </c>
    </row>
    <row r="2689" spans="1:12" ht="12" customHeight="1" x14ac:dyDescent="0.35">
      <c r="B2689" s="84" t="s">
        <v>7</v>
      </c>
      <c r="C2689" s="88" t="s">
        <v>424</v>
      </c>
      <c r="D2689" s="79"/>
      <c r="E2689" s="79"/>
      <c r="F2689" s="90"/>
      <c r="G2689" s="84"/>
      <c r="H2689" s="87"/>
      <c r="I2689" s="84"/>
      <c r="J2689" s="87"/>
      <c r="K2689" s="84"/>
      <c r="L2689" s="87"/>
    </row>
    <row r="2690" spans="1:12" ht="12" customHeight="1" x14ac:dyDescent="0.35">
      <c r="B2690" s="84"/>
      <c r="C2690" s="85"/>
      <c r="D2690" s="84"/>
      <c r="E2690" s="84"/>
      <c r="F2690" s="128"/>
      <c r="G2690" s="87"/>
      <c r="H2690" s="87">
        <f>F2690*G2690</f>
        <v>0</v>
      </c>
      <c r="I2690" s="87"/>
      <c r="J2690" s="87">
        <f>H2690*I2690</f>
        <v>0</v>
      </c>
      <c r="K2690" s="87"/>
      <c r="L2690" s="87">
        <f>J2690*K2690</f>
        <v>0</v>
      </c>
    </row>
    <row r="2691" spans="1:12" ht="12" customHeight="1" x14ac:dyDescent="0.35">
      <c r="B2691" s="84"/>
      <c r="C2691" s="85"/>
      <c r="D2691" s="84"/>
      <c r="E2691" s="84"/>
      <c r="F2691" s="128"/>
      <c r="G2691" s="87"/>
      <c r="H2691" s="87">
        <f>F2691*G2691</f>
        <v>0</v>
      </c>
      <c r="I2691" s="87"/>
      <c r="J2691" s="87"/>
      <c r="K2691" s="87"/>
      <c r="L2691" s="87"/>
    </row>
    <row r="2692" spans="1:12" ht="12" customHeight="1" x14ac:dyDescent="0.35">
      <c r="B2692" s="84"/>
      <c r="C2692" s="85"/>
      <c r="D2692" s="84"/>
      <c r="E2692" s="84"/>
      <c r="F2692" s="128"/>
      <c r="G2692" s="87"/>
      <c r="H2692" s="87">
        <f>F2692*G2692</f>
        <v>0</v>
      </c>
      <c r="I2692" s="87"/>
      <c r="J2692" s="87"/>
      <c r="K2692" s="87"/>
      <c r="L2692" s="87"/>
    </row>
    <row r="2693" spans="1:12" ht="12" customHeight="1" x14ac:dyDescent="0.35">
      <c r="B2693" s="84"/>
      <c r="C2693" s="88"/>
      <c r="D2693" s="79"/>
      <c r="E2693" s="79"/>
      <c r="F2693" s="89" t="s">
        <v>425</v>
      </c>
      <c r="G2693" s="101"/>
      <c r="H2693" s="87">
        <f>SUM(H2690:H2692)</f>
        <v>0</v>
      </c>
      <c r="I2693" s="101"/>
      <c r="J2693" s="87">
        <f>SUM(J2690)</f>
        <v>0</v>
      </c>
      <c r="K2693" s="101"/>
      <c r="L2693" s="87">
        <f>SUM(L2690)</f>
        <v>0</v>
      </c>
    </row>
    <row r="2694" spans="1:12" ht="12" customHeight="1" x14ac:dyDescent="0.35">
      <c r="B2694" s="84" t="s">
        <v>8</v>
      </c>
      <c r="C2694" s="103" t="s">
        <v>426</v>
      </c>
      <c r="D2694" s="104"/>
      <c r="E2694" s="104"/>
      <c r="F2694" s="104"/>
      <c r="G2694" s="105"/>
      <c r="H2694" s="87" t="e">
        <f>H2682+H2688+H2693</f>
        <v>#REF!</v>
      </c>
      <c r="I2694" s="105"/>
      <c r="J2694" s="87" t="e">
        <f>J2682+J2688+J2693</f>
        <v>#REF!</v>
      </c>
      <c r="K2694" s="105"/>
      <c r="L2694" s="87" t="e">
        <f>L2682+L2688+L2693</f>
        <v>#REF!</v>
      </c>
    </row>
    <row r="2695" spans="1:12" ht="12" customHeight="1" x14ac:dyDescent="0.35">
      <c r="B2695" s="84" t="s">
        <v>9</v>
      </c>
      <c r="C2695" s="455" t="s">
        <v>427</v>
      </c>
      <c r="D2695" s="455"/>
      <c r="E2695" s="455"/>
      <c r="F2695" s="95" t="str">
        <f>OP</f>
        <v>TANJUNG PALAS TENGAH</v>
      </c>
      <c r="G2695" s="85" t="s">
        <v>428</v>
      </c>
      <c r="H2695" s="87" t="e">
        <f>H2694*F2695</f>
        <v>#REF!</v>
      </c>
      <c r="I2695" s="85" t="s">
        <v>428</v>
      </c>
      <c r="J2695" s="87" t="e">
        <f>J2694*F2695</f>
        <v>#REF!</v>
      </c>
      <c r="K2695" s="85" t="s">
        <v>428</v>
      </c>
      <c r="L2695" s="87" t="e">
        <f>L2694*F2695</f>
        <v>#REF!</v>
      </c>
    </row>
    <row r="2696" spans="1:12" ht="12" customHeight="1" x14ac:dyDescent="0.35">
      <c r="B2696" s="84" t="s">
        <v>10</v>
      </c>
      <c r="C2696" s="103" t="s">
        <v>429</v>
      </c>
      <c r="D2696" s="104"/>
      <c r="E2696" s="104"/>
      <c r="F2696" s="104"/>
      <c r="G2696" s="105"/>
      <c r="H2696" s="96" t="e">
        <f>H2694+H2695</f>
        <v>#REF!</v>
      </c>
      <c r="I2696" s="97"/>
      <c r="J2696" s="96" t="e">
        <f>J2694+J2695</f>
        <v>#REF!</v>
      </c>
      <c r="K2696" s="97"/>
      <c r="L2696" s="96" t="e">
        <f>L2694+L2695</f>
        <v>#REF!</v>
      </c>
    </row>
    <row r="2697" spans="1:12" ht="14" customHeight="1" x14ac:dyDescent="0.35"/>
    <row r="2698" spans="1:12" ht="37" customHeight="1" x14ac:dyDescent="0.35">
      <c r="B2698" s="76" t="s">
        <v>769</v>
      </c>
      <c r="C2698" s="458" t="s">
        <v>770</v>
      </c>
      <c r="D2698" s="459"/>
      <c r="E2698" s="459"/>
      <c r="F2698" s="459"/>
      <c r="G2698" s="456"/>
      <c r="H2698" s="457"/>
      <c r="I2698" s="455" t="s">
        <v>3</v>
      </c>
      <c r="J2698" s="455"/>
      <c r="K2698" s="455" t="s">
        <v>4</v>
      </c>
      <c r="L2698" s="455"/>
    </row>
    <row r="2699" spans="1:12" ht="12" customHeight="1" x14ac:dyDescent="0.35">
      <c r="B2699" s="451" t="s">
        <v>409</v>
      </c>
      <c r="C2699" s="451" t="s">
        <v>410</v>
      </c>
      <c r="D2699" s="452" t="s">
        <v>411</v>
      </c>
      <c r="E2699" s="451" t="s">
        <v>412</v>
      </c>
      <c r="F2699" s="451" t="s">
        <v>413</v>
      </c>
      <c r="G2699" s="77" t="s">
        <v>414</v>
      </c>
      <c r="H2699" s="77" t="s">
        <v>415</v>
      </c>
      <c r="I2699" s="78" t="s">
        <v>414</v>
      </c>
      <c r="J2699" s="79" t="s">
        <v>415</v>
      </c>
      <c r="K2699" s="79" t="s">
        <v>414</v>
      </c>
      <c r="L2699" s="79" t="s">
        <v>415</v>
      </c>
    </row>
    <row r="2700" spans="1:12" ht="12" customHeight="1" x14ac:dyDescent="0.35">
      <c r="B2700" s="451"/>
      <c r="C2700" s="451"/>
      <c r="D2700" s="453"/>
      <c r="E2700" s="451"/>
      <c r="F2700" s="451"/>
      <c r="G2700" s="77" t="s">
        <v>17</v>
      </c>
      <c r="H2700" s="77" t="s">
        <v>416</v>
      </c>
      <c r="I2700" s="78" t="s">
        <v>17</v>
      </c>
      <c r="J2700" s="79" t="s">
        <v>416</v>
      </c>
      <c r="K2700" s="79" t="s">
        <v>17</v>
      </c>
      <c r="L2700" s="79" t="s">
        <v>416</v>
      </c>
    </row>
    <row r="2701" spans="1:12" ht="12" customHeight="1" x14ac:dyDescent="0.35">
      <c r="B2701" s="451"/>
      <c r="C2701" s="451"/>
      <c r="D2701" s="454"/>
      <c r="E2701" s="451"/>
      <c r="F2701" s="451"/>
      <c r="G2701" s="106"/>
      <c r="H2701" s="77" t="s">
        <v>17</v>
      </c>
      <c r="I2701" s="94"/>
      <c r="J2701" s="79" t="s">
        <v>17</v>
      </c>
      <c r="K2701" s="85"/>
      <c r="L2701" s="79" t="s">
        <v>17</v>
      </c>
    </row>
    <row r="2702" spans="1:12" ht="12" customHeight="1" x14ac:dyDescent="0.35">
      <c r="B2702" s="80" t="s">
        <v>5</v>
      </c>
      <c r="C2702" s="81" t="s">
        <v>417</v>
      </c>
      <c r="D2702" s="82"/>
      <c r="E2702" s="82"/>
      <c r="F2702" s="82"/>
      <c r="G2702" s="82"/>
      <c r="H2702" s="82"/>
      <c r="I2702" s="83"/>
      <c r="J2702" s="83"/>
      <c r="K2702" s="83"/>
      <c r="L2702" s="83"/>
    </row>
    <row r="2703" spans="1:12" ht="12" customHeight="1" x14ac:dyDescent="0.35">
      <c r="A2703" s="134">
        <v>10130000</v>
      </c>
      <c r="B2703" s="84"/>
      <c r="C2703" s="85" t="str">
        <f>VLOOKUP(A2703,'DAFTAR HARGA'!A:D,3,FALSE)</f>
        <v>OH</v>
      </c>
      <c r="D2703" s="84" t="s">
        <v>418</v>
      </c>
      <c r="E2703" s="84">
        <f>VLOOKUP(A2703,'DAFTAR HARGA'!A:D,4,FALSE)</f>
        <v>115000</v>
      </c>
      <c r="F2703" s="128">
        <v>1.65</v>
      </c>
      <c r="G2703" s="87" t="e">
        <f>VLOOKUP(A2703,'DAFTAR HARGA'!A:D,5,FALSE)</f>
        <v>#REF!</v>
      </c>
      <c r="H2703" s="87" t="e">
        <f>F2703*G2703</f>
        <v>#REF!</v>
      </c>
      <c r="I2703" s="87">
        <v>91500</v>
      </c>
      <c r="J2703" s="87">
        <f>F2703*I2703</f>
        <v>150975</v>
      </c>
      <c r="K2703" s="87">
        <v>91500</v>
      </c>
      <c r="L2703" s="87">
        <f>F2703*K2703</f>
        <v>150975</v>
      </c>
    </row>
    <row r="2704" spans="1:12" ht="12" customHeight="1" x14ac:dyDescent="0.35">
      <c r="A2704" s="134">
        <v>10143000</v>
      </c>
      <c r="B2704" s="84"/>
      <c r="C2704" s="85" t="str">
        <f>VLOOKUP(A2704,'DAFTAR HARGA'!A:D,3,FALSE)</f>
        <v>OH</v>
      </c>
      <c r="D2704" s="84" t="s">
        <v>418</v>
      </c>
      <c r="E2704" s="84">
        <f>VLOOKUP(A2704,'DAFTAR HARGA'!A:D,4,FALSE)</f>
        <v>236600</v>
      </c>
      <c r="F2704" s="128">
        <v>0.27500000000000002</v>
      </c>
      <c r="G2704" s="87" t="e">
        <f>VLOOKUP(A2704,'DAFTAR HARGA'!A:D,5,FALSE)</f>
        <v>#REF!</v>
      </c>
      <c r="H2704" s="87" t="e">
        <f>F2704*G2704</f>
        <v>#REF!</v>
      </c>
      <c r="I2704" s="87"/>
      <c r="J2704" s="87"/>
      <c r="K2704" s="87"/>
      <c r="L2704" s="87"/>
    </row>
    <row r="2705" spans="1:18" ht="12" customHeight="1" x14ac:dyDescent="0.35">
      <c r="A2705" s="134">
        <v>10120000</v>
      </c>
      <c r="B2705" s="84"/>
      <c r="C2705" s="85" t="str">
        <f>VLOOKUP(A2705,'DAFTAR HARGA'!A:D,3,FALSE)</f>
        <v>OH</v>
      </c>
      <c r="D2705" s="84" t="s">
        <v>418</v>
      </c>
      <c r="E2705" s="84">
        <f>VLOOKUP(A2705,'DAFTAR HARGA'!A:D,4,FALSE)</f>
        <v>130000</v>
      </c>
      <c r="F2705" s="128">
        <f>F2704/10</f>
        <v>2.7500000000000004E-2</v>
      </c>
      <c r="G2705" s="87" t="e">
        <f>VLOOKUP(A2705,'DAFTAR HARGA'!A:D,5,FALSE)</f>
        <v>#REF!</v>
      </c>
      <c r="H2705" s="87" t="e">
        <f>F2705*G2705</f>
        <v>#REF!</v>
      </c>
      <c r="I2705" s="87"/>
      <c r="J2705" s="87"/>
      <c r="K2705" s="87"/>
      <c r="L2705" s="87"/>
    </row>
    <row r="2706" spans="1:18" ht="12" customHeight="1" x14ac:dyDescent="0.35">
      <c r="A2706" s="134">
        <v>10110000</v>
      </c>
      <c r="B2706" s="84"/>
      <c r="C2706" s="85" t="str">
        <f>VLOOKUP(A2706,'DAFTAR HARGA'!A:D,3,FALSE)</f>
        <v>OH</v>
      </c>
      <c r="D2706" s="84" t="s">
        <v>418</v>
      </c>
      <c r="E2706" s="84">
        <f>VLOOKUP(A2706,'DAFTAR HARGA'!A:D,4,FALSE)</f>
        <v>150000</v>
      </c>
      <c r="F2706" s="128">
        <f>F2703/10</f>
        <v>0.16499999999999998</v>
      </c>
      <c r="G2706" s="87" t="e">
        <f>VLOOKUP(A2706,'DAFTAR HARGA'!A:D,5,FALSE)</f>
        <v>#REF!</v>
      </c>
      <c r="H2706" s="87" t="e">
        <f>F2706*G2706</f>
        <v>#REF!</v>
      </c>
      <c r="I2706" s="87">
        <v>92500</v>
      </c>
      <c r="J2706" s="87">
        <f>F2706*I2706</f>
        <v>15262.499999999998</v>
      </c>
      <c r="K2706" s="87">
        <v>92500</v>
      </c>
      <c r="L2706" s="87">
        <f>F2706*K2706</f>
        <v>15262.499999999998</v>
      </c>
    </row>
    <row r="2707" spans="1:18" ht="12" customHeight="1" x14ac:dyDescent="0.35">
      <c r="B2707" s="84"/>
      <c r="C2707" s="85"/>
      <c r="D2707" s="84"/>
      <c r="E2707" s="84"/>
      <c r="F2707" s="86"/>
      <c r="G2707" s="87"/>
      <c r="H2707" s="87"/>
      <c r="I2707" s="87"/>
      <c r="J2707" s="87"/>
      <c r="K2707" s="87"/>
      <c r="L2707" s="87"/>
    </row>
    <row r="2708" spans="1:18" ht="12" customHeight="1" x14ac:dyDescent="0.35">
      <c r="B2708" s="84"/>
      <c r="C2708" s="88"/>
      <c r="D2708" s="79"/>
      <c r="E2708" s="79"/>
      <c r="F2708" s="89" t="s">
        <v>421</v>
      </c>
      <c r="G2708" s="101"/>
      <c r="H2708" s="87" t="e">
        <f>SUM(H2703:H2707)</f>
        <v>#REF!</v>
      </c>
      <c r="I2708" s="101"/>
      <c r="J2708" s="87">
        <f>SUM(J2706:J2707)</f>
        <v>15262.499999999998</v>
      </c>
      <c r="K2708" s="101"/>
      <c r="L2708" s="87">
        <f>SUM(L2706:L2707)</f>
        <v>15262.499999999998</v>
      </c>
    </row>
    <row r="2709" spans="1:18" ht="12" customHeight="1" x14ac:dyDescent="0.35">
      <c r="B2709" s="84" t="s">
        <v>6</v>
      </c>
      <c r="C2709" s="88" t="s">
        <v>422</v>
      </c>
      <c r="D2709" s="79"/>
      <c r="E2709" s="79"/>
      <c r="F2709" s="90"/>
      <c r="G2709" s="84"/>
      <c r="H2709" s="87"/>
      <c r="I2709" s="84"/>
      <c r="J2709" s="87"/>
      <c r="K2709" s="84"/>
      <c r="L2709" s="87"/>
    </row>
    <row r="2710" spans="1:18" ht="26" customHeight="1" x14ac:dyDescent="0.35">
      <c r="A2710" s="134">
        <v>21301000</v>
      </c>
      <c r="B2710" s="84"/>
      <c r="C2710" s="85" t="str">
        <f>VLOOKUP(A2710,'DAFTAR HARGA'!A:D,3,FALSE)</f>
        <v>Kg</v>
      </c>
      <c r="D2710" s="84" t="s">
        <v>418</v>
      </c>
      <c r="E2710" s="84">
        <f>VLOOKUP(A2710,'DAFTAR HARGA'!A:D,4,FALSE)</f>
        <v>1350</v>
      </c>
      <c r="F2710" s="128">
        <v>348</v>
      </c>
      <c r="G2710" s="87" t="e">
        <f>VLOOKUP(A2710,'DAFTAR HARGA'!A:D,5,FALSE)</f>
        <v>#REF!</v>
      </c>
      <c r="H2710" s="87" t="e">
        <f>F2710*G2710</f>
        <v>#REF!</v>
      </c>
      <c r="I2710" s="87">
        <v>232500</v>
      </c>
      <c r="J2710" s="87">
        <f>F2710*I2710</f>
        <v>80910000</v>
      </c>
      <c r="K2710" s="87">
        <v>270000</v>
      </c>
      <c r="L2710" s="87">
        <f>F2710*K2710</f>
        <v>93960000</v>
      </c>
    </row>
    <row r="2711" spans="1:18" ht="12" customHeight="1" x14ac:dyDescent="0.35">
      <c r="A2711" s="134">
        <v>211100115</v>
      </c>
      <c r="B2711" s="84"/>
      <c r="C2711" s="85" t="str">
        <f>VLOOKUP(A2711,'DAFTAR HARGA'!A:D,3,FALSE)</f>
        <v>kg</v>
      </c>
      <c r="D2711" s="84" t="s">
        <v>418</v>
      </c>
      <c r="E2711" s="84">
        <f>VLOOKUP(A2711,'DAFTAR HARGA'!A:D,4,FALSE)</f>
        <v>157.14285714285714</v>
      </c>
      <c r="F2711" s="128">
        <v>790</v>
      </c>
      <c r="G2711" s="87" t="e">
        <f>VLOOKUP(A2711,'DAFTAR HARGA'!A:D,5,FALSE)</f>
        <v>#REF!</v>
      </c>
      <c r="H2711" s="87" t="e">
        <f>F2711*G2711</f>
        <v>#REF!</v>
      </c>
      <c r="I2711" s="87">
        <v>1060</v>
      </c>
      <c r="J2711" s="87">
        <f>F2711*I2711</f>
        <v>837400</v>
      </c>
      <c r="K2711" s="87">
        <v>1060</v>
      </c>
      <c r="L2711" s="87">
        <f>F2711*K2711</f>
        <v>837400</v>
      </c>
      <c r="N2711" s="75">
        <v>1</v>
      </c>
      <c r="O2711" s="75" t="s">
        <v>40</v>
      </c>
      <c r="P2711" s="75" t="s">
        <v>765</v>
      </c>
      <c r="Q2711" s="75">
        <v>6.2500000000000001E-4</v>
      </c>
      <c r="R2711" s="75" t="s">
        <v>43</v>
      </c>
    </row>
    <row r="2712" spans="1:18" ht="12" customHeight="1" x14ac:dyDescent="0.35">
      <c r="A2712" s="134" t="s">
        <v>766</v>
      </c>
      <c r="B2712" s="84"/>
      <c r="C2712" s="85" t="str">
        <f>VLOOKUP(A2712,'DAFTAR HARGA'!A:D,3,FALSE)</f>
        <v>kg</v>
      </c>
      <c r="D2712" s="84" t="s">
        <v>418</v>
      </c>
      <c r="E2712" s="84">
        <f>VLOOKUP(A2712,'DAFTAR HARGA'!A:D,4,FALSE)</f>
        <v>171.875</v>
      </c>
      <c r="F2712" s="128">
        <v>1009</v>
      </c>
      <c r="G2712" s="87" t="e">
        <f>VLOOKUP(A2712,'DAFTAR HARGA'!A:D,5,FALSE)</f>
        <v>#REF!</v>
      </c>
      <c r="H2712" s="87" t="e">
        <f>F2712*G2712</f>
        <v>#REF!</v>
      </c>
      <c r="I2712" s="87">
        <v>215000</v>
      </c>
      <c r="J2712" s="87">
        <f>F2712*I2712</f>
        <v>216935000</v>
      </c>
      <c r="K2712" s="87">
        <v>250000</v>
      </c>
      <c r="L2712" s="87">
        <f>F2712*K2712</f>
        <v>252250000</v>
      </c>
      <c r="N2712" s="75">
        <f>N2711/Q2711</f>
        <v>1600</v>
      </c>
      <c r="O2712" s="75" t="s">
        <v>40</v>
      </c>
      <c r="P2712" s="75" t="s">
        <v>765</v>
      </c>
      <c r="Q2712" s="75">
        <v>1</v>
      </c>
      <c r="R2712" s="75" t="s">
        <v>43</v>
      </c>
    </row>
    <row r="2713" spans="1:18" ht="12" customHeight="1" x14ac:dyDescent="0.35">
      <c r="A2713" s="134">
        <v>21962000</v>
      </c>
      <c r="B2713" s="84"/>
      <c r="C2713" s="85">
        <f>VLOOKUP(A2713,'DAFTAR HARGA'!A:D,3,FALSE)</f>
        <v>0</v>
      </c>
      <c r="D2713" s="84" t="s">
        <v>418</v>
      </c>
      <c r="E2713" s="84">
        <f>VLOOKUP(A2713,'DAFTAR HARGA'!A:D,4,FALSE)</f>
        <v>35</v>
      </c>
      <c r="F2713" s="128">
        <v>202</v>
      </c>
      <c r="G2713" s="87" t="e">
        <f>VLOOKUP(A2713,'DAFTAR HARGA'!A:D,5,FALSE)</f>
        <v>#REF!</v>
      </c>
      <c r="H2713" s="87" t="e">
        <f>F2713*G2713</f>
        <v>#REF!</v>
      </c>
      <c r="I2713" s="87"/>
      <c r="J2713" s="87"/>
      <c r="K2713" s="87"/>
      <c r="L2713" s="87"/>
    </row>
    <row r="2714" spans="1:18" ht="12" customHeight="1" x14ac:dyDescent="0.35">
      <c r="B2714" s="84"/>
      <c r="C2714" s="88"/>
      <c r="D2714" s="79"/>
      <c r="E2714" s="79"/>
      <c r="F2714" s="129" t="s">
        <v>423</v>
      </c>
      <c r="G2714" s="129"/>
      <c r="H2714" s="87" t="e">
        <f>SUM(H2710:H2713)</f>
        <v>#REF!</v>
      </c>
      <c r="I2714" s="101"/>
      <c r="J2714" s="87" t="e">
        <f>SUM(#REF!)</f>
        <v>#REF!</v>
      </c>
      <c r="K2714" s="101"/>
      <c r="L2714" s="87" t="e">
        <f>SUM(#REF!)</f>
        <v>#REF!</v>
      </c>
    </row>
    <row r="2715" spans="1:18" ht="12" customHeight="1" x14ac:dyDescent="0.35">
      <c r="B2715" s="84" t="s">
        <v>7</v>
      </c>
      <c r="C2715" s="88" t="s">
        <v>424</v>
      </c>
      <c r="D2715" s="79"/>
      <c r="E2715" s="79"/>
      <c r="F2715" s="90"/>
      <c r="G2715" s="84"/>
      <c r="H2715" s="87"/>
      <c r="I2715" s="84"/>
      <c r="J2715" s="87"/>
      <c r="K2715" s="84"/>
      <c r="L2715" s="87"/>
    </row>
    <row r="2716" spans="1:18" ht="12" customHeight="1" x14ac:dyDescent="0.35">
      <c r="B2716" s="84"/>
      <c r="C2716" s="85"/>
      <c r="D2716" s="84"/>
      <c r="E2716" s="84"/>
      <c r="F2716" s="128"/>
      <c r="G2716" s="87"/>
      <c r="H2716" s="87">
        <f>F2716*G2716</f>
        <v>0</v>
      </c>
      <c r="I2716" s="87"/>
      <c r="J2716" s="87">
        <f>H2716*I2716</f>
        <v>0</v>
      </c>
      <c r="K2716" s="87"/>
      <c r="L2716" s="87">
        <f>J2716*K2716</f>
        <v>0</v>
      </c>
    </row>
    <row r="2717" spans="1:18" ht="12" customHeight="1" x14ac:dyDescent="0.35">
      <c r="B2717" s="84"/>
      <c r="C2717" s="85"/>
      <c r="D2717" s="84"/>
      <c r="E2717" s="84"/>
      <c r="F2717" s="128"/>
      <c r="G2717" s="87"/>
      <c r="H2717" s="87">
        <f>F2717*G2717</f>
        <v>0</v>
      </c>
      <c r="I2717" s="87"/>
      <c r="J2717" s="87"/>
      <c r="K2717" s="87"/>
      <c r="L2717" s="87"/>
    </row>
    <row r="2718" spans="1:18" ht="12" customHeight="1" x14ac:dyDescent="0.35">
      <c r="B2718" s="84"/>
      <c r="C2718" s="85"/>
      <c r="D2718" s="84"/>
      <c r="E2718" s="84"/>
      <c r="F2718" s="128"/>
      <c r="G2718" s="87"/>
      <c r="H2718" s="87">
        <f>F2718*G2718</f>
        <v>0</v>
      </c>
      <c r="I2718" s="87"/>
      <c r="J2718" s="87"/>
      <c r="K2718" s="87"/>
      <c r="L2718" s="87"/>
    </row>
    <row r="2719" spans="1:18" ht="12" customHeight="1" x14ac:dyDescent="0.35">
      <c r="B2719" s="84"/>
      <c r="C2719" s="88"/>
      <c r="D2719" s="79"/>
      <c r="E2719" s="79"/>
      <c r="F2719" s="89" t="s">
        <v>425</v>
      </c>
      <c r="G2719" s="101"/>
      <c r="H2719" s="87">
        <f>SUM(H2716:H2718)</f>
        <v>0</v>
      </c>
      <c r="I2719" s="101"/>
      <c r="J2719" s="87">
        <f>SUM(J2716)</f>
        <v>0</v>
      </c>
      <c r="K2719" s="101"/>
      <c r="L2719" s="87">
        <f>SUM(L2716)</f>
        <v>0</v>
      </c>
    </row>
    <row r="2720" spans="1:18" ht="12" customHeight="1" x14ac:dyDescent="0.35">
      <c r="B2720" s="84" t="s">
        <v>8</v>
      </c>
      <c r="C2720" s="103" t="s">
        <v>426</v>
      </c>
      <c r="D2720" s="104"/>
      <c r="E2720" s="104"/>
      <c r="F2720" s="104"/>
      <c r="G2720" s="105"/>
      <c r="H2720" s="87" t="e">
        <f>H2708+H2714+H2719</f>
        <v>#REF!</v>
      </c>
      <c r="I2720" s="105"/>
      <c r="J2720" s="87" t="e">
        <f>J2708+J2714+J2719</f>
        <v>#REF!</v>
      </c>
      <c r="K2720" s="105"/>
      <c r="L2720" s="87" t="e">
        <f>L2708+L2714+L2719</f>
        <v>#REF!</v>
      </c>
    </row>
    <row r="2721" spans="1:12" ht="12" customHeight="1" x14ac:dyDescent="0.35">
      <c r="B2721" s="84" t="s">
        <v>9</v>
      </c>
      <c r="C2721" s="455" t="s">
        <v>427</v>
      </c>
      <c r="D2721" s="455"/>
      <c r="E2721" s="455"/>
      <c r="F2721" s="95" t="str">
        <f>OP</f>
        <v>TANJUNG PALAS TENGAH</v>
      </c>
      <c r="G2721" s="85" t="s">
        <v>428</v>
      </c>
      <c r="H2721" s="87" t="e">
        <f>H2720*F2721</f>
        <v>#REF!</v>
      </c>
      <c r="I2721" s="85" t="s">
        <v>428</v>
      </c>
      <c r="J2721" s="87" t="e">
        <f>J2720*F2721</f>
        <v>#REF!</v>
      </c>
      <c r="K2721" s="85" t="s">
        <v>428</v>
      </c>
      <c r="L2721" s="87" t="e">
        <f>L2720*F2721</f>
        <v>#REF!</v>
      </c>
    </row>
    <row r="2722" spans="1:12" ht="12" customHeight="1" x14ac:dyDescent="0.35">
      <c r="B2722" s="84" t="s">
        <v>10</v>
      </c>
      <c r="C2722" s="103" t="s">
        <v>429</v>
      </c>
      <c r="D2722" s="104"/>
      <c r="E2722" s="104"/>
      <c r="F2722" s="104"/>
      <c r="G2722" s="105"/>
      <c r="H2722" s="96" t="e">
        <f>H2720+H2721</f>
        <v>#REF!</v>
      </c>
      <c r="I2722" s="97"/>
      <c r="J2722" s="96" t="e">
        <f>J2720+J2721</f>
        <v>#REF!</v>
      </c>
      <c r="K2722" s="97"/>
      <c r="L2722" s="96" t="e">
        <f>L2720+L2721</f>
        <v>#REF!</v>
      </c>
    </row>
    <row r="2723" spans="1:12" ht="14" customHeight="1" x14ac:dyDescent="0.35"/>
    <row r="2724" spans="1:12" ht="37" customHeight="1" x14ac:dyDescent="0.35">
      <c r="B2724" s="76" t="s">
        <v>771</v>
      </c>
      <c r="C2724" s="458" t="s">
        <v>772</v>
      </c>
      <c r="D2724" s="459"/>
      <c r="E2724" s="459"/>
      <c r="F2724" s="459"/>
      <c r="G2724" s="456"/>
      <c r="H2724" s="457"/>
      <c r="I2724" s="455" t="s">
        <v>3</v>
      </c>
      <c r="J2724" s="455"/>
      <c r="K2724" s="455" t="s">
        <v>4</v>
      </c>
      <c r="L2724" s="455"/>
    </row>
    <row r="2725" spans="1:12" ht="12" customHeight="1" x14ac:dyDescent="0.35">
      <c r="B2725" s="451" t="s">
        <v>409</v>
      </c>
      <c r="C2725" s="451" t="s">
        <v>410</v>
      </c>
      <c r="D2725" s="452" t="s">
        <v>411</v>
      </c>
      <c r="E2725" s="451" t="s">
        <v>412</v>
      </c>
      <c r="F2725" s="451" t="s">
        <v>413</v>
      </c>
      <c r="G2725" s="77" t="s">
        <v>414</v>
      </c>
      <c r="H2725" s="77" t="s">
        <v>415</v>
      </c>
      <c r="I2725" s="78" t="s">
        <v>414</v>
      </c>
      <c r="J2725" s="79" t="s">
        <v>415</v>
      </c>
      <c r="K2725" s="79" t="s">
        <v>414</v>
      </c>
      <c r="L2725" s="79" t="s">
        <v>415</v>
      </c>
    </row>
    <row r="2726" spans="1:12" ht="12" customHeight="1" x14ac:dyDescent="0.35">
      <c r="B2726" s="451"/>
      <c r="C2726" s="451"/>
      <c r="D2726" s="453"/>
      <c r="E2726" s="451"/>
      <c r="F2726" s="451"/>
      <c r="G2726" s="77" t="s">
        <v>17</v>
      </c>
      <c r="H2726" s="77" t="s">
        <v>416</v>
      </c>
      <c r="I2726" s="78" t="s">
        <v>17</v>
      </c>
      <c r="J2726" s="79" t="s">
        <v>416</v>
      </c>
      <c r="K2726" s="79" t="s">
        <v>17</v>
      </c>
      <c r="L2726" s="79" t="s">
        <v>416</v>
      </c>
    </row>
    <row r="2727" spans="1:12" ht="12" customHeight="1" x14ac:dyDescent="0.35">
      <c r="B2727" s="451"/>
      <c r="C2727" s="451"/>
      <c r="D2727" s="454"/>
      <c r="E2727" s="451"/>
      <c r="F2727" s="451"/>
      <c r="G2727" s="106"/>
      <c r="H2727" s="77" t="s">
        <v>17</v>
      </c>
      <c r="I2727" s="94"/>
      <c r="J2727" s="79" t="s">
        <v>17</v>
      </c>
      <c r="K2727" s="85"/>
      <c r="L2727" s="79" t="s">
        <v>17</v>
      </c>
    </row>
    <row r="2728" spans="1:12" ht="12" customHeight="1" x14ac:dyDescent="0.35">
      <c r="B2728" s="80" t="s">
        <v>5</v>
      </c>
      <c r="C2728" s="81" t="s">
        <v>417</v>
      </c>
      <c r="D2728" s="82"/>
      <c r="E2728" s="82"/>
      <c r="F2728" s="82"/>
      <c r="G2728" s="82"/>
      <c r="H2728" s="82"/>
      <c r="I2728" s="83"/>
      <c r="J2728" s="83"/>
      <c r="K2728" s="83"/>
      <c r="L2728" s="83"/>
    </row>
    <row r="2729" spans="1:12" ht="12" customHeight="1" x14ac:dyDescent="0.35">
      <c r="A2729" s="134">
        <v>10130000</v>
      </c>
      <c r="B2729" s="84"/>
      <c r="C2729" s="85" t="str">
        <f>VLOOKUP(A2729,'DAFTAR HARGA'!A:D,3,FALSE)</f>
        <v>OH</v>
      </c>
      <c r="D2729" s="84" t="s">
        <v>418</v>
      </c>
      <c r="E2729" s="84">
        <f>VLOOKUP(A2729,'DAFTAR HARGA'!A:D,4,FALSE)</f>
        <v>115000</v>
      </c>
      <c r="F2729" s="128">
        <v>1.65</v>
      </c>
      <c r="G2729" s="87" t="e">
        <f>VLOOKUP(A2729,'DAFTAR HARGA'!A:D,5,FALSE)</f>
        <v>#REF!</v>
      </c>
      <c r="H2729" s="87" t="e">
        <f>F2729*G2729</f>
        <v>#REF!</v>
      </c>
      <c r="I2729" s="87">
        <v>91500</v>
      </c>
      <c r="J2729" s="87">
        <f>F2729*I2729</f>
        <v>150975</v>
      </c>
      <c r="K2729" s="87">
        <v>91500</v>
      </c>
      <c r="L2729" s="87">
        <f>F2729*K2729</f>
        <v>150975</v>
      </c>
    </row>
    <row r="2730" spans="1:12" ht="12" customHeight="1" x14ac:dyDescent="0.35">
      <c r="A2730" s="134">
        <v>10143000</v>
      </c>
      <c r="B2730" s="84"/>
      <c r="C2730" s="85" t="str">
        <f>VLOOKUP(A2730,'DAFTAR HARGA'!A:D,3,FALSE)</f>
        <v>OH</v>
      </c>
      <c r="D2730" s="84" t="s">
        <v>418</v>
      </c>
      <c r="E2730" s="84">
        <f>VLOOKUP(A2730,'DAFTAR HARGA'!A:D,4,FALSE)</f>
        <v>236600</v>
      </c>
      <c r="F2730" s="128">
        <v>0.27500000000000002</v>
      </c>
      <c r="G2730" s="87" t="e">
        <f>VLOOKUP(A2730,'DAFTAR HARGA'!A:D,5,FALSE)</f>
        <v>#REF!</v>
      </c>
      <c r="H2730" s="87" t="e">
        <f>F2730*G2730</f>
        <v>#REF!</v>
      </c>
      <c r="I2730" s="87"/>
      <c r="J2730" s="87"/>
      <c r="K2730" s="87"/>
      <c r="L2730" s="87"/>
    </row>
    <row r="2731" spans="1:12" ht="12" customHeight="1" x14ac:dyDescent="0.35">
      <c r="A2731" s="134">
        <v>10120000</v>
      </c>
      <c r="B2731" s="84"/>
      <c r="C2731" s="85" t="str">
        <f>VLOOKUP(A2731,'DAFTAR HARGA'!A:D,3,FALSE)</f>
        <v>OH</v>
      </c>
      <c r="D2731" s="84" t="s">
        <v>418</v>
      </c>
      <c r="E2731" s="84">
        <f>VLOOKUP(A2731,'DAFTAR HARGA'!A:D,4,FALSE)</f>
        <v>130000</v>
      </c>
      <c r="F2731" s="128">
        <f>F2730/10</f>
        <v>2.7500000000000004E-2</v>
      </c>
      <c r="G2731" s="87" t="e">
        <f>VLOOKUP(A2731,'DAFTAR HARGA'!A:D,5,FALSE)</f>
        <v>#REF!</v>
      </c>
      <c r="H2731" s="87" t="e">
        <f>F2731*G2731</f>
        <v>#REF!</v>
      </c>
      <c r="I2731" s="87"/>
      <c r="J2731" s="87"/>
      <c r="K2731" s="87"/>
      <c r="L2731" s="87"/>
    </row>
    <row r="2732" spans="1:12" ht="12" customHeight="1" x14ac:dyDescent="0.35">
      <c r="A2732" s="134">
        <v>10110000</v>
      </c>
      <c r="B2732" s="84"/>
      <c r="C2732" s="85" t="str">
        <f>VLOOKUP(A2732,'DAFTAR HARGA'!A:D,3,FALSE)</f>
        <v>OH</v>
      </c>
      <c r="D2732" s="84" t="s">
        <v>418</v>
      </c>
      <c r="E2732" s="84">
        <f>VLOOKUP(A2732,'DAFTAR HARGA'!A:D,4,FALSE)</f>
        <v>150000</v>
      </c>
      <c r="F2732" s="128">
        <f>F2729/10</f>
        <v>0.16499999999999998</v>
      </c>
      <c r="G2732" s="87" t="e">
        <f>VLOOKUP(A2732,'DAFTAR HARGA'!A:D,5,FALSE)</f>
        <v>#REF!</v>
      </c>
      <c r="H2732" s="87" t="e">
        <f>F2732*G2732</f>
        <v>#REF!</v>
      </c>
      <c r="I2732" s="87">
        <v>92500</v>
      </c>
      <c r="J2732" s="87">
        <f>F2732*I2732</f>
        <v>15262.499999999998</v>
      </c>
      <c r="K2732" s="87">
        <v>92500</v>
      </c>
      <c r="L2732" s="87">
        <f>F2732*K2732</f>
        <v>15262.499999999998</v>
      </c>
    </row>
    <row r="2733" spans="1:12" ht="12" customHeight="1" x14ac:dyDescent="0.35">
      <c r="B2733" s="84"/>
      <c r="C2733" s="85"/>
      <c r="D2733" s="84"/>
      <c r="E2733" s="84"/>
      <c r="F2733" s="86"/>
      <c r="G2733" s="87"/>
      <c r="H2733" s="87"/>
      <c r="I2733" s="87"/>
      <c r="J2733" s="87"/>
      <c r="K2733" s="87"/>
      <c r="L2733" s="87"/>
    </row>
    <row r="2734" spans="1:12" ht="12" customHeight="1" x14ac:dyDescent="0.35">
      <c r="B2734" s="84"/>
      <c r="C2734" s="88"/>
      <c r="D2734" s="79"/>
      <c r="E2734" s="79"/>
      <c r="F2734" s="89" t="s">
        <v>421</v>
      </c>
      <c r="G2734" s="101"/>
      <c r="H2734" s="87" t="e">
        <f>SUM(H2729:H2733)</f>
        <v>#REF!</v>
      </c>
      <c r="I2734" s="101"/>
      <c r="J2734" s="87">
        <f>SUM(J2732:J2733)</f>
        <v>15262.499999999998</v>
      </c>
      <c r="K2734" s="101"/>
      <c r="L2734" s="87">
        <f>SUM(L2732:L2733)</f>
        <v>15262.499999999998</v>
      </c>
    </row>
    <row r="2735" spans="1:12" ht="12" customHeight="1" x14ac:dyDescent="0.35">
      <c r="B2735" s="84" t="s">
        <v>6</v>
      </c>
      <c r="C2735" s="88" t="s">
        <v>422</v>
      </c>
      <c r="D2735" s="79"/>
      <c r="E2735" s="79"/>
      <c r="F2735" s="90"/>
      <c r="G2735" s="84"/>
      <c r="H2735" s="87"/>
      <c r="I2735" s="84"/>
      <c r="J2735" s="87"/>
      <c r="K2735" s="84"/>
      <c r="L2735" s="87"/>
    </row>
    <row r="2736" spans="1:12" ht="26" customHeight="1" x14ac:dyDescent="0.35">
      <c r="A2736" s="134">
        <v>21301000</v>
      </c>
      <c r="B2736" s="84"/>
      <c r="C2736" s="85" t="str">
        <f>VLOOKUP(A2736,'DAFTAR HARGA'!A:D,3,FALSE)</f>
        <v>Kg</v>
      </c>
      <c r="D2736" s="84" t="s">
        <v>418</v>
      </c>
      <c r="E2736" s="84">
        <f>VLOOKUP(A2736,'DAFTAR HARGA'!A:D,4,FALSE)</f>
        <v>1350</v>
      </c>
      <c r="F2736" s="128">
        <v>407</v>
      </c>
      <c r="G2736" s="87" t="e">
        <f>VLOOKUP(A2736,'DAFTAR HARGA'!A:D,5,FALSE)</f>
        <v>#REF!</v>
      </c>
      <c r="H2736" s="87" t="e">
        <f>F2736*G2736</f>
        <v>#REF!</v>
      </c>
      <c r="I2736" s="87">
        <v>232500</v>
      </c>
      <c r="J2736" s="87">
        <f>F2736*I2736</f>
        <v>94627500</v>
      </c>
      <c r="K2736" s="87">
        <v>270000</v>
      </c>
      <c r="L2736" s="87">
        <f>F2736*K2736</f>
        <v>109890000</v>
      </c>
    </row>
    <row r="2737" spans="1:18" ht="12" customHeight="1" x14ac:dyDescent="0.35">
      <c r="A2737" s="134">
        <v>211100115</v>
      </c>
      <c r="B2737" s="84"/>
      <c r="C2737" s="85" t="str">
        <f>VLOOKUP(A2737,'DAFTAR HARGA'!A:D,3,FALSE)</f>
        <v>kg</v>
      </c>
      <c r="D2737" s="84" t="s">
        <v>418</v>
      </c>
      <c r="E2737" s="84">
        <f>VLOOKUP(A2737,'DAFTAR HARGA'!A:D,4,FALSE)</f>
        <v>157.14285714285714</v>
      </c>
      <c r="F2737" s="128">
        <v>731</v>
      </c>
      <c r="G2737" s="87" t="e">
        <f>VLOOKUP(A2737,'DAFTAR HARGA'!A:D,5,FALSE)</f>
        <v>#REF!</v>
      </c>
      <c r="H2737" s="87" t="e">
        <f>F2737*G2737</f>
        <v>#REF!</v>
      </c>
      <c r="I2737" s="87">
        <v>1060</v>
      </c>
      <c r="J2737" s="87">
        <f>F2737*I2737</f>
        <v>774860</v>
      </c>
      <c r="K2737" s="87">
        <v>1060</v>
      </c>
      <c r="L2737" s="87">
        <f>F2737*K2737</f>
        <v>774860</v>
      </c>
      <c r="N2737" s="75">
        <v>1</v>
      </c>
      <c r="O2737" s="75" t="s">
        <v>40</v>
      </c>
      <c r="P2737" s="75" t="s">
        <v>765</v>
      </c>
      <c r="Q2737" s="75">
        <v>6.2500000000000001E-4</v>
      </c>
      <c r="R2737" s="75" t="s">
        <v>43</v>
      </c>
    </row>
    <row r="2738" spans="1:18" ht="12" customHeight="1" x14ac:dyDescent="0.35">
      <c r="A2738" s="134" t="s">
        <v>766</v>
      </c>
      <c r="B2738" s="84"/>
      <c r="C2738" s="85" t="str">
        <f>VLOOKUP(A2738,'DAFTAR HARGA'!A:D,3,FALSE)</f>
        <v>kg</v>
      </c>
      <c r="D2738" s="84" t="s">
        <v>418</v>
      </c>
      <c r="E2738" s="84">
        <f>VLOOKUP(A2738,'DAFTAR HARGA'!A:D,4,FALSE)</f>
        <v>171.875</v>
      </c>
      <c r="F2738" s="128">
        <v>1009</v>
      </c>
      <c r="G2738" s="87" t="e">
        <f>VLOOKUP(A2738,'DAFTAR HARGA'!A:D,5,FALSE)</f>
        <v>#REF!</v>
      </c>
      <c r="H2738" s="87" t="e">
        <f>F2738*G2738</f>
        <v>#REF!</v>
      </c>
      <c r="I2738" s="87">
        <v>215000</v>
      </c>
      <c r="J2738" s="87">
        <f>F2738*I2738</f>
        <v>216935000</v>
      </c>
      <c r="K2738" s="87">
        <v>250000</v>
      </c>
      <c r="L2738" s="87">
        <f>F2738*K2738</f>
        <v>252250000</v>
      </c>
      <c r="N2738" s="75">
        <f>N2737/Q2737</f>
        <v>1600</v>
      </c>
      <c r="O2738" s="75" t="s">
        <v>40</v>
      </c>
      <c r="P2738" s="75" t="s">
        <v>765</v>
      </c>
      <c r="Q2738" s="75">
        <v>1</v>
      </c>
      <c r="R2738" s="75" t="s">
        <v>43</v>
      </c>
    </row>
    <row r="2739" spans="1:18" ht="12" customHeight="1" x14ac:dyDescent="0.35">
      <c r="A2739" s="134">
        <v>21962000</v>
      </c>
      <c r="B2739" s="84"/>
      <c r="C2739" s="85">
        <f>VLOOKUP(A2739,'DAFTAR HARGA'!A:D,3,FALSE)</f>
        <v>0</v>
      </c>
      <c r="D2739" s="84" t="s">
        <v>418</v>
      </c>
      <c r="E2739" s="84">
        <f>VLOOKUP(A2739,'DAFTAR HARGA'!A:D,4,FALSE)</f>
        <v>35</v>
      </c>
      <c r="F2739" s="128">
        <v>202</v>
      </c>
      <c r="G2739" s="87" t="e">
        <f>VLOOKUP(A2739,'DAFTAR HARGA'!A:D,5,FALSE)</f>
        <v>#REF!</v>
      </c>
      <c r="H2739" s="87" t="e">
        <f>F2739*G2739</f>
        <v>#REF!</v>
      </c>
      <c r="I2739" s="87"/>
      <c r="J2739" s="87"/>
      <c r="K2739" s="87"/>
      <c r="L2739" s="87"/>
    </row>
    <row r="2740" spans="1:18" ht="12" customHeight="1" x14ac:dyDescent="0.35">
      <c r="B2740" s="84"/>
      <c r="C2740" s="88"/>
      <c r="D2740" s="79"/>
      <c r="E2740" s="79"/>
      <c r="F2740" s="129" t="s">
        <v>423</v>
      </c>
      <c r="G2740" s="129"/>
      <c r="H2740" s="87" t="e">
        <f>SUM(H2736:H2739)</f>
        <v>#REF!</v>
      </c>
      <c r="I2740" s="101"/>
      <c r="J2740" s="87" t="e">
        <f>SUM(#REF!)</f>
        <v>#REF!</v>
      </c>
      <c r="K2740" s="101"/>
      <c r="L2740" s="87" t="e">
        <f>SUM(#REF!)</f>
        <v>#REF!</v>
      </c>
    </row>
    <row r="2741" spans="1:18" ht="12" customHeight="1" x14ac:dyDescent="0.35">
      <c r="B2741" s="84" t="s">
        <v>7</v>
      </c>
      <c r="C2741" s="88" t="s">
        <v>424</v>
      </c>
      <c r="D2741" s="79"/>
      <c r="E2741" s="79"/>
      <c r="F2741" s="90"/>
      <c r="G2741" s="84"/>
      <c r="H2741" s="87"/>
      <c r="I2741" s="84"/>
      <c r="J2741" s="87"/>
      <c r="K2741" s="84"/>
      <c r="L2741" s="87"/>
    </row>
    <row r="2742" spans="1:18" ht="12" customHeight="1" x14ac:dyDescent="0.35">
      <c r="B2742" s="84"/>
      <c r="C2742" s="85"/>
      <c r="D2742" s="84"/>
      <c r="E2742" s="84"/>
      <c r="F2742" s="128"/>
      <c r="G2742" s="87"/>
      <c r="H2742" s="87">
        <f>F2742*G2742</f>
        <v>0</v>
      </c>
      <c r="I2742" s="87"/>
      <c r="J2742" s="87">
        <f>H2742*I2742</f>
        <v>0</v>
      </c>
      <c r="K2742" s="87"/>
      <c r="L2742" s="87">
        <f>J2742*K2742</f>
        <v>0</v>
      </c>
    </row>
    <row r="2743" spans="1:18" ht="12" customHeight="1" x14ac:dyDescent="0.35">
      <c r="B2743" s="84"/>
      <c r="C2743" s="85"/>
      <c r="D2743" s="84"/>
      <c r="E2743" s="84"/>
      <c r="F2743" s="128"/>
      <c r="G2743" s="87"/>
      <c r="H2743" s="87">
        <f>F2743*G2743</f>
        <v>0</v>
      </c>
      <c r="I2743" s="87"/>
      <c r="J2743" s="87"/>
      <c r="K2743" s="87"/>
      <c r="L2743" s="87"/>
    </row>
    <row r="2744" spans="1:18" ht="12" customHeight="1" x14ac:dyDescent="0.35">
      <c r="B2744" s="84"/>
      <c r="C2744" s="85"/>
      <c r="D2744" s="84"/>
      <c r="E2744" s="84"/>
      <c r="F2744" s="128"/>
      <c r="G2744" s="87"/>
      <c r="H2744" s="87">
        <f>F2744*G2744</f>
        <v>0</v>
      </c>
      <c r="I2744" s="87"/>
      <c r="J2744" s="87"/>
      <c r="K2744" s="87"/>
      <c r="L2744" s="87"/>
    </row>
    <row r="2745" spans="1:18" ht="12" customHeight="1" x14ac:dyDescent="0.35">
      <c r="B2745" s="84"/>
      <c r="C2745" s="88"/>
      <c r="D2745" s="79"/>
      <c r="E2745" s="79"/>
      <c r="F2745" s="89" t="s">
        <v>425</v>
      </c>
      <c r="G2745" s="101"/>
      <c r="H2745" s="87">
        <f>SUM(H2742:H2744)</f>
        <v>0</v>
      </c>
      <c r="I2745" s="101"/>
      <c r="J2745" s="87">
        <f>SUM(J2742)</f>
        <v>0</v>
      </c>
      <c r="K2745" s="101"/>
      <c r="L2745" s="87">
        <f>SUM(L2742)</f>
        <v>0</v>
      </c>
    </row>
    <row r="2746" spans="1:18" ht="12" customHeight="1" x14ac:dyDescent="0.35">
      <c r="B2746" s="84" t="s">
        <v>8</v>
      </c>
      <c r="C2746" s="103" t="s">
        <v>426</v>
      </c>
      <c r="D2746" s="104"/>
      <c r="E2746" s="104"/>
      <c r="F2746" s="104"/>
      <c r="G2746" s="105"/>
      <c r="H2746" s="87" t="e">
        <f>H2734+H2740+H2745</f>
        <v>#REF!</v>
      </c>
      <c r="I2746" s="105"/>
      <c r="J2746" s="87" t="e">
        <f>J2734+J2740+J2745</f>
        <v>#REF!</v>
      </c>
      <c r="K2746" s="105"/>
      <c r="L2746" s="87" t="e">
        <f>L2734+L2740+L2745</f>
        <v>#REF!</v>
      </c>
    </row>
    <row r="2747" spans="1:18" ht="12" customHeight="1" x14ac:dyDescent="0.35">
      <c r="B2747" s="84" t="s">
        <v>9</v>
      </c>
      <c r="C2747" s="455" t="s">
        <v>427</v>
      </c>
      <c r="D2747" s="455"/>
      <c r="E2747" s="455"/>
      <c r="F2747" s="95" t="str">
        <f>OP</f>
        <v>TANJUNG PALAS TENGAH</v>
      </c>
      <c r="G2747" s="85" t="s">
        <v>428</v>
      </c>
      <c r="H2747" s="87" t="e">
        <f>H2746*F2747</f>
        <v>#REF!</v>
      </c>
      <c r="I2747" s="85" t="s">
        <v>428</v>
      </c>
      <c r="J2747" s="87" t="e">
        <f>J2746*F2747</f>
        <v>#REF!</v>
      </c>
      <c r="K2747" s="85" t="s">
        <v>428</v>
      </c>
      <c r="L2747" s="87" t="e">
        <f>L2746*F2747</f>
        <v>#REF!</v>
      </c>
    </row>
    <row r="2748" spans="1:18" ht="12" customHeight="1" x14ac:dyDescent="0.35">
      <c r="B2748" s="84" t="s">
        <v>10</v>
      </c>
      <c r="C2748" s="103" t="s">
        <v>429</v>
      </c>
      <c r="D2748" s="104"/>
      <c r="E2748" s="104"/>
      <c r="F2748" s="104"/>
      <c r="G2748" s="105"/>
      <c r="H2748" s="96" t="e">
        <f>H2746+H2747</f>
        <v>#REF!</v>
      </c>
      <c r="I2748" s="97"/>
      <c r="J2748" s="96" t="e">
        <f>J2746+J2747</f>
        <v>#REF!</v>
      </c>
      <c r="K2748" s="97"/>
      <c r="L2748" s="96" t="e">
        <f>L2746+L2747</f>
        <v>#REF!</v>
      </c>
    </row>
    <row r="2749" spans="1:18" ht="14" customHeight="1" x14ac:dyDescent="0.35"/>
    <row r="2750" spans="1:18" ht="37" customHeight="1" x14ac:dyDescent="0.35">
      <c r="B2750" s="76" t="s">
        <v>773</v>
      </c>
      <c r="C2750" s="458" t="s">
        <v>774</v>
      </c>
      <c r="D2750" s="459"/>
      <c r="E2750" s="459"/>
      <c r="F2750" s="459"/>
      <c r="G2750" s="456"/>
      <c r="H2750" s="457"/>
      <c r="I2750" s="455" t="s">
        <v>3</v>
      </c>
      <c r="J2750" s="455"/>
      <c r="K2750" s="455" t="s">
        <v>4</v>
      </c>
      <c r="L2750" s="455"/>
    </row>
    <row r="2751" spans="1:18" ht="12" customHeight="1" x14ac:dyDescent="0.35">
      <c r="B2751" s="451" t="s">
        <v>409</v>
      </c>
      <c r="C2751" s="451" t="s">
        <v>410</v>
      </c>
      <c r="D2751" s="452" t="s">
        <v>411</v>
      </c>
      <c r="E2751" s="451" t="s">
        <v>412</v>
      </c>
      <c r="F2751" s="451" t="s">
        <v>413</v>
      </c>
      <c r="G2751" s="77" t="s">
        <v>414</v>
      </c>
      <c r="H2751" s="77" t="s">
        <v>415</v>
      </c>
      <c r="I2751" s="78" t="s">
        <v>414</v>
      </c>
      <c r="J2751" s="79" t="s">
        <v>415</v>
      </c>
      <c r="K2751" s="79" t="s">
        <v>414</v>
      </c>
      <c r="L2751" s="79" t="s">
        <v>415</v>
      </c>
    </row>
    <row r="2752" spans="1:18" ht="12" customHeight="1" x14ac:dyDescent="0.35">
      <c r="B2752" s="451"/>
      <c r="C2752" s="451"/>
      <c r="D2752" s="453"/>
      <c r="E2752" s="451"/>
      <c r="F2752" s="451"/>
      <c r="G2752" s="77" t="s">
        <v>17</v>
      </c>
      <c r="H2752" s="77" t="s">
        <v>416</v>
      </c>
      <c r="I2752" s="78" t="s">
        <v>17</v>
      </c>
      <c r="J2752" s="79" t="s">
        <v>416</v>
      </c>
      <c r="K2752" s="79" t="s">
        <v>17</v>
      </c>
      <c r="L2752" s="79" t="s">
        <v>416</v>
      </c>
    </row>
    <row r="2753" spans="1:18" ht="12" customHeight="1" x14ac:dyDescent="0.35">
      <c r="B2753" s="451"/>
      <c r="C2753" s="451"/>
      <c r="D2753" s="454"/>
      <c r="E2753" s="451"/>
      <c r="F2753" s="451"/>
      <c r="G2753" s="106"/>
      <c r="H2753" s="77" t="s">
        <v>17</v>
      </c>
      <c r="I2753" s="94"/>
      <c r="J2753" s="79" t="s">
        <v>17</v>
      </c>
      <c r="K2753" s="85"/>
      <c r="L2753" s="79" t="s">
        <v>17</v>
      </c>
    </row>
    <row r="2754" spans="1:18" ht="12" customHeight="1" x14ac:dyDescent="0.35">
      <c r="B2754" s="80" t="s">
        <v>5</v>
      </c>
      <c r="C2754" s="81" t="s">
        <v>417</v>
      </c>
      <c r="D2754" s="82"/>
      <c r="E2754" s="82"/>
      <c r="F2754" s="82"/>
      <c r="G2754" s="82"/>
      <c r="H2754" s="82"/>
      <c r="I2754" s="83"/>
      <c r="J2754" s="83"/>
      <c r="K2754" s="83"/>
      <c r="L2754" s="83"/>
    </row>
    <row r="2755" spans="1:18" ht="12" customHeight="1" x14ac:dyDescent="0.35">
      <c r="A2755" s="134">
        <v>10130000</v>
      </c>
      <c r="B2755" s="84"/>
      <c r="C2755" s="85" t="str">
        <f>VLOOKUP(A2755,'DAFTAR HARGA'!A:D,3,FALSE)</f>
        <v>OH</v>
      </c>
      <c r="D2755" s="84" t="s">
        <v>418</v>
      </c>
      <c r="E2755" s="84">
        <f>VLOOKUP(A2755,'DAFTAR HARGA'!A:D,4,FALSE)</f>
        <v>115000</v>
      </c>
      <c r="F2755" s="128">
        <v>1</v>
      </c>
      <c r="G2755" s="87" t="e">
        <f>VLOOKUP(A2755,'DAFTAR HARGA'!A:D,5,FALSE)</f>
        <v>#REF!</v>
      </c>
      <c r="H2755" s="87" t="e">
        <f>F2755*G2755</f>
        <v>#REF!</v>
      </c>
      <c r="I2755" s="87">
        <v>91500</v>
      </c>
      <c r="J2755" s="87">
        <f>F2755*I2755</f>
        <v>91500</v>
      </c>
      <c r="K2755" s="87">
        <v>91500</v>
      </c>
      <c r="L2755" s="87">
        <f>F2755*K2755</f>
        <v>91500</v>
      </c>
    </row>
    <row r="2756" spans="1:18" ht="12" customHeight="1" x14ac:dyDescent="0.35">
      <c r="A2756" s="134">
        <v>10143000</v>
      </c>
      <c r="B2756" s="84"/>
      <c r="C2756" s="85" t="str">
        <f>VLOOKUP(A2756,'DAFTAR HARGA'!A:D,3,FALSE)</f>
        <v>OH</v>
      </c>
      <c r="D2756" s="84" t="s">
        <v>418</v>
      </c>
      <c r="E2756" s="84">
        <f>VLOOKUP(A2756,'DAFTAR HARGA'!A:D,4,FALSE)</f>
        <v>236600</v>
      </c>
      <c r="F2756" s="128">
        <v>0.25</v>
      </c>
      <c r="G2756" s="87" t="e">
        <f>VLOOKUP(A2756,'DAFTAR HARGA'!A:D,5,FALSE)</f>
        <v>#REF!</v>
      </c>
      <c r="H2756" s="87" t="e">
        <f>F2756*G2756</f>
        <v>#REF!</v>
      </c>
      <c r="I2756" s="87"/>
      <c r="J2756" s="87"/>
      <c r="K2756" s="87"/>
      <c r="L2756" s="87"/>
    </row>
    <row r="2757" spans="1:18" ht="12" customHeight="1" x14ac:dyDescent="0.35">
      <c r="A2757" s="134">
        <v>10120000</v>
      </c>
      <c r="B2757" s="84"/>
      <c r="C2757" s="85" t="str">
        <f>VLOOKUP(A2757,'DAFTAR HARGA'!A:D,3,FALSE)</f>
        <v>OH</v>
      </c>
      <c r="D2757" s="84" t="s">
        <v>418</v>
      </c>
      <c r="E2757" s="84">
        <f>VLOOKUP(A2757,'DAFTAR HARGA'!A:D,4,FALSE)</f>
        <v>130000</v>
      </c>
      <c r="F2757" s="128">
        <f>F2756/10</f>
        <v>2.5000000000000001E-2</v>
      </c>
      <c r="G2757" s="87" t="e">
        <f>VLOOKUP(A2757,'DAFTAR HARGA'!A:D,5,FALSE)</f>
        <v>#REF!</v>
      </c>
      <c r="H2757" s="87" t="e">
        <f>F2757*G2757</f>
        <v>#REF!</v>
      </c>
      <c r="I2757" s="87"/>
      <c r="J2757" s="87"/>
      <c r="K2757" s="87"/>
      <c r="L2757" s="87"/>
    </row>
    <row r="2758" spans="1:18" ht="12" customHeight="1" x14ac:dyDescent="0.35">
      <c r="A2758" s="134">
        <v>10110000</v>
      </c>
      <c r="B2758" s="84"/>
      <c r="C2758" s="85" t="str">
        <f>VLOOKUP(A2758,'DAFTAR HARGA'!A:D,3,FALSE)</f>
        <v>OH</v>
      </c>
      <c r="D2758" s="84" t="s">
        <v>418</v>
      </c>
      <c r="E2758" s="84">
        <f>VLOOKUP(A2758,'DAFTAR HARGA'!A:D,4,FALSE)</f>
        <v>150000</v>
      </c>
      <c r="F2758" s="128">
        <f>F2755/10</f>
        <v>0.1</v>
      </c>
      <c r="G2758" s="87" t="e">
        <f>VLOOKUP(A2758,'DAFTAR HARGA'!A:D,5,FALSE)</f>
        <v>#REF!</v>
      </c>
      <c r="H2758" s="87" t="e">
        <f>F2758*G2758</f>
        <v>#REF!</v>
      </c>
      <c r="I2758" s="87">
        <v>92500</v>
      </c>
      <c r="J2758" s="87">
        <f>F2758*I2758</f>
        <v>9250</v>
      </c>
      <c r="K2758" s="87">
        <v>92500</v>
      </c>
      <c r="L2758" s="87">
        <f>F2758*K2758</f>
        <v>9250</v>
      </c>
    </row>
    <row r="2759" spans="1:18" ht="12" customHeight="1" x14ac:dyDescent="0.35">
      <c r="B2759" s="84"/>
      <c r="C2759" s="85"/>
      <c r="D2759" s="84"/>
      <c r="E2759" s="84"/>
      <c r="F2759" s="86"/>
      <c r="G2759" s="87"/>
      <c r="H2759" s="87"/>
      <c r="I2759" s="87"/>
      <c r="J2759" s="87"/>
      <c r="K2759" s="87"/>
      <c r="L2759" s="87"/>
    </row>
    <row r="2760" spans="1:18" ht="12" customHeight="1" x14ac:dyDescent="0.35">
      <c r="B2760" s="84"/>
      <c r="C2760" s="88"/>
      <c r="D2760" s="79"/>
      <c r="E2760" s="79"/>
      <c r="F2760" s="89" t="s">
        <v>421</v>
      </c>
      <c r="G2760" s="101"/>
      <c r="H2760" s="87" t="e">
        <f>SUM(H2755:H2759)</f>
        <v>#REF!</v>
      </c>
      <c r="I2760" s="101"/>
      <c r="J2760" s="87">
        <f>SUM(J2758:J2759)</f>
        <v>9250</v>
      </c>
      <c r="K2760" s="101"/>
      <c r="L2760" s="87">
        <f>SUM(L2758:L2759)</f>
        <v>9250</v>
      </c>
    </row>
    <row r="2761" spans="1:18" ht="12" customHeight="1" x14ac:dyDescent="0.35">
      <c r="B2761" s="84" t="s">
        <v>6</v>
      </c>
      <c r="C2761" s="88" t="s">
        <v>422</v>
      </c>
      <c r="D2761" s="79"/>
      <c r="E2761" s="79"/>
      <c r="F2761" s="90"/>
      <c r="G2761" s="84"/>
      <c r="H2761" s="87"/>
      <c r="I2761" s="84"/>
      <c r="J2761" s="87"/>
      <c r="K2761" s="84"/>
      <c r="L2761" s="87"/>
    </row>
    <row r="2762" spans="1:18" x14ac:dyDescent="0.35">
      <c r="A2762" s="134">
        <v>21301000</v>
      </c>
      <c r="B2762" s="84"/>
      <c r="C2762" s="85" t="str">
        <f>VLOOKUP(A2762,'DAFTAR HARGA'!A:D,3,FALSE)</f>
        <v>Kg</v>
      </c>
      <c r="D2762" s="84" t="s">
        <v>418</v>
      </c>
      <c r="E2762" s="84">
        <f>VLOOKUP(A2762,'DAFTAR HARGA'!A:D,4,FALSE)</f>
        <v>1350</v>
      </c>
      <c r="F2762" s="128">
        <v>452</v>
      </c>
      <c r="G2762" s="87" t="e">
        <f>VLOOKUP(A2762,'DAFTAR HARGA'!A:D,5,FALSE)</f>
        <v>#REF!</v>
      </c>
      <c r="H2762" s="87" t="e">
        <f>F2762*G2762</f>
        <v>#REF!</v>
      </c>
      <c r="I2762" s="87">
        <v>232500</v>
      </c>
      <c r="J2762" s="87">
        <f>F2762*I2762</f>
        <v>105090000</v>
      </c>
      <c r="K2762" s="87">
        <v>270000</v>
      </c>
      <c r="L2762" s="87">
        <f>F2762*K2762</f>
        <v>122040000</v>
      </c>
    </row>
    <row r="2763" spans="1:18" x14ac:dyDescent="0.35">
      <c r="A2763" s="134">
        <v>21302010</v>
      </c>
      <c r="B2763" s="84"/>
      <c r="C2763" s="85" t="str">
        <f>VLOOKUP(A2763,'DAFTAR HARGA'!A:D,3,FALSE)</f>
        <v>kg</v>
      </c>
      <c r="D2763" s="84" t="s">
        <v>418</v>
      </c>
      <c r="E2763" s="84">
        <f>VLOOKUP(A2763,'DAFTAR HARGA'!A:D,4,FALSE)</f>
        <v>1000</v>
      </c>
      <c r="F2763" s="128">
        <v>113</v>
      </c>
      <c r="G2763" s="87" t="e">
        <f>VLOOKUP(A2763,'DAFTAR HARGA'!A:D,5,FALSE)</f>
        <v>#REF!</v>
      </c>
      <c r="H2763" s="87" t="e">
        <f>F2763*G2763</f>
        <v>#REF!</v>
      </c>
      <c r="I2763" s="87"/>
      <c r="J2763" s="87"/>
      <c r="K2763" s="87"/>
      <c r="L2763" s="87"/>
    </row>
    <row r="2764" spans="1:18" x14ac:dyDescent="0.35">
      <c r="A2764" s="134">
        <v>21302050</v>
      </c>
      <c r="B2764" s="84"/>
      <c r="C2764" s="130" t="str">
        <f>VLOOKUP(A2764,'DAFTAR HARGA'!A:D,3,FALSE)</f>
        <v>kg</v>
      </c>
      <c r="D2764" s="131" t="s">
        <v>418</v>
      </c>
      <c r="E2764" s="131">
        <f>VLOOKUP(A2764,'DAFTAR HARGA'!A:D,4,FALSE)</f>
        <v>62000</v>
      </c>
      <c r="F2764" s="132">
        <v>4.5199999999999996</v>
      </c>
      <c r="G2764" s="133" t="e">
        <f>VLOOKUP(A2764,'DAFTAR HARGA'!A:D,5,FALSE)</f>
        <v>#REF!</v>
      </c>
      <c r="H2764" s="133"/>
      <c r="I2764" s="87"/>
      <c r="J2764" s="87"/>
      <c r="K2764" s="87"/>
      <c r="L2764" s="87"/>
    </row>
    <row r="2765" spans="1:18" ht="12" customHeight="1" x14ac:dyDescent="0.35">
      <c r="A2765" s="134">
        <v>211100115</v>
      </c>
      <c r="B2765" s="84"/>
      <c r="C2765" s="85" t="str">
        <f>VLOOKUP(A2765,'DAFTAR HARGA'!A:D,3,FALSE)</f>
        <v>kg</v>
      </c>
      <c r="D2765" s="84" t="s">
        <v>418</v>
      </c>
      <c r="E2765" s="84">
        <f>VLOOKUP(A2765,'DAFTAR HARGA'!A:D,4,FALSE)</f>
        <v>157.14285714285714</v>
      </c>
      <c r="F2765" s="128">
        <v>573</v>
      </c>
      <c r="G2765" s="87" t="e">
        <f>VLOOKUP(A2765,'DAFTAR HARGA'!A:D,5,FALSE)</f>
        <v>#REF!</v>
      </c>
      <c r="H2765" s="87" t="e">
        <f>F2765*G2765</f>
        <v>#REF!</v>
      </c>
      <c r="I2765" s="87">
        <v>1060</v>
      </c>
      <c r="J2765" s="87">
        <f>F2765*I2765</f>
        <v>607380</v>
      </c>
      <c r="K2765" s="87">
        <v>1060</v>
      </c>
      <c r="L2765" s="87">
        <f>F2765*K2765</f>
        <v>607380</v>
      </c>
      <c r="N2765" s="75">
        <v>1</v>
      </c>
      <c r="O2765" s="75" t="s">
        <v>40</v>
      </c>
      <c r="P2765" s="75" t="s">
        <v>765</v>
      </c>
      <c r="Q2765" s="75">
        <v>6.2500000000000001E-4</v>
      </c>
      <c r="R2765" s="75" t="s">
        <v>43</v>
      </c>
    </row>
    <row r="2766" spans="1:18" ht="12" customHeight="1" x14ac:dyDescent="0.35">
      <c r="A2766" s="134" t="s">
        <v>766</v>
      </c>
      <c r="B2766" s="84"/>
      <c r="C2766" s="85" t="str">
        <f>VLOOKUP(A2766,'DAFTAR HARGA'!A:D,3,FALSE)</f>
        <v>kg</v>
      </c>
      <c r="D2766" s="84" t="s">
        <v>418</v>
      </c>
      <c r="E2766" s="84">
        <f>VLOOKUP(A2766,'DAFTAR HARGA'!A:D,4,FALSE)</f>
        <v>171.875</v>
      </c>
      <c r="F2766" s="128">
        <v>1009</v>
      </c>
      <c r="G2766" s="87" t="e">
        <f>VLOOKUP(A2766,'DAFTAR HARGA'!A:D,5,FALSE)</f>
        <v>#REF!</v>
      </c>
      <c r="H2766" s="87" t="e">
        <f>F2766*G2766</f>
        <v>#REF!</v>
      </c>
      <c r="I2766" s="87">
        <v>215000</v>
      </c>
      <c r="J2766" s="87">
        <f>F2766*I2766</f>
        <v>216935000</v>
      </c>
      <c r="K2766" s="87">
        <v>250000</v>
      </c>
      <c r="L2766" s="87">
        <f>F2766*K2766</f>
        <v>252250000</v>
      </c>
      <c r="N2766" s="75">
        <f>N2765/Q2765</f>
        <v>1600</v>
      </c>
      <c r="O2766" s="75" t="s">
        <v>40</v>
      </c>
      <c r="P2766" s="75" t="s">
        <v>765</v>
      </c>
      <c r="Q2766" s="75">
        <v>1</v>
      </c>
      <c r="R2766" s="75" t="s">
        <v>43</v>
      </c>
    </row>
    <row r="2767" spans="1:18" ht="12" customHeight="1" x14ac:dyDescent="0.35">
      <c r="A2767" s="134">
        <v>21962000</v>
      </c>
      <c r="B2767" s="84"/>
      <c r="C2767" s="85">
        <f>VLOOKUP(A2767,'DAFTAR HARGA'!A:D,3,FALSE)</f>
        <v>0</v>
      </c>
      <c r="D2767" s="84" t="s">
        <v>418</v>
      </c>
      <c r="E2767" s="84">
        <f>VLOOKUP(A2767,'DAFTAR HARGA'!A:D,4,FALSE)</f>
        <v>35</v>
      </c>
      <c r="F2767" s="128">
        <v>202</v>
      </c>
      <c r="G2767" s="87" t="e">
        <f>VLOOKUP(A2767,'DAFTAR HARGA'!A:D,5,FALSE)</f>
        <v>#REF!</v>
      </c>
      <c r="H2767" s="87" t="e">
        <f>F2767*G2767</f>
        <v>#REF!</v>
      </c>
      <c r="I2767" s="87"/>
      <c r="J2767" s="87"/>
      <c r="K2767" s="87"/>
      <c r="L2767" s="87"/>
    </row>
    <row r="2768" spans="1:18" ht="12" customHeight="1" x14ac:dyDescent="0.35">
      <c r="B2768" s="84"/>
      <c r="C2768" s="88"/>
      <c r="D2768" s="79"/>
      <c r="E2768" s="79"/>
      <c r="F2768" s="129" t="s">
        <v>423</v>
      </c>
      <c r="G2768" s="129"/>
      <c r="H2768" s="87" t="e">
        <f>SUM(H2762:H2767)</f>
        <v>#REF!</v>
      </c>
      <c r="I2768" s="101"/>
      <c r="J2768" s="87" t="e">
        <f>SUM(#REF!)</f>
        <v>#REF!</v>
      </c>
      <c r="K2768" s="101"/>
      <c r="L2768" s="87" t="e">
        <f>SUM(#REF!)</f>
        <v>#REF!</v>
      </c>
    </row>
    <row r="2769" spans="1:12" ht="12" customHeight="1" x14ac:dyDescent="0.35">
      <c r="B2769" s="84" t="s">
        <v>7</v>
      </c>
      <c r="C2769" s="88" t="s">
        <v>424</v>
      </c>
      <c r="D2769" s="79"/>
      <c r="E2769" s="79"/>
      <c r="F2769" s="90"/>
      <c r="G2769" s="84"/>
      <c r="H2769" s="87"/>
      <c r="I2769" s="84"/>
      <c r="J2769" s="87"/>
      <c r="K2769" s="84"/>
      <c r="L2769" s="87"/>
    </row>
    <row r="2770" spans="1:12" ht="12" customHeight="1" x14ac:dyDescent="0.35">
      <c r="A2770" s="134">
        <v>31100004</v>
      </c>
      <c r="B2770" s="84"/>
      <c r="C2770" s="85" t="str">
        <f>VLOOKUP(A2770,'DAFTAR HARGA'!A:D,3,FALSE)</f>
        <v>hari</v>
      </c>
      <c r="D2770" s="84" t="s">
        <v>418</v>
      </c>
      <c r="E2770" s="84">
        <f>VLOOKUP(A2770,'DAFTAR HARGA'!A:D,4,FALSE)</f>
        <v>1151000</v>
      </c>
      <c r="F2770" s="128">
        <v>0.14749999999999999</v>
      </c>
      <c r="G2770" s="87" t="e">
        <f>VLOOKUP(A2770,'DAFTAR HARGA'!A:D,5,FALSE)</f>
        <v>#REF!</v>
      </c>
      <c r="H2770" s="87" t="e">
        <f>F2770*G2770</f>
        <v>#REF!</v>
      </c>
      <c r="I2770" s="87"/>
      <c r="J2770" s="87" t="e">
        <f>H2770*I2770</f>
        <v>#REF!</v>
      </c>
      <c r="K2770" s="87"/>
      <c r="L2770" s="87" t="e">
        <f>J2770*K2770</f>
        <v>#REF!</v>
      </c>
    </row>
    <row r="2771" spans="1:12" ht="12" customHeight="1" x14ac:dyDescent="0.35">
      <c r="B2771" s="84"/>
      <c r="C2771" s="85"/>
      <c r="D2771" s="84"/>
      <c r="E2771" s="84"/>
      <c r="F2771" s="128"/>
      <c r="G2771" s="87"/>
      <c r="H2771" s="87">
        <f>F2771*G2771</f>
        <v>0</v>
      </c>
      <c r="I2771" s="87"/>
      <c r="J2771" s="87"/>
      <c r="K2771" s="87"/>
      <c r="L2771" s="87"/>
    </row>
    <row r="2772" spans="1:12" ht="12" customHeight="1" x14ac:dyDescent="0.35">
      <c r="B2772" s="84"/>
      <c r="C2772" s="85"/>
      <c r="D2772" s="84"/>
      <c r="E2772" s="84"/>
      <c r="F2772" s="128"/>
      <c r="G2772" s="87"/>
      <c r="H2772" s="87">
        <f>F2772*G2772</f>
        <v>0</v>
      </c>
      <c r="I2772" s="87"/>
      <c r="J2772" s="87"/>
      <c r="K2772" s="87"/>
      <c r="L2772" s="87"/>
    </row>
    <row r="2773" spans="1:12" ht="12" customHeight="1" x14ac:dyDescent="0.35">
      <c r="B2773" s="84"/>
      <c r="C2773" s="88"/>
      <c r="D2773" s="79"/>
      <c r="E2773" s="79"/>
      <c r="F2773" s="89" t="s">
        <v>425</v>
      </c>
      <c r="G2773" s="101"/>
      <c r="H2773" s="87" t="e">
        <f>SUM(H2770:H2772)</f>
        <v>#REF!</v>
      </c>
      <c r="I2773" s="101"/>
      <c r="J2773" s="87" t="e">
        <f>SUM(J2770)</f>
        <v>#REF!</v>
      </c>
      <c r="K2773" s="101"/>
      <c r="L2773" s="87" t="e">
        <f>SUM(L2770)</f>
        <v>#REF!</v>
      </c>
    </row>
    <row r="2774" spans="1:12" ht="12" customHeight="1" x14ac:dyDescent="0.35">
      <c r="B2774" s="84" t="s">
        <v>8</v>
      </c>
      <c r="C2774" s="103" t="s">
        <v>426</v>
      </c>
      <c r="D2774" s="104"/>
      <c r="E2774" s="104"/>
      <c r="F2774" s="104"/>
      <c r="G2774" s="105"/>
      <c r="H2774" s="87" t="e">
        <f>H2760+H2768+H2773</f>
        <v>#REF!</v>
      </c>
      <c r="I2774" s="105"/>
      <c r="J2774" s="87" t="e">
        <f>J2760+J2768+J2773</f>
        <v>#REF!</v>
      </c>
      <c r="K2774" s="105"/>
      <c r="L2774" s="87" t="e">
        <f>L2760+L2768+L2773</f>
        <v>#REF!</v>
      </c>
    </row>
    <row r="2775" spans="1:12" ht="12" customHeight="1" x14ac:dyDescent="0.35">
      <c r="B2775" s="84" t="s">
        <v>9</v>
      </c>
      <c r="C2775" s="455" t="s">
        <v>427</v>
      </c>
      <c r="D2775" s="455"/>
      <c r="E2775" s="455"/>
      <c r="F2775" s="95" t="str">
        <f>OP</f>
        <v>TANJUNG PALAS TENGAH</v>
      </c>
      <c r="G2775" s="85" t="s">
        <v>428</v>
      </c>
      <c r="H2775" s="87" t="e">
        <f>H2774*F2775</f>
        <v>#REF!</v>
      </c>
      <c r="I2775" s="85" t="s">
        <v>428</v>
      </c>
      <c r="J2775" s="87" t="e">
        <f>J2774*F2775</f>
        <v>#REF!</v>
      </c>
      <c r="K2775" s="85" t="s">
        <v>428</v>
      </c>
      <c r="L2775" s="87" t="e">
        <f>L2774*F2775</f>
        <v>#REF!</v>
      </c>
    </row>
    <row r="2776" spans="1:12" ht="12" customHeight="1" x14ac:dyDescent="0.35">
      <c r="B2776" s="84" t="s">
        <v>10</v>
      </c>
      <c r="C2776" s="103" t="s">
        <v>429</v>
      </c>
      <c r="D2776" s="104"/>
      <c r="E2776" s="104"/>
      <c r="F2776" s="104"/>
      <c r="G2776" s="105"/>
      <c r="H2776" s="96" t="e">
        <f>H2774+H2775</f>
        <v>#REF!</v>
      </c>
      <c r="I2776" s="97"/>
      <c r="J2776" s="96" t="e">
        <f>J2774+J2775</f>
        <v>#REF!</v>
      </c>
      <c r="K2776" s="97"/>
      <c r="L2776" s="96" t="e">
        <f>L2774+L2775</f>
        <v>#REF!</v>
      </c>
    </row>
    <row r="2777" spans="1:12" ht="14" customHeight="1" x14ac:dyDescent="0.35"/>
    <row r="2778" spans="1:12" ht="37" customHeight="1" x14ac:dyDescent="0.35">
      <c r="B2778" s="76" t="s">
        <v>778</v>
      </c>
      <c r="C2778" s="458" t="s">
        <v>779</v>
      </c>
      <c r="D2778" s="459"/>
      <c r="E2778" s="459"/>
      <c r="F2778" s="459"/>
      <c r="G2778" s="456"/>
      <c r="H2778" s="457"/>
      <c r="I2778" s="455" t="s">
        <v>3</v>
      </c>
      <c r="J2778" s="455"/>
      <c r="K2778" s="455" t="s">
        <v>4</v>
      </c>
      <c r="L2778" s="455"/>
    </row>
    <row r="2779" spans="1:12" ht="12" customHeight="1" x14ac:dyDescent="0.35">
      <c r="B2779" s="451" t="s">
        <v>409</v>
      </c>
      <c r="C2779" s="451" t="s">
        <v>410</v>
      </c>
      <c r="D2779" s="452" t="s">
        <v>411</v>
      </c>
      <c r="E2779" s="451" t="s">
        <v>412</v>
      </c>
      <c r="F2779" s="451" t="s">
        <v>413</v>
      </c>
      <c r="G2779" s="77" t="s">
        <v>414</v>
      </c>
      <c r="H2779" s="77" t="s">
        <v>415</v>
      </c>
      <c r="I2779" s="78" t="s">
        <v>414</v>
      </c>
      <c r="J2779" s="79" t="s">
        <v>415</v>
      </c>
      <c r="K2779" s="79" t="s">
        <v>414</v>
      </c>
      <c r="L2779" s="79" t="s">
        <v>415</v>
      </c>
    </row>
    <row r="2780" spans="1:12" ht="12" customHeight="1" x14ac:dyDescent="0.35">
      <c r="B2780" s="451"/>
      <c r="C2780" s="451"/>
      <c r="D2780" s="453"/>
      <c r="E2780" s="451"/>
      <c r="F2780" s="451"/>
      <c r="G2780" s="77" t="s">
        <v>17</v>
      </c>
      <c r="H2780" s="77" t="s">
        <v>416</v>
      </c>
      <c r="I2780" s="78" t="s">
        <v>17</v>
      </c>
      <c r="J2780" s="79" t="s">
        <v>416</v>
      </c>
      <c r="K2780" s="79" t="s">
        <v>17</v>
      </c>
      <c r="L2780" s="79" t="s">
        <v>416</v>
      </c>
    </row>
    <row r="2781" spans="1:12" ht="12" customHeight="1" x14ac:dyDescent="0.35">
      <c r="B2781" s="451"/>
      <c r="C2781" s="451"/>
      <c r="D2781" s="454"/>
      <c r="E2781" s="451"/>
      <c r="F2781" s="451"/>
      <c r="G2781" s="106"/>
      <c r="H2781" s="77" t="s">
        <v>17</v>
      </c>
      <c r="I2781" s="94"/>
      <c r="J2781" s="79" t="s">
        <v>17</v>
      </c>
      <c r="K2781" s="85"/>
      <c r="L2781" s="79" t="s">
        <v>17</v>
      </c>
    </row>
    <row r="2782" spans="1:12" ht="12" customHeight="1" x14ac:dyDescent="0.35">
      <c r="B2782" s="80" t="s">
        <v>5</v>
      </c>
      <c r="C2782" s="81" t="s">
        <v>417</v>
      </c>
      <c r="D2782" s="82"/>
      <c r="E2782" s="82"/>
      <c r="F2782" s="82"/>
      <c r="G2782" s="82"/>
      <c r="H2782" s="82"/>
      <c r="I2782" s="83"/>
      <c r="J2782" s="83"/>
      <c r="K2782" s="83"/>
      <c r="L2782" s="83"/>
    </row>
    <row r="2783" spans="1:12" ht="12" customHeight="1" x14ac:dyDescent="0.35">
      <c r="A2783" s="134">
        <v>10130000</v>
      </c>
      <c r="B2783" s="84"/>
      <c r="C2783" s="85" t="str">
        <f>VLOOKUP(A2783,'DAFTAR HARGA'!A:D,3,FALSE)</f>
        <v>OH</v>
      </c>
      <c r="D2783" s="84" t="s">
        <v>418</v>
      </c>
      <c r="E2783" s="84">
        <f>VLOOKUP(A2783,'DAFTAR HARGA'!A:D,4,FALSE)</f>
        <v>115000</v>
      </c>
      <c r="F2783" s="128">
        <v>1</v>
      </c>
      <c r="G2783" s="87" t="e">
        <f>VLOOKUP(A2783,'DAFTAR HARGA'!A:D,5,FALSE)</f>
        <v>#REF!</v>
      </c>
      <c r="H2783" s="87" t="e">
        <f>F2783*G2783</f>
        <v>#REF!</v>
      </c>
      <c r="I2783" s="87">
        <v>91500</v>
      </c>
      <c r="J2783" s="87">
        <f>F2783*I2783</f>
        <v>91500</v>
      </c>
      <c r="K2783" s="87">
        <v>91500</v>
      </c>
      <c r="L2783" s="87">
        <f>F2783*K2783</f>
        <v>91500</v>
      </c>
    </row>
    <row r="2784" spans="1:12" ht="12" customHeight="1" x14ac:dyDescent="0.35">
      <c r="A2784" s="134">
        <v>10143000</v>
      </c>
      <c r="B2784" s="84"/>
      <c r="C2784" s="85" t="str">
        <f>VLOOKUP(A2784,'DAFTAR HARGA'!A:D,3,FALSE)</f>
        <v>OH</v>
      </c>
      <c r="D2784" s="84" t="s">
        <v>418</v>
      </c>
      <c r="E2784" s="84">
        <f>VLOOKUP(A2784,'DAFTAR HARGA'!A:D,4,FALSE)</f>
        <v>236600</v>
      </c>
      <c r="F2784" s="128">
        <v>0.25</v>
      </c>
      <c r="G2784" s="87" t="e">
        <f>VLOOKUP(A2784,'DAFTAR HARGA'!A:D,5,FALSE)</f>
        <v>#REF!</v>
      </c>
      <c r="H2784" s="87" t="e">
        <f>F2784*G2784</f>
        <v>#REF!</v>
      </c>
      <c r="I2784" s="87"/>
      <c r="J2784" s="87"/>
      <c r="K2784" s="87"/>
      <c r="L2784" s="87"/>
    </row>
    <row r="2785" spans="1:12" ht="12" customHeight="1" x14ac:dyDescent="0.35">
      <c r="A2785" s="134">
        <v>10120000</v>
      </c>
      <c r="B2785" s="84"/>
      <c r="C2785" s="85" t="str">
        <f>VLOOKUP(A2785,'DAFTAR HARGA'!A:D,3,FALSE)</f>
        <v>OH</v>
      </c>
      <c r="D2785" s="84" t="s">
        <v>418</v>
      </c>
      <c r="E2785" s="84">
        <f>VLOOKUP(A2785,'DAFTAR HARGA'!A:D,4,FALSE)</f>
        <v>130000</v>
      </c>
      <c r="F2785" s="128">
        <f>F2784/10</f>
        <v>2.5000000000000001E-2</v>
      </c>
      <c r="G2785" s="87" t="e">
        <f>VLOOKUP(A2785,'DAFTAR HARGA'!A:D,5,FALSE)</f>
        <v>#REF!</v>
      </c>
      <c r="H2785" s="87" t="e">
        <f>F2785*G2785</f>
        <v>#REF!</v>
      </c>
      <c r="I2785" s="87"/>
      <c r="J2785" s="87"/>
      <c r="K2785" s="87"/>
      <c r="L2785" s="87"/>
    </row>
    <row r="2786" spans="1:12" ht="12" customHeight="1" x14ac:dyDescent="0.35">
      <c r="A2786" s="134">
        <v>10110000</v>
      </c>
      <c r="B2786" s="84"/>
      <c r="C2786" s="85" t="str">
        <f>VLOOKUP(A2786,'DAFTAR HARGA'!A:D,3,FALSE)</f>
        <v>OH</v>
      </c>
      <c r="D2786" s="84" t="s">
        <v>418</v>
      </c>
      <c r="E2786" s="84">
        <f>VLOOKUP(A2786,'DAFTAR HARGA'!A:D,4,FALSE)</f>
        <v>150000</v>
      </c>
      <c r="F2786" s="128">
        <f>F2783/10</f>
        <v>0.1</v>
      </c>
      <c r="G2786" s="87" t="e">
        <f>VLOOKUP(A2786,'DAFTAR HARGA'!A:D,5,FALSE)</f>
        <v>#REF!</v>
      </c>
      <c r="H2786" s="87" t="e">
        <f>F2786*G2786</f>
        <v>#REF!</v>
      </c>
      <c r="I2786" s="87">
        <v>92500</v>
      </c>
      <c r="J2786" s="87">
        <f>F2786*I2786</f>
        <v>9250</v>
      </c>
      <c r="K2786" s="87">
        <v>92500</v>
      </c>
      <c r="L2786" s="87">
        <f>F2786*K2786</f>
        <v>9250</v>
      </c>
    </row>
    <row r="2787" spans="1:12" ht="12" customHeight="1" x14ac:dyDescent="0.35">
      <c r="B2787" s="84"/>
      <c r="C2787" s="85"/>
      <c r="D2787" s="84"/>
      <c r="E2787" s="84"/>
      <c r="F2787" s="86"/>
      <c r="G2787" s="87"/>
      <c r="H2787" s="87"/>
      <c r="I2787" s="87"/>
      <c r="J2787" s="87"/>
      <c r="K2787" s="87"/>
      <c r="L2787" s="87"/>
    </row>
    <row r="2788" spans="1:12" ht="12" customHeight="1" x14ac:dyDescent="0.35">
      <c r="B2788" s="84"/>
      <c r="C2788" s="88"/>
      <c r="D2788" s="79"/>
      <c r="E2788" s="79"/>
      <c r="F2788" s="89" t="s">
        <v>421</v>
      </c>
      <c r="G2788" s="101"/>
      <c r="H2788" s="87" t="e">
        <f>SUM(H2783:H2787)</f>
        <v>#REF!</v>
      </c>
      <c r="I2788" s="101"/>
      <c r="J2788" s="87">
        <f>SUM(J2786:J2787)</f>
        <v>9250</v>
      </c>
      <c r="K2788" s="101"/>
      <c r="L2788" s="87">
        <f>SUM(L2786:L2787)</f>
        <v>9250</v>
      </c>
    </row>
    <row r="2789" spans="1:12" ht="12" customHeight="1" x14ac:dyDescent="0.35">
      <c r="B2789" s="84" t="s">
        <v>6</v>
      </c>
      <c r="C2789" s="88" t="s">
        <v>422</v>
      </c>
      <c r="D2789" s="79"/>
      <c r="E2789" s="79"/>
      <c r="F2789" s="90"/>
      <c r="G2789" s="84"/>
      <c r="H2789" s="87"/>
      <c r="I2789" s="84"/>
      <c r="J2789" s="87"/>
      <c r="K2789" s="84"/>
      <c r="L2789" s="87"/>
    </row>
    <row r="2790" spans="1:12" x14ac:dyDescent="0.35">
      <c r="A2790" s="134">
        <v>22101016</v>
      </c>
      <c r="B2790" s="84"/>
      <c r="C2790" s="130" t="str">
        <f>VLOOKUP(A2790,'DAFTAR HARGA'!A:D,3,FALSE)</f>
        <v>m3</v>
      </c>
      <c r="D2790" s="131" t="s">
        <v>418</v>
      </c>
      <c r="E2790" s="131">
        <f>VLOOKUP(A2790,'DAFTAR HARGA'!A:D,4,FALSE)</f>
        <v>760000</v>
      </c>
      <c r="F2790" s="132">
        <v>1.02</v>
      </c>
      <c r="G2790" s="133" t="e">
        <f>VLOOKUP(A2790,'DAFTAR HARGA'!A:D,5,FALSE)</f>
        <v>#REF!</v>
      </c>
      <c r="H2790" s="133" t="e">
        <f>F2790*G2790</f>
        <v>#REF!</v>
      </c>
      <c r="I2790" s="87">
        <v>232500</v>
      </c>
      <c r="J2790" s="87">
        <f>F2790*I2790</f>
        <v>237150</v>
      </c>
      <c r="K2790" s="87">
        <v>270000</v>
      </c>
      <c r="L2790" s="87">
        <f>F2790*K2790</f>
        <v>275400</v>
      </c>
    </row>
    <row r="2791" spans="1:12" x14ac:dyDescent="0.35">
      <c r="B2791" s="84"/>
      <c r="C2791" s="85"/>
      <c r="D2791" s="84"/>
      <c r="E2791" s="84"/>
      <c r="F2791" s="128"/>
      <c r="G2791" s="87"/>
      <c r="H2791" s="87">
        <f>F2791*G2791</f>
        <v>0</v>
      </c>
      <c r="I2791" s="87"/>
      <c r="J2791" s="87"/>
      <c r="K2791" s="87"/>
      <c r="L2791" s="87"/>
    </row>
    <row r="2792" spans="1:12" x14ac:dyDescent="0.35">
      <c r="B2792" s="84"/>
      <c r="C2792" s="85"/>
      <c r="D2792" s="84"/>
      <c r="E2792" s="84"/>
      <c r="F2792" s="128"/>
      <c r="G2792" s="87"/>
      <c r="H2792" s="87">
        <f>F2792*G2792</f>
        <v>0</v>
      </c>
      <c r="I2792" s="87"/>
      <c r="J2792" s="87"/>
      <c r="K2792" s="87"/>
      <c r="L2792" s="87"/>
    </row>
    <row r="2793" spans="1:12" ht="12" customHeight="1" x14ac:dyDescent="0.35">
      <c r="B2793" s="84"/>
      <c r="C2793" s="88"/>
      <c r="D2793" s="79"/>
      <c r="E2793" s="79"/>
      <c r="F2793" s="129" t="s">
        <v>423</v>
      </c>
      <c r="G2793" s="129"/>
      <c r="H2793" s="87" t="e">
        <f>SUM(H2790:H2792)</f>
        <v>#REF!</v>
      </c>
      <c r="I2793" s="101"/>
      <c r="J2793" s="87" t="e">
        <f>SUM(#REF!)</f>
        <v>#REF!</v>
      </c>
      <c r="K2793" s="101"/>
      <c r="L2793" s="87" t="e">
        <f>SUM(#REF!)</f>
        <v>#REF!</v>
      </c>
    </row>
    <row r="2794" spans="1:12" ht="12" customHeight="1" x14ac:dyDescent="0.35">
      <c r="B2794" s="84" t="s">
        <v>7</v>
      </c>
      <c r="C2794" s="88" t="s">
        <v>424</v>
      </c>
      <c r="D2794" s="79"/>
      <c r="E2794" s="79"/>
      <c r="F2794" s="90"/>
      <c r="G2794" s="84"/>
      <c r="H2794" s="87"/>
      <c r="I2794" s="84"/>
      <c r="J2794" s="87"/>
      <c r="K2794" s="84"/>
      <c r="L2794" s="87"/>
    </row>
    <row r="2795" spans="1:12" ht="12" customHeight="1" x14ac:dyDescent="0.35">
      <c r="B2795" s="84"/>
      <c r="C2795" s="85"/>
      <c r="D2795" s="84"/>
      <c r="E2795" s="84"/>
      <c r="F2795" s="128"/>
      <c r="G2795" s="87"/>
      <c r="H2795" s="87">
        <f>F2795*G2795</f>
        <v>0</v>
      </c>
      <c r="I2795" s="87"/>
      <c r="J2795" s="87">
        <f>H2795*I2795</f>
        <v>0</v>
      </c>
      <c r="K2795" s="87"/>
      <c r="L2795" s="87">
        <f>J2795*K2795</f>
        <v>0</v>
      </c>
    </row>
    <row r="2796" spans="1:12" ht="12" customHeight="1" x14ac:dyDescent="0.35">
      <c r="B2796" s="84"/>
      <c r="C2796" s="85"/>
      <c r="D2796" s="84"/>
      <c r="E2796" s="84"/>
      <c r="F2796" s="128"/>
      <c r="G2796" s="87"/>
      <c r="H2796" s="87">
        <f>F2796*G2796</f>
        <v>0</v>
      </c>
      <c r="I2796" s="87"/>
      <c r="J2796" s="87"/>
      <c r="K2796" s="87"/>
      <c r="L2796" s="87"/>
    </row>
    <row r="2797" spans="1:12" ht="12" customHeight="1" x14ac:dyDescent="0.35">
      <c r="B2797" s="84"/>
      <c r="C2797" s="85"/>
      <c r="D2797" s="84"/>
      <c r="E2797" s="84"/>
      <c r="F2797" s="128"/>
      <c r="G2797" s="87"/>
      <c r="H2797" s="87">
        <f>F2797*G2797</f>
        <v>0</v>
      </c>
      <c r="I2797" s="87"/>
      <c r="J2797" s="87"/>
      <c r="K2797" s="87"/>
      <c r="L2797" s="87"/>
    </row>
    <row r="2798" spans="1:12" ht="12" customHeight="1" x14ac:dyDescent="0.35">
      <c r="B2798" s="84"/>
      <c r="C2798" s="88"/>
      <c r="D2798" s="79"/>
      <c r="E2798" s="79"/>
      <c r="F2798" s="89" t="s">
        <v>425</v>
      </c>
      <c r="G2798" s="101"/>
      <c r="H2798" s="87">
        <f>SUM(H2795:H2797)</f>
        <v>0</v>
      </c>
      <c r="I2798" s="101"/>
      <c r="J2798" s="87">
        <f>SUM(J2795)</f>
        <v>0</v>
      </c>
      <c r="K2798" s="101"/>
      <c r="L2798" s="87">
        <f>SUM(L2795)</f>
        <v>0</v>
      </c>
    </row>
    <row r="2799" spans="1:12" ht="12" customHeight="1" x14ac:dyDescent="0.35">
      <c r="B2799" s="84" t="s">
        <v>8</v>
      </c>
      <c r="C2799" s="103" t="s">
        <v>426</v>
      </c>
      <c r="D2799" s="104"/>
      <c r="E2799" s="104"/>
      <c r="F2799" s="104"/>
      <c r="G2799" s="105"/>
      <c r="H2799" s="87" t="e">
        <f>H2788+H2793+H2798</f>
        <v>#REF!</v>
      </c>
      <c r="I2799" s="105"/>
      <c r="J2799" s="87" t="e">
        <f>J2788+J2793+J2798</f>
        <v>#REF!</v>
      </c>
      <c r="K2799" s="105"/>
      <c r="L2799" s="87" t="e">
        <f>L2788+L2793+L2798</f>
        <v>#REF!</v>
      </c>
    </row>
    <row r="2800" spans="1:12" ht="12" customHeight="1" x14ac:dyDescent="0.35">
      <c r="B2800" s="84" t="s">
        <v>9</v>
      </c>
      <c r="C2800" s="455" t="s">
        <v>427</v>
      </c>
      <c r="D2800" s="455"/>
      <c r="E2800" s="455"/>
      <c r="F2800" s="95" t="str">
        <f>OP</f>
        <v>TANJUNG PALAS TENGAH</v>
      </c>
      <c r="G2800" s="85" t="s">
        <v>428</v>
      </c>
      <c r="H2800" s="87" t="e">
        <f>H2799*F2800</f>
        <v>#REF!</v>
      </c>
      <c r="I2800" s="85" t="s">
        <v>428</v>
      </c>
      <c r="J2800" s="87" t="e">
        <f>J2799*F2800</f>
        <v>#REF!</v>
      </c>
      <c r="K2800" s="85" t="s">
        <v>428</v>
      </c>
      <c r="L2800" s="87" t="e">
        <f>L2799*F2800</f>
        <v>#REF!</v>
      </c>
    </row>
    <row r="2801" spans="1:12" ht="12" customHeight="1" x14ac:dyDescent="0.35">
      <c r="B2801" s="84" t="s">
        <v>10</v>
      </c>
      <c r="C2801" s="103" t="s">
        <v>429</v>
      </c>
      <c r="D2801" s="104"/>
      <c r="E2801" s="104"/>
      <c r="F2801" s="104"/>
      <c r="G2801" s="105"/>
      <c r="H2801" s="96" t="e">
        <f>H2799+H2800</f>
        <v>#REF!</v>
      </c>
      <c r="I2801" s="97"/>
      <c r="J2801" s="96" t="e">
        <f>J2799+J2800</f>
        <v>#REF!</v>
      </c>
      <c r="K2801" s="97"/>
      <c r="L2801" s="96" t="e">
        <f>L2799+L2800</f>
        <v>#REF!</v>
      </c>
    </row>
    <row r="2802" spans="1:12" x14ac:dyDescent="0.35">
      <c r="B2802" s="75" t="s">
        <v>801</v>
      </c>
    </row>
    <row r="2803" spans="1:12" ht="14" customHeight="1" x14ac:dyDescent="0.35"/>
    <row r="2804" spans="1:12" ht="37" customHeight="1" x14ac:dyDescent="0.35">
      <c r="B2804" s="76" t="s">
        <v>802</v>
      </c>
      <c r="C2804" s="458" t="s">
        <v>803</v>
      </c>
      <c r="D2804" s="459"/>
      <c r="E2804" s="459"/>
      <c r="F2804" s="459"/>
      <c r="G2804" s="456"/>
      <c r="H2804" s="457"/>
      <c r="I2804" s="455" t="s">
        <v>3</v>
      </c>
      <c r="J2804" s="455"/>
      <c r="K2804" s="455" t="s">
        <v>4</v>
      </c>
      <c r="L2804" s="455"/>
    </row>
    <row r="2805" spans="1:12" ht="12" customHeight="1" x14ac:dyDescent="0.35">
      <c r="B2805" s="451" t="s">
        <v>409</v>
      </c>
      <c r="C2805" s="451" t="s">
        <v>410</v>
      </c>
      <c r="D2805" s="452" t="s">
        <v>411</v>
      </c>
      <c r="E2805" s="451" t="s">
        <v>412</v>
      </c>
      <c r="F2805" s="451" t="s">
        <v>413</v>
      </c>
      <c r="G2805" s="77" t="s">
        <v>414</v>
      </c>
      <c r="H2805" s="77" t="s">
        <v>415</v>
      </c>
      <c r="I2805" s="78" t="s">
        <v>414</v>
      </c>
      <c r="J2805" s="79" t="s">
        <v>415</v>
      </c>
      <c r="K2805" s="79" t="s">
        <v>414</v>
      </c>
      <c r="L2805" s="79" t="s">
        <v>415</v>
      </c>
    </row>
    <row r="2806" spans="1:12" ht="12" customHeight="1" x14ac:dyDescent="0.35">
      <c r="B2806" s="451"/>
      <c r="C2806" s="451"/>
      <c r="D2806" s="453"/>
      <c r="E2806" s="451"/>
      <c r="F2806" s="451"/>
      <c r="G2806" s="77" t="s">
        <v>17</v>
      </c>
      <c r="H2806" s="77" t="s">
        <v>416</v>
      </c>
      <c r="I2806" s="78" t="s">
        <v>17</v>
      </c>
      <c r="J2806" s="79" t="s">
        <v>416</v>
      </c>
      <c r="K2806" s="79" t="s">
        <v>17</v>
      </c>
      <c r="L2806" s="79" t="s">
        <v>416</v>
      </c>
    </row>
    <row r="2807" spans="1:12" ht="12" customHeight="1" x14ac:dyDescent="0.35">
      <c r="B2807" s="451"/>
      <c r="C2807" s="451"/>
      <c r="D2807" s="454"/>
      <c r="E2807" s="451"/>
      <c r="F2807" s="451"/>
      <c r="G2807" s="106"/>
      <c r="H2807" s="77" t="s">
        <v>17</v>
      </c>
      <c r="I2807" s="94"/>
      <c r="J2807" s="79" t="s">
        <v>17</v>
      </c>
      <c r="K2807" s="85"/>
      <c r="L2807" s="79" t="s">
        <v>17</v>
      </c>
    </row>
    <row r="2808" spans="1:12" ht="12" customHeight="1" x14ac:dyDescent="0.35">
      <c r="B2808" s="80" t="s">
        <v>5</v>
      </c>
      <c r="C2808" s="81" t="s">
        <v>417</v>
      </c>
      <c r="D2808" s="82"/>
      <c r="E2808" s="82"/>
      <c r="F2808" s="82"/>
      <c r="G2808" s="82"/>
      <c r="H2808" s="82"/>
      <c r="I2808" s="83"/>
      <c r="J2808" s="83"/>
      <c r="K2808" s="83"/>
      <c r="L2808" s="83"/>
    </row>
    <row r="2809" spans="1:12" ht="12" customHeight="1" x14ac:dyDescent="0.35">
      <c r="A2809" s="134">
        <v>10130000</v>
      </c>
      <c r="B2809" s="84"/>
      <c r="C2809" s="85" t="str">
        <f>VLOOKUP(A2809,'DAFTAR HARGA'!A:D,3,FALSE)</f>
        <v>OH</v>
      </c>
      <c r="D2809" s="84" t="s">
        <v>418</v>
      </c>
      <c r="E2809" s="84">
        <f>VLOOKUP(A2809,'DAFTAR HARGA'!A:D,4,FALSE)</f>
        <v>115000</v>
      </c>
      <c r="F2809" s="128">
        <v>1.9E-2</v>
      </c>
      <c r="G2809" s="87" t="e">
        <f>VLOOKUP(A2809,'DAFTAR HARGA'!A:D,5,FALSE)</f>
        <v>#REF!</v>
      </c>
      <c r="H2809" s="87" t="e">
        <f>F2809*G2809</f>
        <v>#REF!</v>
      </c>
      <c r="I2809" s="87">
        <v>91500</v>
      </c>
      <c r="J2809" s="87">
        <f>F2809*I2809</f>
        <v>1738.5</v>
      </c>
      <c r="K2809" s="87">
        <v>91500</v>
      </c>
      <c r="L2809" s="87">
        <f>F2809*K2809</f>
        <v>1738.5</v>
      </c>
    </row>
    <row r="2810" spans="1:12" ht="12" customHeight="1" x14ac:dyDescent="0.35">
      <c r="A2810" s="134">
        <v>10143000</v>
      </c>
      <c r="B2810" s="84"/>
      <c r="C2810" s="85" t="str">
        <f>VLOOKUP(A2810,'DAFTAR HARGA'!A:D,3,FALSE)</f>
        <v>OH</v>
      </c>
      <c r="D2810" s="84" t="s">
        <v>418</v>
      </c>
      <c r="E2810" s="84">
        <f>VLOOKUP(A2810,'DAFTAR HARGA'!A:D,4,FALSE)</f>
        <v>236600</v>
      </c>
      <c r="F2810" s="128">
        <v>4.7499999999999999E-3</v>
      </c>
      <c r="G2810" s="87" t="e">
        <f>VLOOKUP(A2810,'DAFTAR HARGA'!A:D,5,FALSE)</f>
        <v>#REF!</v>
      </c>
      <c r="H2810" s="87" t="e">
        <f>F2810*G2810</f>
        <v>#REF!</v>
      </c>
      <c r="I2810" s="87"/>
      <c r="J2810" s="87"/>
      <c r="K2810" s="87"/>
      <c r="L2810" s="87"/>
    </row>
    <row r="2811" spans="1:12" ht="12" customHeight="1" x14ac:dyDescent="0.35">
      <c r="A2811" s="134">
        <v>10120000</v>
      </c>
      <c r="B2811" s="84"/>
      <c r="C2811" s="85" t="str">
        <f>VLOOKUP(A2811,'DAFTAR HARGA'!A:D,3,FALSE)</f>
        <v>OH</v>
      </c>
      <c r="D2811" s="84" t="s">
        <v>418</v>
      </c>
      <c r="E2811" s="84">
        <f>VLOOKUP(A2811,'DAFTAR HARGA'!A:D,4,FALSE)</f>
        <v>130000</v>
      </c>
      <c r="F2811" s="128">
        <f>F2810/10</f>
        <v>4.75E-4</v>
      </c>
      <c r="G2811" s="87" t="e">
        <f>VLOOKUP(A2811,'DAFTAR HARGA'!A:D,5,FALSE)</f>
        <v>#REF!</v>
      </c>
      <c r="H2811" s="87" t="e">
        <f>F2811*G2811</f>
        <v>#REF!</v>
      </c>
      <c r="I2811" s="87"/>
      <c r="J2811" s="87"/>
      <c r="K2811" s="87"/>
      <c r="L2811" s="87"/>
    </row>
    <row r="2812" spans="1:12" ht="12" customHeight="1" x14ac:dyDescent="0.35">
      <c r="A2812" s="134">
        <v>10110000</v>
      </c>
      <c r="B2812" s="84"/>
      <c r="C2812" s="85" t="str">
        <f>VLOOKUP(A2812,'DAFTAR HARGA'!A:D,3,FALSE)</f>
        <v>OH</v>
      </c>
      <c r="D2812" s="84" t="s">
        <v>418</v>
      </c>
      <c r="E2812" s="84">
        <f>VLOOKUP(A2812,'DAFTAR HARGA'!A:D,4,FALSE)</f>
        <v>150000</v>
      </c>
      <c r="F2812" s="128">
        <f>F2809/10</f>
        <v>1.9E-3</v>
      </c>
      <c r="G2812" s="87" t="e">
        <f>VLOOKUP(A2812,'DAFTAR HARGA'!A:D,5,FALSE)</f>
        <v>#REF!</v>
      </c>
      <c r="H2812" s="87" t="e">
        <f>F2812*G2812</f>
        <v>#REF!</v>
      </c>
      <c r="I2812" s="87">
        <v>92500</v>
      </c>
      <c r="J2812" s="87">
        <f>F2812*I2812</f>
        <v>175.75</v>
      </c>
      <c r="K2812" s="87">
        <v>92500</v>
      </c>
      <c r="L2812" s="87">
        <f>F2812*K2812</f>
        <v>175.75</v>
      </c>
    </row>
    <row r="2813" spans="1:12" ht="12" customHeight="1" x14ac:dyDescent="0.35">
      <c r="B2813" s="84"/>
      <c r="C2813" s="85"/>
      <c r="D2813" s="84"/>
      <c r="E2813" s="84"/>
      <c r="F2813" s="86"/>
      <c r="G2813" s="87"/>
      <c r="H2813" s="87"/>
      <c r="I2813" s="87"/>
      <c r="J2813" s="87"/>
      <c r="K2813" s="87"/>
      <c r="L2813" s="87"/>
    </row>
    <row r="2814" spans="1:12" ht="12" customHeight="1" x14ac:dyDescent="0.35">
      <c r="B2814" s="84"/>
      <c r="C2814" s="88"/>
      <c r="D2814" s="79"/>
      <c r="E2814" s="79"/>
      <c r="F2814" s="89" t="s">
        <v>421</v>
      </c>
      <c r="G2814" s="101"/>
      <c r="H2814" s="87" t="e">
        <f>SUM(H2809:H2813)</f>
        <v>#REF!</v>
      </c>
      <c r="I2814" s="101"/>
      <c r="J2814" s="87">
        <f>SUM(J2812:J2813)</f>
        <v>175.75</v>
      </c>
      <c r="K2814" s="101"/>
      <c r="L2814" s="87">
        <f>SUM(L2812:L2813)</f>
        <v>175.75</v>
      </c>
    </row>
    <row r="2815" spans="1:12" ht="12" customHeight="1" x14ac:dyDescent="0.35">
      <c r="B2815" s="84" t="s">
        <v>6</v>
      </c>
      <c r="C2815" s="88" t="s">
        <v>422</v>
      </c>
      <c r="D2815" s="79"/>
      <c r="E2815" s="79"/>
      <c r="F2815" s="90"/>
      <c r="G2815" s="84"/>
      <c r="H2815" s="87"/>
      <c r="I2815" s="84"/>
      <c r="J2815" s="87"/>
      <c r="K2815" s="84"/>
      <c r="L2815" s="87"/>
    </row>
    <row r="2816" spans="1:12" x14ac:dyDescent="0.35">
      <c r="A2816" s="134">
        <v>22101016</v>
      </c>
      <c r="B2816" s="84"/>
      <c r="C2816" s="130" t="str">
        <f>VLOOKUP(A2816,'DAFTAR HARGA'!A:D,3,FALSE)</f>
        <v>m3</v>
      </c>
      <c r="D2816" s="131" t="s">
        <v>418</v>
      </c>
      <c r="E2816" s="131">
        <f>VLOOKUP(A2816,'DAFTAR HARGA'!A:D,4,FALSE)</f>
        <v>760000</v>
      </c>
      <c r="F2816" s="132">
        <v>1.02</v>
      </c>
      <c r="G2816" s="133" t="e">
        <f>VLOOKUP(A2816,'DAFTAR HARGA'!A:D,5,FALSE)</f>
        <v>#REF!</v>
      </c>
      <c r="H2816" s="133" t="e">
        <f>F2816*G2816</f>
        <v>#REF!</v>
      </c>
      <c r="I2816" s="87">
        <v>232500</v>
      </c>
      <c r="J2816" s="87">
        <f>F2816*I2816</f>
        <v>237150</v>
      </c>
      <c r="K2816" s="87">
        <v>270000</v>
      </c>
      <c r="L2816" s="87">
        <f>F2816*K2816</f>
        <v>275400</v>
      </c>
    </row>
    <row r="2817" spans="1:12" x14ac:dyDescent="0.35">
      <c r="B2817" s="84"/>
      <c r="C2817" s="85"/>
      <c r="D2817" s="84"/>
      <c r="E2817" s="84"/>
      <c r="F2817" s="128"/>
      <c r="G2817" s="87"/>
      <c r="H2817" s="87">
        <f>F2817*G2817</f>
        <v>0</v>
      </c>
      <c r="I2817" s="87"/>
      <c r="J2817" s="87"/>
      <c r="K2817" s="87"/>
      <c r="L2817" s="87"/>
    </row>
    <row r="2818" spans="1:12" x14ac:dyDescent="0.35">
      <c r="B2818" s="84"/>
      <c r="C2818" s="85"/>
      <c r="D2818" s="84"/>
      <c r="E2818" s="84"/>
      <c r="F2818" s="128"/>
      <c r="G2818" s="87"/>
      <c r="H2818" s="87">
        <f>F2818*G2818</f>
        <v>0</v>
      </c>
      <c r="I2818" s="87"/>
      <c r="J2818" s="87"/>
      <c r="K2818" s="87"/>
      <c r="L2818" s="87"/>
    </row>
    <row r="2819" spans="1:12" ht="12" customHeight="1" x14ac:dyDescent="0.35">
      <c r="B2819" s="84"/>
      <c r="C2819" s="88"/>
      <c r="D2819" s="79"/>
      <c r="E2819" s="79"/>
      <c r="F2819" s="129" t="s">
        <v>423</v>
      </c>
      <c r="G2819" s="129"/>
      <c r="H2819" s="87" t="e">
        <f>SUM(H2816:H2818)</f>
        <v>#REF!</v>
      </c>
      <c r="I2819" s="101"/>
      <c r="J2819" s="87" t="e">
        <f>SUM(#REF!)</f>
        <v>#REF!</v>
      </c>
      <c r="K2819" s="101"/>
      <c r="L2819" s="87" t="e">
        <f>SUM(#REF!)</f>
        <v>#REF!</v>
      </c>
    </row>
    <row r="2820" spans="1:12" ht="12" customHeight="1" x14ac:dyDescent="0.35">
      <c r="B2820" s="84" t="s">
        <v>7</v>
      </c>
      <c r="C2820" s="88" t="s">
        <v>424</v>
      </c>
      <c r="D2820" s="79"/>
      <c r="E2820" s="79"/>
      <c r="F2820" s="90"/>
      <c r="G2820" s="84"/>
      <c r="H2820" s="87"/>
      <c r="I2820" s="84"/>
      <c r="J2820" s="87"/>
      <c r="K2820" s="84"/>
      <c r="L2820" s="87"/>
    </row>
    <row r="2821" spans="1:12" ht="12" customHeight="1" x14ac:dyDescent="0.35">
      <c r="A2821" s="134">
        <v>31100026</v>
      </c>
      <c r="B2821" s="84"/>
      <c r="C2821" s="85" t="str">
        <f>VLOOKUP(A2821,'DAFTAR HARGA'!A:D,3,FALSE)</f>
        <v>jam</v>
      </c>
      <c r="D2821" s="84" t="s">
        <v>418</v>
      </c>
      <c r="E2821" s="84">
        <f>VLOOKUP(A2821,'DAFTAR HARGA'!A:D,4,FALSE)</f>
        <v>5814000</v>
      </c>
      <c r="F2821" s="128">
        <f>F2811*24</f>
        <v>1.14E-2</v>
      </c>
      <c r="G2821" s="87" t="e">
        <f>VLOOKUP(A2821,'DAFTAR HARGA'!A:D,5,FALSE)</f>
        <v>#REF!</v>
      </c>
      <c r="H2821" s="87" t="e">
        <f>F2821*G2821</f>
        <v>#REF!</v>
      </c>
      <c r="I2821" s="87"/>
      <c r="J2821" s="87" t="e">
        <f>H2821*I2821</f>
        <v>#REF!</v>
      </c>
      <c r="K2821" s="87"/>
      <c r="L2821" s="87" t="e">
        <f>J2821*K2821</f>
        <v>#REF!</v>
      </c>
    </row>
    <row r="2822" spans="1:12" ht="12" customHeight="1" x14ac:dyDescent="0.35">
      <c r="B2822" s="84"/>
      <c r="C2822" s="85"/>
      <c r="D2822" s="84"/>
      <c r="E2822" s="84"/>
      <c r="F2822" s="128"/>
      <c r="G2822" s="87"/>
      <c r="H2822" s="87">
        <f>F2822*G2822</f>
        <v>0</v>
      </c>
      <c r="I2822" s="87"/>
      <c r="J2822" s="87"/>
      <c r="K2822" s="87"/>
      <c r="L2822" s="87"/>
    </row>
    <row r="2823" spans="1:12" ht="12" customHeight="1" x14ac:dyDescent="0.35">
      <c r="B2823" s="84"/>
      <c r="C2823" s="85"/>
      <c r="D2823" s="84"/>
      <c r="E2823" s="84"/>
      <c r="F2823" s="128"/>
      <c r="G2823" s="87"/>
      <c r="H2823" s="87">
        <f>F2823*G2823</f>
        <v>0</v>
      </c>
      <c r="I2823" s="87"/>
      <c r="J2823" s="87"/>
      <c r="K2823" s="87"/>
      <c r="L2823" s="87"/>
    </row>
    <row r="2824" spans="1:12" ht="12" customHeight="1" x14ac:dyDescent="0.35">
      <c r="B2824" s="84"/>
      <c r="C2824" s="88"/>
      <c r="D2824" s="79"/>
      <c r="E2824" s="79"/>
      <c r="F2824" s="89" t="s">
        <v>425</v>
      </c>
      <c r="G2824" s="101"/>
      <c r="H2824" s="87" t="e">
        <f>SUM(H2821:H2823)</f>
        <v>#REF!</v>
      </c>
      <c r="I2824" s="101"/>
      <c r="J2824" s="87" t="e">
        <f>SUM(J2821)</f>
        <v>#REF!</v>
      </c>
      <c r="K2824" s="101"/>
      <c r="L2824" s="87" t="e">
        <f>SUM(L2821)</f>
        <v>#REF!</v>
      </c>
    </row>
    <row r="2825" spans="1:12" ht="12" customHeight="1" x14ac:dyDescent="0.35">
      <c r="B2825" s="84" t="s">
        <v>8</v>
      </c>
      <c r="C2825" s="103" t="s">
        <v>426</v>
      </c>
      <c r="D2825" s="104"/>
      <c r="E2825" s="104"/>
      <c r="F2825" s="104"/>
      <c r="G2825" s="105"/>
      <c r="H2825" s="87" t="e">
        <f>H2814+H2819+H2824</f>
        <v>#REF!</v>
      </c>
      <c r="I2825" s="105"/>
      <c r="J2825" s="87" t="e">
        <f>J2814+J2819+J2824</f>
        <v>#REF!</v>
      </c>
      <c r="K2825" s="105"/>
      <c r="L2825" s="87" t="e">
        <f>L2814+L2819+L2824</f>
        <v>#REF!</v>
      </c>
    </row>
    <row r="2826" spans="1:12" ht="12" customHeight="1" x14ac:dyDescent="0.35">
      <c r="B2826" s="84" t="s">
        <v>9</v>
      </c>
      <c r="C2826" s="455" t="s">
        <v>427</v>
      </c>
      <c r="D2826" s="455"/>
      <c r="E2826" s="455"/>
      <c r="F2826" s="95" t="str">
        <f>OP</f>
        <v>TANJUNG PALAS TENGAH</v>
      </c>
      <c r="G2826" s="85" t="s">
        <v>428</v>
      </c>
      <c r="H2826" s="87" t="e">
        <f>H2825*F2826</f>
        <v>#REF!</v>
      </c>
      <c r="I2826" s="85" t="s">
        <v>428</v>
      </c>
      <c r="J2826" s="87" t="e">
        <f>J2825*F2826</f>
        <v>#REF!</v>
      </c>
      <c r="K2826" s="85" t="s">
        <v>428</v>
      </c>
      <c r="L2826" s="87" t="e">
        <f>L2825*F2826</f>
        <v>#REF!</v>
      </c>
    </row>
    <row r="2827" spans="1:12" ht="12" customHeight="1" x14ac:dyDescent="0.35">
      <c r="B2827" s="84" t="s">
        <v>10</v>
      </c>
      <c r="C2827" s="103" t="s">
        <v>429</v>
      </c>
      <c r="D2827" s="104"/>
      <c r="E2827" s="104"/>
      <c r="F2827" s="104"/>
      <c r="G2827" s="105"/>
      <c r="H2827" s="96" t="e">
        <f>H2825+H2826</f>
        <v>#REF!</v>
      </c>
      <c r="I2827" s="97"/>
      <c r="J2827" s="96" t="e">
        <f>J2825+J2826</f>
        <v>#REF!</v>
      </c>
      <c r="K2827" s="97"/>
      <c r="L2827" s="96" t="e">
        <f>L2825+L2826</f>
        <v>#REF!</v>
      </c>
    </row>
    <row r="2828" spans="1:12" x14ac:dyDescent="0.35">
      <c r="B2828" s="75" t="s">
        <v>801</v>
      </c>
    </row>
    <row r="2829" spans="1:12" ht="14" customHeight="1" x14ac:dyDescent="0.35"/>
    <row r="2830" spans="1:12" ht="37" customHeight="1" x14ac:dyDescent="0.35">
      <c r="B2830" s="76" t="s">
        <v>804</v>
      </c>
      <c r="C2830" s="458" t="s">
        <v>805</v>
      </c>
      <c r="D2830" s="459"/>
      <c r="E2830" s="459"/>
      <c r="F2830" s="459"/>
      <c r="G2830" s="456"/>
      <c r="H2830" s="457"/>
      <c r="I2830" s="455" t="s">
        <v>3</v>
      </c>
      <c r="J2830" s="455"/>
      <c r="K2830" s="455" t="s">
        <v>4</v>
      </c>
      <c r="L2830" s="455"/>
    </row>
    <row r="2831" spans="1:12" ht="12" customHeight="1" x14ac:dyDescent="0.35">
      <c r="B2831" s="451" t="s">
        <v>409</v>
      </c>
      <c r="C2831" s="451" t="s">
        <v>410</v>
      </c>
      <c r="D2831" s="452" t="s">
        <v>411</v>
      </c>
      <c r="E2831" s="451" t="s">
        <v>412</v>
      </c>
      <c r="F2831" s="451" t="s">
        <v>413</v>
      </c>
      <c r="G2831" s="77" t="s">
        <v>414</v>
      </c>
      <c r="H2831" s="77" t="s">
        <v>415</v>
      </c>
      <c r="I2831" s="78" t="s">
        <v>414</v>
      </c>
      <c r="J2831" s="79" t="s">
        <v>415</v>
      </c>
      <c r="K2831" s="79" t="s">
        <v>414</v>
      </c>
      <c r="L2831" s="79" t="s">
        <v>415</v>
      </c>
    </row>
    <row r="2832" spans="1:12" ht="12" customHeight="1" x14ac:dyDescent="0.35">
      <c r="B2832" s="451"/>
      <c r="C2832" s="451"/>
      <c r="D2832" s="453"/>
      <c r="E2832" s="451"/>
      <c r="F2832" s="451"/>
      <c r="G2832" s="77" t="s">
        <v>17</v>
      </c>
      <c r="H2832" s="77" t="s">
        <v>416</v>
      </c>
      <c r="I2832" s="78" t="s">
        <v>17</v>
      </c>
      <c r="J2832" s="79" t="s">
        <v>416</v>
      </c>
      <c r="K2832" s="79" t="s">
        <v>17</v>
      </c>
      <c r="L2832" s="79" t="s">
        <v>416</v>
      </c>
    </row>
    <row r="2833" spans="1:12" ht="12" customHeight="1" x14ac:dyDescent="0.35">
      <c r="B2833" s="451"/>
      <c r="C2833" s="451"/>
      <c r="D2833" s="454"/>
      <c r="E2833" s="451"/>
      <c r="F2833" s="451"/>
      <c r="G2833" s="106"/>
      <c r="H2833" s="77" t="s">
        <v>17</v>
      </c>
      <c r="I2833" s="94"/>
      <c r="J2833" s="79" t="s">
        <v>17</v>
      </c>
      <c r="K2833" s="85"/>
      <c r="L2833" s="79" t="s">
        <v>17</v>
      </c>
    </row>
    <row r="2834" spans="1:12" ht="12" customHeight="1" x14ac:dyDescent="0.35">
      <c r="B2834" s="80" t="s">
        <v>5</v>
      </c>
      <c r="C2834" s="81" t="s">
        <v>417</v>
      </c>
      <c r="D2834" s="82"/>
      <c r="E2834" s="82"/>
      <c r="F2834" s="82"/>
      <c r="G2834" s="82"/>
      <c r="H2834" s="82"/>
      <c r="I2834" s="83"/>
      <c r="J2834" s="83"/>
      <c r="K2834" s="83"/>
      <c r="L2834" s="83"/>
    </row>
    <row r="2835" spans="1:12" ht="12" customHeight="1" x14ac:dyDescent="0.35">
      <c r="A2835" s="134">
        <v>10130000</v>
      </c>
      <c r="B2835" s="84"/>
      <c r="C2835" s="85" t="str">
        <f>VLOOKUP(A2835,'DAFTAR HARGA'!A:D,3,FALSE)</f>
        <v>OH</v>
      </c>
      <c r="D2835" s="84" t="s">
        <v>418</v>
      </c>
      <c r="E2835" s="84">
        <f>VLOOKUP(A2835,'DAFTAR HARGA'!A:D,4,FALSE)</f>
        <v>115000</v>
      </c>
      <c r="F2835" s="128">
        <v>0.2</v>
      </c>
      <c r="G2835" s="87" t="e">
        <f>VLOOKUP(A2835,'DAFTAR HARGA'!A:D,5,FALSE)</f>
        <v>#REF!</v>
      </c>
      <c r="H2835" s="87" t="e">
        <f>F2835*G2835</f>
        <v>#REF!</v>
      </c>
      <c r="I2835" s="87">
        <v>91500</v>
      </c>
      <c r="J2835" s="87">
        <f>F2835*I2835</f>
        <v>18300</v>
      </c>
      <c r="K2835" s="87">
        <v>91500</v>
      </c>
      <c r="L2835" s="87">
        <f>F2835*K2835</f>
        <v>18300</v>
      </c>
    </row>
    <row r="2836" spans="1:12" ht="12" customHeight="1" x14ac:dyDescent="0.35">
      <c r="A2836" s="134">
        <v>10142000</v>
      </c>
      <c r="B2836" s="84"/>
      <c r="C2836" s="85" t="str">
        <f>VLOOKUP(A2836,'DAFTAR HARGA'!A:D,3,FALSE)</f>
        <v>OH</v>
      </c>
      <c r="D2836" s="84" t="s">
        <v>418</v>
      </c>
      <c r="E2836" s="84">
        <f>VLOOKUP(A2836,'DAFTAR HARGA'!A:D,4,FALSE)</f>
        <v>236600</v>
      </c>
      <c r="F2836" s="128">
        <v>0.1</v>
      </c>
      <c r="G2836" s="87" t="e">
        <f>VLOOKUP(A2836,'DAFTAR HARGA'!A:D,5,FALSE)</f>
        <v>#REF!</v>
      </c>
      <c r="H2836" s="87" t="e">
        <f>F2836*G2836</f>
        <v>#REF!</v>
      </c>
      <c r="I2836" s="87"/>
      <c r="J2836" s="87"/>
      <c r="K2836" s="87"/>
      <c r="L2836" s="87"/>
    </row>
    <row r="2837" spans="1:12" ht="12" customHeight="1" x14ac:dyDescent="0.35">
      <c r="A2837" s="134">
        <v>10120000</v>
      </c>
      <c r="B2837" s="84"/>
      <c r="C2837" s="85" t="str">
        <f>VLOOKUP(A2837,'DAFTAR HARGA'!A:D,3,FALSE)</f>
        <v>OH</v>
      </c>
      <c r="D2837" s="84" t="s">
        <v>418</v>
      </c>
      <c r="E2837" s="84">
        <f>VLOOKUP(A2837,'DAFTAR HARGA'!A:D,4,FALSE)</f>
        <v>130000</v>
      </c>
      <c r="F2837" s="128">
        <f>F2836/10</f>
        <v>0.01</v>
      </c>
      <c r="G2837" s="87" t="e">
        <f>VLOOKUP(A2837,'DAFTAR HARGA'!A:D,5,FALSE)</f>
        <v>#REF!</v>
      </c>
      <c r="H2837" s="87" t="e">
        <f>F2837*G2837</f>
        <v>#REF!</v>
      </c>
      <c r="I2837" s="87"/>
      <c r="J2837" s="87"/>
      <c r="K2837" s="87"/>
      <c r="L2837" s="87"/>
    </row>
    <row r="2838" spans="1:12" ht="12" customHeight="1" x14ac:dyDescent="0.35">
      <c r="A2838" s="134">
        <v>10110000</v>
      </c>
      <c r="B2838" s="84"/>
      <c r="C2838" s="85" t="str">
        <f>VLOOKUP(A2838,'DAFTAR HARGA'!A:D,3,FALSE)</f>
        <v>OH</v>
      </c>
      <c r="D2838" s="84" t="s">
        <v>418</v>
      </c>
      <c r="E2838" s="84">
        <f>VLOOKUP(A2838,'DAFTAR HARGA'!A:D,4,FALSE)</f>
        <v>150000</v>
      </c>
      <c r="F2838" s="128">
        <f>F2835/10</f>
        <v>0.02</v>
      </c>
      <c r="G2838" s="87" t="e">
        <f>VLOOKUP(A2838,'DAFTAR HARGA'!A:D,5,FALSE)</f>
        <v>#REF!</v>
      </c>
      <c r="H2838" s="87" t="e">
        <f>F2838*G2838</f>
        <v>#REF!</v>
      </c>
      <c r="I2838" s="87">
        <v>92500</v>
      </c>
      <c r="J2838" s="87">
        <f>F2838*I2838</f>
        <v>1850</v>
      </c>
      <c r="K2838" s="87">
        <v>92500</v>
      </c>
      <c r="L2838" s="87">
        <f>F2838*K2838</f>
        <v>1850</v>
      </c>
    </row>
    <row r="2839" spans="1:12" ht="12" customHeight="1" x14ac:dyDescent="0.35">
      <c r="B2839" s="84"/>
      <c r="C2839" s="85"/>
      <c r="D2839" s="84"/>
      <c r="E2839" s="84"/>
      <c r="F2839" s="86"/>
      <c r="G2839" s="87"/>
      <c r="H2839" s="87"/>
      <c r="I2839" s="87"/>
      <c r="J2839" s="87"/>
      <c r="K2839" s="87"/>
      <c r="L2839" s="87"/>
    </row>
    <row r="2840" spans="1:12" ht="12" customHeight="1" x14ac:dyDescent="0.35">
      <c r="B2840" s="84"/>
      <c r="C2840" s="88"/>
      <c r="D2840" s="79"/>
      <c r="E2840" s="79"/>
      <c r="F2840" s="89" t="s">
        <v>421</v>
      </c>
      <c r="G2840" s="101"/>
      <c r="H2840" s="87" t="e">
        <f>SUM(H2835:H2839)</f>
        <v>#REF!</v>
      </c>
      <c r="I2840" s="101"/>
      <c r="J2840" s="87">
        <f>SUM(J2838:J2839)</f>
        <v>1850</v>
      </c>
      <c r="K2840" s="101"/>
      <c r="L2840" s="87">
        <f>SUM(L2838:L2839)</f>
        <v>1850</v>
      </c>
    </row>
    <row r="2841" spans="1:12" ht="12" customHeight="1" x14ac:dyDescent="0.35">
      <c r="B2841" s="84" t="s">
        <v>6</v>
      </c>
      <c r="C2841" s="88" t="s">
        <v>422</v>
      </c>
      <c r="D2841" s="79"/>
      <c r="E2841" s="79"/>
      <c r="F2841" s="90"/>
      <c r="G2841" s="84"/>
      <c r="H2841" s="87"/>
      <c r="I2841" s="84"/>
      <c r="J2841" s="87"/>
      <c r="K2841" s="84"/>
      <c r="L2841" s="87"/>
    </row>
    <row r="2842" spans="1:12" x14ac:dyDescent="0.35">
      <c r="A2842" s="134">
        <v>21924004</v>
      </c>
      <c r="B2842" s="84"/>
      <c r="C2842" s="85" t="str">
        <f>VLOOKUP(A2842,'DAFTAR HARGA'!A:D,3,FALSE)</f>
        <v>m²</v>
      </c>
      <c r="D2842" s="84" t="s">
        <v>418</v>
      </c>
      <c r="E2842" s="84">
        <f>VLOOKUP(A2842,'DAFTAR HARGA'!A:D,4,FALSE)</f>
        <v>175000</v>
      </c>
      <c r="F2842" s="128">
        <v>0.128</v>
      </c>
      <c r="G2842" s="87" t="e">
        <f>VLOOKUP(A2842,'DAFTAR HARGA'!A:D,5,FALSE)</f>
        <v>#REF!</v>
      </c>
      <c r="H2842" s="87" t="e">
        <f>F2842*G2842</f>
        <v>#REF!</v>
      </c>
      <c r="I2842" s="87">
        <v>232500</v>
      </c>
      <c r="J2842" s="87">
        <f>F2842*I2842</f>
        <v>29760</v>
      </c>
      <c r="K2842" s="87">
        <v>270000</v>
      </c>
      <c r="L2842" s="87">
        <f>F2842*K2842</f>
        <v>34560</v>
      </c>
    </row>
    <row r="2843" spans="1:12" x14ac:dyDescent="0.35">
      <c r="A2843" s="134">
        <v>21401200</v>
      </c>
      <c r="B2843" s="84"/>
      <c r="C2843" s="85" t="str">
        <f>VLOOKUP(A2843,'DAFTAR HARGA'!A:D,3,FALSE)</f>
        <v>m³</v>
      </c>
      <c r="D2843" s="84" t="s">
        <v>418</v>
      </c>
      <c r="E2843" s="84">
        <f>VLOOKUP(A2843,'DAFTAR HARGA'!A:D,4,FALSE)</f>
        <v>1900000</v>
      </c>
      <c r="F2843" s="128">
        <v>5.0000000000000001E-3</v>
      </c>
      <c r="G2843" s="87" t="e">
        <f>VLOOKUP(A2843,'DAFTAR HARGA'!A:D,5,FALSE)</f>
        <v>#REF!</v>
      </c>
      <c r="H2843" s="87" t="e">
        <f>F2843*G2843</f>
        <v>#REF!</v>
      </c>
      <c r="I2843" s="87"/>
      <c r="J2843" s="87"/>
      <c r="K2843" s="87"/>
      <c r="L2843" s="87"/>
    </row>
    <row r="2844" spans="1:12" x14ac:dyDescent="0.35">
      <c r="A2844" s="134">
        <v>21911005</v>
      </c>
      <c r="B2844" s="84"/>
      <c r="C2844" s="85" t="str">
        <f>VLOOKUP(A2844,'DAFTAR HARGA'!A:D,3,FALSE)</f>
        <v>kg</v>
      </c>
      <c r="D2844" s="84" t="s">
        <v>418</v>
      </c>
      <c r="E2844" s="84">
        <f>VLOOKUP(A2844,'DAFTAR HARGA'!A:D,4,FALSE)</f>
        <v>21200</v>
      </c>
      <c r="F2844" s="128">
        <v>0.22</v>
      </c>
      <c r="G2844" s="87" t="e">
        <f>VLOOKUP(A2844,'DAFTAR HARGA'!A:D,5,FALSE)</f>
        <v>#REF!</v>
      </c>
      <c r="H2844" s="87" t="e">
        <f>F2844*G2844</f>
        <v>#REF!</v>
      </c>
      <c r="I2844" s="87"/>
      <c r="J2844" s="87"/>
      <c r="K2844" s="87"/>
      <c r="L2844" s="87"/>
    </row>
    <row r="2845" spans="1:12" x14ac:dyDescent="0.35">
      <c r="A2845" s="134">
        <v>21961000</v>
      </c>
      <c r="B2845" s="84"/>
      <c r="C2845" s="85" t="str">
        <f>VLOOKUP(A2845,'DAFTAR HARGA'!A:D,3,FALSE)</f>
        <v>liter</v>
      </c>
      <c r="D2845" s="84" t="s">
        <v>418</v>
      </c>
      <c r="E2845" s="84">
        <f>VLOOKUP(A2845,'DAFTAR HARGA'!A:D,4,FALSE)</f>
        <v>22100</v>
      </c>
      <c r="F2845" s="128">
        <v>0.2</v>
      </c>
      <c r="G2845" s="87" t="e">
        <f>VLOOKUP(A2845,'DAFTAR HARGA'!A:D,5,FALSE)</f>
        <v>#REF!</v>
      </c>
      <c r="H2845" s="87" t="e">
        <f>F2845*G2845</f>
        <v>#REF!</v>
      </c>
      <c r="I2845" s="87"/>
      <c r="J2845" s="87"/>
      <c r="K2845" s="87"/>
      <c r="L2845" s="87"/>
    </row>
    <row r="2846" spans="1:12" ht="12" customHeight="1" x14ac:dyDescent="0.35">
      <c r="B2846" s="84"/>
      <c r="C2846" s="88"/>
      <c r="D2846" s="79"/>
      <c r="E2846" s="79"/>
      <c r="F2846" s="129" t="s">
        <v>423</v>
      </c>
      <c r="G2846" s="129"/>
      <c r="H2846" s="87" t="e">
        <f>SUM(H2842:H2845)</f>
        <v>#REF!</v>
      </c>
      <c r="I2846" s="101"/>
      <c r="J2846" s="87" t="e">
        <f>SUM(#REF!)</f>
        <v>#REF!</v>
      </c>
      <c r="K2846" s="101"/>
      <c r="L2846" s="87" t="e">
        <f>SUM(#REF!)</f>
        <v>#REF!</v>
      </c>
    </row>
    <row r="2847" spans="1:12" ht="12" customHeight="1" x14ac:dyDescent="0.35">
      <c r="B2847" s="84" t="s">
        <v>7</v>
      </c>
      <c r="C2847" s="88" t="s">
        <v>424</v>
      </c>
      <c r="D2847" s="79"/>
      <c r="E2847" s="79"/>
      <c r="F2847" s="90"/>
      <c r="G2847" s="84"/>
      <c r="H2847" s="87"/>
      <c r="I2847" s="84"/>
      <c r="J2847" s="87"/>
      <c r="K2847" s="84"/>
      <c r="L2847" s="87"/>
    </row>
    <row r="2848" spans="1:12" ht="12" customHeight="1" x14ac:dyDescent="0.35">
      <c r="B2848" s="84"/>
      <c r="C2848" s="85"/>
      <c r="D2848" s="84"/>
      <c r="E2848" s="84"/>
      <c r="F2848" s="128"/>
      <c r="G2848" s="87"/>
      <c r="H2848" s="87">
        <f>F2848*G2848</f>
        <v>0</v>
      </c>
      <c r="I2848" s="87"/>
      <c r="J2848" s="87">
        <f>H2848*I2848</f>
        <v>0</v>
      </c>
      <c r="K2848" s="87"/>
      <c r="L2848" s="87">
        <f>J2848*K2848</f>
        <v>0</v>
      </c>
    </row>
    <row r="2849" spans="1:12" ht="12" customHeight="1" x14ac:dyDescent="0.35">
      <c r="B2849" s="84"/>
      <c r="C2849" s="85"/>
      <c r="D2849" s="84"/>
      <c r="E2849" s="84"/>
      <c r="F2849" s="128"/>
      <c r="G2849" s="87"/>
      <c r="H2849" s="87">
        <f>F2849*G2849</f>
        <v>0</v>
      </c>
      <c r="I2849" s="87"/>
      <c r="J2849" s="87"/>
      <c r="K2849" s="87"/>
      <c r="L2849" s="87"/>
    </row>
    <row r="2850" spans="1:12" ht="12" customHeight="1" x14ac:dyDescent="0.35">
      <c r="B2850" s="84"/>
      <c r="C2850" s="85"/>
      <c r="D2850" s="84"/>
      <c r="E2850" s="84"/>
      <c r="F2850" s="128"/>
      <c r="G2850" s="87"/>
      <c r="H2850" s="87">
        <f>F2850*G2850</f>
        <v>0</v>
      </c>
      <c r="I2850" s="87"/>
      <c r="J2850" s="87"/>
      <c r="K2850" s="87"/>
      <c r="L2850" s="87"/>
    </row>
    <row r="2851" spans="1:12" ht="12" customHeight="1" x14ac:dyDescent="0.35">
      <c r="B2851" s="84"/>
      <c r="C2851" s="88"/>
      <c r="D2851" s="79"/>
      <c r="E2851" s="79"/>
      <c r="F2851" s="89" t="s">
        <v>425</v>
      </c>
      <c r="G2851" s="101"/>
      <c r="H2851" s="87">
        <f>SUM(H2848:H2850)</f>
        <v>0</v>
      </c>
      <c r="I2851" s="101"/>
      <c r="J2851" s="87">
        <f>SUM(J2848)</f>
        <v>0</v>
      </c>
      <c r="K2851" s="101"/>
      <c r="L2851" s="87">
        <f>SUM(L2848)</f>
        <v>0</v>
      </c>
    </row>
    <row r="2852" spans="1:12" ht="12" customHeight="1" x14ac:dyDescent="0.35">
      <c r="B2852" s="84" t="s">
        <v>8</v>
      </c>
      <c r="C2852" s="103" t="s">
        <v>426</v>
      </c>
      <c r="D2852" s="104"/>
      <c r="E2852" s="104"/>
      <c r="F2852" s="104"/>
      <c r="G2852" s="105"/>
      <c r="H2852" s="87" t="e">
        <f>H2840+H2846+H2851</f>
        <v>#REF!</v>
      </c>
      <c r="I2852" s="105"/>
      <c r="J2852" s="87" t="e">
        <f>J2840+J2846+J2851</f>
        <v>#REF!</v>
      </c>
      <c r="K2852" s="105"/>
      <c r="L2852" s="87" t="e">
        <f>L2840+L2846+L2851</f>
        <v>#REF!</v>
      </c>
    </row>
    <row r="2853" spans="1:12" ht="12" customHeight="1" x14ac:dyDescent="0.35">
      <c r="B2853" s="84" t="s">
        <v>9</v>
      </c>
      <c r="C2853" s="455" t="s">
        <v>427</v>
      </c>
      <c r="D2853" s="455"/>
      <c r="E2853" s="455"/>
      <c r="F2853" s="95" t="str">
        <f>OP</f>
        <v>TANJUNG PALAS TENGAH</v>
      </c>
      <c r="G2853" s="85" t="s">
        <v>428</v>
      </c>
      <c r="H2853" s="87" t="e">
        <f>H2852*F2853</f>
        <v>#REF!</v>
      </c>
      <c r="I2853" s="85" t="s">
        <v>428</v>
      </c>
      <c r="J2853" s="87" t="e">
        <f>J2852*F2853</f>
        <v>#REF!</v>
      </c>
      <c r="K2853" s="85" t="s">
        <v>428</v>
      </c>
      <c r="L2853" s="87" t="e">
        <f>L2852*F2853</f>
        <v>#REF!</v>
      </c>
    </row>
    <row r="2854" spans="1:12" ht="12" customHeight="1" x14ac:dyDescent="0.35">
      <c r="B2854" s="84" t="s">
        <v>10</v>
      </c>
      <c r="C2854" s="103" t="s">
        <v>429</v>
      </c>
      <c r="D2854" s="104"/>
      <c r="E2854" s="104"/>
      <c r="F2854" s="104"/>
      <c r="G2854" s="105"/>
      <c r="H2854" s="96" t="e">
        <f>H2852+H2853</f>
        <v>#REF!</v>
      </c>
      <c r="I2854" s="97"/>
      <c r="J2854" s="96" t="e">
        <f>J2852+J2853</f>
        <v>#REF!</v>
      </c>
      <c r="K2854" s="97"/>
      <c r="L2854" s="96" t="e">
        <f>L2852+L2853</f>
        <v>#REF!</v>
      </c>
    </row>
    <row r="2855" spans="1:12" x14ac:dyDescent="0.35">
      <c r="B2855" s="75" t="s">
        <v>806</v>
      </c>
    </row>
    <row r="2856" spans="1:12" ht="14" customHeight="1" x14ac:dyDescent="0.35"/>
    <row r="2857" spans="1:12" ht="37" customHeight="1" x14ac:dyDescent="0.35">
      <c r="B2857" s="76" t="s">
        <v>807</v>
      </c>
      <c r="C2857" s="458" t="s">
        <v>808</v>
      </c>
      <c r="D2857" s="459"/>
      <c r="E2857" s="459"/>
      <c r="F2857" s="459"/>
      <c r="G2857" s="456"/>
      <c r="H2857" s="457"/>
      <c r="I2857" s="455" t="s">
        <v>3</v>
      </c>
      <c r="J2857" s="455"/>
      <c r="K2857" s="455" t="s">
        <v>4</v>
      </c>
      <c r="L2857" s="455"/>
    </row>
    <row r="2858" spans="1:12" ht="12" customHeight="1" x14ac:dyDescent="0.35">
      <c r="B2858" s="451" t="s">
        <v>409</v>
      </c>
      <c r="C2858" s="451" t="s">
        <v>410</v>
      </c>
      <c r="D2858" s="452" t="s">
        <v>411</v>
      </c>
      <c r="E2858" s="451" t="s">
        <v>412</v>
      </c>
      <c r="F2858" s="451" t="s">
        <v>413</v>
      </c>
      <c r="G2858" s="77" t="s">
        <v>414</v>
      </c>
      <c r="H2858" s="77" t="s">
        <v>415</v>
      </c>
      <c r="I2858" s="78" t="s">
        <v>414</v>
      </c>
      <c r="J2858" s="79" t="s">
        <v>415</v>
      </c>
      <c r="K2858" s="79" t="s">
        <v>414</v>
      </c>
      <c r="L2858" s="79" t="s">
        <v>415</v>
      </c>
    </row>
    <row r="2859" spans="1:12" ht="12" customHeight="1" x14ac:dyDescent="0.35">
      <c r="B2859" s="451"/>
      <c r="C2859" s="451"/>
      <c r="D2859" s="453"/>
      <c r="E2859" s="451"/>
      <c r="F2859" s="451"/>
      <c r="G2859" s="77" t="s">
        <v>17</v>
      </c>
      <c r="H2859" s="77" t="s">
        <v>416</v>
      </c>
      <c r="I2859" s="78" t="s">
        <v>17</v>
      </c>
      <c r="J2859" s="79" t="s">
        <v>416</v>
      </c>
      <c r="K2859" s="79" t="s">
        <v>17</v>
      </c>
      <c r="L2859" s="79" t="s">
        <v>416</v>
      </c>
    </row>
    <row r="2860" spans="1:12" ht="12" customHeight="1" x14ac:dyDescent="0.35">
      <c r="B2860" s="451"/>
      <c r="C2860" s="451"/>
      <c r="D2860" s="454"/>
      <c r="E2860" s="451"/>
      <c r="F2860" s="451"/>
      <c r="G2860" s="106"/>
      <c r="H2860" s="77" t="s">
        <v>17</v>
      </c>
      <c r="I2860" s="94"/>
      <c r="J2860" s="79" t="s">
        <v>17</v>
      </c>
      <c r="K2860" s="85"/>
      <c r="L2860" s="79" t="s">
        <v>17</v>
      </c>
    </row>
    <row r="2861" spans="1:12" ht="12" customHeight="1" x14ac:dyDescent="0.35">
      <c r="B2861" s="80" t="s">
        <v>5</v>
      </c>
      <c r="C2861" s="81" t="s">
        <v>417</v>
      </c>
      <c r="D2861" s="82"/>
      <c r="E2861" s="82"/>
      <c r="F2861" s="82"/>
      <c r="G2861" s="82"/>
      <c r="H2861" s="82"/>
      <c r="I2861" s="83"/>
      <c r="J2861" s="83"/>
      <c r="K2861" s="83"/>
      <c r="L2861" s="83"/>
    </row>
    <row r="2862" spans="1:12" ht="12" customHeight="1" x14ac:dyDescent="0.35">
      <c r="A2862" s="134">
        <v>10130000</v>
      </c>
      <c r="B2862" s="84"/>
      <c r="C2862" s="85" t="str">
        <f>VLOOKUP(A2862,'DAFTAR HARGA'!A:D,3,FALSE)</f>
        <v>OH</v>
      </c>
      <c r="D2862" s="84" t="s">
        <v>418</v>
      </c>
      <c r="E2862" s="84">
        <f>VLOOKUP(A2862,'DAFTAR HARGA'!A:D,4,FALSE)</f>
        <v>115000</v>
      </c>
      <c r="F2862" s="128">
        <v>0.3</v>
      </c>
      <c r="G2862" s="87" t="e">
        <f>VLOOKUP(A2862,'DAFTAR HARGA'!A:D,5,FALSE)</f>
        <v>#REF!</v>
      </c>
      <c r="H2862" s="87" t="e">
        <f>F2862*G2862</f>
        <v>#REF!</v>
      </c>
      <c r="I2862" s="87">
        <v>91500</v>
      </c>
      <c r="J2862" s="87">
        <f>F2862*I2862</f>
        <v>27450</v>
      </c>
      <c r="K2862" s="87">
        <v>91500</v>
      </c>
      <c r="L2862" s="87">
        <f>F2862*K2862</f>
        <v>27450</v>
      </c>
    </row>
    <row r="2863" spans="1:12" ht="12" customHeight="1" x14ac:dyDescent="0.35">
      <c r="A2863" s="134">
        <v>10142000</v>
      </c>
      <c r="B2863" s="84"/>
      <c r="C2863" s="85" t="str">
        <f>VLOOKUP(A2863,'DAFTAR HARGA'!A:D,3,FALSE)</f>
        <v>OH</v>
      </c>
      <c r="D2863" s="84" t="s">
        <v>418</v>
      </c>
      <c r="E2863" s="84">
        <f>VLOOKUP(A2863,'DAFTAR HARGA'!A:D,4,FALSE)</f>
        <v>236600</v>
      </c>
      <c r="F2863" s="128">
        <v>0.3</v>
      </c>
      <c r="G2863" s="87" t="e">
        <f>VLOOKUP(A2863,'DAFTAR HARGA'!A:D,5,FALSE)</f>
        <v>#REF!</v>
      </c>
      <c r="H2863" s="87" t="e">
        <f>F2863*G2863</f>
        <v>#REF!</v>
      </c>
      <c r="I2863" s="87"/>
      <c r="J2863" s="87"/>
      <c r="K2863" s="87"/>
      <c r="L2863" s="87"/>
    </row>
    <row r="2864" spans="1:12" ht="12" customHeight="1" x14ac:dyDescent="0.35">
      <c r="A2864" s="134">
        <v>10120000</v>
      </c>
      <c r="B2864" s="84"/>
      <c r="C2864" s="85" t="str">
        <f>VLOOKUP(A2864,'DAFTAR HARGA'!A:D,3,FALSE)</f>
        <v>OH</v>
      </c>
      <c r="D2864" s="84" t="s">
        <v>418</v>
      </c>
      <c r="E2864" s="84">
        <f>VLOOKUP(A2864,'DAFTAR HARGA'!A:D,4,FALSE)</f>
        <v>130000</v>
      </c>
      <c r="F2864" s="128">
        <f>F2863/10</f>
        <v>0.03</v>
      </c>
      <c r="G2864" s="87" t="e">
        <f>VLOOKUP(A2864,'DAFTAR HARGA'!A:D,5,FALSE)</f>
        <v>#REF!</v>
      </c>
      <c r="H2864" s="87" t="e">
        <f>F2864*G2864</f>
        <v>#REF!</v>
      </c>
      <c r="I2864" s="87"/>
      <c r="J2864" s="87"/>
      <c r="K2864" s="87"/>
      <c r="L2864" s="87"/>
    </row>
    <row r="2865" spans="1:12" ht="12" customHeight="1" x14ac:dyDescent="0.35">
      <c r="A2865" s="134">
        <v>10110000</v>
      </c>
      <c r="B2865" s="84"/>
      <c r="C2865" s="85" t="str">
        <f>VLOOKUP(A2865,'DAFTAR HARGA'!A:D,3,FALSE)</f>
        <v>OH</v>
      </c>
      <c r="D2865" s="84" t="s">
        <v>418</v>
      </c>
      <c r="E2865" s="84">
        <f>VLOOKUP(A2865,'DAFTAR HARGA'!A:D,4,FALSE)</f>
        <v>150000</v>
      </c>
      <c r="F2865" s="128">
        <f>F2862/10</f>
        <v>0.03</v>
      </c>
      <c r="G2865" s="87" t="e">
        <f>VLOOKUP(A2865,'DAFTAR HARGA'!A:D,5,FALSE)</f>
        <v>#REF!</v>
      </c>
      <c r="H2865" s="87" t="e">
        <f>F2865*G2865</f>
        <v>#REF!</v>
      </c>
      <c r="I2865" s="87">
        <v>92500</v>
      </c>
      <c r="J2865" s="87">
        <f>F2865*I2865</f>
        <v>2775</v>
      </c>
      <c r="K2865" s="87">
        <v>92500</v>
      </c>
      <c r="L2865" s="87">
        <f>F2865*K2865</f>
        <v>2775</v>
      </c>
    </row>
    <row r="2866" spans="1:12" ht="12" customHeight="1" x14ac:dyDescent="0.35">
      <c r="B2866" s="84"/>
      <c r="C2866" s="85"/>
      <c r="D2866" s="84"/>
      <c r="E2866" s="84"/>
      <c r="F2866" s="86"/>
      <c r="G2866" s="87"/>
      <c r="H2866" s="87"/>
      <c r="I2866" s="87"/>
      <c r="J2866" s="87"/>
      <c r="K2866" s="87"/>
      <c r="L2866" s="87"/>
    </row>
    <row r="2867" spans="1:12" ht="12" customHeight="1" x14ac:dyDescent="0.35">
      <c r="B2867" s="84"/>
      <c r="C2867" s="88"/>
      <c r="D2867" s="79"/>
      <c r="E2867" s="79"/>
      <c r="F2867" s="89" t="s">
        <v>421</v>
      </c>
      <c r="G2867" s="101"/>
      <c r="H2867" s="87" t="e">
        <f>SUM(H2862:H2866)</f>
        <v>#REF!</v>
      </c>
      <c r="I2867" s="101"/>
      <c r="J2867" s="87">
        <f>SUM(J2865:J2866)</f>
        <v>2775</v>
      </c>
      <c r="K2867" s="101"/>
      <c r="L2867" s="87">
        <f>SUM(L2865:L2866)</f>
        <v>2775</v>
      </c>
    </row>
    <row r="2868" spans="1:12" ht="12" customHeight="1" x14ac:dyDescent="0.35">
      <c r="B2868" s="84" t="s">
        <v>6</v>
      </c>
      <c r="C2868" s="88" t="s">
        <v>422</v>
      </c>
      <c r="D2868" s="79"/>
      <c r="E2868" s="79"/>
      <c r="F2868" s="90"/>
      <c r="G2868" s="84"/>
      <c r="H2868" s="87"/>
      <c r="I2868" s="84"/>
      <c r="J2868" s="87"/>
      <c r="K2868" s="84"/>
      <c r="L2868" s="87"/>
    </row>
    <row r="2869" spans="1:12" x14ac:dyDescent="0.35">
      <c r="A2869" s="134">
        <v>21924002</v>
      </c>
      <c r="B2869" s="84"/>
      <c r="C2869" s="85" t="str">
        <f>VLOOKUP(A2869,'DAFTAR HARGA'!A:D,3,FALSE)</f>
        <v>Lbr</v>
      </c>
      <c r="D2869" s="84" t="s">
        <v>418</v>
      </c>
      <c r="E2869" s="84">
        <f>VLOOKUP(A2869,'DAFTAR HARGA'!A:D,4,FALSE)</f>
        <v>240000</v>
      </c>
      <c r="F2869" s="128">
        <v>0.128</v>
      </c>
      <c r="G2869" s="87" t="e">
        <f>VLOOKUP(A2869,'DAFTAR HARGA'!A:D,5,FALSE)</f>
        <v>#REF!</v>
      </c>
      <c r="H2869" s="87" t="e">
        <f>F2869*G2869</f>
        <v>#REF!</v>
      </c>
      <c r="I2869" s="87">
        <v>232500</v>
      </c>
      <c r="J2869" s="87">
        <f>F2869*I2869</f>
        <v>29760</v>
      </c>
      <c r="K2869" s="87">
        <v>270000</v>
      </c>
      <c r="L2869" s="87">
        <f>F2869*K2869</f>
        <v>34560</v>
      </c>
    </row>
    <row r="2870" spans="1:12" x14ac:dyDescent="0.35">
      <c r="A2870" s="134">
        <v>21401200</v>
      </c>
      <c r="B2870" s="84"/>
      <c r="C2870" s="85" t="str">
        <f>VLOOKUP(A2870,'DAFTAR HARGA'!A:D,3,FALSE)</f>
        <v>m³</v>
      </c>
      <c r="D2870" s="84" t="s">
        <v>418</v>
      </c>
      <c r="E2870" s="84">
        <f>VLOOKUP(A2870,'DAFTAR HARGA'!A:D,4,FALSE)</f>
        <v>1900000</v>
      </c>
      <c r="F2870" s="128">
        <v>6.0000000000000001E-3</v>
      </c>
      <c r="G2870" s="87" t="e">
        <f>VLOOKUP(A2870,'DAFTAR HARGA'!A:D,5,FALSE)</f>
        <v>#REF!</v>
      </c>
      <c r="H2870" s="87" t="e">
        <f>F2870*G2870</f>
        <v>#REF!</v>
      </c>
      <c r="I2870" s="87"/>
      <c r="J2870" s="87"/>
      <c r="K2870" s="87"/>
      <c r="L2870" s="87"/>
    </row>
    <row r="2871" spans="1:12" x14ac:dyDescent="0.35">
      <c r="A2871" s="134">
        <v>21911005</v>
      </c>
      <c r="B2871" s="84"/>
      <c r="C2871" s="85" t="str">
        <f>VLOOKUP(A2871,'DAFTAR HARGA'!A:D,3,FALSE)</f>
        <v>kg</v>
      </c>
      <c r="D2871" s="84" t="s">
        <v>418</v>
      </c>
      <c r="E2871" s="84">
        <f>VLOOKUP(A2871,'DAFTAR HARGA'!A:D,4,FALSE)</f>
        <v>21200</v>
      </c>
      <c r="F2871" s="128">
        <v>0.28000000000000003</v>
      </c>
      <c r="G2871" s="87" t="e">
        <f>VLOOKUP(A2871,'DAFTAR HARGA'!A:D,5,FALSE)</f>
        <v>#REF!</v>
      </c>
      <c r="H2871" s="87" t="e">
        <f>F2871*G2871</f>
        <v>#REF!</v>
      </c>
      <c r="I2871" s="87"/>
      <c r="J2871" s="87"/>
      <c r="K2871" s="87"/>
      <c r="L2871" s="87"/>
    </row>
    <row r="2872" spans="1:12" x14ac:dyDescent="0.35">
      <c r="A2872" s="134">
        <v>21961000</v>
      </c>
      <c r="B2872" s="84"/>
      <c r="C2872" s="85" t="str">
        <f>VLOOKUP(A2872,'DAFTAR HARGA'!A:D,3,FALSE)</f>
        <v>liter</v>
      </c>
      <c r="D2872" s="84" t="s">
        <v>418</v>
      </c>
      <c r="E2872" s="84">
        <f>VLOOKUP(A2872,'DAFTAR HARGA'!A:D,4,FALSE)</f>
        <v>22100</v>
      </c>
      <c r="F2872" s="128">
        <v>0.25</v>
      </c>
      <c r="G2872" s="87" t="e">
        <f>VLOOKUP(A2872,'DAFTAR HARGA'!A:D,5,FALSE)</f>
        <v>#REF!</v>
      </c>
      <c r="H2872" s="87" t="e">
        <f>F2872*G2872</f>
        <v>#REF!</v>
      </c>
      <c r="I2872" s="87"/>
      <c r="J2872" s="87"/>
      <c r="K2872" s="87"/>
      <c r="L2872" s="87"/>
    </row>
    <row r="2873" spans="1:12" ht="12" customHeight="1" x14ac:dyDescent="0.35">
      <c r="B2873" s="84"/>
      <c r="C2873" s="88"/>
      <c r="D2873" s="79"/>
      <c r="E2873" s="79"/>
      <c r="F2873" s="129" t="s">
        <v>423</v>
      </c>
      <c r="G2873" s="129"/>
      <c r="H2873" s="87" t="e">
        <f>SUM(H2869:H2872)</f>
        <v>#REF!</v>
      </c>
      <c r="I2873" s="101"/>
      <c r="J2873" s="87" t="e">
        <f>SUM(#REF!)</f>
        <v>#REF!</v>
      </c>
      <c r="K2873" s="101"/>
      <c r="L2873" s="87" t="e">
        <f>SUM(#REF!)</f>
        <v>#REF!</v>
      </c>
    </row>
    <row r="2874" spans="1:12" ht="12" customHeight="1" x14ac:dyDescent="0.35">
      <c r="B2874" s="84" t="s">
        <v>7</v>
      </c>
      <c r="C2874" s="88" t="s">
        <v>424</v>
      </c>
      <c r="D2874" s="79"/>
      <c r="E2874" s="79"/>
      <c r="F2874" s="90"/>
      <c r="G2874" s="84"/>
      <c r="H2874" s="87"/>
      <c r="I2874" s="84"/>
      <c r="J2874" s="87"/>
      <c r="K2874" s="84"/>
      <c r="L2874" s="87"/>
    </row>
    <row r="2875" spans="1:12" ht="12" customHeight="1" x14ac:dyDescent="0.35">
      <c r="B2875" s="84"/>
      <c r="C2875" s="85"/>
      <c r="D2875" s="84"/>
      <c r="E2875" s="84"/>
      <c r="F2875" s="128"/>
      <c r="G2875" s="87"/>
      <c r="H2875" s="87">
        <f>F2875*G2875</f>
        <v>0</v>
      </c>
      <c r="I2875" s="87"/>
      <c r="J2875" s="87">
        <f>H2875*I2875</f>
        <v>0</v>
      </c>
      <c r="K2875" s="87"/>
      <c r="L2875" s="87">
        <f>J2875*K2875</f>
        <v>0</v>
      </c>
    </row>
    <row r="2876" spans="1:12" ht="12" customHeight="1" x14ac:dyDescent="0.35">
      <c r="B2876" s="84"/>
      <c r="C2876" s="85"/>
      <c r="D2876" s="84"/>
      <c r="E2876" s="84"/>
      <c r="F2876" s="128"/>
      <c r="G2876" s="87"/>
      <c r="H2876" s="87">
        <f>F2876*G2876</f>
        <v>0</v>
      </c>
      <c r="I2876" s="87"/>
      <c r="J2876" s="87"/>
      <c r="K2876" s="87"/>
      <c r="L2876" s="87"/>
    </row>
    <row r="2877" spans="1:12" ht="12" customHeight="1" x14ac:dyDescent="0.35">
      <c r="B2877" s="84"/>
      <c r="C2877" s="85"/>
      <c r="D2877" s="84"/>
      <c r="E2877" s="84"/>
      <c r="F2877" s="128"/>
      <c r="G2877" s="87"/>
      <c r="H2877" s="87">
        <f>F2877*G2877</f>
        <v>0</v>
      </c>
      <c r="I2877" s="87"/>
      <c r="J2877" s="87"/>
      <c r="K2877" s="87"/>
      <c r="L2877" s="87"/>
    </row>
    <row r="2878" spans="1:12" ht="12" customHeight="1" x14ac:dyDescent="0.35">
      <c r="B2878" s="84"/>
      <c r="C2878" s="88"/>
      <c r="D2878" s="79"/>
      <c r="E2878" s="79"/>
      <c r="F2878" s="89" t="s">
        <v>425</v>
      </c>
      <c r="G2878" s="101"/>
      <c r="H2878" s="87">
        <f>SUM(H2875:H2877)</f>
        <v>0</v>
      </c>
      <c r="I2878" s="101"/>
      <c r="J2878" s="87">
        <f>SUM(J2875)</f>
        <v>0</v>
      </c>
      <c r="K2878" s="101"/>
      <c r="L2878" s="87">
        <f>SUM(L2875)</f>
        <v>0</v>
      </c>
    </row>
    <row r="2879" spans="1:12" ht="12" customHeight="1" x14ac:dyDescent="0.35">
      <c r="B2879" s="84" t="s">
        <v>8</v>
      </c>
      <c r="C2879" s="103" t="s">
        <v>426</v>
      </c>
      <c r="D2879" s="104"/>
      <c r="E2879" s="104"/>
      <c r="F2879" s="104"/>
      <c r="G2879" s="105"/>
      <c r="H2879" s="87" t="e">
        <f>H2867+H2873+H2878</f>
        <v>#REF!</v>
      </c>
      <c r="I2879" s="105"/>
      <c r="J2879" s="87" t="e">
        <f>J2867+J2873+J2878</f>
        <v>#REF!</v>
      </c>
      <c r="K2879" s="105"/>
      <c r="L2879" s="87" t="e">
        <f>L2867+L2873+L2878</f>
        <v>#REF!</v>
      </c>
    </row>
    <row r="2880" spans="1:12" ht="12" customHeight="1" x14ac:dyDescent="0.35">
      <c r="B2880" s="84" t="s">
        <v>9</v>
      </c>
      <c r="C2880" s="455" t="s">
        <v>427</v>
      </c>
      <c r="D2880" s="455"/>
      <c r="E2880" s="455"/>
      <c r="F2880" s="95" t="str">
        <f>OP</f>
        <v>TANJUNG PALAS TENGAH</v>
      </c>
      <c r="G2880" s="85" t="s">
        <v>428</v>
      </c>
      <c r="H2880" s="87" t="e">
        <f>H2879*F2880</f>
        <v>#REF!</v>
      </c>
      <c r="I2880" s="85" t="s">
        <v>428</v>
      </c>
      <c r="J2880" s="87" t="e">
        <f>J2879*F2880</f>
        <v>#REF!</v>
      </c>
      <c r="K2880" s="85" t="s">
        <v>428</v>
      </c>
      <c r="L2880" s="87" t="e">
        <f>L2879*F2880</f>
        <v>#REF!</v>
      </c>
    </row>
    <row r="2881" spans="1:12" ht="12" customHeight="1" x14ac:dyDescent="0.35">
      <c r="B2881" s="84" t="s">
        <v>10</v>
      </c>
      <c r="C2881" s="103" t="s">
        <v>429</v>
      </c>
      <c r="D2881" s="104"/>
      <c r="E2881" s="104"/>
      <c r="F2881" s="104"/>
      <c r="G2881" s="105"/>
      <c r="H2881" s="96" t="e">
        <f>H2879+H2880</f>
        <v>#REF!</v>
      </c>
      <c r="I2881" s="97"/>
      <c r="J2881" s="96" t="e">
        <f>J2879+J2880</f>
        <v>#REF!</v>
      </c>
      <c r="K2881" s="97"/>
      <c r="L2881" s="96" t="e">
        <f>L2879+L2880</f>
        <v>#REF!</v>
      </c>
    </row>
    <row r="2882" spans="1:12" x14ac:dyDescent="0.35">
      <c r="B2882" s="75" t="s">
        <v>806</v>
      </c>
    </row>
    <row r="2883" spans="1:12" ht="14" customHeight="1" x14ac:dyDescent="0.35"/>
    <row r="2884" spans="1:12" ht="37" customHeight="1" x14ac:dyDescent="0.35">
      <c r="B2884" s="76" t="s">
        <v>809</v>
      </c>
      <c r="C2884" s="458" t="s">
        <v>810</v>
      </c>
      <c r="D2884" s="459"/>
      <c r="E2884" s="459"/>
      <c r="F2884" s="459"/>
      <c r="G2884" s="456"/>
      <c r="H2884" s="457"/>
      <c r="I2884" s="455" t="s">
        <v>3</v>
      </c>
      <c r="J2884" s="455"/>
      <c r="K2884" s="455" t="s">
        <v>4</v>
      </c>
      <c r="L2884" s="455"/>
    </row>
    <row r="2885" spans="1:12" ht="12" customHeight="1" x14ac:dyDescent="0.35">
      <c r="B2885" s="451" t="s">
        <v>409</v>
      </c>
      <c r="C2885" s="451" t="s">
        <v>410</v>
      </c>
      <c r="D2885" s="452" t="s">
        <v>411</v>
      </c>
      <c r="E2885" s="451" t="s">
        <v>412</v>
      </c>
      <c r="F2885" s="451" t="s">
        <v>413</v>
      </c>
      <c r="G2885" s="77" t="s">
        <v>414</v>
      </c>
      <c r="H2885" s="77" t="s">
        <v>415</v>
      </c>
      <c r="I2885" s="78" t="s">
        <v>414</v>
      </c>
      <c r="J2885" s="79" t="s">
        <v>415</v>
      </c>
      <c r="K2885" s="79" t="s">
        <v>414</v>
      </c>
      <c r="L2885" s="79" t="s">
        <v>415</v>
      </c>
    </row>
    <row r="2886" spans="1:12" ht="12" customHeight="1" x14ac:dyDescent="0.35">
      <c r="B2886" s="451"/>
      <c r="C2886" s="451"/>
      <c r="D2886" s="453"/>
      <c r="E2886" s="451"/>
      <c r="F2886" s="451"/>
      <c r="G2886" s="77" t="s">
        <v>17</v>
      </c>
      <c r="H2886" s="77" t="s">
        <v>416</v>
      </c>
      <c r="I2886" s="78" t="s">
        <v>17</v>
      </c>
      <c r="J2886" s="79" t="s">
        <v>416</v>
      </c>
      <c r="K2886" s="79" t="s">
        <v>17</v>
      </c>
      <c r="L2886" s="79" t="s">
        <v>416</v>
      </c>
    </row>
    <row r="2887" spans="1:12" ht="12" customHeight="1" x14ac:dyDescent="0.35">
      <c r="B2887" s="451"/>
      <c r="C2887" s="451"/>
      <c r="D2887" s="454"/>
      <c r="E2887" s="451"/>
      <c r="F2887" s="451"/>
      <c r="G2887" s="106"/>
      <c r="H2887" s="77" t="s">
        <v>17</v>
      </c>
      <c r="I2887" s="94"/>
      <c r="J2887" s="79" t="s">
        <v>17</v>
      </c>
      <c r="K2887" s="85"/>
      <c r="L2887" s="79" t="s">
        <v>17</v>
      </c>
    </row>
    <row r="2888" spans="1:12" ht="12" customHeight="1" x14ac:dyDescent="0.35">
      <c r="B2888" s="80" t="s">
        <v>5</v>
      </c>
      <c r="C2888" s="81" t="s">
        <v>417</v>
      </c>
      <c r="D2888" s="82"/>
      <c r="E2888" s="82"/>
      <c r="F2888" s="82"/>
      <c r="G2888" s="82"/>
      <c r="H2888" s="82"/>
      <c r="I2888" s="83"/>
      <c r="J2888" s="83"/>
      <c r="K2888" s="83"/>
      <c r="L2888" s="83"/>
    </row>
    <row r="2889" spans="1:12" ht="12" customHeight="1" x14ac:dyDescent="0.35">
      <c r="A2889" s="134">
        <v>10130000</v>
      </c>
      <c r="B2889" s="84"/>
      <c r="C2889" s="85" t="str">
        <f>VLOOKUP(A2889,'DAFTAR HARGA'!A:D,3,FALSE)</f>
        <v>OH</v>
      </c>
      <c r="D2889" s="84" t="s">
        <v>418</v>
      </c>
      <c r="E2889" s="84">
        <f>VLOOKUP(A2889,'DAFTAR HARGA'!A:D,4,FALSE)</f>
        <v>115000</v>
      </c>
      <c r="F2889" s="128">
        <v>0.3</v>
      </c>
      <c r="G2889" s="87" t="e">
        <f>VLOOKUP(A2889,'DAFTAR HARGA'!A:D,5,FALSE)</f>
        <v>#REF!</v>
      </c>
      <c r="H2889" s="87" t="e">
        <f>F2889*G2889</f>
        <v>#REF!</v>
      </c>
      <c r="I2889" s="87">
        <v>91500</v>
      </c>
      <c r="J2889" s="87">
        <f>F2889*I2889</f>
        <v>27450</v>
      </c>
      <c r="K2889" s="87">
        <v>91500</v>
      </c>
      <c r="L2889" s="87">
        <f>F2889*K2889</f>
        <v>27450</v>
      </c>
    </row>
    <row r="2890" spans="1:12" ht="12" customHeight="1" x14ac:dyDescent="0.35">
      <c r="A2890" s="134">
        <v>10142000</v>
      </c>
      <c r="B2890" s="84"/>
      <c r="C2890" s="85" t="str">
        <f>VLOOKUP(A2890,'DAFTAR HARGA'!A:D,3,FALSE)</f>
        <v>OH</v>
      </c>
      <c r="D2890" s="84" t="s">
        <v>418</v>
      </c>
      <c r="E2890" s="84">
        <f>VLOOKUP(A2890,'DAFTAR HARGA'!A:D,4,FALSE)</f>
        <v>236600</v>
      </c>
      <c r="F2890" s="128">
        <v>0.15</v>
      </c>
      <c r="G2890" s="87" t="e">
        <f>VLOOKUP(A2890,'DAFTAR HARGA'!A:D,5,FALSE)</f>
        <v>#REF!</v>
      </c>
      <c r="H2890" s="87" t="e">
        <f>F2890*G2890</f>
        <v>#REF!</v>
      </c>
      <c r="I2890" s="87"/>
      <c r="J2890" s="87"/>
      <c r="K2890" s="87"/>
      <c r="L2890" s="87"/>
    </row>
    <row r="2891" spans="1:12" ht="12" customHeight="1" x14ac:dyDescent="0.35">
      <c r="A2891" s="134">
        <v>10120000</v>
      </c>
      <c r="B2891" s="84"/>
      <c r="C2891" s="85" t="str">
        <f>VLOOKUP(A2891,'DAFTAR HARGA'!A:D,3,FALSE)</f>
        <v>OH</v>
      </c>
      <c r="D2891" s="84" t="s">
        <v>418</v>
      </c>
      <c r="E2891" s="84">
        <f>VLOOKUP(A2891,'DAFTAR HARGA'!A:D,4,FALSE)</f>
        <v>130000</v>
      </c>
      <c r="F2891" s="128">
        <f>F2890/10</f>
        <v>1.4999999999999999E-2</v>
      </c>
      <c r="G2891" s="87" t="e">
        <f>VLOOKUP(A2891,'DAFTAR HARGA'!A:D,5,FALSE)</f>
        <v>#REF!</v>
      </c>
      <c r="H2891" s="87" t="e">
        <f>F2891*G2891</f>
        <v>#REF!</v>
      </c>
      <c r="I2891" s="87"/>
      <c r="J2891" s="87"/>
      <c r="K2891" s="87"/>
      <c r="L2891" s="87"/>
    </row>
    <row r="2892" spans="1:12" ht="12" customHeight="1" x14ac:dyDescent="0.35">
      <c r="A2892" s="134">
        <v>10110000</v>
      </c>
      <c r="B2892" s="84"/>
      <c r="C2892" s="85" t="str">
        <f>VLOOKUP(A2892,'DAFTAR HARGA'!A:D,3,FALSE)</f>
        <v>OH</v>
      </c>
      <c r="D2892" s="84" t="s">
        <v>418</v>
      </c>
      <c r="E2892" s="84">
        <f>VLOOKUP(A2892,'DAFTAR HARGA'!A:D,4,FALSE)</f>
        <v>150000</v>
      </c>
      <c r="F2892" s="128">
        <f>F2889/10</f>
        <v>0.03</v>
      </c>
      <c r="G2892" s="87" t="e">
        <f>VLOOKUP(A2892,'DAFTAR HARGA'!A:D,5,FALSE)</f>
        <v>#REF!</v>
      </c>
      <c r="H2892" s="87" t="e">
        <f>F2892*G2892</f>
        <v>#REF!</v>
      </c>
      <c r="I2892" s="87">
        <v>92500</v>
      </c>
      <c r="J2892" s="87">
        <f>F2892*I2892</f>
        <v>2775</v>
      </c>
      <c r="K2892" s="87">
        <v>92500</v>
      </c>
      <c r="L2892" s="87">
        <f>F2892*K2892</f>
        <v>2775</v>
      </c>
    </row>
    <row r="2893" spans="1:12" ht="12" customHeight="1" x14ac:dyDescent="0.35">
      <c r="B2893" s="84"/>
      <c r="C2893" s="85"/>
      <c r="D2893" s="84"/>
      <c r="E2893" s="84"/>
      <c r="F2893" s="86"/>
      <c r="G2893" s="87"/>
      <c r="H2893" s="87"/>
      <c r="I2893" s="87"/>
      <c r="J2893" s="87"/>
      <c r="K2893" s="87"/>
      <c r="L2893" s="87"/>
    </row>
    <row r="2894" spans="1:12" ht="12" customHeight="1" x14ac:dyDescent="0.35">
      <c r="B2894" s="84"/>
      <c r="C2894" s="88"/>
      <c r="D2894" s="79"/>
      <c r="E2894" s="79"/>
      <c r="F2894" s="89" t="s">
        <v>421</v>
      </c>
      <c r="G2894" s="101"/>
      <c r="H2894" s="87" t="e">
        <f>SUM(H2889:H2893)</f>
        <v>#REF!</v>
      </c>
      <c r="I2894" s="101"/>
      <c r="J2894" s="87">
        <f>SUM(J2892:J2893)</f>
        <v>2775</v>
      </c>
      <c r="K2894" s="101"/>
      <c r="L2894" s="87">
        <f>SUM(L2892:L2893)</f>
        <v>2775</v>
      </c>
    </row>
    <row r="2895" spans="1:12" ht="12" customHeight="1" x14ac:dyDescent="0.35">
      <c r="B2895" s="84" t="s">
        <v>6</v>
      </c>
      <c r="C2895" s="88" t="s">
        <v>422</v>
      </c>
      <c r="D2895" s="79"/>
      <c r="E2895" s="79"/>
      <c r="F2895" s="90"/>
      <c r="G2895" s="84"/>
      <c r="H2895" s="87"/>
      <c r="I2895" s="84"/>
      <c r="J2895" s="87"/>
      <c r="K2895" s="84"/>
      <c r="L2895" s="87"/>
    </row>
    <row r="2896" spans="1:12" x14ac:dyDescent="0.35">
      <c r="A2896" s="134">
        <v>21924002</v>
      </c>
      <c r="B2896" s="84"/>
      <c r="C2896" s="85" t="str">
        <f>VLOOKUP(A2896,'DAFTAR HARGA'!A:D,3,FALSE)</f>
        <v>Lbr</v>
      </c>
      <c r="D2896" s="84" t="s">
        <v>418</v>
      </c>
      <c r="E2896" s="84">
        <f>VLOOKUP(A2896,'DAFTAR HARGA'!A:D,4,FALSE)</f>
        <v>240000</v>
      </c>
      <c r="F2896" s="128">
        <v>0.128</v>
      </c>
      <c r="G2896" s="87" t="e">
        <f>VLOOKUP(A2896,'DAFTAR HARGA'!A:D,5,FALSE)</f>
        <v>#REF!</v>
      </c>
      <c r="H2896" s="87"/>
      <c r="I2896" s="87">
        <v>232500</v>
      </c>
      <c r="J2896" s="87">
        <f>F2896*I2896</f>
        <v>29760</v>
      </c>
      <c r="K2896" s="87">
        <v>270000</v>
      </c>
      <c r="L2896" s="87">
        <f>F2896*K2896</f>
        <v>34560</v>
      </c>
    </row>
    <row r="2897" spans="1:12" x14ac:dyDescent="0.35">
      <c r="A2897" s="134">
        <v>21401200</v>
      </c>
      <c r="B2897" s="84"/>
      <c r="C2897" s="85" t="str">
        <f>VLOOKUP(A2897,'DAFTAR HARGA'!A:D,3,FALSE)</f>
        <v>m³</v>
      </c>
      <c r="D2897" s="84" t="s">
        <v>418</v>
      </c>
      <c r="E2897" s="84">
        <f>VLOOKUP(A2897,'DAFTAR HARGA'!A:D,4,FALSE)</f>
        <v>1900000</v>
      </c>
      <c r="F2897" s="128">
        <v>0.02</v>
      </c>
      <c r="G2897" s="87" t="e">
        <f>VLOOKUP(A2897,'DAFTAR HARGA'!A:D,5,FALSE)</f>
        <v>#REF!</v>
      </c>
      <c r="H2897" s="87" t="e">
        <f>F2897*G2897</f>
        <v>#REF!</v>
      </c>
      <c r="I2897" s="87"/>
      <c r="J2897" s="87"/>
      <c r="K2897" s="87"/>
      <c r="L2897" s="87"/>
    </row>
    <row r="2898" spans="1:12" x14ac:dyDescent="0.35">
      <c r="A2898" s="134">
        <v>21911005</v>
      </c>
      <c r="B2898" s="84"/>
      <c r="C2898" s="85" t="str">
        <f>VLOOKUP(A2898,'DAFTAR HARGA'!A:D,3,FALSE)</f>
        <v>kg</v>
      </c>
      <c r="D2898" s="84" t="s">
        <v>418</v>
      </c>
      <c r="E2898" s="84">
        <f>VLOOKUP(A2898,'DAFTAR HARGA'!A:D,4,FALSE)</f>
        <v>21200</v>
      </c>
      <c r="F2898" s="128">
        <v>0.25</v>
      </c>
      <c r="G2898" s="87" t="e">
        <f>VLOOKUP(A2898,'DAFTAR HARGA'!A:D,5,FALSE)</f>
        <v>#REF!</v>
      </c>
      <c r="H2898" s="87" t="e">
        <f>F2898*G2898</f>
        <v>#REF!</v>
      </c>
      <c r="I2898" s="87"/>
      <c r="J2898" s="87"/>
      <c r="K2898" s="87"/>
      <c r="L2898" s="87"/>
    </row>
    <row r="2899" spans="1:12" x14ac:dyDescent="0.35">
      <c r="A2899" s="134">
        <v>21961000</v>
      </c>
      <c r="B2899" s="84"/>
      <c r="C2899" s="85" t="str">
        <f>VLOOKUP(A2899,'DAFTAR HARGA'!A:D,3,FALSE)</f>
        <v>liter</v>
      </c>
      <c r="D2899" s="84" t="s">
        <v>418</v>
      </c>
      <c r="E2899" s="84">
        <f>VLOOKUP(A2899,'DAFTAR HARGA'!A:D,4,FALSE)</f>
        <v>22100</v>
      </c>
      <c r="F2899" s="128">
        <v>0.25</v>
      </c>
      <c r="G2899" s="87" t="e">
        <f>VLOOKUP(A2899,'DAFTAR HARGA'!A:D,5,FALSE)</f>
        <v>#REF!</v>
      </c>
      <c r="H2899" s="87"/>
      <c r="I2899" s="87"/>
      <c r="J2899" s="87"/>
      <c r="K2899" s="87"/>
      <c r="L2899" s="87"/>
    </row>
    <row r="2900" spans="1:12" ht="12" customHeight="1" x14ac:dyDescent="0.35">
      <c r="B2900" s="84"/>
      <c r="C2900" s="88"/>
      <c r="D2900" s="79"/>
      <c r="E2900" s="79"/>
      <c r="F2900" s="129" t="s">
        <v>423</v>
      </c>
      <c r="G2900" s="129"/>
      <c r="H2900" s="87" t="e">
        <f>SUM(H2896:H2899)</f>
        <v>#REF!</v>
      </c>
      <c r="I2900" s="101"/>
      <c r="J2900" s="87" t="e">
        <f>SUM(#REF!)</f>
        <v>#REF!</v>
      </c>
      <c r="K2900" s="101"/>
      <c r="L2900" s="87" t="e">
        <f>SUM(#REF!)</f>
        <v>#REF!</v>
      </c>
    </row>
    <row r="2901" spans="1:12" ht="12" customHeight="1" x14ac:dyDescent="0.35">
      <c r="B2901" s="84" t="s">
        <v>7</v>
      </c>
      <c r="C2901" s="88" t="s">
        <v>424</v>
      </c>
      <c r="D2901" s="79"/>
      <c r="E2901" s="79"/>
      <c r="F2901" s="90"/>
      <c r="G2901" s="84"/>
      <c r="H2901" s="87"/>
      <c r="I2901" s="84"/>
      <c r="J2901" s="87"/>
      <c r="K2901" s="84"/>
      <c r="L2901" s="87"/>
    </row>
    <row r="2902" spans="1:12" ht="12" customHeight="1" x14ac:dyDescent="0.35">
      <c r="B2902" s="84"/>
      <c r="C2902" s="85"/>
      <c r="D2902" s="84"/>
      <c r="E2902" s="84"/>
      <c r="F2902" s="128"/>
      <c r="G2902" s="87"/>
      <c r="H2902" s="87">
        <f>F2902*G2902</f>
        <v>0</v>
      </c>
      <c r="I2902" s="87"/>
      <c r="J2902" s="87">
        <f>H2902*I2902</f>
        <v>0</v>
      </c>
      <c r="K2902" s="87"/>
      <c r="L2902" s="87">
        <f>J2902*K2902</f>
        <v>0</v>
      </c>
    </row>
    <row r="2903" spans="1:12" ht="12" customHeight="1" x14ac:dyDescent="0.35">
      <c r="B2903" s="84"/>
      <c r="C2903" s="85"/>
      <c r="D2903" s="84"/>
      <c r="E2903" s="84"/>
      <c r="F2903" s="128"/>
      <c r="G2903" s="87"/>
      <c r="H2903" s="87">
        <f>F2903*G2903</f>
        <v>0</v>
      </c>
      <c r="I2903" s="87"/>
      <c r="J2903" s="87"/>
      <c r="K2903" s="87"/>
      <c r="L2903" s="87"/>
    </row>
    <row r="2904" spans="1:12" ht="12" customHeight="1" x14ac:dyDescent="0.35">
      <c r="B2904" s="84"/>
      <c r="C2904" s="85"/>
      <c r="D2904" s="84"/>
      <c r="E2904" s="84"/>
      <c r="F2904" s="128"/>
      <c r="G2904" s="87"/>
      <c r="H2904" s="87">
        <f>F2904*G2904</f>
        <v>0</v>
      </c>
      <c r="I2904" s="87"/>
      <c r="J2904" s="87"/>
      <c r="K2904" s="87"/>
      <c r="L2904" s="87"/>
    </row>
    <row r="2905" spans="1:12" ht="12" customHeight="1" x14ac:dyDescent="0.35">
      <c r="B2905" s="84"/>
      <c r="C2905" s="88"/>
      <c r="D2905" s="79"/>
      <c r="E2905" s="79"/>
      <c r="F2905" s="89" t="s">
        <v>425</v>
      </c>
      <c r="G2905" s="101"/>
      <c r="H2905" s="87">
        <f>SUM(H2902:H2904)</f>
        <v>0</v>
      </c>
      <c r="I2905" s="101"/>
      <c r="J2905" s="87">
        <f>SUM(J2902)</f>
        <v>0</v>
      </c>
      <c r="K2905" s="101"/>
      <c r="L2905" s="87">
        <f>SUM(L2902)</f>
        <v>0</v>
      </c>
    </row>
    <row r="2906" spans="1:12" ht="12" customHeight="1" x14ac:dyDescent="0.35">
      <c r="B2906" s="84" t="s">
        <v>8</v>
      </c>
      <c r="C2906" s="103" t="s">
        <v>426</v>
      </c>
      <c r="D2906" s="104"/>
      <c r="E2906" s="104"/>
      <c r="F2906" s="104"/>
      <c r="G2906" s="105"/>
      <c r="H2906" s="87" t="e">
        <f>H2894+H2900+H2905</f>
        <v>#REF!</v>
      </c>
      <c r="I2906" s="105"/>
      <c r="J2906" s="87" t="e">
        <f>J2894+J2900+J2905</f>
        <v>#REF!</v>
      </c>
      <c r="K2906" s="105"/>
      <c r="L2906" s="87" t="e">
        <f>L2894+L2900+L2905</f>
        <v>#REF!</v>
      </c>
    </row>
    <row r="2907" spans="1:12" ht="12" customHeight="1" x14ac:dyDescent="0.35">
      <c r="B2907" s="84" t="s">
        <v>9</v>
      </c>
      <c r="C2907" s="455" t="s">
        <v>427</v>
      </c>
      <c r="D2907" s="455"/>
      <c r="E2907" s="455"/>
      <c r="F2907" s="95" t="str">
        <f>OP</f>
        <v>TANJUNG PALAS TENGAH</v>
      </c>
      <c r="G2907" s="85" t="s">
        <v>428</v>
      </c>
      <c r="H2907" s="87" t="e">
        <f>H2906*F2907</f>
        <v>#REF!</v>
      </c>
      <c r="I2907" s="85" t="s">
        <v>428</v>
      </c>
      <c r="J2907" s="87" t="e">
        <f>J2906*F2907</f>
        <v>#REF!</v>
      </c>
      <c r="K2907" s="85" t="s">
        <v>428</v>
      </c>
      <c r="L2907" s="87" t="e">
        <f>L2906*F2907</f>
        <v>#REF!</v>
      </c>
    </row>
    <row r="2908" spans="1:12" ht="12" customHeight="1" x14ac:dyDescent="0.35">
      <c r="B2908" s="84" t="s">
        <v>10</v>
      </c>
      <c r="C2908" s="103" t="s">
        <v>429</v>
      </c>
      <c r="D2908" s="104"/>
      <c r="E2908" s="104"/>
      <c r="F2908" s="104"/>
      <c r="G2908" s="105"/>
      <c r="H2908" s="96" t="e">
        <f>H2906+H2907</f>
        <v>#REF!</v>
      </c>
      <c r="I2908" s="97"/>
      <c r="J2908" s="96" t="e">
        <f>J2906+J2907</f>
        <v>#REF!</v>
      </c>
      <c r="K2908" s="97"/>
      <c r="L2908" s="96" t="e">
        <f>L2906+L2907</f>
        <v>#REF!</v>
      </c>
    </row>
    <row r="2909" spans="1:12" x14ac:dyDescent="0.35">
      <c r="B2909" s="75" t="s">
        <v>806</v>
      </c>
    </row>
    <row r="2910" spans="1:12" ht="14" customHeight="1" x14ac:dyDescent="0.35"/>
    <row r="2911" spans="1:12" ht="37" customHeight="1" x14ac:dyDescent="0.35">
      <c r="B2911" s="76" t="s">
        <v>811</v>
      </c>
      <c r="C2911" s="458" t="s">
        <v>818</v>
      </c>
      <c r="D2911" s="459"/>
      <c r="E2911" s="459"/>
      <c r="F2911" s="459"/>
      <c r="G2911" s="456"/>
      <c r="H2911" s="457"/>
      <c r="I2911" s="455" t="s">
        <v>3</v>
      </c>
      <c r="J2911" s="455"/>
      <c r="K2911" s="455" t="s">
        <v>4</v>
      </c>
      <c r="L2911" s="455"/>
    </row>
    <row r="2912" spans="1:12" ht="12" customHeight="1" x14ac:dyDescent="0.35">
      <c r="B2912" s="451" t="s">
        <v>409</v>
      </c>
      <c r="C2912" s="451" t="s">
        <v>410</v>
      </c>
      <c r="D2912" s="452" t="s">
        <v>411</v>
      </c>
      <c r="E2912" s="451" t="s">
        <v>412</v>
      </c>
      <c r="F2912" s="451" t="s">
        <v>413</v>
      </c>
      <c r="G2912" s="77" t="s">
        <v>414</v>
      </c>
      <c r="H2912" s="77" t="s">
        <v>415</v>
      </c>
      <c r="I2912" s="78" t="s">
        <v>414</v>
      </c>
      <c r="J2912" s="79" t="s">
        <v>415</v>
      </c>
      <c r="K2912" s="79" t="s">
        <v>414</v>
      </c>
      <c r="L2912" s="79" t="s">
        <v>415</v>
      </c>
    </row>
    <row r="2913" spans="1:12" ht="12" customHeight="1" x14ac:dyDescent="0.35">
      <c r="B2913" s="451"/>
      <c r="C2913" s="451"/>
      <c r="D2913" s="453"/>
      <c r="E2913" s="451"/>
      <c r="F2913" s="451"/>
      <c r="G2913" s="77" t="s">
        <v>17</v>
      </c>
      <c r="H2913" s="77" t="s">
        <v>416</v>
      </c>
      <c r="I2913" s="78" t="s">
        <v>17</v>
      </c>
      <c r="J2913" s="79" t="s">
        <v>416</v>
      </c>
      <c r="K2913" s="79" t="s">
        <v>17</v>
      </c>
      <c r="L2913" s="79" t="s">
        <v>416</v>
      </c>
    </row>
    <row r="2914" spans="1:12" ht="12" customHeight="1" x14ac:dyDescent="0.35">
      <c r="B2914" s="451"/>
      <c r="C2914" s="451"/>
      <c r="D2914" s="454"/>
      <c r="E2914" s="451"/>
      <c r="F2914" s="451"/>
      <c r="G2914" s="106"/>
      <c r="H2914" s="77" t="s">
        <v>17</v>
      </c>
      <c r="I2914" s="94"/>
      <c r="J2914" s="79" t="s">
        <v>17</v>
      </c>
      <c r="K2914" s="85"/>
      <c r="L2914" s="79" t="s">
        <v>17</v>
      </c>
    </row>
    <row r="2915" spans="1:12" ht="12" customHeight="1" x14ac:dyDescent="0.35">
      <c r="B2915" s="80" t="s">
        <v>5</v>
      </c>
      <c r="C2915" s="81" t="s">
        <v>417</v>
      </c>
      <c r="D2915" s="82"/>
      <c r="E2915" s="82"/>
      <c r="F2915" s="82"/>
      <c r="G2915" s="82"/>
      <c r="H2915" s="82"/>
      <c r="I2915" s="83"/>
      <c r="J2915" s="83"/>
      <c r="K2915" s="83"/>
      <c r="L2915" s="83"/>
    </row>
    <row r="2916" spans="1:12" ht="12" customHeight="1" x14ac:dyDescent="0.35">
      <c r="A2916" s="134">
        <v>10130000</v>
      </c>
      <c r="B2916" s="84"/>
      <c r="C2916" s="85" t="str">
        <f>VLOOKUP(A2916,'DAFTAR HARGA'!A:D,3,FALSE)</f>
        <v>OH</v>
      </c>
      <c r="D2916" s="84" t="s">
        <v>418</v>
      </c>
      <c r="E2916" s="84">
        <f>VLOOKUP(A2916,'DAFTAR HARGA'!A:D,4,FALSE)</f>
        <v>115000</v>
      </c>
      <c r="F2916" s="128">
        <v>0.34</v>
      </c>
      <c r="G2916" s="87" t="e">
        <f>VLOOKUP(A2916,'DAFTAR HARGA'!A:D,5,FALSE)</f>
        <v>#REF!</v>
      </c>
      <c r="H2916" s="87" t="e">
        <f>F2916*G2916</f>
        <v>#REF!</v>
      </c>
      <c r="I2916" s="87">
        <v>91500</v>
      </c>
      <c r="J2916" s="87">
        <f>F2916*I2916</f>
        <v>31110.000000000004</v>
      </c>
      <c r="K2916" s="87">
        <v>91500</v>
      </c>
      <c r="L2916" s="87">
        <f>F2916*K2916</f>
        <v>31110.000000000004</v>
      </c>
    </row>
    <row r="2917" spans="1:12" ht="12" customHeight="1" x14ac:dyDescent="0.35">
      <c r="A2917" s="134">
        <v>10142000</v>
      </c>
      <c r="B2917" s="84"/>
      <c r="C2917" s="85" t="str">
        <f>VLOOKUP(A2917,'DAFTAR HARGA'!A:D,3,FALSE)</f>
        <v>OH</v>
      </c>
      <c r="D2917" s="84" t="s">
        <v>418</v>
      </c>
      <c r="E2917" s="84">
        <f>VLOOKUP(A2917,'DAFTAR HARGA'!A:D,4,FALSE)</f>
        <v>236600</v>
      </c>
      <c r="F2917" s="128">
        <v>0.17</v>
      </c>
      <c r="G2917" s="87" t="e">
        <f>VLOOKUP(A2917,'DAFTAR HARGA'!A:D,5,FALSE)</f>
        <v>#REF!</v>
      </c>
      <c r="H2917" s="87" t="e">
        <f>F2917*G2917</f>
        <v>#REF!</v>
      </c>
      <c r="I2917" s="87"/>
      <c r="J2917" s="87"/>
      <c r="K2917" s="87"/>
      <c r="L2917" s="87"/>
    </row>
    <row r="2918" spans="1:12" ht="12" customHeight="1" x14ac:dyDescent="0.35">
      <c r="A2918" s="134">
        <v>10120000</v>
      </c>
      <c r="B2918" s="84"/>
      <c r="C2918" s="85" t="str">
        <f>VLOOKUP(A2918,'DAFTAR HARGA'!A:D,3,FALSE)</f>
        <v>OH</v>
      </c>
      <c r="D2918" s="84" t="s">
        <v>418</v>
      </c>
      <c r="E2918" s="84">
        <f>VLOOKUP(A2918,'DAFTAR HARGA'!A:D,4,FALSE)</f>
        <v>130000</v>
      </c>
      <c r="F2918" s="128">
        <f>F2917/10</f>
        <v>1.7000000000000001E-2</v>
      </c>
      <c r="G2918" s="87" t="e">
        <f>VLOOKUP(A2918,'DAFTAR HARGA'!A:D,5,FALSE)</f>
        <v>#REF!</v>
      </c>
      <c r="H2918" s="87" t="e">
        <f>F2918*G2918</f>
        <v>#REF!</v>
      </c>
      <c r="I2918" s="87"/>
      <c r="J2918" s="87"/>
      <c r="K2918" s="87"/>
      <c r="L2918" s="87"/>
    </row>
    <row r="2919" spans="1:12" ht="12" customHeight="1" x14ac:dyDescent="0.35">
      <c r="A2919" s="134">
        <v>10110000</v>
      </c>
      <c r="B2919" s="84"/>
      <c r="C2919" s="85" t="str">
        <f>VLOOKUP(A2919,'DAFTAR HARGA'!A:D,3,FALSE)</f>
        <v>OH</v>
      </c>
      <c r="D2919" s="84" t="s">
        <v>418</v>
      </c>
      <c r="E2919" s="84">
        <f>VLOOKUP(A2919,'DAFTAR HARGA'!A:D,4,FALSE)</f>
        <v>150000</v>
      </c>
      <c r="F2919" s="128">
        <f>F2916/10</f>
        <v>3.4000000000000002E-2</v>
      </c>
      <c r="G2919" s="87" t="e">
        <f>VLOOKUP(A2919,'DAFTAR HARGA'!A:D,5,FALSE)</f>
        <v>#REF!</v>
      </c>
      <c r="H2919" s="87" t="e">
        <f>F2919*G2919</f>
        <v>#REF!</v>
      </c>
      <c r="I2919" s="87">
        <v>92500</v>
      </c>
      <c r="J2919" s="87">
        <f>F2919*I2919</f>
        <v>3145</v>
      </c>
      <c r="K2919" s="87">
        <v>92500</v>
      </c>
      <c r="L2919" s="87">
        <f>F2919*K2919</f>
        <v>3145</v>
      </c>
    </row>
    <row r="2920" spans="1:12" ht="12" customHeight="1" x14ac:dyDescent="0.35">
      <c r="B2920" s="84"/>
      <c r="C2920" s="85"/>
      <c r="D2920" s="84"/>
      <c r="E2920" s="84"/>
      <c r="F2920" s="86"/>
      <c r="G2920" s="87"/>
      <c r="H2920" s="87"/>
      <c r="I2920" s="87"/>
      <c r="J2920" s="87"/>
      <c r="K2920" s="87"/>
      <c r="L2920" s="87"/>
    </row>
    <row r="2921" spans="1:12" ht="12" customHeight="1" x14ac:dyDescent="0.35">
      <c r="B2921" s="84"/>
      <c r="C2921" s="88"/>
      <c r="D2921" s="79"/>
      <c r="E2921" s="79"/>
      <c r="F2921" s="89" t="s">
        <v>421</v>
      </c>
      <c r="G2921" s="101"/>
      <c r="H2921" s="87" t="e">
        <f>SUM(H2916:H2920)</f>
        <v>#REF!</v>
      </c>
      <c r="I2921" s="101"/>
      <c r="J2921" s="87">
        <f>SUM(J2919:J2920)</f>
        <v>3145</v>
      </c>
      <c r="K2921" s="101"/>
      <c r="L2921" s="87">
        <f>SUM(L2919:L2920)</f>
        <v>3145</v>
      </c>
    </row>
    <row r="2922" spans="1:12" ht="12" customHeight="1" x14ac:dyDescent="0.35">
      <c r="B2922" s="84" t="s">
        <v>6</v>
      </c>
      <c r="C2922" s="88" t="s">
        <v>422</v>
      </c>
      <c r="D2922" s="79"/>
      <c r="E2922" s="79"/>
      <c r="F2922" s="90"/>
      <c r="G2922" s="84"/>
      <c r="H2922" s="87"/>
      <c r="I2922" s="84"/>
      <c r="J2922" s="87"/>
      <c r="K2922" s="84"/>
      <c r="L2922" s="87"/>
    </row>
    <row r="2923" spans="1:12" x14ac:dyDescent="0.35">
      <c r="A2923" s="134">
        <v>21404010</v>
      </c>
      <c r="B2923" s="84"/>
      <c r="C2923" s="85" t="str">
        <f>VLOOKUP(A2923,'DAFTAR HARGA'!A:D,3,FALSE)</f>
        <v>bt</v>
      </c>
      <c r="D2923" s="84" t="s">
        <v>418</v>
      </c>
      <c r="E2923" s="84">
        <f>VLOOKUP(A2923,'DAFTAR HARGA'!A:D,4,FALSE)</f>
        <v>24700</v>
      </c>
      <c r="F2923" s="128">
        <v>1.4630000000000001</v>
      </c>
      <c r="G2923" s="87" t="e">
        <f>VLOOKUP(A2923,'DAFTAR HARGA'!A:D,5,FALSE)</f>
        <v>#REF!</v>
      </c>
      <c r="H2923" s="87" t="e">
        <f>F2923*G2923</f>
        <v>#REF!</v>
      </c>
      <c r="I2923" s="87"/>
      <c r="J2923" s="87"/>
      <c r="K2923" s="87"/>
      <c r="L2923" s="87"/>
    </row>
    <row r="2924" spans="1:12" x14ac:dyDescent="0.35">
      <c r="A2924" s="134">
        <v>21911005</v>
      </c>
      <c r="B2924" s="84"/>
      <c r="C2924" s="85" t="str">
        <f>VLOOKUP(A2924,'DAFTAR HARGA'!A:D,3,FALSE)</f>
        <v>kg</v>
      </c>
      <c r="D2924" s="84" t="s">
        <v>418</v>
      </c>
      <c r="E2924" s="84">
        <f>VLOOKUP(A2924,'DAFTAR HARGA'!A:D,4,FALSE)</f>
        <v>21200</v>
      </c>
      <c r="F2924" s="128">
        <v>0.3</v>
      </c>
      <c r="G2924" s="87" t="e">
        <f>VLOOKUP(A2924,'DAFTAR HARGA'!A:D,5,FALSE)</f>
        <v>#REF!</v>
      </c>
      <c r="H2924" s="87" t="e">
        <f>F2924*G2924</f>
        <v>#REF!</v>
      </c>
      <c r="I2924" s="87"/>
      <c r="J2924" s="87"/>
      <c r="K2924" s="87"/>
      <c r="L2924" s="87"/>
    </row>
    <row r="2925" spans="1:12" x14ac:dyDescent="0.35">
      <c r="B2925" s="84"/>
      <c r="C2925" s="85"/>
      <c r="D2925" s="84"/>
      <c r="E2925" s="84"/>
      <c r="F2925" s="128"/>
      <c r="G2925" s="87"/>
      <c r="H2925" s="87">
        <f>F2925*G2925</f>
        <v>0</v>
      </c>
      <c r="I2925" s="87"/>
      <c r="J2925" s="87"/>
      <c r="K2925" s="87"/>
      <c r="L2925" s="87"/>
    </row>
    <row r="2926" spans="1:12" ht="12" customHeight="1" x14ac:dyDescent="0.35">
      <c r="B2926" s="84"/>
      <c r="C2926" s="88"/>
      <c r="D2926" s="79"/>
      <c r="E2926" s="79"/>
      <c r="F2926" s="129" t="s">
        <v>423</v>
      </c>
      <c r="G2926" s="129"/>
      <c r="H2926" s="87" t="e">
        <f>SUM(H2923:H2925)</f>
        <v>#REF!</v>
      </c>
      <c r="I2926" s="101"/>
      <c r="J2926" s="87" t="e">
        <f>SUM(#REF!)</f>
        <v>#REF!</v>
      </c>
      <c r="K2926" s="101"/>
      <c r="L2926" s="87" t="e">
        <f>SUM(#REF!)</f>
        <v>#REF!</v>
      </c>
    </row>
    <row r="2927" spans="1:12" ht="12" customHeight="1" x14ac:dyDescent="0.35">
      <c r="B2927" s="84" t="s">
        <v>7</v>
      </c>
      <c r="C2927" s="88" t="s">
        <v>424</v>
      </c>
      <c r="D2927" s="79"/>
      <c r="E2927" s="79"/>
      <c r="F2927" s="90"/>
      <c r="G2927" s="84"/>
      <c r="H2927" s="87"/>
      <c r="I2927" s="84"/>
      <c r="J2927" s="87"/>
      <c r="K2927" s="84"/>
      <c r="L2927" s="87"/>
    </row>
    <row r="2928" spans="1:12" ht="12" customHeight="1" x14ac:dyDescent="0.35">
      <c r="B2928" s="84"/>
      <c r="C2928" s="85"/>
      <c r="D2928" s="84"/>
      <c r="E2928" s="84"/>
      <c r="F2928" s="128"/>
      <c r="G2928" s="87"/>
      <c r="H2928" s="87">
        <f>F2928*G2928</f>
        <v>0</v>
      </c>
      <c r="I2928" s="87"/>
      <c r="J2928" s="87">
        <f>H2928*I2928</f>
        <v>0</v>
      </c>
      <c r="K2928" s="87"/>
      <c r="L2928" s="87">
        <f>J2928*K2928</f>
        <v>0</v>
      </c>
    </row>
    <row r="2929" spans="1:12" ht="12" customHeight="1" x14ac:dyDescent="0.35">
      <c r="B2929" s="84"/>
      <c r="C2929" s="85"/>
      <c r="D2929" s="84"/>
      <c r="E2929" s="84"/>
      <c r="F2929" s="128"/>
      <c r="G2929" s="87"/>
      <c r="H2929" s="87">
        <f>F2929*G2929</f>
        <v>0</v>
      </c>
      <c r="I2929" s="87"/>
      <c r="J2929" s="87"/>
      <c r="K2929" s="87"/>
      <c r="L2929" s="87"/>
    </row>
    <row r="2930" spans="1:12" ht="12" customHeight="1" x14ac:dyDescent="0.35">
      <c r="B2930" s="84"/>
      <c r="C2930" s="85"/>
      <c r="D2930" s="84"/>
      <c r="E2930" s="84"/>
      <c r="F2930" s="128"/>
      <c r="G2930" s="87"/>
      <c r="H2930" s="87">
        <f>F2930*G2930</f>
        <v>0</v>
      </c>
      <c r="I2930" s="87"/>
      <c r="J2930" s="87"/>
      <c r="K2930" s="87"/>
      <c r="L2930" s="87"/>
    </row>
    <row r="2931" spans="1:12" ht="12" customHeight="1" x14ac:dyDescent="0.35">
      <c r="B2931" s="84"/>
      <c r="C2931" s="88"/>
      <c r="D2931" s="79"/>
      <c r="E2931" s="79"/>
      <c r="F2931" s="89" t="s">
        <v>425</v>
      </c>
      <c r="G2931" s="101"/>
      <c r="H2931" s="87">
        <f>SUM(H2928:H2930)</f>
        <v>0</v>
      </c>
      <c r="I2931" s="101"/>
      <c r="J2931" s="87">
        <f>SUM(J2928)</f>
        <v>0</v>
      </c>
      <c r="K2931" s="101"/>
      <c r="L2931" s="87">
        <f>SUM(L2928)</f>
        <v>0</v>
      </c>
    </row>
    <row r="2932" spans="1:12" ht="12" customHeight="1" x14ac:dyDescent="0.35">
      <c r="B2932" s="84" t="s">
        <v>8</v>
      </c>
      <c r="C2932" s="103" t="s">
        <v>426</v>
      </c>
      <c r="D2932" s="104"/>
      <c r="E2932" s="104"/>
      <c r="F2932" s="104"/>
      <c r="G2932" s="105"/>
      <c r="H2932" s="87" t="e">
        <f>H2921+H2926+H2931</f>
        <v>#REF!</v>
      </c>
      <c r="I2932" s="105"/>
      <c r="J2932" s="87" t="e">
        <f>J2921+J2926+J2931</f>
        <v>#REF!</v>
      </c>
      <c r="K2932" s="105"/>
      <c r="L2932" s="87" t="e">
        <f>L2921+L2926+L2931</f>
        <v>#REF!</v>
      </c>
    </row>
    <row r="2933" spans="1:12" ht="12" customHeight="1" x14ac:dyDescent="0.35">
      <c r="B2933" s="84" t="s">
        <v>9</v>
      </c>
      <c r="C2933" s="455" t="s">
        <v>427</v>
      </c>
      <c r="D2933" s="455"/>
      <c r="E2933" s="455"/>
      <c r="F2933" s="95" t="str">
        <f>OP</f>
        <v>TANJUNG PALAS TENGAH</v>
      </c>
      <c r="G2933" s="85" t="s">
        <v>428</v>
      </c>
      <c r="H2933" s="87" t="e">
        <f>H2932*F2933</f>
        <v>#REF!</v>
      </c>
      <c r="I2933" s="85" t="s">
        <v>428</v>
      </c>
      <c r="J2933" s="87" t="e">
        <f>J2932*F2933</f>
        <v>#REF!</v>
      </c>
      <c r="K2933" s="85" t="s">
        <v>428</v>
      </c>
      <c r="L2933" s="87" t="e">
        <f>L2932*F2933</f>
        <v>#REF!</v>
      </c>
    </row>
    <row r="2934" spans="1:12" ht="12" customHeight="1" x14ac:dyDescent="0.35">
      <c r="B2934" s="84" t="s">
        <v>10</v>
      </c>
      <c r="C2934" s="103" t="s">
        <v>429</v>
      </c>
      <c r="D2934" s="104"/>
      <c r="E2934" s="104"/>
      <c r="F2934" s="104"/>
      <c r="G2934" s="105"/>
      <c r="H2934" s="96" t="e">
        <f>H2932+H2933</f>
        <v>#REF!</v>
      </c>
      <c r="I2934" s="97"/>
      <c r="J2934" s="96" t="e">
        <f>J2932+J2933</f>
        <v>#REF!</v>
      </c>
      <c r="K2934" s="97"/>
      <c r="L2934" s="96" t="e">
        <f>L2932+L2933</f>
        <v>#REF!</v>
      </c>
    </row>
    <row r="2935" spans="1:12" x14ac:dyDescent="0.35">
      <c r="B2935" s="75" t="s">
        <v>806</v>
      </c>
    </row>
    <row r="2936" spans="1:12" ht="14" customHeight="1" x14ac:dyDescent="0.35"/>
    <row r="2937" spans="1:12" ht="37" customHeight="1" x14ac:dyDescent="0.35">
      <c r="B2937" s="76" t="s">
        <v>812</v>
      </c>
      <c r="C2937" s="458" t="s">
        <v>813</v>
      </c>
      <c r="D2937" s="459"/>
      <c r="E2937" s="459"/>
      <c r="F2937" s="459"/>
      <c r="G2937" s="456"/>
      <c r="H2937" s="457"/>
      <c r="I2937" s="455" t="s">
        <v>3</v>
      </c>
      <c r="J2937" s="455"/>
      <c r="K2937" s="455" t="s">
        <v>4</v>
      </c>
      <c r="L2937" s="455"/>
    </row>
    <row r="2938" spans="1:12" ht="12" customHeight="1" x14ac:dyDescent="0.35">
      <c r="B2938" s="451" t="s">
        <v>409</v>
      </c>
      <c r="C2938" s="451" t="s">
        <v>410</v>
      </c>
      <c r="D2938" s="452" t="s">
        <v>411</v>
      </c>
      <c r="E2938" s="451" t="s">
        <v>412</v>
      </c>
      <c r="F2938" s="451" t="s">
        <v>413</v>
      </c>
      <c r="G2938" s="77" t="s">
        <v>414</v>
      </c>
      <c r="H2938" s="77" t="s">
        <v>415</v>
      </c>
      <c r="I2938" s="78" t="s">
        <v>414</v>
      </c>
      <c r="J2938" s="79" t="s">
        <v>415</v>
      </c>
      <c r="K2938" s="79" t="s">
        <v>414</v>
      </c>
      <c r="L2938" s="79" t="s">
        <v>415</v>
      </c>
    </row>
    <row r="2939" spans="1:12" ht="12" customHeight="1" x14ac:dyDescent="0.35">
      <c r="B2939" s="451"/>
      <c r="C2939" s="451"/>
      <c r="D2939" s="453"/>
      <c r="E2939" s="451"/>
      <c r="F2939" s="451"/>
      <c r="G2939" s="77" t="s">
        <v>17</v>
      </c>
      <c r="H2939" s="77" t="s">
        <v>416</v>
      </c>
      <c r="I2939" s="78" t="s">
        <v>17</v>
      </c>
      <c r="J2939" s="79" t="s">
        <v>416</v>
      </c>
      <c r="K2939" s="79" t="s">
        <v>17</v>
      </c>
      <c r="L2939" s="79" t="s">
        <v>416</v>
      </c>
    </row>
    <row r="2940" spans="1:12" ht="12" customHeight="1" x14ac:dyDescent="0.35">
      <c r="B2940" s="451"/>
      <c r="C2940" s="451"/>
      <c r="D2940" s="454"/>
      <c r="E2940" s="451"/>
      <c r="F2940" s="451"/>
      <c r="G2940" s="106"/>
      <c r="H2940" s="77" t="s">
        <v>17</v>
      </c>
      <c r="I2940" s="94"/>
      <c r="J2940" s="79" t="s">
        <v>17</v>
      </c>
      <c r="K2940" s="85"/>
      <c r="L2940" s="79" t="s">
        <v>17</v>
      </c>
    </row>
    <row r="2941" spans="1:12" ht="12" customHeight="1" x14ac:dyDescent="0.35">
      <c r="B2941" s="80" t="s">
        <v>5</v>
      </c>
      <c r="C2941" s="81" t="s">
        <v>417</v>
      </c>
      <c r="D2941" s="82"/>
      <c r="E2941" s="82"/>
      <c r="F2941" s="82"/>
      <c r="G2941" s="82"/>
      <c r="H2941" s="82"/>
      <c r="I2941" s="83"/>
      <c r="J2941" s="83"/>
      <c r="K2941" s="83"/>
      <c r="L2941" s="83"/>
    </row>
    <row r="2942" spans="1:12" ht="12" customHeight="1" x14ac:dyDescent="0.35">
      <c r="A2942" s="134">
        <v>10130000</v>
      </c>
      <c r="B2942" s="84"/>
      <c r="C2942" s="85" t="str">
        <f>VLOOKUP(A2942,'DAFTAR HARGA'!A:D,3,FALSE)</f>
        <v>OH</v>
      </c>
      <c r="D2942" s="84" t="s">
        <v>418</v>
      </c>
      <c r="E2942" s="84">
        <f>VLOOKUP(A2942,'DAFTAR HARGA'!A:D,4,FALSE)</f>
        <v>115000</v>
      </c>
      <c r="F2942" s="128">
        <v>0.34</v>
      </c>
      <c r="G2942" s="87" t="e">
        <f>VLOOKUP(A2942,'DAFTAR HARGA'!A:D,5,FALSE)</f>
        <v>#REF!</v>
      </c>
      <c r="H2942" s="87" t="e">
        <f>F2942*G2942</f>
        <v>#REF!</v>
      </c>
      <c r="I2942" s="87">
        <v>91500</v>
      </c>
      <c r="J2942" s="87">
        <f>F2942*I2942</f>
        <v>31110.000000000004</v>
      </c>
      <c r="K2942" s="87">
        <v>91500</v>
      </c>
      <c r="L2942" s="87">
        <f>F2942*K2942</f>
        <v>31110.000000000004</v>
      </c>
    </row>
    <row r="2943" spans="1:12" ht="12" customHeight="1" x14ac:dyDescent="0.35">
      <c r="A2943" s="134">
        <v>10142000</v>
      </c>
      <c r="B2943" s="84"/>
      <c r="C2943" s="85" t="str">
        <f>VLOOKUP(A2943,'DAFTAR HARGA'!A:D,3,FALSE)</f>
        <v>OH</v>
      </c>
      <c r="D2943" s="84" t="s">
        <v>418</v>
      </c>
      <c r="E2943" s="84">
        <f>VLOOKUP(A2943,'DAFTAR HARGA'!A:D,4,FALSE)</f>
        <v>236600</v>
      </c>
      <c r="F2943" s="128">
        <v>0.17</v>
      </c>
      <c r="G2943" s="87" t="e">
        <f>VLOOKUP(A2943,'DAFTAR HARGA'!A:D,5,FALSE)</f>
        <v>#REF!</v>
      </c>
      <c r="H2943" s="87" t="e">
        <f>F2943*G2943</f>
        <v>#REF!</v>
      </c>
      <c r="I2943" s="87"/>
      <c r="J2943" s="87"/>
      <c r="K2943" s="87"/>
      <c r="L2943" s="87"/>
    </row>
    <row r="2944" spans="1:12" ht="12" customHeight="1" x14ac:dyDescent="0.35">
      <c r="A2944" s="134">
        <v>10120000</v>
      </c>
      <c r="B2944" s="84"/>
      <c r="C2944" s="85" t="str">
        <f>VLOOKUP(A2944,'DAFTAR HARGA'!A:D,3,FALSE)</f>
        <v>OH</v>
      </c>
      <c r="D2944" s="84" t="s">
        <v>418</v>
      </c>
      <c r="E2944" s="84">
        <f>VLOOKUP(A2944,'DAFTAR HARGA'!A:D,4,FALSE)</f>
        <v>130000</v>
      </c>
      <c r="F2944" s="128">
        <f>F2943/10</f>
        <v>1.7000000000000001E-2</v>
      </c>
      <c r="G2944" s="87" t="e">
        <f>VLOOKUP(A2944,'DAFTAR HARGA'!A:D,5,FALSE)</f>
        <v>#REF!</v>
      </c>
      <c r="H2944" s="87" t="e">
        <f>F2944*G2944</f>
        <v>#REF!</v>
      </c>
      <c r="I2944" s="87"/>
      <c r="J2944" s="87"/>
      <c r="K2944" s="87"/>
      <c r="L2944" s="87"/>
    </row>
    <row r="2945" spans="1:12" ht="12" customHeight="1" x14ac:dyDescent="0.35">
      <c r="A2945" s="134">
        <v>10110000</v>
      </c>
      <c r="B2945" s="84"/>
      <c r="C2945" s="85" t="str">
        <f>VLOOKUP(A2945,'DAFTAR HARGA'!A:D,3,FALSE)</f>
        <v>OH</v>
      </c>
      <c r="D2945" s="84" t="s">
        <v>418</v>
      </c>
      <c r="E2945" s="84">
        <f>VLOOKUP(A2945,'DAFTAR HARGA'!A:D,4,FALSE)</f>
        <v>150000</v>
      </c>
      <c r="F2945" s="128">
        <f>F2942/10</f>
        <v>3.4000000000000002E-2</v>
      </c>
      <c r="G2945" s="87" t="e">
        <f>VLOOKUP(A2945,'DAFTAR HARGA'!A:D,5,FALSE)</f>
        <v>#REF!</v>
      </c>
      <c r="H2945" s="87" t="e">
        <f>F2945*G2945</f>
        <v>#REF!</v>
      </c>
      <c r="I2945" s="87">
        <v>92500</v>
      </c>
      <c r="J2945" s="87">
        <f>F2945*I2945</f>
        <v>3145</v>
      </c>
      <c r="K2945" s="87">
        <v>92500</v>
      </c>
      <c r="L2945" s="87">
        <f>F2945*K2945</f>
        <v>3145</v>
      </c>
    </row>
    <row r="2946" spans="1:12" ht="12" customHeight="1" x14ac:dyDescent="0.35">
      <c r="B2946" s="84"/>
      <c r="C2946" s="85"/>
      <c r="D2946" s="84"/>
      <c r="E2946" s="84"/>
      <c r="F2946" s="86"/>
      <c r="G2946" s="87"/>
      <c r="H2946" s="87"/>
      <c r="I2946" s="87"/>
      <c r="J2946" s="87"/>
      <c r="K2946" s="87"/>
      <c r="L2946" s="87"/>
    </row>
    <row r="2947" spans="1:12" ht="12" customHeight="1" x14ac:dyDescent="0.35">
      <c r="B2947" s="84"/>
      <c r="C2947" s="88"/>
      <c r="D2947" s="79"/>
      <c r="E2947" s="79"/>
      <c r="F2947" s="89" t="s">
        <v>421</v>
      </c>
      <c r="G2947" s="101"/>
      <c r="H2947" s="87" t="e">
        <f>SUM(H2942:H2946)</f>
        <v>#REF!</v>
      </c>
      <c r="I2947" s="101"/>
      <c r="J2947" s="87">
        <f>SUM(J2945:J2946)</f>
        <v>3145</v>
      </c>
      <c r="K2947" s="101"/>
      <c r="L2947" s="87">
        <f>SUM(L2945:L2946)</f>
        <v>3145</v>
      </c>
    </row>
    <row r="2948" spans="1:12" ht="12" customHeight="1" x14ac:dyDescent="0.35">
      <c r="B2948" s="84" t="s">
        <v>6</v>
      </c>
      <c r="C2948" s="88" t="s">
        <v>422</v>
      </c>
      <c r="D2948" s="79"/>
      <c r="E2948" s="79"/>
      <c r="F2948" s="90"/>
      <c r="G2948" s="84"/>
      <c r="H2948" s="87"/>
      <c r="I2948" s="84"/>
      <c r="J2948" s="87"/>
      <c r="K2948" s="84"/>
      <c r="L2948" s="87"/>
    </row>
    <row r="2949" spans="1:12" x14ac:dyDescent="0.35">
      <c r="A2949" s="134">
        <v>21403008</v>
      </c>
      <c r="B2949" s="84"/>
      <c r="C2949" s="85" t="str">
        <f>VLOOKUP(A2949,'DAFTAR HARGA'!A:D,3,FALSE)</f>
        <v>bt</v>
      </c>
      <c r="D2949" s="84" t="s">
        <v>418</v>
      </c>
      <c r="E2949" s="84">
        <f>VLOOKUP(A2949,'DAFTAR HARGA'!A:D,4,FALSE)</f>
        <v>20800</v>
      </c>
      <c r="F2949" s="128">
        <v>1.8</v>
      </c>
      <c r="G2949" s="87" t="e">
        <f>VLOOKUP(A2949,'DAFTAR HARGA'!A:D,5,FALSE)</f>
        <v>#REF!</v>
      </c>
      <c r="H2949" s="87" t="e">
        <f>F2949*G2949</f>
        <v>#REF!</v>
      </c>
      <c r="I2949" s="87"/>
      <c r="J2949" s="87"/>
      <c r="K2949" s="87"/>
      <c r="L2949" s="87"/>
    </row>
    <row r="2950" spans="1:12" x14ac:dyDescent="0.35">
      <c r="A2950" s="134">
        <v>21911005</v>
      </c>
      <c r="B2950" s="84"/>
      <c r="C2950" s="85" t="str">
        <f>VLOOKUP(A2950,'DAFTAR HARGA'!A:D,3,FALSE)</f>
        <v>kg</v>
      </c>
      <c r="D2950" s="84" t="s">
        <v>418</v>
      </c>
      <c r="E2950" s="84">
        <f>VLOOKUP(A2950,'DAFTAR HARGA'!A:D,4,FALSE)</f>
        <v>21200</v>
      </c>
      <c r="F2950" s="128">
        <v>0.3</v>
      </c>
      <c r="G2950" s="87" t="e">
        <f>VLOOKUP(A2950,'DAFTAR HARGA'!A:D,5,FALSE)</f>
        <v>#REF!</v>
      </c>
      <c r="H2950" s="87" t="e">
        <f>F2950*G2950</f>
        <v>#REF!</v>
      </c>
      <c r="I2950" s="87"/>
      <c r="J2950" s="87"/>
      <c r="K2950" s="87"/>
      <c r="L2950" s="87"/>
    </row>
    <row r="2951" spans="1:12" x14ac:dyDescent="0.35">
      <c r="A2951" s="134">
        <v>24100000</v>
      </c>
      <c r="B2951" s="84"/>
      <c r="C2951" s="85" t="str">
        <f>VLOOKUP(A2951,'DAFTAR HARGA'!A:D,3,FALSE)</f>
        <v>kg</v>
      </c>
      <c r="D2951" s="84" t="s">
        <v>418</v>
      </c>
      <c r="E2951" s="84">
        <f>VLOOKUP(A2951,'DAFTAR HARGA'!A:D,4,FALSE)</f>
        <v>6500</v>
      </c>
      <c r="F2951" s="128">
        <v>0.3</v>
      </c>
      <c r="G2951" s="87" t="e">
        <f>VLOOKUP(A2951,'DAFTAR HARGA'!A:D,5,FALSE)</f>
        <v>#REF!</v>
      </c>
      <c r="H2951" s="87" t="e">
        <f>F2951*G2951</f>
        <v>#REF!</v>
      </c>
      <c r="I2951" s="87"/>
      <c r="J2951" s="87"/>
      <c r="K2951" s="87"/>
      <c r="L2951" s="87"/>
    </row>
    <row r="2952" spans="1:12" ht="12" customHeight="1" x14ac:dyDescent="0.35">
      <c r="B2952" s="84"/>
      <c r="C2952" s="88"/>
      <c r="D2952" s="79"/>
      <c r="E2952" s="79"/>
      <c r="F2952" s="129" t="s">
        <v>423</v>
      </c>
      <c r="G2952" s="129"/>
      <c r="H2952" s="87" t="e">
        <f>SUM(H2949:H2951)</f>
        <v>#REF!</v>
      </c>
      <c r="I2952" s="101"/>
      <c r="J2952" s="87" t="e">
        <f>SUM(#REF!)</f>
        <v>#REF!</v>
      </c>
      <c r="K2952" s="101"/>
      <c r="L2952" s="87" t="e">
        <f>SUM(#REF!)</f>
        <v>#REF!</v>
      </c>
    </row>
    <row r="2953" spans="1:12" ht="12" customHeight="1" x14ac:dyDescent="0.35">
      <c r="B2953" s="84" t="s">
        <v>7</v>
      </c>
      <c r="C2953" s="88" t="s">
        <v>424</v>
      </c>
      <c r="D2953" s="79"/>
      <c r="E2953" s="79"/>
      <c r="F2953" s="90"/>
      <c r="G2953" s="84"/>
      <c r="H2953" s="87"/>
      <c r="I2953" s="84"/>
      <c r="J2953" s="87"/>
      <c r="K2953" s="84"/>
      <c r="L2953" s="87"/>
    </row>
    <row r="2954" spans="1:12" ht="12" customHeight="1" x14ac:dyDescent="0.35">
      <c r="B2954" s="84"/>
      <c r="C2954" s="85"/>
      <c r="D2954" s="84"/>
      <c r="E2954" s="84"/>
      <c r="F2954" s="128"/>
      <c r="G2954" s="87"/>
      <c r="H2954" s="87">
        <f>F2954*G2954</f>
        <v>0</v>
      </c>
      <c r="I2954" s="87"/>
      <c r="J2954" s="87">
        <f>H2954*I2954</f>
        <v>0</v>
      </c>
      <c r="K2954" s="87"/>
      <c r="L2954" s="87">
        <f>J2954*K2954</f>
        <v>0</v>
      </c>
    </row>
    <row r="2955" spans="1:12" ht="12" customHeight="1" x14ac:dyDescent="0.35">
      <c r="B2955" s="84"/>
      <c r="C2955" s="85"/>
      <c r="D2955" s="84"/>
      <c r="E2955" s="84"/>
      <c r="F2955" s="128"/>
      <c r="G2955" s="87"/>
      <c r="H2955" s="87">
        <f>F2955*G2955</f>
        <v>0</v>
      </c>
      <c r="I2955" s="87"/>
      <c r="J2955" s="87"/>
      <c r="K2955" s="87"/>
      <c r="L2955" s="87"/>
    </row>
    <row r="2956" spans="1:12" ht="12" customHeight="1" x14ac:dyDescent="0.35">
      <c r="B2956" s="84"/>
      <c r="C2956" s="85"/>
      <c r="D2956" s="84"/>
      <c r="E2956" s="84"/>
      <c r="F2956" s="128"/>
      <c r="G2956" s="87"/>
      <c r="H2956" s="87">
        <f>F2956*G2956</f>
        <v>0</v>
      </c>
      <c r="I2956" s="87"/>
      <c r="J2956" s="87"/>
      <c r="K2956" s="87"/>
      <c r="L2956" s="87"/>
    </row>
    <row r="2957" spans="1:12" ht="12" customHeight="1" x14ac:dyDescent="0.35">
      <c r="B2957" s="84"/>
      <c r="C2957" s="88"/>
      <c r="D2957" s="79"/>
      <c r="E2957" s="79"/>
      <c r="F2957" s="89" t="s">
        <v>425</v>
      </c>
      <c r="G2957" s="101"/>
      <c r="H2957" s="87">
        <f>SUM(H2954:H2956)</f>
        <v>0</v>
      </c>
      <c r="I2957" s="101"/>
      <c r="J2957" s="87">
        <f>SUM(J2954)</f>
        <v>0</v>
      </c>
      <c r="K2957" s="101"/>
      <c r="L2957" s="87">
        <f>SUM(L2954)</f>
        <v>0</v>
      </c>
    </row>
    <row r="2958" spans="1:12" ht="12" customHeight="1" x14ac:dyDescent="0.35">
      <c r="B2958" s="84" t="s">
        <v>8</v>
      </c>
      <c r="C2958" s="103" t="s">
        <v>426</v>
      </c>
      <c r="D2958" s="104"/>
      <c r="E2958" s="104"/>
      <c r="F2958" s="104"/>
      <c r="G2958" s="105"/>
      <c r="H2958" s="87" t="e">
        <f>H2947+H2952+H2957</f>
        <v>#REF!</v>
      </c>
      <c r="I2958" s="105"/>
      <c r="J2958" s="87" t="e">
        <f>J2947+J2952+J2957</f>
        <v>#REF!</v>
      </c>
      <c r="K2958" s="105"/>
      <c r="L2958" s="87" t="e">
        <f>L2947+L2952+L2957</f>
        <v>#REF!</v>
      </c>
    </row>
    <row r="2959" spans="1:12" ht="12" customHeight="1" x14ac:dyDescent="0.35">
      <c r="B2959" s="84" t="s">
        <v>9</v>
      </c>
      <c r="C2959" s="455" t="s">
        <v>427</v>
      </c>
      <c r="D2959" s="455"/>
      <c r="E2959" s="455"/>
      <c r="F2959" s="95" t="str">
        <f>OP</f>
        <v>TANJUNG PALAS TENGAH</v>
      </c>
      <c r="G2959" s="85" t="s">
        <v>428</v>
      </c>
      <c r="H2959" s="87" t="e">
        <f>H2958*F2959</f>
        <v>#REF!</v>
      </c>
      <c r="I2959" s="85" t="s">
        <v>428</v>
      </c>
      <c r="J2959" s="87" t="e">
        <f>J2958*F2959</f>
        <v>#REF!</v>
      </c>
      <c r="K2959" s="85" t="s">
        <v>428</v>
      </c>
      <c r="L2959" s="87" t="e">
        <f>L2958*F2959</f>
        <v>#REF!</v>
      </c>
    </row>
    <row r="2960" spans="1:12" ht="12" customHeight="1" x14ac:dyDescent="0.35">
      <c r="B2960" s="84" t="s">
        <v>10</v>
      </c>
      <c r="C2960" s="103" t="s">
        <v>429</v>
      </c>
      <c r="D2960" s="104"/>
      <c r="E2960" s="104"/>
      <c r="F2960" s="104"/>
      <c r="G2960" s="105"/>
      <c r="H2960" s="96" t="e">
        <f>H2958+H2959</f>
        <v>#REF!</v>
      </c>
      <c r="I2960" s="97"/>
      <c r="J2960" s="96" t="e">
        <f>J2958+J2959</f>
        <v>#REF!</v>
      </c>
      <c r="K2960" s="97"/>
      <c r="L2960" s="96" t="e">
        <f>L2958+L2959</f>
        <v>#REF!</v>
      </c>
    </row>
    <row r="2961" spans="1:12" x14ac:dyDescent="0.35">
      <c r="B2961" s="75" t="s">
        <v>806</v>
      </c>
    </row>
    <row r="2962" spans="1:12" ht="14" customHeight="1" x14ac:dyDescent="0.35"/>
    <row r="2963" spans="1:12" ht="37" customHeight="1" x14ac:dyDescent="0.35">
      <c r="B2963" s="76" t="s">
        <v>814</v>
      </c>
      <c r="C2963" s="458" t="s">
        <v>815</v>
      </c>
      <c r="D2963" s="459"/>
      <c r="E2963" s="459"/>
      <c r="F2963" s="459"/>
      <c r="G2963" s="456"/>
      <c r="H2963" s="457"/>
      <c r="I2963" s="455" t="s">
        <v>3</v>
      </c>
      <c r="J2963" s="455"/>
      <c r="K2963" s="455" t="s">
        <v>4</v>
      </c>
      <c r="L2963" s="455"/>
    </row>
    <row r="2964" spans="1:12" ht="12" customHeight="1" x14ac:dyDescent="0.35">
      <c r="B2964" s="451" t="s">
        <v>409</v>
      </c>
      <c r="C2964" s="451" t="s">
        <v>410</v>
      </c>
      <c r="D2964" s="452" t="s">
        <v>411</v>
      </c>
      <c r="E2964" s="451" t="s">
        <v>412</v>
      </c>
      <c r="F2964" s="451" t="s">
        <v>413</v>
      </c>
      <c r="G2964" s="77" t="s">
        <v>414</v>
      </c>
      <c r="H2964" s="77" t="s">
        <v>415</v>
      </c>
      <c r="I2964" s="78" t="s">
        <v>414</v>
      </c>
      <c r="J2964" s="79" t="s">
        <v>415</v>
      </c>
      <c r="K2964" s="79" t="s">
        <v>414</v>
      </c>
      <c r="L2964" s="79" t="s">
        <v>415</v>
      </c>
    </row>
    <row r="2965" spans="1:12" ht="12" customHeight="1" x14ac:dyDescent="0.35">
      <c r="B2965" s="451"/>
      <c r="C2965" s="451"/>
      <c r="D2965" s="453"/>
      <c r="E2965" s="451"/>
      <c r="F2965" s="451"/>
      <c r="G2965" s="77" t="s">
        <v>17</v>
      </c>
      <c r="H2965" s="77" t="s">
        <v>416</v>
      </c>
      <c r="I2965" s="78" t="s">
        <v>17</v>
      </c>
      <c r="J2965" s="79" t="s">
        <v>416</v>
      </c>
      <c r="K2965" s="79" t="s">
        <v>17</v>
      </c>
      <c r="L2965" s="79" t="s">
        <v>416</v>
      </c>
    </row>
    <row r="2966" spans="1:12" ht="12" customHeight="1" x14ac:dyDescent="0.35">
      <c r="B2966" s="451"/>
      <c r="C2966" s="451"/>
      <c r="D2966" s="454"/>
      <c r="E2966" s="451"/>
      <c r="F2966" s="451"/>
      <c r="G2966" s="106"/>
      <c r="H2966" s="77" t="s">
        <v>17</v>
      </c>
      <c r="I2966" s="94"/>
      <c r="J2966" s="79" t="s">
        <v>17</v>
      </c>
      <c r="K2966" s="85"/>
      <c r="L2966" s="79" t="s">
        <v>17</v>
      </c>
    </row>
    <row r="2967" spans="1:12" ht="12" customHeight="1" x14ac:dyDescent="0.35">
      <c r="B2967" s="80" t="s">
        <v>5</v>
      </c>
      <c r="C2967" s="81" t="s">
        <v>417</v>
      </c>
      <c r="D2967" s="82"/>
      <c r="E2967" s="82"/>
      <c r="F2967" s="82"/>
      <c r="G2967" s="82"/>
      <c r="H2967" s="82"/>
      <c r="I2967" s="83"/>
      <c r="J2967" s="83"/>
      <c r="K2967" s="83"/>
      <c r="L2967" s="83"/>
    </row>
    <row r="2968" spans="1:12" ht="12" customHeight="1" x14ac:dyDescent="0.35">
      <c r="A2968" s="134">
        <v>10130000</v>
      </c>
      <c r="B2968" s="84"/>
      <c r="C2968" s="85" t="str">
        <f>VLOOKUP(A2968,'DAFTAR HARGA'!A:D,3,FALSE)</f>
        <v>OH</v>
      </c>
      <c r="D2968" s="84" t="s">
        <v>418</v>
      </c>
      <c r="E2968" s="84">
        <f>VLOOKUP(A2968,'DAFTAR HARGA'!A:D,4,FALSE)</f>
        <v>115000</v>
      </c>
      <c r="F2968" s="128">
        <v>0.2</v>
      </c>
      <c r="G2968" s="87" t="e">
        <f>VLOOKUP(A2968,'DAFTAR HARGA'!A:D,5,FALSE)</f>
        <v>#REF!</v>
      </c>
      <c r="H2968" s="87" t="e">
        <f>F2968*G2968</f>
        <v>#REF!</v>
      </c>
      <c r="I2968" s="87">
        <v>91500</v>
      </c>
      <c r="J2968" s="87">
        <f>F2968*I2968</f>
        <v>18300</v>
      </c>
      <c r="K2968" s="87">
        <v>91500</v>
      </c>
      <c r="L2968" s="87">
        <f>F2968*K2968</f>
        <v>18300</v>
      </c>
    </row>
    <row r="2969" spans="1:12" ht="12" customHeight="1" x14ac:dyDescent="0.35">
      <c r="A2969" s="134">
        <v>10142000</v>
      </c>
      <c r="B2969" s="84"/>
      <c r="C2969" s="85" t="str">
        <f>VLOOKUP(A2969,'DAFTAR HARGA'!A:D,3,FALSE)</f>
        <v>OH</v>
      </c>
      <c r="D2969" s="84" t="s">
        <v>418</v>
      </c>
      <c r="E2969" s="84">
        <f>VLOOKUP(A2969,'DAFTAR HARGA'!A:D,4,FALSE)</f>
        <v>236600</v>
      </c>
      <c r="F2969" s="128">
        <v>0.1</v>
      </c>
      <c r="G2969" s="87" t="e">
        <f>VLOOKUP(A2969,'DAFTAR HARGA'!A:D,5,FALSE)</f>
        <v>#REF!</v>
      </c>
      <c r="H2969" s="87" t="e">
        <f>F2969*G2969</f>
        <v>#REF!</v>
      </c>
      <c r="I2969" s="87"/>
      <c r="J2969" s="87"/>
      <c r="K2969" s="87"/>
      <c r="L2969" s="87"/>
    </row>
    <row r="2970" spans="1:12" ht="12" customHeight="1" x14ac:dyDescent="0.35">
      <c r="A2970" s="134">
        <v>10120000</v>
      </c>
      <c r="B2970" s="84"/>
      <c r="C2970" s="85" t="str">
        <f>VLOOKUP(A2970,'DAFTAR HARGA'!A:D,3,FALSE)</f>
        <v>OH</v>
      </c>
      <c r="D2970" s="84" t="s">
        <v>418</v>
      </c>
      <c r="E2970" s="84">
        <f>VLOOKUP(A2970,'DAFTAR HARGA'!A:D,4,FALSE)</f>
        <v>130000</v>
      </c>
      <c r="F2970" s="128">
        <f>F2969/10</f>
        <v>0.01</v>
      </c>
      <c r="G2970" s="87" t="e">
        <f>VLOOKUP(A2970,'DAFTAR HARGA'!A:D,5,FALSE)</f>
        <v>#REF!</v>
      </c>
      <c r="H2970" s="87" t="e">
        <f>F2970*G2970</f>
        <v>#REF!</v>
      </c>
      <c r="I2970" s="87"/>
      <c r="J2970" s="87"/>
      <c r="K2970" s="87"/>
      <c r="L2970" s="87"/>
    </row>
    <row r="2971" spans="1:12" ht="12" customHeight="1" x14ac:dyDescent="0.35">
      <c r="A2971" s="134">
        <v>10110000</v>
      </c>
      <c r="B2971" s="84"/>
      <c r="C2971" s="85" t="str">
        <f>VLOOKUP(A2971,'DAFTAR HARGA'!A:D,3,FALSE)</f>
        <v>OH</v>
      </c>
      <c r="D2971" s="84" t="s">
        <v>418</v>
      </c>
      <c r="E2971" s="84">
        <f>VLOOKUP(A2971,'DAFTAR HARGA'!A:D,4,FALSE)</f>
        <v>150000</v>
      </c>
      <c r="F2971" s="128">
        <f>F2968/10</f>
        <v>0.02</v>
      </c>
      <c r="G2971" s="87" t="e">
        <f>VLOOKUP(A2971,'DAFTAR HARGA'!A:D,5,FALSE)</f>
        <v>#REF!</v>
      </c>
      <c r="H2971" s="87" t="e">
        <f>F2971*G2971</f>
        <v>#REF!</v>
      </c>
      <c r="I2971" s="87">
        <v>92500</v>
      </c>
      <c r="J2971" s="87">
        <f>F2971*I2971</f>
        <v>1850</v>
      </c>
      <c r="K2971" s="87">
        <v>92500</v>
      </c>
      <c r="L2971" s="87">
        <f>F2971*K2971</f>
        <v>1850</v>
      </c>
    </row>
    <row r="2972" spans="1:12" ht="12" customHeight="1" x14ac:dyDescent="0.35">
      <c r="B2972" s="84"/>
      <c r="C2972" s="85"/>
      <c r="D2972" s="84"/>
      <c r="E2972" s="84"/>
      <c r="F2972" s="86"/>
      <c r="G2972" s="87"/>
      <c r="H2972" s="87"/>
      <c r="I2972" s="87"/>
      <c r="J2972" s="87"/>
      <c r="K2972" s="87"/>
      <c r="L2972" s="87"/>
    </row>
    <row r="2973" spans="1:12" ht="12" customHeight="1" x14ac:dyDescent="0.35">
      <c r="B2973" s="84"/>
      <c r="C2973" s="88"/>
      <c r="D2973" s="79"/>
      <c r="E2973" s="79"/>
      <c r="F2973" s="89" t="s">
        <v>421</v>
      </c>
      <c r="G2973" s="101"/>
      <c r="H2973" s="87" t="e">
        <f>SUM(H2968:H2972)</f>
        <v>#REF!</v>
      </c>
      <c r="I2973" s="101"/>
      <c r="J2973" s="87">
        <f>SUM(J2971:J2972)</f>
        <v>1850</v>
      </c>
      <c r="K2973" s="101"/>
      <c r="L2973" s="87">
        <f>SUM(L2971:L2972)</f>
        <v>1850</v>
      </c>
    </row>
    <row r="2974" spans="1:12" ht="12" customHeight="1" x14ac:dyDescent="0.35">
      <c r="B2974" s="84" t="s">
        <v>6</v>
      </c>
      <c r="C2974" s="88" t="s">
        <v>422</v>
      </c>
      <c r="D2974" s="79"/>
      <c r="E2974" s="79"/>
      <c r="F2974" s="90"/>
      <c r="G2974" s="84"/>
      <c r="H2974" s="87"/>
      <c r="I2974" s="84"/>
      <c r="J2974" s="87"/>
      <c r="K2974" s="84"/>
      <c r="L2974" s="87"/>
    </row>
    <row r="2975" spans="1:12" x14ac:dyDescent="0.35">
      <c r="A2975" s="134">
        <v>21924004</v>
      </c>
      <c r="B2975" s="84"/>
      <c r="C2975" s="85" t="str">
        <f>VLOOKUP(A2975,'DAFTAR HARGA'!A:D,3,FALSE)</f>
        <v>m²</v>
      </c>
      <c r="D2975" s="84" t="s">
        <v>418</v>
      </c>
      <c r="E2975" s="84">
        <f>VLOOKUP(A2975,'DAFTAR HARGA'!A:D,4,FALSE)</f>
        <v>175000</v>
      </c>
      <c r="F2975" s="128">
        <v>0.128</v>
      </c>
      <c r="G2975" s="87" t="e">
        <f>VLOOKUP(A2975,'DAFTAR HARGA'!A:D,5,FALSE)</f>
        <v>#REF!</v>
      </c>
      <c r="H2975" s="87" t="e">
        <f>F2975*G2975</f>
        <v>#REF!</v>
      </c>
      <c r="I2975" s="87">
        <v>232500</v>
      </c>
      <c r="J2975" s="87">
        <f>F2975*I2975</f>
        <v>29760</v>
      </c>
      <c r="K2975" s="87">
        <v>270000</v>
      </c>
      <c r="L2975" s="87">
        <f>F2975*K2975</f>
        <v>34560</v>
      </c>
    </row>
    <row r="2976" spans="1:12" x14ac:dyDescent="0.35">
      <c r="A2976" s="134">
        <v>21401200</v>
      </c>
      <c r="B2976" s="84"/>
      <c r="C2976" s="85" t="str">
        <f>VLOOKUP(A2976,'DAFTAR HARGA'!A:D,3,FALSE)</f>
        <v>m³</v>
      </c>
      <c r="D2976" s="84" t="s">
        <v>418</v>
      </c>
      <c r="E2976" s="84">
        <f>VLOOKUP(A2976,'DAFTAR HARGA'!A:D,4,FALSE)</f>
        <v>1900000</v>
      </c>
      <c r="F2976" s="128">
        <v>1.0999999999999999E-2</v>
      </c>
      <c r="G2976" s="87" t="e">
        <f>VLOOKUP(A2976,'DAFTAR HARGA'!A:D,5,FALSE)</f>
        <v>#REF!</v>
      </c>
      <c r="H2976" s="87" t="e">
        <f>F2976*G2976</f>
        <v>#REF!</v>
      </c>
      <c r="I2976" s="87"/>
      <c r="J2976" s="87"/>
      <c r="K2976" s="87"/>
      <c r="L2976" s="87"/>
    </row>
    <row r="2977" spans="1:12" x14ac:dyDescent="0.35">
      <c r="A2977" s="134">
        <v>21911005</v>
      </c>
      <c r="B2977" s="84"/>
      <c r="C2977" s="85" t="str">
        <f>VLOOKUP(A2977,'DAFTAR HARGA'!A:D,3,FALSE)</f>
        <v>kg</v>
      </c>
      <c r="D2977" s="84" t="s">
        <v>418</v>
      </c>
      <c r="E2977" s="84">
        <f>VLOOKUP(A2977,'DAFTAR HARGA'!A:D,4,FALSE)</f>
        <v>21200</v>
      </c>
      <c r="F2977" s="128">
        <v>0.25</v>
      </c>
      <c r="G2977" s="87" t="e">
        <f>VLOOKUP(A2977,'DAFTAR HARGA'!A:D,5,FALSE)</f>
        <v>#REF!</v>
      </c>
      <c r="H2977" s="87" t="e">
        <f>F2977*G2977</f>
        <v>#REF!</v>
      </c>
      <c r="I2977" s="87"/>
      <c r="J2977" s="87"/>
      <c r="K2977" s="87"/>
      <c r="L2977" s="87"/>
    </row>
    <row r="2978" spans="1:12" x14ac:dyDescent="0.35">
      <c r="A2978" s="134">
        <v>21961000</v>
      </c>
      <c r="B2978" s="84"/>
      <c r="C2978" s="85" t="str">
        <f>VLOOKUP(A2978,'DAFTAR HARGA'!A:D,3,FALSE)</f>
        <v>liter</v>
      </c>
      <c r="D2978" s="84" t="s">
        <v>418</v>
      </c>
      <c r="E2978" s="84">
        <f>VLOOKUP(A2978,'DAFTAR HARGA'!A:D,4,FALSE)</f>
        <v>22100</v>
      </c>
      <c r="F2978" s="128">
        <v>0.2</v>
      </c>
      <c r="G2978" s="87" t="e">
        <f>VLOOKUP(A2978,'DAFTAR HARGA'!A:D,5,FALSE)</f>
        <v>#REF!</v>
      </c>
      <c r="H2978" s="87" t="e">
        <f>F2978*G2978</f>
        <v>#REF!</v>
      </c>
      <c r="I2978" s="87"/>
      <c r="J2978" s="87"/>
      <c r="K2978" s="87"/>
      <c r="L2978" s="87"/>
    </row>
    <row r="2979" spans="1:12" ht="12" customHeight="1" x14ac:dyDescent="0.35">
      <c r="B2979" s="84"/>
      <c r="C2979" s="88"/>
      <c r="D2979" s="79"/>
      <c r="E2979" s="79"/>
      <c r="F2979" s="129" t="s">
        <v>423</v>
      </c>
      <c r="G2979" s="129"/>
      <c r="H2979" s="87" t="e">
        <f>SUM(H2975:H2978)</f>
        <v>#REF!</v>
      </c>
      <c r="I2979" s="101"/>
      <c r="J2979" s="87" t="e">
        <f>SUM(#REF!)</f>
        <v>#REF!</v>
      </c>
      <c r="K2979" s="101"/>
      <c r="L2979" s="87" t="e">
        <f>SUM(#REF!)</f>
        <v>#REF!</v>
      </c>
    </row>
    <row r="2980" spans="1:12" ht="12" customHeight="1" x14ac:dyDescent="0.35">
      <c r="B2980" s="84" t="s">
        <v>7</v>
      </c>
      <c r="C2980" s="88" t="s">
        <v>424</v>
      </c>
      <c r="D2980" s="79"/>
      <c r="E2980" s="79"/>
      <c r="F2980" s="90"/>
      <c r="G2980" s="84"/>
      <c r="H2980" s="87"/>
      <c r="I2980" s="84"/>
      <c r="J2980" s="87"/>
      <c r="K2980" s="84"/>
      <c r="L2980" s="87"/>
    </row>
    <row r="2981" spans="1:12" ht="12" customHeight="1" x14ac:dyDescent="0.35">
      <c r="B2981" s="84"/>
      <c r="C2981" s="85"/>
      <c r="D2981" s="84"/>
      <c r="E2981" s="84"/>
      <c r="F2981" s="128"/>
      <c r="G2981" s="87"/>
      <c r="H2981" s="87">
        <f>F2981*G2981</f>
        <v>0</v>
      </c>
      <c r="I2981" s="87"/>
      <c r="J2981" s="87">
        <f>H2981*I2981</f>
        <v>0</v>
      </c>
      <c r="K2981" s="87"/>
      <c r="L2981" s="87">
        <f>J2981*K2981</f>
        <v>0</v>
      </c>
    </row>
    <row r="2982" spans="1:12" ht="12" customHeight="1" x14ac:dyDescent="0.35">
      <c r="B2982" s="84"/>
      <c r="C2982" s="85"/>
      <c r="D2982" s="84"/>
      <c r="E2982" s="84"/>
      <c r="F2982" s="128"/>
      <c r="G2982" s="87"/>
      <c r="H2982" s="87">
        <f>F2982*G2982</f>
        <v>0</v>
      </c>
      <c r="I2982" s="87"/>
      <c r="J2982" s="87"/>
      <c r="K2982" s="87"/>
      <c r="L2982" s="87"/>
    </row>
    <row r="2983" spans="1:12" ht="12" customHeight="1" x14ac:dyDescent="0.35">
      <c r="B2983" s="84"/>
      <c r="C2983" s="85"/>
      <c r="D2983" s="84"/>
      <c r="E2983" s="84"/>
      <c r="F2983" s="128"/>
      <c r="G2983" s="87"/>
      <c r="H2983" s="87">
        <f>F2983*G2983</f>
        <v>0</v>
      </c>
      <c r="I2983" s="87"/>
      <c r="J2983" s="87"/>
      <c r="K2983" s="87"/>
      <c r="L2983" s="87"/>
    </row>
    <row r="2984" spans="1:12" ht="12" customHeight="1" x14ac:dyDescent="0.35">
      <c r="B2984" s="84"/>
      <c r="C2984" s="88"/>
      <c r="D2984" s="79"/>
      <c r="E2984" s="79"/>
      <c r="F2984" s="89" t="s">
        <v>425</v>
      </c>
      <c r="G2984" s="101"/>
      <c r="H2984" s="87">
        <f>SUM(H2981:H2983)</f>
        <v>0</v>
      </c>
      <c r="I2984" s="101"/>
      <c r="J2984" s="87">
        <f>SUM(J2981)</f>
        <v>0</v>
      </c>
      <c r="K2984" s="101"/>
      <c r="L2984" s="87">
        <f>SUM(L2981)</f>
        <v>0</v>
      </c>
    </row>
    <row r="2985" spans="1:12" ht="12" customHeight="1" x14ac:dyDescent="0.35">
      <c r="B2985" s="84" t="s">
        <v>8</v>
      </c>
      <c r="C2985" s="103" t="s">
        <v>426</v>
      </c>
      <c r="D2985" s="104"/>
      <c r="E2985" s="104"/>
      <c r="F2985" s="104"/>
      <c r="G2985" s="105"/>
      <c r="H2985" s="87" t="e">
        <f>H2973+H2979+H2984</f>
        <v>#REF!</v>
      </c>
      <c r="I2985" s="105"/>
      <c r="J2985" s="87" t="e">
        <f>J2973+J2979+J2984</f>
        <v>#REF!</v>
      </c>
      <c r="K2985" s="105"/>
      <c r="L2985" s="87" t="e">
        <f>L2973+L2979+L2984</f>
        <v>#REF!</v>
      </c>
    </row>
    <row r="2986" spans="1:12" ht="12" customHeight="1" x14ac:dyDescent="0.35">
      <c r="B2986" s="84" t="s">
        <v>9</v>
      </c>
      <c r="C2986" s="455" t="s">
        <v>427</v>
      </c>
      <c r="D2986" s="455"/>
      <c r="E2986" s="455"/>
      <c r="F2986" s="95" t="str">
        <f>OP</f>
        <v>TANJUNG PALAS TENGAH</v>
      </c>
      <c r="G2986" s="85" t="s">
        <v>428</v>
      </c>
      <c r="H2986" s="87" t="e">
        <f>H2985*F2986</f>
        <v>#REF!</v>
      </c>
      <c r="I2986" s="85" t="s">
        <v>428</v>
      </c>
      <c r="J2986" s="87" t="e">
        <f>J2985*F2986</f>
        <v>#REF!</v>
      </c>
      <c r="K2986" s="85" t="s">
        <v>428</v>
      </c>
      <c r="L2986" s="87" t="e">
        <f>L2985*F2986</f>
        <v>#REF!</v>
      </c>
    </row>
    <row r="2987" spans="1:12" ht="12" customHeight="1" x14ac:dyDescent="0.35">
      <c r="B2987" s="84" t="s">
        <v>10</v>
      </c>
      <c r="C2987" s="103" t="s">
        <v>429</v>
      </c>
      <c r="D2987" s="104"/>
      <c r="E2987" s="104"/>
      <c r="F2987" s="104"/>
      <c r="G2987" s="105"/>
      <c r="H2987" s="96" t="e">
        <f>H2985+H2986</f>
        <v>#REF!</v>
      </c>
      <c r="I2987" s="97"/>
      <c r="J2987" s="96" t="e">
        <f>J2985+J2986</f>
        <v>#REF!</v>
      </c>
      <c r="K2987" s="97"/>
      <c r="L2987" s="96" t="e">
        <f>L2985+L2986</f>
        <v>#REF!</v>
      </c>
    </row>
    <row r="2988" spans="1:12" x14ac:dyDescent="0.35">
      <c r="B2988" s="75" t="s">
        <v>806</v>
      </c>
    </row>
    <row r="2989" spans="1:12" ht="14" customHeight="1" x14ac:dyDescent="0.35"/>
    <row r="2990" spans="1:12" ht="37" customHeight="1" x14ac:dyDescent="0.35">
      <c r="B2990" s="76" t="s">
        <v>816</v>
      </c>
      <c r="C2990" s="458" t="s">
        <v>817</v>
      </c>
      <c r="D2990" s="459"/>
      <c r="E2990" s="459"/>
      <c r="F2990" s="459"/>
      <c r="G2990" s="456"/>
      <c r="H2990" s="457"/>
      <c r="I2990" s="455" t="s">
        <v>3</v>
      </c>
      <c r="J2990" s="455"/>
      <c r="K2990" s="455" t="s">
        <v>4</v>
      </c>
      <c r="L2990" s="455"/>
    </row>
    <row r="2991" spans="1:12" ht="12" customHeight="1" x14ac:dyDescent="0.35">
      <c r="B2991" s="451" t="s">
        <v>409</v>
      </c>
      <c r="C2991" s="451" t="s">
        <v>410</v>
      </c>
      <c r="D2991" s="452" t="s">
        <v>411</v>
      </c>
      <c r="E2991" s="451" t="s">
        <v>412</v>
      </c>
      <c r="F2991" s="451" t="s">
        <v>413</v>
      </c>
      <c r="G2991" s="77" t="s">
        <v>414</v>
      </c>
      <c r="H2991" s="77" t="s">
        <v>415</v>
      </c>
      <c r="I2991" s="78" t="s">
        <v>414</v>
      </c>
      <c r="J2991" s="79" t="s">
        <v>415</v>
      </c>
      <c r="K2991" s="79" t="s">
        <v>414</v>
      </c>
      <c r="L2991" s="79" t="s">
        <v>415</v>
      </c>
    </row>
    <row r="2992" spans="1:12" ht="12" customHeight="1" x14ac:dyDescent="0.35">
      <c r="B2992" s="451"/>
      <c r="C2992" s="451"/>
      <c r="D2992" s="453"/>
      <c r="E2992" s="451"/>
      <c r="F2992" s="451"/>
      <c r="G2992" s="77" t="s">
        <v>17</v>
      </c>
      <c r="H2992" s="77" t="s">
        <v>416</v>
      </c>
      <c r="I2992" s="78" t="s">
        <v>17</v>
      </c>
      <c r="J2992" s="79" t="s">
        <v>416</v>
      </c>
      <c r="K2992" s="79" t="s">
        <v>17</v>
      </c>
      <c r="L2992" s="79" t="s">
        <v>416</v>
      </c>
    </row>
    <row r="2993" spans="1:12" ht="12" customHeight="1" x14ac:dyDescent="0.35">
      <c r="B2993" s="451"/>
      <c r="C2993" s="451"/>
      <c r="D2993" s="454"/>
      <c r="E2993" s="451"/>
      <c r="F2993" s="451"/>
      <c r="G2993" s="106"/>
      <c r="H2993" s="77" t="s">
        <v>17</v>
      </c>
      <c r="I2993" s="94"/>
      <c r="J2993" s="79" t="s">
        <v>17</v>
      </c>
      <c r="K2993" s="85"/>
      <c r="L2993" s="79" t="s">
        <v>17</v>
      </c>
    </row>
    <row r="2994" spans="1:12" ht="12" customHeight="1" x14ac:dyDescent="0.35">
      <c r="B2994" s="80" t="s">
        <v>5</v>
      </c>
      <c r="C2994" s="81" t="s">
        <v>417</v>
      </c>
      <c r="D2994" s="82"/>
      <c r="E2994" s="82"/>
      <c r="F2994" s="82"/>
      <c r="G2994" s="82"/>
      <c r="H2994" s="82"/>
      <c r="I2994" s="83"/>
      <c r="J2994" s="83"/>
      <c r="K2994" s="83"/>
      <c r="L2994" s="83"/>
    </row>
    <row r="2995" spans="1:12" ht="12" customHeight="1" x14ac:dyDescent="0.35">
      <c r="A2995" s="134">
        <v>10130000</v>
      </c>
      <c r="B2995" s="84"/>
      <c r="C2995" s="85" t="str">
        <f>VLOOKUP(A2995,'DAFTAR HARGA'!A:D,3,FALSE)</f>
        <v>OH</v>
      </c>
      <c r="D2995" s="84" t="s">
        <v>418</v>
      </c>
      <c r="E2995" s="84">
        <f>VLOOKUP(A2995,'DAFTAR HARGA'!A:D,4,FALSE)</f>
        <v>115000</v>
      </c>
      <c r="F2995" s="128">
        <v>0.36</v>
      </c>
      <c r="G2995" s="87" t="e">
        <f>VLOOKUP(A2995,'DAFTAR HARGA'!A:D,5,FALSE)</f>
        <v>#REF!</v>
      </c>
      <c r="H2995" s="87" t="e">
        <f>F2995*G2995</f>
        <v>#REF!</v>
      </c>
      <c r="I2995" s="87">
        <v>91500</v>
      </c>
      <c r="J2995" s="87">
        <f>F2995*I2995</f>
        <v>32940</v>
      </c>
      <c r="K2995" s="87">
        <v>91500</v>
      </c>
      <c r="L2995" s="87">
        <f>F2995*K2995</f>
        <v>32940</v>
      </c>
    </row>
    <row r="2996" spans="1:12" ht="12" customHeight="1" x14ac:dyDescent="0.35">
      <c r="A2996" s="134">
        <v>10142000</v>
      </c>
      <c r="B2996" s="84"/>
      <c r="C2996" s="85" t="str">
        <f>VLOOKUP(A2996,'DAFTAR HARGA'!A:D,3,FALSE)</f>
        <v>OH</v>
      </c>
      <c r="D2996" s="84" t="s">
        <v>418</v>
      </c>
      <c r="E2996" s="84">
        <f>VLOOKUP(A2996,'DAFTAR HARGA'!A:D,4,FALSE)</f>
        <v>236600</v>
      </c>
      <c r="F2996" s="128">
        <v>0.36</v>
      </c>
      <c r="G2996" s="87" t="e">
        <f>VLOOKUP(A2996,'DAFTAR HARGA'!A:D,5,FALSE)</f>
        <v>#REF!</v>
      </c>
      <c r="H2996" s="87" t="e">
        <f>F2996*G2996</f>
        <v>#REF!</v>
      </c>
      <c r="I2996" s="87"/>
      <c r="J2996" s="87"/>
      <c r="K2996" s="87"/>
      <c r="L2996" s="87"/>
    </row>
    <row r="2997" spans="1:12" ht="12" customHeight="1" x14ac:dyDescent="0.35">
      <c r="A2997" s="134">
        <v>10120000</v>
      </c>
      <c r="B2997" s="84"/>
      <c r="C2997" s="85" t="str">
        <f>VLOOKUP(A2997,'DAFTAR HARGA'!A:D,3,FALSE)</f>
        <v>OH</v>
      </c>
      <c r="D2997" s="84" t="s">
        <v>418</v>
      </c>
      <c r="E2997" s="84">
        <f>VLOOKUP(A2997,'DAFTAR HARGA'!A:D,4,FALSE)</f>
        <v>130000</v>
      </c>
      <c r="F2997" s="128">
        <f>F2996/10</f>
        <v>3.5999999999999997E-2</v>
      </c>
      <c r="G2997" s="87" t="e">
        <f>VLOOKUP(A2997,'DAFTAR HARGA'!A:D,5,FALSE)</f>
        <v>#REF!</v>
      </c>
      <c r="H2997" s="87" t="e">
        <f>F2997*G2997</f>
        <v>#REF!</v>
      </c>
      <c r="I2997" s="87"/>
      <c r="J2997" s="87"/>
      <c r="K2997" s="87"/>
      <c r="L2997" s="87"/>
    </row>
    <row r="2998" spans="1:12" ht="12" customHeight="1" x14ac:dyDescent="0.35">
      <c r="A2998" s="134">
        <v>10110000</v>
      </c>
      <c r="B2998" s="84"/>
      <c r="C2998" s="85" t="str">
        <f>VLOOKUP(A2998,'DAFTAR HARGA'!A:D,3,FALSE)</f>
        <v>OH</v>
      </c>
      <c r="D2998" s="84" t="s">
        <v>418</v>
      </c>
      <c r="E2998" s="84">
        <f>VLOOKUP(A2998,'DAFTAR HARGA'!A:D,4,FALSE)</f>
        <v>150000</v>
      </c>
      <c r="F2998" s="128">
        <f>F2995/10</f>
        <v>3.5999999999999997E-2</v>
      </c>
      <c r="G2998" s="87" t="e">
        <f>VLOOKUP(A2998,'DAFTAR HARGA'!A:D,5,FALSE)</f>
        <v>#REF!</v>
      </c>
      <c r="H2998" s="87" t="e">
        <f>F2998*G2998</f>
        <v>#REF!</v>
      </c>
      <c r="I2998" s="87">
        <v>92500</v>
      </c>
      <c r="J2998" s="87">
        <f>F2998*I2998</f>
        <v>3329.9999999999995</v>
      </c>
      <c r="K2998" s="87">
        <v>92500</v>
      </c>
      <c r="L2998" s="87">
        <f>F2998*K2998</f>
        <v>3329.9999999999995</v>
      </c>
    </row>
    <row r="2999" spans="1:12" ht="12" customHeight="1" x14ac:dyDescent="0.35">
      <c r="B2999" s="84"/>
      <c r="C2999" s="85"/>
      <c r="D2999" s="84"/>
      <c r="E2999" s="84"/>
      <c r="F2999" s="86"/>
      <c r="G2999" s="87"/>
      <c r="H2999" s="87"/>
      <c r="I2999" s="87"/>
      <c r="J2999" s="87"/>
      <c r="K2999" s="87"/>
      <c r="L2999" s="87"/>
    </row>
    <row r="3000" spans="1:12" ht="12" customHeight="1" x14ac:dyDescent="0.35">
      <c r="B3000" s="84"/>
      <c r="C3000" s="88"/>
      <c r="D3000" s="79"/>
      <c r="E3000" s="79"/>
      <c r="F3000" s="89" t="s">
        <v>421</v>
      </c>
      <c r="G3000" s="101"/>
      <c r="H3000" s="87" t="e">
        <f>SUM(H2995:H2999)</f>
        <v>#REF!</v>
      </c>
      <c r="I3000" s="101"/>
      <c r="J3000" s="87">
        <f>SUM(J2998:J2999)</f>
        <v>3329.9999999999995</v>
      </c>
      <c r="K3000" s="101"/>
      <c r="L3000" s="87">
        <f>SUM(L2998:L2999)</f>
        <v>3329.9999999999995</v>
      </c>
    </row>
    <row r="3001" spans="1:12" ht="12" customHeight="1" x14ac:dyDescent="0.35">
      <c r="B3001" s="84" t="s">
        <v>6</v>
      </c>
      <c r="C3001" s="88" t="s">
        <v>422</v>
      </c>
      <c r="D3001" s="79"/>
      <c r="E3001" s="79"/>
      <c r="F3001" s="90"/>
      <c r="G3001" s="84"/>
      <c r="H3001" s="87"/>
      <c r="I3001" s="84"/>
      <c r="J3001" s="87"/>
      <c r="K3001" s="84"/>
      <c r="L3001" s="87"/>
    </row>
    <row r="3002" spans="1:12" x14ac:dyDescent="0.35">
      <c r="A3002" s="134">
        <v>21924004</v>
      </c>
      <c r="B3002" s="84"/>
      <c r="C3002" s="85" t="str">
        <f>VLOOKUP(A3002,'DAFTAR HARGA'!A:D,3,FALSE)</f>
        <v>m²</v>
      </c>
      <c r="D3002" s="84" t="s">
        <v>418</v>
      </c>
      <c r="E3002" s="84">
        <f>VLOOKUP(A3002,'DAFTAR HARGA'!A:D,4,FALSE)</f>
        <v>175000</v>
      </c>
      <c r="F3002" s="128">
        <v>0.128</v>
      </c>
      <c r="G3002" s="87" t="e">
        <f>VLOOKUP(A3002,'DAFTAR HARGA'!A:D,5,FALSE)</f>
        <v>#REF!</v>
      </c>
      <c r="H3002" s="87" t="e">
        <f>F3002*G3002</f>
        <v>#REF!</v>
      </c>
      <c r="I3002" s="87">
        <v>232500</v>
      </c>
      <c r="J3002" s="87">
        <f>F3002*I3002</f>
        <v>29760</v>
      </c>
      <c r="K3002" s="87">
        <v>270000</v>
      </c>
      <c r="L3002" s="87">
        <f>F3002*K3002</f>
        <v>34560</v>
      </c>
    </row>
    <row r="3003" spans="1:12" x14ac:dyDescent="0.35">
      <c r="A3003" s="134">
        <v>21401200</v>
      </c>
      <c r="B3003" s="84"/>
      <c r="C3003" s="85" t="str">
        <f>VLOOKUP(A3003,'DAFTAR HARGA'!A:D,3,FALSE)</f>
        <v>m³</v>
      </c>
      <c r="D3003" s="84" t="s">
        <v>418</v>
      </c>
      <c r="E3003" s="84">
        <f>VLOOKUP(A3003,'DAFTAR HARGA'!A:D,4,FALSE)</f>
        <v>1900000</v>
      </c>
      <c r="F3003" s="128">
        <v>1.0999999999999999E-2</v>
      </c>
      <c r="G3003" s="87" t="e">
        <f>VLOOKUP(A3003,'DAFTAR HARGA'!A:D,5,FALSE)</f>
        <v>#REF!</v>
      </c>
      <c r="H3003" s="87" t="e">
        <f>F3003*G3003</f>
        <v>#REF!</v>
      </c>
      <c r="I3003" s="87"/>
      <c r="J3003" s="87"/>
      <c r="K3003" s="87"/>
      <c r="L3003" s="87"/>
    </row>
    <row r="3004" spans="1:12" x14ac:dyDescent="0.35">
      <c r="A3004" s="134">
        <v>21911005</v>
      </c>
      <c r="B3004" s="84"/>
      <c r="C3004" s="85" t="str">
        <f>VLOOKUP(A3004,'DAFTAR HARGA'!A:D,3,FALSE)</f>
        <v>kg</v>
      </c>
      <c r="D3004" s="84" t="s">
        <v>418</v>
      </c>
      <c r="E3004" s="84">
        <f>VLOOKUP(A3004,'DAFTAR HARGA'!A:D,4,FALSE)</f>
        <v>21200</v>
      </c>
      <c r="F3004" s="128">
        <v>0.32</v>
      </c>
      <c r="G3004" s="87" t="e">
        <f>VLOOKUP(A3004,'DAFTAR HARGA'!A:D,5,FALSE)</f>
        <v>#REF!</v>
      </c>
      <c r="H3004" s="87" t="e">
        <f>F3004*G3004</f>
        <v>#REF!</v>
      </c>
      <c r="I3004" s="87"/>
      <c r="J3004" s="87"/>
      <c r="K3004" s="87"/>
      <c r="L3004" s="87"/>
    </row>
    <row r="3005" spans="1:12" x14ac:dyDescent="0.35">
      <c r="A3005" s="134">
        <v>21961000</v>
      </c>
      <c r="B3005" s="84"/>
      <c r="C3005" s="85" t="str">
        <f>VLOOKUP(A3005,'DAFTAR HARGA'!A:D,3,FALSE)</f>
        <v>liter</v>
      </c>
      <c r="D3005" s="84" t="s">
        <v>418</v>
      </c>
      <c r="E3005" s="84">
        <f>VLOOKUP(A3005,'DAFTAR HARGA'!A:D,4,FALSE)</f>
        <v>22100</v>
      </c>
      <c r="F3005" s="128">
        <v>0.25</v>
      </c>
      <c r="G3005" s="87" t="e">
        <f>VLOOKUP(A3005,'DAFTAR HARGA'!A:D,5,FALSE)</f>
        <v>#REF!</v>
      </c>
      <c r="H3005" s="87" t="e">
        <f>F3005*G3005</f>
        <v>#REF!</v>
      </c>
      <c r="I3005" s="87"/>
      <c r="J3005" s="87"/>
      <c r="K3005" s="87"/>
      <c r="L3005" s="87"/>
    </row>
    <row r="3006" spans="1:12" ht="12" customHeight="1" x14ac:dyDescent="0.35">
      <c r="B3006" s="84"/>
      <c r="C3006" s="88"/>
      <c r="D3006" s="79"/>
      <c r="E3006" s="79"/>
      <c r="F3006" s="129" t="s">
        <v>423</v>
      </c>
      <c r="G3006" s="129"/>
      <c r="H3006" s="87" t="e">
        <f>SUM(H3002:H3005)</f>
        <v>#REF!</v>
      </c>
      <c r="I3006" s="101"/>
      <c r="J3006" s="87" t="e">
        <f>SUM(#REF!)</f>
        <v>#REF!</v>
      </c>
      <c r="K3006" s="101"/>
      <c r="L3006" s="87" t="e">
        <f>SUM(#REF!)</f>
        <v>#REF!</v>
      </c>
    </row>
    <row r="3007" spans="1:12" ht="12" customHeight="1" x14ac:dyDescent="0.35">
      <c r="B3007" s="84" t="s">
        <v>7</v>
      </c>
      <c r="C3007" s="88" t="s">
        <v>424</v>
      </c>
      <c r="D3007" s="79"/>
      <c r="E3007" s="79"/>
      <c r="F3007" s="90"/>
      <c r="G3007" s="84"/>
      <c r="H3007" s="87"/>
      <c r="I3007" s="84"/>
      <c r="J3007" s="87"/>
      <c r="K3007" s="84"/>
      <c r="L3007" s="87"/>
    </row>
    <row r="3008" spans="1:12" ht="12" customHeight="1" x14ac:dyDescent="0.35">
      <c r="B3008" s="84"/>
      <c r="C3008" s="85"/>
      <c r="D3008" s="84"/>
      <c r="E3008" s="84"/>
      <c r="F3008" s="128"/>
      <c r="G3008" s="87"/>
      <c r="H3008" s="87">
        <f>F3008*G3008</f>
        <v>0</v>
      </c>
      <c r="I3008" s="87"/>
      <c r="J3008" s="87">
        <f>H3008*I3008</f>
        <v>0</v>
      </c>
      <c r="K3008" s="87"/>
      <c r="L3008" s="87">
        <f>J3008*K3008</f>
        <v>0</v>
      </c>
    </row>
    <row r="3009" spans="1:12" ht="12" customHeight="1" x14ac:dyDescent="0.35">
      <c r="B3009" s="84"/>
      <c r="C3009" s="85"/>
      <c r="D3009" s="84"/>
      <c r="E3009" s="84"/>
      <c r="F3009" s="128"/>
      <c r="G3009" s="87"/>
      <c r="H3009" s="87">
        <f>F3009*G3009</f>
        <v>0</v>
      </c>
      <c r="I3009" s="87"/>
      <c r="J3009" s="87"/>
      <c r="K3009" s="87"/>
      <c r="L3009" s="87"/>
    </row>
    <row r="3010" spans="1:12" ht="12" customHeight="1" x14ac:dyDescent="0.35">
      <c r="B3010" s="84"/>
      <c r="C3010" s="85"/>
      <c r="D3010" s="84"/>
      <c r="E3010" s="84"/>
      <c r="F3010" s="128"/>
      <c r="G3010" s="87"/>
      <c r="H3010" s="87">
        <f>F3010*G3010</f>
        <v>0</v>
      </c>
      <c r="I3010" s="87"/>
      <c r="J3010" s="87"/>
      <c r="K3010" s="87"/>
      <c r="L3010" s="87"/>
    </row>
    <row r="3011" spans="1:12" ht="12" customHeight="1" x14ac:dyDescent="0.35">
      <c r="B3011" s="84"/>
      <c r="C3011" s="88"/>
      <c r="D3011" s="79"/>
      <c r="E3011" s="79"/>
      <c r="F3011" s="89" t="s">
        <v>425</v>
      </c>
      <c r="G3011" s="101"/>
      <c r="H3011" s="87">
        <f>SUM(H3008:H3010)</f>
        <v>0</v>
      </c>
      <c r="I3011" s="101"/>
      <c r="J3011" s="87">
        <f>SUM(J3008)</f>
        <v>0</v>
      </c>
      <c r="K3011" s="101"/>
      <c r="L3011" s="87">
        <f>SUM(L3008)</f>
        <v>0</v>
      </c>
    </row>
    <row r="3012" spans="1:12" ht="12" customHeight="1" x14ac:dyDescent="0.35">
      <c r="B3012" s="84" t="s">
        <v>8</v>
      </c>
      <c r="C3012" s="103" t="s">
        <v>426</v>
      </c>
      <c r="D3012" s="104"/>
      <c r="E3012" s="104"/>
      <c r="F3012" s="104"/>
      <c r="G3012" s="105"/>
      <c r="H3012" s="87" t="e">
        <f>H3000+H3006+H3011</f>
        <v>#REF!</v>
      </c>
      <c r="I3012" s="105"/>
      <c r="J3012" s="87" t="e">
        <f>J3000+J3006+J3011</f>
        <v>#REF!</v>
      </c>
      <c r="K3012" s="105"/>
      <c r="L3012" s="87" t="e">
        <f>L3000+L3006+L3011</f>
        <v>#REF!</v>
      </c>
    </row>
    <row r="3013" spans="1:12" ht="12" customHeight="1" x14ac:dyDescent="0.35">
      <c r="B3013" s="84" t="s">
        <v>9</v>
      </c>
      <c r="C3013" s="455" t="s">
        <v>427</v>
      </c>
      <c r="D3013" s="455"/>
      <c r="E3013" s="455"/>
      <c r="F3013" s="95" t="str">
        <f>OP</f>
        <v>TANJUNG PALAS TENGAH</v>
      </c>
      <c r="G3013" s="85" t="s">
        <v>428</v>
      </c>
      <c r="H3013" s="87" t="e">
        <f>H3012*F3013</f>
        <v>#REF!</v>
      </c>
      <c r="I3013" s="85" t="s">
        <v>428</v>
      </c>
      <c r="J3013" s="87" t="e">
        <f>J3012*F3013</f>
        <v>#REF!</v>
      </c>
      <c r="K3013" s="85" t="s">
        <v>428</v>
      </c>
      <c r="L3013" s="87" t="e">
        <f>L3012*F3013</f>
        <v>#REF!</v>
      </c>
    </row>
    <row r="3014" spans="1:12" ht="12" customHeight="1" x14ac:dyDescent="0.35">
      <c r="B3014" s="84" t="s">
        <v>10</v>
      </c>
      <c r="C3014" s="103" t="s">
        <v>429</v>
      </c>
      <c r="D3014" s="104"/>
      <c r="E3014" s="104"/>
      <c r="F3014" s="104"/>
      <c r="G3014" s="105"/>
      <c r="H3014" s="96" t="e">
        <f>H3012+H3013</f>
        <v>#REF!</v>
      </c>
      <c r="I3014" s="97"/>
      <c r="J3014" s="96" t="e">
        <f>J3012+J3013</f>
        <v>#REF!</v>
      </c>
      <c r="K3014" s="97"/>
      <c r="L3014" s="96" t="e">
        <f>L3012+L3013</f>
        <v>#REF!</v>
      </c>
    </row>
    <row r="3015" spans="1:12" x14ac:dyDescent="0.35">
      <c r="B3015" s="75" t="s">
        <v>806</v>
      </c>
    </row>
    <row r="3016" spans="1:12" ht="14" customHeight="1" x14ac:dyDescent="0.35"/>
    <row r="3017" spans="1:12" ht="37" customHeight="1" x14ac:dyDescent="0.35">
      <c r="B3017" s="76" t="s">
        <v>819</v>
      </c>
      <c r="C3017" s="458" t="s">
        <v>820</v>
      </c>
      <c r="D3017" s="459"/>
      <c r="E3017" s="459"/>
      <c r="F3017" s="459"/>
      <c r="G3017" s="456"/>
      <c r="H3017" s="457"/>
      <c r="I3017" s="455" t="s">
        <v>3</v>
      </c>
      <c r="J3017" s="455"/>
      <c r="K3017" s="455" t="s">
        <v>4</v>
      </c>
      <c r="L3017" s="455"/>
    </row>
    <row r="3018" spans="1:12" ht="12" customHeight="1" x14ac:dyDescent="0.35">
      <c r="B3018" s="451" t="s">
        <v>409</v>
      </c>
      <c r="C3018" s="451" t="s">
        <v>410</v>
      </c>
      <c r="D3018" s="452" t="s">
        <v>411</v>
      </c>
      <c r="E3018" s="451" t="s">
        <v>412</v>
      </c>
      <c r="F3018" s="451" t="s">
        <v>413</v>
      </c>
      <c r="G3018" s="77" t="s">
        <v>414</v>
      </c>
      <c r="H3018" s="77" t="s">
        <v>415</v>
      </c>
      <c r="I3018" s="78" t="s">
        <v>414</v>
      </c>
      <c r="J3018" s="79" t="s">
        <v>415</v>
      </c>
      <c r="K3018" s="79" t="s">
        <v>414</v>
      </c>
      <c r="L3018" s="79" t="s">
        <v>415</v>
      </c>
    </row>
    <row r="3019" spans="1:12" ht="12" customHeight="1" x14ac:dyDescent="0.35">
      <c r="B3019" s="451"/>
      <c r="C3019" s="451"/>
      <c r="D3019" s="453"/>
      <c r="E3019" s="451"/>
      <c r="F3019" s="451"/>
      <c r="G3019" s="77" t="s">
        <v>17</v>
      </c>
      <c r="H3019" s="77" t="s">
        <v>416</v>
      </c>
      <c r="I3019" s="78" t="s">
        <v>17</v>
      </c>
      <c r="J3019" s="79" t="s">
        <v>416</v>
      </c>
      <c r="K3019" s="79" t="s">
        <v>17</v>
      </c>
      <c r="L3019" s="79" t="s">
        <v>416</v>
      </c>
    </row>
    <row r="3020" spans="1:12" ht="12" customHeight="1" x14ac:dyDescent="0.35">
      <c r="B3020" s="451"/>
      <c r="C3020" s="451"/>
      <c r="D3020" s="454"/>
      <c r="E3020" s="451"/>
      <c r="F3020" s="451"/>
      <c r="G3020" s="106"/>
      <c r="H3020" s="77" t="s">
        <v>17</v>
      </c>
      <c r="I3020" s="94"/>
      <c r="J3020" s="79" t="s">
        <v>17</v>
      </c>
      <c r="K3020" s="85"/>
      <c r="L3020" s="79" t="s">
        <v>17</v>
      </c>
    </row>
    <row r="3021" spans="1:12" ht="12" customHeight="1" x14ac:dyDescent="0.35">
      <c r="B3021" s="80" t="s">
        <v>5</v>
      </c>
      <c r="C3021" s="81" t="s">
        <v>417</v>
      </c>
      <c r="D3021" s="82"/>
      <c r="E3021" s="82"/>
      <c r="F3021" s="82"/>
      <c r="G3021" s="82"/>
      <c r="H3021" s="82"/>
      <c r="I3021" s="83"/>
      <c r="J3021" s="83"/>
      <c r="K3021" s="83"/>
      <c r="L3021" s="83"/>
    </row>
    <row r="3022" spans="1:12" ht="12" customHeight="1" x14ac:dyDescent="0.35">
      <c r="A3022" s="134">
        <v>10130000</v>
      </c>
      <c r="B3022" s="84"/>
      <c r="C3022" s="85" t="str">
        <f>VLOOKUP(A3022,'DAFTAR HARGA'!A:D,3,FALSE)</f>
        <v>OH</v>
      </c>
      <c r="D3022" s="84" t="s">
        <v>418</v>
      </c>
      <c r="E3022" s="84">
        <f>VLOOKUP(A3022,'DAFTAR HARGA'!A:D,4,FALSE)</f>
        <v>115000</v>
      </c>
      <c r="F3022" s="128">
        <v>0.4</v>
      </c>
      <c r="G3022" s="87" t="e">
        <f>VLOOKUP(A3022,'DAFTAR HARGA'!A:D,5,FALSE)</f>
        <v>#REF!</v>
      </c>
      <c r="H3022" s="87" t="e">
        <f>F3022*G3022</f>
        <v>#REF!</v>
      </c>
      <c r="I3022" s="87">
        <v>91500</v>
      </c>
      <c r="J3022" s="87">
        <f>F3022*I3022</f>
        <v>36600</v>
      </c>
      <c r="K3022" s="87">
        <v>91500</v>
      </c>
      <c r="L3022" s="87">
        <f>F3022*K3022</f>
        <v>36600</v>
      </c>
    </row>
    <row r="3023" spans="1:12" ht="12" customHeight="1" x14ac:dyDescent="0.35">
      <c r="A3023" s="134">
        <v>10142000</v>
      </c>
      <c r="B3023" s="84"/>
      <c r="C3023" s="85" t="str">
        <f>VLOOKUP(A3023,'DAFTAR HARGA'!A:D,3,FALSE)</f>
        <v>OH</v>
      </c>
      <c r="D3023" s="84" t="s">
        <v>418</v>
      </c>
      <c r="E3023" s="84">
        <f>VLOOKUP(A3023,'DAFTAR HARGA'!A:D,4,FALSE)</f>
        <v>236600</v>
      </c>
      <c r="F3023" s="128">
        <v>0.2</v>
      </c>
      <c r="G3023" s="87" t="e">
        <f>VLOOKUP(A3023,'DAFTAR HARGA'!A:D,5,FALSE)</f>
        <v>#REF!</v>
      </c>
      <c r="H3023" s="87" t="e">
        <f>F3023*G3023</f>
        <v>#REF!</v>
      </c>
      <c r="I3023" s="87"/>
      <c r="J3023" s="87"/>
      <c r="K3023" s="87"/>
      <c r="L3023" s="87"/>
    </row>
    <row r="3024" spans="1:12" ht="12" customHeight="1" x14ac:dyDescent="0.35">
      <c r="A3024" s="134">
        <v>10120000</v>
      </c>
      <c r="B3024" s="84"/>
      <c r="C3024" s="85" t="str">
        <f>VLOOKUP(A3024,'DAFTAR HARGA'!A:D,3,FALSE)</f>
        <v>OH</v>
      </c>
      <c r="D3024" s="84" t="s">
        <v>418</v>
      </c>
      <c r="E3024" s="84">
        <f>VLOOKUP(A3024,'DAFTAR HARGA'!A:D,4,FALSE)</f>
        <v>130000</v>
      </c>
      <c r="F3024" s="128">
        <f>F3023/10</f>
        <v>0.02</v>
      </c>
      <c r="G3024" s="87" t="e">
        <f>VLOOKUP(A3024,'DAFTAR HARGA'!A:D,5,FALSE)</f>
        <v>#REF!</v>
      </c>
      <c r="H3024" s="87" t="e">
        <f>F3024*G3024</f>
        <v>#REF!</v>
      </c>
      <c r="I3024" s="87"/>
      <c r="J3024" s="87"/>
      <c r="K3024" s="87"/>
      <c r="L3024" s="87"/>
    </row>
    <row r="3025" spans="1:12" ht="12" customHeight="1" x14ac:dyDescent="0.35">
      <c r="A3025" s="134">
        <v>10110000</v>
      </c>
      <c r="B3025" s="84"/>
      <c r="C3025" s="85" t="str">
        <f>VLOOKUP(A3025,'DAFTAR HARGA'!A:D,3,FALSE)</f>
        <v>OH</v>
      </c>
      <c r="D3025" s="84" t="s">
        <v>418</v>
      </c>
      <c r="E3025" s="84">
        <f>VLOOKUP(A3025,'DAFTAR HARGA'!A:D,4,FALSE)</f>
        <v>150000</v>
      </c>
      <c r="F3025" s="128">
        <f>F3022/10</f>
        <v>0.04</v>
      </c>
      <c r="G3025" s="87" t="e">
        <f>VLOOKUP(A3025,'DAFTAR HARGA'!A:D,5,FALSE)</f>
        <v>#REF!</v>
      </c>
      <c r="H3025" s="87" t="e">
        <f>F3025*G3025</f>
        <v>#REF!</v>
      </c>
      <c r="I3025" s="87">
        <v>92500</v>
      </c>
      <c r="J3025" s="87">
        <f>F3025*I3025</f>
        <v>3700</v>
      </c>
      <c r="K3025" s="87">
        <v>92500</v>
      </c>
      <c r="L3025" s="87">
        <f>F3025*K3025</f>
        <v>3700</v>
      </c>
    </row>
    <row r="3026" spans="1:12" ht="12" customHeight="1" x14ac:dyDescent="0.35">
      <c r="B3026" s="84"/>
      <c r="C3026" s="85"/>
      <c r="D3026" s="84"/>
      <c r="E3026" s="84"/>
      <c r="F3026" s="86"/>
      <c r="G3026" s="87"/>
      <c r="H3026" s="87"/>
      <c r="I3026" s="87"/>
      <c r="J3026" s="87"/>
      <c r="K3026" s="87"/>
      <c r="L3026" s="87"/>
    </row>
    <row r="3027" spans="1:12" ht="12" customHeight="1" x14ac:dyDescent="0.35">
      <c r="B3027" s="84"/>
      <c r="C3027" s="88"/>
      <c r="D3027" s="79"/>
      <c r="E3027" s="79"/>
      <c r="F3027" s="89" t="s">
        <v>421</v>
      </c>
      <c r="G3027" s="101"/>
      <c r="H3027" s="87" t="e">
        <f>SUM(H3022:H3026)</f>
        <v>#REF!</v>
      </c>
      <c r="I3027" s="101"/>
      <c r="J3027" s="87">
        <f>SUM(J3025:J3026)</f>
        <v>3700</v>
      </c>
      <c r="K3027" s="101"/>
      <c r="L3027" s="87">
        <f>SUM(L3025:L3026)</f>
        <v>3700</v>
      </c>
    </row>
    <row r="3028" spans="1:12" ht="12" customHeight="1" x14ac:dyDescent="0.35">
      <c r="B3028" s="84" t="s">
        <v>6</v>
      </c>
      <c r="C3028" s="88" t="s">
        <v>422</v>
      </c>
      <c r="D3028" s="79"/>
      <c r="E3028" s="79"/>
      <c r="F3028" s="90"/>
      <c r="G3028" s="84"/>
      <c r="H3028" s="87"/>
      <c r="I3028" s="84"/>
      <c r="J3028" s="87"/>
      <c r="K3028" s="84"/>
      <c r="L3028" s="87"/>
    </row>
    <row r="3029" spans="1:12" x14ac:dyDescent="0.35">
      <c r="A3029" s="134">
        <v>21401200</v>
      </c>
      <c r="B3029" s="84"/>
      <c r="C3029" s="85" t="str">
        <f>VLOOKUP(A3029,'DAFTAR HARGA'!A:D,3,FALSE)</f>
        <v>m³</v>
      </c>
      <c r="D3029" s="84" t="s">
        <v>418</v>
      </c>
      <c r="E3029" s="84">
        <f>VLOOKUP(A3029,'DAFTAR HARGA'!A:D,4,FALSE)</f>
        <v>1900000</v>
      </c>
      <c r="F3029" s="128">
        <v>1.0999999999999999E-2</v>
      </c>
      <c r="G3029" s="87" t="e">
        <f>VLOOKUP(A3029,'DAFTAR HARGA'!A:D,5,FALSE)</f>
        <v>#REF!</v>
      </c>
      <c r="H3029" s="87" t="e">
        <f>F3029*G3029</f>
        <v>#REF!</v>
      </c>
      <c r="I3029" s="87"/>
      <c r="J3029" s="87"/>
      <c r="K3029" s="87"/>
      <c r="L3029" s="87"/>
    </row>
    <row r="3030" spans="1:12" x14ac:dyDescent="0.35">
      <c r="A3030" s="134">
        <v>21911005</v>
      </c>
      <c r="B3030" s="84"/>
      <c r="C3030" s="85" t="str">
        <f>VLOOKUP(A3030,'DAFTAR HARGA'!A:D,3,FALSE)</f>
        <v>kg</v>
      </c>
      <c r="D3030" s="84" t="s">
        <v>418</v>
      </c>
      <c r="E3030" s="84">
        <f>VLOOKUP(A3030,'DAFTAR HARGA'!A:D,4,FALSE)</f>
        <v>21200</v>
      </c>
      <c r="F3030" s="128">
        <v>0.24</v>
      </c>
      <c r="G3030" s="87" t="e">
        <f>VLOOKUP(A3030,'DAFTAR HARGA'!A:D,5,FALSE)</f>
        <v>#REF!</v>
      </c>
      <c r="H3030" s="87" t="e">
        <f>F3030*G3030</f>
        <v>#REF!</v>
      </c>
      <c r="I3030" s="87"/>
      <c r="J3030" s="87"/>
      <c r="K3030" s="87"/>
      <c r="L3030" s="87"/>
    </row>
    <row r="3031" spans="1:12" x14ac:dyDescent="0.35">
      <c r="B3031" s="84"/>
      <c r="C3031" s="85"/>
      <c r="D3031" s="84"/>
      <c r="E3031" s="84"/>
      <c r="F3031" s="128"/>
      <c r="G3031" s="87"/>
      <c r="H3031" s="87">
        <f>F3031*G3031</f>
        <v>0</v>
      </c>
      <c r="I3031" s="87"/>
      <c r="J3031" s="87"/>
      <c r="K3031" s="87"/>
      <c r="L3031" s="87"/>
    </row>
    <row r="3032" spans="1:12" ht="12" customHeight="1" x14ac:dyDescent="0.35">
      <c r="B3032" s="84"/>
      <c r="C3032" s="88"/>
      <c r="D3032" s="79"/>
      <c r="E3032" s="79"/>
      <c r="F3032" s="129" t="s">
        <v>423</v>
      </c>
      <c r="G3032" s="129"/>
      <c r="H3032" s="87" t="e">
        <f>SUM(H3029:H3031)</f>
        <v>#REF!</v>
      </c>
      <c r="I3032" s="101"/>
      <c r="J3032" s="87" t="e">
        <f>SUM(#REF!)</f>
        <v>#REF!</v>
      </c>
      <c r="K3032" s="101"/>
      <c r="L3032" s="87" t="e">
        <f>SUM(#REF!)</f>
        <v>#REF!</v>
      </c>
    </row>
    <row r="3033" spans="1:12" ht="12" customHeight="1" x14ac:dyDescent="0.35">
      <c r="B3033" s="84" t="s">
        <v>7</v>
      </c>
      <c r="C3033" s="88" t="s">
        <v>424</v>
      </c>
      <c r="D3033" s="79"/>
      <c r="E3033" s="79"/>
      <c r="F3033" s="90"/>
      <c r="G3033" s="84"/>
      <c r="H3033" s="87"/>
      <c r="I3033" s="84"/>
      <c r="J3033" s="87"/>
      <c r="K3033" s="84"/>
      <c r="L3033" s="87"/>
    </row>
    <row r="3034" spans="1:12" ht="12" customHeight="1" x14ac:dyDescent="0.35">
      <c r="B3034" s="84"/>
      <c r="C3034" s="85"/>
      <c r="D3034" s="84"/>
      <c r="E3034" s="84"/>
      <c r="F3034" s="128"/>
      <c r="G3034" s="87"/>
      <c r="H3034" s="87">
        <f>F3034*G3034</f>
        <v>0</v>
      </c>
      <c r="I3034" s="87"/>
      <c r="J3034" s="87">
        <f>H3034*I3034</f>
        <v>0</v>
      </c>
      <c r="K3034" s="87"/>
      <c r="L3034" s="87">
        <f>J3034*K3034</f>
        <v>0</v>
      </c>
    </row>
    <row r="3035" spans="1:12" ht="12" customHeight="1" x14ac:dyDescent="0.35">
      <c r="B3035" s="84"/>
      <c r="C3035" s="85"/>
      <c r="D3035" s="84"/>
      <c r="E3035" s="84"/>
      <c r="F3035" s="128"/>
      <c r="G3035" s="87"/>
      <c r="H3035" s="87">
        <f>F3035*G3035</f>
        <v>0</v>
      </c>
      <c r="I3035" s="87"/>
      <c r="J3035" s="87"/>
      <c r="K3035" s="87"/>
      <c r="L3035" s="87"/>
    </row>
    <row r="3036" spans="1:12" ht="12" customHeight="1" x14ac:dyDescent="0.35">
      <c r="B3036" s="84"/>
      <c r="C3036" s="85"/>
      <c r="D3036" s="84"/>
      <c r="E3036" s="84"/>
      <c r="F3036" s="128"/>
      <c r="G3036" s="87"/>
      <c r="H3036" s="87">
        <f>F3036*G3036</f>
        <v>0</v>
      </c>
      <c r="I3036" s="87"/>
      <c r="J3036" s="87"/>
      <c r="K3036" s="87"/>
      <c r="L3036" s="87"/>
    </row>
    <row r="3037" spans="1:12" ht="12" customHeight="1" x14ac:dyDescent="0.35">
      <c r="B3037" s="84"/>
      <c r="C3037" s="88"/>
      <c r="D3037" s="79"/>
      <c r="E3037" s="79"/>
      <c r="F3037" s="89" t="s">
        <v>425</v>
      </c>
      <c r="G3037" s="101"/>
      <c r="H3037" s="87">
        <f>SUM(H3034:H3036)</f>
        <v>0</v>
      </c>
      <c r="I3037" s="101"/>
      <c r="J3037" s="87">
        <f>SUM(J3034)</f>
        <v>0</v>
      </c>
      <c r="K3037" s="101"/>
      <c r="L3037" s="87">
        <f>SUM(L3034)</f>
        <v>0</v>
      </c>
    </row>
    <row r="3038" spans="1:12" ht="12" customHeight="1" x14ac:dyDescent="0.35">
      <c r="B3038" s="84" t="s">
        <v>8</v>
      </c>
      <c r="C3038" s="103" t="s">
        <v>426</v>
      </c>
      <c r="D3038" s="104"/>
      <c r="E3038" s="104"/>
      <c r="F3038" s="104"/>
      <c r="G3038" s="105"/>
      <c r="H3038" s="87" t="e">
        <f>H3027+H3032+H3037</f>
        <v>#REF!</v>
      </c>
      <c r="I3038" s="105"/>
      <c r="J3038" s="87" t="e">
        <f>J3027+J3032+J3037</f>
        <v>#REF!</v>
      </c>
      <c r="K3038" s="105"/>
      <c r="L3038" s="87" t="e">
        <f>L3027+L3032+L3037</f>
        <v>#REF!</v>
      </c>
    </row>
    <row r="3039" spans="1:12" ht="12" customHeight="1" x14ac:dyDescent="0.35">
      <c r="B3039" s="84" t="s">
        <v>9</v>
      </c>
      <c r="C3039" s="455" t="s">
        <v>427</v>
      </c>
      <c r="D3039" s="455"/>
      <c r="E3039" s="455"/>
      <c r="F3039" s="95" t="str">
        <f>OP</f>
        <v>TANJUNG PALAS TENGAH</v>
      </c>
      <c r="G3039" s="85" t="s">
        <v>428</v>
      </c>
      <c r="H3039" s="87" t="e">
        <f>H3038*F3039</f>
        <v>#REF!</v>
      </c>
      <c r="I3039" s="85" t="s">
        <v>428</v>
      </c>
      <c r="J3039" s="87" t="e">
        <f>J3038*F3039</f>
        <v>#REF!</v>
      </c>
      <c r="K3039" s="85" t="s">
        <v>428</v>
      </c>
      <c r="L3039" s="87" t="e">
        <f>L3038*F3039</f>
        <v>#REF!</v>
      </c>
    </row>
    <row r="3040" spans="1:12" ht="12" customHeight="1" x14ac:dyDescent="0.35">
      <c r="B3040" s="84" t="s">
        <v>10</v>
      </c>
      <c r="C3040" s="103" t="s">
        <v>429</v>
      </c>
      <c r="D3040" s="104"/>
      <c r="E3040" s="104"/>
      <c r="F3040" s="104"/>
      <c r="G3040" s="105"/>
      <c r="H3040" s="96" t="e">
        <f>H3038+H3039</f>
        <v>#REF!</v>
      </c>
      <c r="I3040" s="97"/>
      <c r="J3040" s="96" t="e">
        <f>J3038+J3039</f>
        <v>#REF!</v>
      </c>
      <c r="K3040" s="97"/>
      <c r="L3040" s="96" t="e">
        <f>L3038+L3039</f>
        <v>#REF!</v>
      </c>
    </row>
    <row r="3041" spans="1:12" x14ac:dyDescent="0.35">
      <c r="B3041" s="75" t="s">
        <v>806</v>
      </c>
    </row>
    <row r="3042" spans="1:12" ht="14" customHeight="1" x14ac:dyDescent="0.35"/>
    <row r="3043" spans="1:12" ht="37" customHeight="1" x14ac:dyDescent="0.35">
      <c r="B3043" s="76" t="s">
        <v>823</v>
      </c>
      <c r="C3043" s="458" t="s">
        <v>821</v>
      </c>
      <c r="D3043" s="459"/>
      <c r="E3043" s="459"/>
      <c r="F3043" s="459"/>
      <c r="G3043" s="456"/>
      <c r="H3043" s="457"/>
      <c r="I3043" s="455" t="s">
        <v>3</v>
      </c>
      <c r="J3043" s="455"/>
      <c r="K3043" s="455" t="s">
        <v>4</v>
      </c>
      <c r="L3043" s="455"/>
    </row>
    <row r="3044" spans="1:12" ht="12" customHeight="1" x14ac:dyDescent="0.35">
      <c r="B3044" s="451" t="s">
        <v>409</v>
      </c>
      <c r="C3044" s="451" t="s">
        <v>410</v>
      </c>
      <c r="D3044" s="452" t="s">
        <v>411</v>
      </c>
      <c r="E3044" s="451" t="s">
        <v>412</v>
      </c>
      <c r="F3044" s="451" t="s">
        <v>413</v>
      </c>
      <c r="G3044" s="77" t="s">
        <v>414</v>
      </c>
      <c r="H3044" s="77" t="s">
        <v>415</v>
      </c>
      <c r="I3044" s="78" t="s">
        <v>414</v>
      </c>
      <c r="J3044" s="79" t="s">
        <v>415</v>
      </c>
      <c r="K3044" s="79" t="s">
        <v>414</v>
      </c>
      <c r="L3044" s="79" t="s">
        <v>415</v>
      </c>
    </row>
    <row r="3045" spans="1:12" ht="12" customHeight="1" x14ac:dyDescent="0.35">
      <c r="B3045" s="451"/>
      <c r="C3045" s="451"/>
      <c r="D3045" s="453"/>
      <c r="E3045" s="451"/>
      <c r="F3045" s="451"/>
      <c r="G3045" s="77" t="s">
        <v>17</v>
      </c>
      <c r="H3045" s="77" t="s">
        <v>416</v>
      </c>
      <c r="I3045" s="78" t="s">
        <v>17</v>
      </c>
      <c r="J3045" s="79" t="s">
        <v>416</v>
      </c>
      <c r="K3045" s="79" t="s">
        <v>17</v>
      </c>
      <c r="L3045" s="79" t="s">
        <v>416</v>
      </c>
    </row>
    <row r="3046" spans="1:12" ht="12" customHeight="1" x14ac:dyDescent="0.35">
      <c r="B3046" s="451"/>
      <c r="C3046" s="451"/>
      <c r="D3046" s="454"/>
      <c r="E3046" s="451"/>
      <c r="F3046" s="451"/>
      <c r="G3046" s="106"/>
      <c r="H3046" s="77" t="s">
        <v>17</v>
      </c>
      <c r="I3046" s="94"/>
      <c r="J3046" s="79" t="s">
        <v>17</v>
      </c>
      <c r="K3046" s="85"/>
      <c r="L3046" s="79" t="s">
        <v>17</v>
      </c>
    </row>
    <row r="3047" spans="1:12" ht="12" customHeight="1" x14ac:dyDescent="0.35">
      <c r="B3047" s="80" t="s">
        <v>5</v>
      </c>
      <c r="C3047" s="81" t="s">
        <v>417</v>
      </c>
      <c r="D3047" s="82"/>
      <c r="E3047" s="82"/>
      <c r="F3047" s="82"/>
      <c r="G3047" s="82"/>
      <c r="H3047" s="82"/>
      <c r="I3047" s="83"/>
      <c r="J3047" s="83"/>
      <c r="K3047" s="83"/>
      <c r="L3047" s="83"/>
    </row>
    <row r="3048" spans="1:12" ht="12" customHeight="1" x14ac:dyDescent="0.35">
      <c r="A3048" s="134">
        <v>10130000</v>
      </c>
      <c r="B3048" s="84"/>
      <c r="C3048" s="85" t="str">
        <f>VLOOKUP(A3048,'DAFTAR HARGA'!A:D,3,FALSE)</f>
        <v>OH</v>
      </c>
      <c r="D3048" s="84" t="s">
        <v>418</v>
      </c>
      <c r="E3048" s="84">
        <f>VLOOKUP(A3048,'DAFTAR HARGA'!A:D,4,FALSE)</f>
        <v>115000</v>
      </c>
      <c r="F3048" s="128">
        <v>0.4</v>
      </c>
      <c r="G3048" s="87" t="e">
        <f>VLOOKUP(A3048,'DAFTAR HARGA'!A:D,5,FALSE)</f>
        <v>#REF!</v>
      </c>
      <c r="H3048" s="87" t="e">
        <f>F3048*G3048</f>
        <v>#REF!</v>
      </c>
      <c r="I3048" s="87">
        <v>91500</v>
      </c>
      <c r="J3048" s="87">
        <f>F3048*I3048</f>
        <v>36600</v>
      </c>
      <c r="K3048" s="87">
        <v>91500</v>
      </c>
      <c r="L3048" s="87">
        <f>F3048*K3048</f>
        <v>36600</v>
      </c>
    </row>
    <row r="3049" spans="1:12" ht="12" customHeight="1" x14ac:dyDescent="0.35">
      <c r="A3049" s="134">
        <v>10142000</v>
      </c>
      <c r="B3049" s="84"/>
      <c r="C3049" s="85" t="str">
        <f>VLOOKUP(A3049,'DAFTAR HARGA'!A:D,3,FALSE)</f>
        <v>OH</v>
      </c>
      <c r="D3049" s="84" t="s">
        <v>418</v>
      </c>
      <c r="E3049" s="84">
        <f>VLOOKUP(A3049,'DAFTAR HARGA'!A:D,4,FALSE)</f>
        <v>236600</v>
      </c>
      <c r="F3049" s="128">
        <v>0.2</v>
      </c>
      <c r="G3049" s="87" t="e">
        <f>VLOOKUP(A3049,'DAFTAR HARGA'!A:D,5,FALSE)</f>
        <v>#REF!</v>
      </c>
      <c r="H3049" s="87" t="e">
        <f>F3049*G3049</f>
        <v>#REF!</v>
      </c>
      <c r="I3049" s="87"/>
      <c r="J3049" s="87"/>
      <c r="K3049" s="87"/>
      <c r="L3049" s="87"/>
    </row>
    <row r="3050" spans="1:12" ht="12" customHeight="1" x14ac:dyDescent="0.35">
      <c r="A3050" s="134">
        <v>10120000</v>
      </c>
      <c r="B3050" s="84"/>
      <c r="C3050" s="85" t="str">
        <f>VLOOKUP(A3050,'DAFTAR HARGA'!A:D,3,FALSE)</f>
        <v>OH</v>
      </c>
      <c r="D3050" s="84" t="s">
        <v>418</v>
      </c>
      <c r="E3050" s="84">
        <f>VLOOKUP(A3050,'DAFTAR HARGA'!A:D,4,FALSE)</f>
        <v>130000</v>
      </c>
      <c r="F3050" s="128">
        <f>F3049/10</f>
        <v>0.02</v>
      </c>
      <c r="G3050" s="87" t="e">
        <f>VLOOKUP(A3050,'DAFTAR HARGA'!A:D,5,FALSE)</f>
        <v>#REF!</v>
      </c>
      <c r="H3050" s="87" t="e">
        <f>F3050*G3050</f>
        <v>#REF!</v>
      </c>
      <c r="I3050" s="87"/>
      <c r="J3050" s="87"/>
      <c r="K3050" s="87"/>
      <c r="L3050" s="87"/>
    </row>
    <row r="3051" spans="1:12" ht="12" customHeight="1" x14ac:dyDescent="0.35">
      <c r="A3051" s="134">
        <v>10110000</v>
      </c>
      <c r="B3051" s="84"/>
      <c r="C3051" s="85" t="str">
        <f>VLOOKUP(A3051,'DAFTAR HARGA'!A:D,3,FALSE)</f>
        <v>OH</v>
      </c>
      <c r="D3051" s="84" t="s">
        <v>418</v>
      </c>
      <c r="E3051" s="84">
        <f>VLOOKUP(A3051,'DAFTAR HARGA'!A:D,4,FALSE)</f>
        <v>150000</v>
      </c>
      <c r="F3051" s="128">
        <f>F3048/10</f>
        <v>0.04</v>
      </c>
      <c r="G3051" s="87" t="e">
        <f>VLOOKUP(A3051,'DAFTAR HARGA'!A:D,5,FALSE)</f>
        <v>#REF!</v>
      </c>
      <c r="H3051" s="87" t="e">
        <f>F3051*G3051</f>
        <v>#REF!</v>
      </c>
      <c r="I3051" s="87">
        <v>92500</v>
      </c>
      <c r="J3051" s="87">
        <f>F3051*I3051</f>
        <v>3700</v>
      </c>
      <c r="K3051" s="87">
        <v>92500</v>
      </c>
      <c r="L3051" s="87">
        <f>F3051*K3051</f>
        <v>3700</v>
      </c>
    </row>
    <row r="3052" spans="1:12" ht="12" customHeight="1" x14ac:dyDescent="0.35">
      <c r="B3052" s="84"/>
      <c r="C3052" s="85"/>
      <c r="D3052" s="84"/>
      <c r="E3052" s="84"/>
      <c r="F3052" s="86"/>
      <c r="G3052" s="87"/>
      <c r="H3052" s="87"/>
      <c r="I3052" s="87"/>
      <c r="J3052" s="87"/>
      <c r="K3052" s="87"/>
      <c r="L3052" s="87"/>
    </row>
    <row r="3053" spans="1:12" ht="12" customHeight="1" x14ac:dyDescent="0.35">
      <c r="B3053" s="84"/>
      <c r="C3053" s="88"/>
      <c r="D3053" s="79"/>
      <c r="E3053" s="79"/>
      <c r="F3053" s="89" t="s">
        <v>421</v>
      </c>
      <c r="G3053" s="101"/>
      <c r="H3053" s="87" t="e">
        <f>SUM(H3048:H3052)</f>
        <v>#REF!</v>
      </c>
      <c r="I3053" s="101"/>
      <c r="J3053" s="87">
        <f>SUM(J3051:J3052)</f>
        <v>3700</v>
      </c>
      <c r="K3053" s="101"/>
      <c r="L3053" s="87">
        <f>SUM(L3051:L3052)</f>
        <v>3700</v>
      </c>
    </row>
    <row r="3054" spans="1:12" ht="12" customHeight="1" x14ac:dyDescent="0.35">
      <c r="B3054" s="84" t="s">
        <v>6</v>
      </c>
      <c r="C3054" s="88" t="s">
        <v>422</v>
      </c>
      <c r="D3054" s="79"/>
      <c r="E3054" s="79"/>
      <c r="F3054" s="90"/>
      <c r="G3054" s="84"/>
      <c r="H3054" s="87"/>
      <c r="I3054" s="84"/>
      <c r="J3054" s="87"/>
      <c r="K3054" s="84"/>
      <c r="L3054" s="87"/>
    </row>
    <row r="3055" spans="1:12" x14ac:dyDescent="0.35">
      <c r="A3055" s="134">
        <v>21404010</v>
      </c>
      <c r="B3055" s="84"/>
      <c r="C3055" s="85" t="str">
        <f>VLOOKUP(A3055,'DAFTAR HARGA'!A:D,3,FALSE)</f>
        <v>bt</v>
      </c>
      <c r="D3055" s="84" t="s">
        <v>418</v>
      </c>
      <c r="E3055" s="84">
        <f>VLOOKUP(A3055,'DAFTAR HARGA'!A:D,4,FALSE)</f>
        <v>24700</v>
      </c>
      <c r="F3055" s="128">
        <v>0.81299999999999994</v>
      </c>
      <c r="G3055" s="87" t="e">
        <f>VLOOKUP(A3055,'DAFTAR HARGA'!A:D,5,FALSE)</f>
        <v>#REF!</v>
      </c>
      <c r="H3055" s="87" t="e">
        <f>F3055*G3055</f>
        <v>#REF!</v>
      </c>
      <c r="I3055" s="87"/>
      <c r="J3055" s="87"/>
      <c r="K3055" s="87"/>
      <c r="L3055" s="87"/>
    </row>
    <row r="3056" spans="1:12" x14ac:dyDescent="0.35">
      <c r="A3056" s="134">
        <v>21911005</v>
      </c>
      <c r="B3056" s="84"/>
      <c r="C3056" s="85" t="str">
        <f>VLOOKUP(A3056,'DAFTAR HARGA'!A:D,3,FALSE)</f>
        <v>kg</v>
      </c>
      <c r="D3056" s="84" t="s">
        <v>418</v>
      </c>
      <c r="E3056" s="84">
        <f>VLOOKUP(A3056,'DAFTAR HARGA'!A:D,4,FALSE)</f>
        <v>21200</v>
      </c>
      <c r="F3056" s="128">
        <v>0.28000000000000003</v>
      </c>
      <c r="G3056" s="87" t="e">
        <f>VLOOKUP(A3056,'DAFTAR HARGA'!A:D,5,FALSE)</f>
        <v>#REF!</v>
      </c>
      <c r="H3056" s="87" t="e">
        <f>F3056*G3056</f>
        <v>#REF!</v>
      </c>
      <c r="I3056" s="87"/>
      <c r="J3056" s="87"/>
      <c r="K3056" s="87"/>
      <c r="L3056" s="87"/>
    </row>
    <row r="3057" spans="2:12" x14ac:dyDescent="0.35">
      <c r="B3057" s="84"/>
      <c r="C3057" s="85"/>
      <c r="D3057" s="84"/>
      <c r="E3057" s="84"/>
      <c r="F3057" s="128"/>
      <c r="G3057" s="87"/>
      <c r="H3057" s="87">
        <f>F3057*G3057</f>
        <v>0</v>
      </c>
      <c r="I3057" s="87"/>
      <c r="J3057" s="87"/>
      <c r="K3057" s="87"/>
      <c r="L3057" s="87"/>
    </row>
    <row r="3058" spans="2:12" ht="12" customHeight="1" x14ac:dyDescent="0.35">
      <c r="B3058" s="84"/>
      <c r="C3058" s="88"/>
      <c r="D3058" s="79"/>
      <c r="E3058" s="79"/>
      <c r="F3058" s="129" t="s">
        <v>423</v>
      </c>
      <c r="G3058" s="129"/>
      <c r="H3058" s="87" t="e">
        <f>SUM(H3055:H3057)</f>
        <v>#REF!</v>
      </c>
      <c r="I3058" s="101"/>
      <c r="J3058" s="87" t="e">
        <f>SUM(#REF!)</f>
        <v>#REF!</v>
      </c>
      <c r="K3058" s="101"/>
      <c r="L3058" s="87" t="e">
        <f>SUM(#REF!)</f>
        <v>#REF!</v>
      </c>
    </row>
    <row r="3059" spans="2:12" ht="12" customHeight="1" x14ac:dyDescent="0.35">
      <c r="B3059" s="84" t="s">
        <v>7</v>
      </c>
      <c r="C3059" s="88" t="s">
        <v>424</v>
      </c>
      <c r="D3059" s="79"/>
      <c r="E3059" s="79"/>
      <c r="F3059" s="90"/>
      <c r="G3059" s="84"/>
      <c r="H3059" s="87"/>
      <c r="I3059" s="84"/>
      <c r="J3059" s="87"/>
      <c r="K3059" s="84"/>
      <c r="L3059" s="87"/>
    </row>
    <row r="3060" spans="2:12" ht="12" customHeight="1" x14ac:dyDescent="0.35">
      <c r="B3060" s="84"/>
      <c r="C3060" s="85"/>
      <c r="D3060" s="84"/>
      <c r="E3060" s="84"/>
      <c r="F3060" s="128"/>
      <c r="G3060" s="87"/>
      <c r="H3060" s="87">
        <f>F3060*G3060</f>
        <v>0</v>
      </c>
      <c r="I3060" s="87"/>
      <c r="J3060" s="87">
        <f>H3060*I3060</f>
        <v>0</v>
      </c>
      <c r="K3060" s="87"/>
      <c r="L3060" s="87">
        <f>J3060*K3060</f>
        <v>0</v>
      </c>
    </row>
    <row r="3061" spans="2:12" ht="12" customHeight="1" x14ac:dyDescent="0.35">
      <c r="B3061" s="84"/>
      <c r="C3061" s="85"/>
      <c r="D3061" s="84"/>
      <c r="E3061" s="84"/>
      <c r="F3061" s="128"/>
      <c r="G3061" s="87"/>
      <c r="H3061" s="87">
        <f>F3061*G3061</f>
        <v>0</v>
      </c>
      <c r="I3061" s="87"/>
      <c r="J3061" s="87"/>
      <c r="K3061" s="87"/>
      <c r="L3061" s="87"/>
    </row>
    <row r="3062" spans="2:12" ht="12" customHeight="1" x14ac:dyDescent="0.35">
      <c r="B3062" s="84"/>
      <c r="C3062" s="85"/>
      <c r="D3062" s="84"/>
      <c r="E3062" s="84"/>
      <c r="F3062" s="128"/>
      <c r="G3062" s="87"/>
      <c r="H3062" s="87">
        <f>F3062*G3062</f>
        <v>0</v>
      </c>
      <c r="I3062" s="87"/>
      <c r="J3062" s="87"/>
      <c r="K3062" s="87"/>
      <c r="L3062" s="87"/>
    </row>
    <row r="3063" spans="2:12" ht="12" customHeight="1" x14ac:dyDescent="0.35">
      <c r="B3063" s="84"/>
      <c r="C3063" s="88"/>
      <c r="D3063" s="79"/>
      <c r="E3063" s="79"/>
      <c r="F3063" s="89" t="s">
        <v>425</v>
      </c>
      <c r="G3063" s="101"/>
      <c r="H3063" s="87">
        <f>SUM(H3060:H3062)</f>
        <v>0</v>
      </c>
      <c r="I3063" s="101"/>
      <c r="J3063" s="87">
        <f>SUM(J3060)</f>
        <v>0</v>
      </c>
      <c r="K3063" s="101"/>
      <c r="L3063" s="87">
        <f>SUM(L3060)</f>
        <v>0</v>
      </c>
    </row>
    <row r="3064" spans="2:12" ht="12" customHeight="1" x14ac:dyDescent="0.35">
      <c r="B3064" s="84" t="s">
        <v>8</v>
      </c>
      <c r="C3064" s="103" t="s">
        <v>426</v>
      </c>
      <c r="D3064" s="104"/>
      <c r="E3064" s="104"/>
      <c r="F3064" s="104"/>
      <c r="G3064" s="105"/>
      <c r="H3064" s="87" t="e">
        <f>H3053+H3058+H3063</f>
        <v>#REF!</v>
      </c>
      <c r="I3064" s="105"/>
      <c r="J3064" s="87" t="e">
        <f>J3053+J3058+J3063</f>
        <v>#REF!</v>
      </c>
      <c r="K3064" s="105"/>
      <c r="L3064" s="87" t="e">
        <f>L3053+L3058+L3063</f>
        <v>#REF!</v>
      </c>
    </row>
    <row r="3065" spans="2:12" ht="12" customHeight="1" x14ac:dyDescent="0.35">
      <c r="B3065" s="84" t="s">
        <v>9</v>
      </c>
      <c r="C3065" s="455" t="s">
        <v>427</v>
      </c>
      <c r="D3065" s="455"/>
      <c r="E3065" s="455"/>
      <c r="F3065" s="95" t="str">
        <f>OP</f>
        <v>TANJUNG PALAS TENGAH</v>
      </c>
      <c r="G3065" s="85" t="s">
        <v>428</v>
      </c>
      <c r="H3065" s="87" t="e">
        <f>H3064*F3065</f>
        <v>#REF!</v>
      </c>
      <c r="I3065" s="85" t="s">
        <v>428</v>
      </c>
      <c r="J3065" s="87" t="e">
        <f>J3064*F3065</f>
        <v>#REF!</v>
      </c>
      <c r="K3065" s="85" t="s">
        <v>428</v>
      </c>
      <c r="L3065" s="87" t="e">
        <f>L3064*F3065</f>
        <v>#REF!</v>
      </c>
    </row>
    <row r="3066" spans="2:12" ht="12" customHeight="1" x14ac:dyDescent="0.35">
      <c r="B3066" s="84" t="s">
        <v>10</v>
      </c>
      <c r="C3066" s="103" t="s">
        <v>429</v>
      </c>
      <c r="D3066" s="104"/>
      <c r="E3066" s="104"/>
      <c r="F3066" s="104"/>
      <c r="G3066" s="105"/>
      <c r="H3066" s="96" t="e">
        <f>H3064+H3065</f>
        <v>#REF!</v>
      </c>
      <c r="I3066" s="97"/>
      <c r="J3066" s="96" t="e">
        <f>J3064+J3065</f>
        <v>#REF!</v>
      </c>
      <c r="K3066" s="97"/>
      <c r="L3066" s="96" t="e">
        <f>L3064+L3065</f>
        <v>#REF!</v>
      </c>
    </row>
    <row r="3067" spans="2:12" x14ac:dyDescent="0.35">
      <c r="B3067" s="75" t="s">
        <v>806</v>
      </c>
    </row>
    <row r="3068" spans="2:12" ht="14" customHeight="1" x14ac:dyDescent="0.35"/>
    <row r="3069" spans="2:12" ht="37" customHeight="1" x14ac:dyDescent="0.35">
      <c r="B3069" s="76" t="s">
        <v>824</v>
      </c>
      <c r="C3069" s="458" t="s">
        <v>822</v>
      </c>
      <c r="D3069" s="459"/>
      <c r="E3069" s="459"/>
      <c r="F3069" s="459"/>
      <c r="G3069" s="456"/>
      <c r="H3069" s="457"/>
      <c r="I3069" s="455" t="s">
        <v>3</v>
      </c>
      <c r="J3069" s="455"/>
      <c r="K3069" s="455" t="s">
        <v>4</v>
      </c>
      <c r="L3069" s="455"/>
    </row>
    <row r="3070" spans="2:12" ht="12" customHeight="1" x14ac:dyDescent="0.35">
      <c r="B3070" s="451" t="s">
        <v>409</v>
      </c>
      <c r="C3070" s="451" t="s">
        <v>410</v>
      </c>
      <c r="D3070" s="452" t="s">
        <v>411</v>
      </c>
      <c r="E3070" s="451" t="s">
        <v>412</v>
      </c>
      <c r="F3070" s="451" t="s">
        <v>413</v>
      </c>
      <c r="G3070" s="77" t="s">
        <v>414</v>
      </c>
      <c r="H3070" s="77" t="s">
        <v>415</v>
      </c>
      <c r="I3070" s="78" t="s">
        <v>414</v>
      </c>
      <c r="J3070" s="79" t="s">
        <v>415</v>
      </c>
      <c r="K3070" s="79" t="s">
        <v>414</v>
      </c>
      <c r="L3070" s="79" t="s">
        <v>415</v>
      </c>
    </row>
    <row r="3071" spans="2:12" ht="12" customHeight="1" x14ac:dyDescent="0.35">
      <c r="B3071" s="451"/>
      <c r="C3071" s="451"/>
      <c r="D3071" s="453"/>
      <c r="E3071" s="451"/>
      <c r="F3071" s="451"/>
      <c r="G3071" s="77" t="s">
        <v>17</v>
      </c>
      <c r="H3071" s="77" t="s">
        <v>416</v>
      </c>
      <c r="I3071" s="78" t="s">
        <v>17</v>
      </c>
      <c r="J3071" s="79" t="s">
        <v>416</v>
      </c>
      <c r="K3071" s="79" t="s">
        <v>17</v>
      </c>
      <c r="L3071" s="79" t="s">
        <v>416</v>
      </c>
    </row>
    <row r="3072" spans="2:12" ht="12" customHeight="1" x14ac:dyDescent="0.35">
      <c r="B3072" s="451"/>
      <c r="C3072" s="451"/>
      <c r="D3072" s="454"/>
      <c r="E3072" s="451"/>
      <c r="F3072" s="451"/>
      <c r="G3072" s="106"/>
      <c r="H3072" s="77" t="s">
        <v>17</v>
      </c>
      <c r="I3072" s="94"/>
      <c r="J3072" s="79" t="s">
        <v>17</v>
      </c>
      <c r="K3072" s="85"/>
      <c r="L3072" s="79" t="s">
        <v>17</v>
      </c>
    </row>
    <row r="3073" spans="1:12" ht="12" customHeight="1" x14ac:dyDescent="0.35">
      <c r="B3073" s="80" t="s">
        <v>5</v>
      </c>
      <c r="C3073" s="81" t="s">
        <v>417</v>
      </c>
      <c r="D3073" s="82"/>
      <c r="E3073" s="82"/>
      <c r="F3073" s="82"/>
      <c r="G3073" s="82"/>
      <c r="H3073" s="82"/>
      <c r="I3073" s="83"/>
      <c r="J3073" s="83"/>
      <c r="K3073" s="83"/>
      <c r="L3073" s="83"/>
    </row>
    <row r="3074" spans="1:12" ht="12" customHeight="1" x14ac:dyDescent="0.35">
      <c r="A3074" s="134">
        <v>10130000</v>
      </c>
      <c r="B3074" s="84"/>
      <c r="C3074" s="85" t="str">
        <f>VLOOKUP(A3074,'DAFTAR HARGA'!A:D,3,FALSE)</f>
        <v>OH</v>
      </c>
      <c r="D3074" s="84" t="s">
        <v>418</v>
      </c>
      <c r="E3074" s="84">
        <f>VLOOKUP(A3074,'DAFTAR HARGA'!A:D,4,FALSE)</f>
        <v>115000</v>
      </c>
      <c r="F3074" s="128">
        <v>0.38</v>
      </c>
      <c r="G3074" s="87" t="e">
        <f>VLOOKUP(A3074,'DAFTAR HARGA'!A:D,5,FALSE)</f>
        <v>#REF!</v>
      </c>
      <c r="H3074" s="87" t="e">
        <f>F3074*G3074</f>
        <v>#REF!</v>
      </c>
      <c r="I3074" s="87">
        <v>91500</v>
      </c>
      <c r="J3074" s="87">
        <f>F3074*I3074</f>
        <v>34770</v>
      </c>
      <c r="K3074" s="87">
        <v>91500</v>
      </c>
      <c r="L3074" s="87">
        <f>F3074*K3074</f>
        <v>34770</v>
      </c>
    </row>
    <row r="3075" spans="1:12" ht="12" customHeight="1" x14ac:dyDescent="0.35">
      <c r="A3075" s="134">
        <v>10142000</v>
      </c>
      <c r="B3075" s="84"/>
      <c r="C3075" s="85" t="str">
        <f>VLOOKUP(A3075,'DAFTAR HARGA'!A:D,3,FALSE)</f>
        <v>OH</v>
      </c>
      <c r="D3075" s="84" t="s">
        <v>418</v>
      </c>
      <c r="E3075" s="84">
        <f>VLOOKUP(A3075,'DAFTAR HARGA'!A:D,4,FALSE)</f>
        <v>236600</v>
      </c>
      <c r="F3075" s="128">
        <v>0.19</v>
      </c>
      <c r="G3075" s="87" t="e">
        <f>VLOOKUP(A3075,'DAFTAR HARGA'!A:D,5,FALSE)</f>
        <v>#REF!</v>
      </c>
      <c r="H3075" s="87" t="e">
        <f>F3075*G3075</f>
        <v>#REF!</v>
      </c>
      <c r="I3075" s="87"/>
      <c r="J3075" s="87"/>
      <c r="K3075" s="87"/>
      <c r="L3075" s="87"/>
    </row>
    <row r="3076" spans="1:12" ht="12" customHeight="1" x14ac:dyDescent="0.35">
      <c r="A3076" s="134">
        <v>10120000</v>
      </c>
      <c r="B3076" s="84"/>
      <c r="C3076" s="85" t="str">
        <f>VLOOKUP(A3076,'DAFTAR HARGA'!A:D,3,FALSE)</f>
        <v>OH</v>
      </c>
      <c r="D3076" s="84" t="s">
        <v>418</v>
      </c>
      <c r="E3076" s="84">
        <f>VLOOKUP(A3076,'DAFTAR HARGA'!A:D,4,FALSE)</f>
        <v>130000</v>
      </c>
      <c r="F3076" s="128">
        <f>F3075/10</f>
        <v>1.9E-2</v>
      </c>
      <c r="G3076" s="87" t="e">
        <f>VLOOKUP(A3076,'DAFTAR HARGA'!A:D,5,FALSE)</f>
        <v>#REF!</v>
      </c>
      <c r="H3076" s="87" t="e">
        <f>F3076*G3076</f>
        <v>#REF!</v>
      </c>
      <c r="I3076" s="87"/>
      <c r="J3076" s="87"/>
      <c r="K3076" s="87"/>
      <c r="L3076" s="87"/>
    </row>
    <row r="3077" spans="1:12" ht="12" customHeight="1" x14ac:dyDescent="0.35">
      <c r="A3077" s="134">
        <v>10110000</v>
      </c>
      <c r="B3077" s="84"/>
      <c r="C3077" s="85" t="str">
        <f>VLOOKUP(A3077,'DAFTAR HARGA'!A:D,3,FALSE)</f>
        <v>OH</v>
      </c>
      <c r="D3077" s="84" t="s">
        <v>418</v>
      </c>
      <c r="E3077" s="84">
        <f>VLOOKUP(A3077,'DAFTAR HARGA'!A:D,4,FALSE)</f>
        <v>150000</v>
      </c>
      <c r="F3077" s="128">
        <f>F3074/10</f>
        <v>3.7999999999999999E-2</v>
      </c>
      <c r="G3077" s="87" t="e">
        <f>VLOOKUP(A3077,'DAFTAR HARGA'!A:D,5,FALSE)</f>
        <v>#REF!</v>
      </c>
      <c r="H3077" s="87" t="e">
        <f>F3077*G3077</f>
        <v>#REF!</v>
      </c>
      <c r="I3077" s="87">
        <v>92500</v>
      </c>
      <c r="J3077" s="87">
        <f>F3077*I3077</f>
        <v>3515</v>
      </c>
      <c r="K3077" s="87">
        <v>92500</v>
      </c>
      <c r="L3077" s="87">
        <f>F3077*K3077</f>
        <v>3515</v>
      </c>
    </row>
    <row r="3078" spans="1:12" ht="12" customHeight="1" x14ac:dyDescent="0.35">
      <c r="B3078" s="84"/>
      <c r="C3078" s="85"/>
      <c r="D3078" s="84"/>
      <c r="E3078" s="84"/>
      <c r="F3078" s="86"/>
      <c r="G3078" s="87"/>
      <c r="H3078" s="87"/>
      <c r="I3078" s="87"/>
      <c r="J3078" s="87"/>
      <c r="K3078" s="87"/>
      <c r="L3078" s="87"/>
    </row>
    <row r="3079" spans="1:12" ht="12" customHeight="1" x14ac:dyDescent="0.35">
      <c r="B3079" s="84"/>
      <c r="C3079" s="88"/>
      <c r="D3079" s="79"/>
      <c r="E3079" s="79"/>
      <c r="F3079" s="89" t="s">
        <v>421</v>
      </c>
      <c r="G3079" s="101"/>
      <c r="H3079" s="87" t="e">
        <f>SUM(H3074:H3078)</f>
        <v>#REF!</v>
      </c>
      <c r="I3079" s="101"/>
      <c r="J3079" s="87">
        <f>SUM(J3077:J3078)</f>
        <v>3515</v>
      </c>
      <c r="K3079" s="101"/>
      <c r="L3079" s="87">
        <f>SUM(L3077:L3078)</f>
        <v>3515</v>
      </c>
    </row>
    <row r="3080" spans="1:12" ht="12" customHeight="1" x14ac:dyDescent="0.35">
      <c r="B3080" s="84" t="s">
        <v>6</v>
      </c>
      <c r="C3080" s="88" t="s">
        <v>422</v>
      </c>
      <c r="D3080" s="79"/>
      <c r="E3080" s="79"/>
      <c r="F3080" s="90"/>
      <c r="G3080" s="84"/>
      <c r="H3080" s="87"/>
      <c r="I3080" s="84"/>
      <c r="J3080" s="87"/>
      <c r="K3080" s="84"/>
      <c r="L3080" s="87"/>
    </row>
    <row r="3081" spans="1:12" x14ac:dyDescent="0.35">
      <c r="A3081" s="134">
        <v>21403008</v>
      </c>
      <c r="B3081" s="84"/>
      <c r="C3081" s="85" t="str">
        <f>VLOOKUP(A3081,'DAFTAR HARGA'!A:D,3,FALSE)</f>
        <v>bt</v>
      </c>
      <c r="D3081" s="84" t="s">
        <v>418</v>
      </c>
      <c r="E3081" s="84">
        <f>VLOOKUP(A3081,'DAFTAR HARGA'!A:D,4,FALSE)</f>
        <v>20800</v>
      </c>
      <c r="F3081" s="128">
        <v>1</v>
      </c>
      <c r="G3081" s="87" t="e">
        <f>VLOOKUP(A3081,'DAFTAR HARGA'!A:D,5,FALSE)</f>
        <v>#REF!</v>
      </c>
      <c r="H3081" s="87" t="e">
        <f>F3081*G3081</f>
        <v>#REF!</v>
      </c>
      <c r="I3081" s="87"/>
      <c r="J3081" s="87"/>
      <c r="K3081" s="87"/>
      <c r="L3081" s="87"/>
    </row>
    <row r="3082" spans="1:12" x14ac:dyDescent="0.35">
      <c r="A3082" s="134">
        <v>21911005</v>
      </c>
      <c r="B3082" s="84"/>
      <c r="C3082" s="85" t="str">
        <f>VLOOKUP(A3082,'DAFTAR HARGA'!A:D,3,FALSE)</f>
        <v>kg</v>
      </c>
      <c r="D3082" s="84" t="s">
        <v>418</v>
      </c>
      <c r="E3082" s="84">
        <f>VLOOKUP(A3082,'DAFTAR HARGA'!A:D,4,FALSE)</f>
        <v>21200</v>
      </c>
      <c r="F3082" s="128">
        <v>0.28000000000000003</v>
      </c>
      <c r="G3082" s="87" t="e">
        <f>VLOOKUP(A3082,'DAFTAR HARGA'!A:D,5,FALSE)</f>
        <v>#REF!</v>
      </c>
      <c r="H3082" s="87" t="e">
        <f>F3082*G3082</f>
        <v>#REF!</v>
      </c>
      <c r="I3082" s="87"/>
      <c r="J3082" s="87"/>
      <c r="K3082" s="87"/>
      <c r="L3082" s="87"/>
    </row>
    <row r="3083" spans="1:12" x14ac:dyDescent="0.35">
      <c r="A3083" s="134">
        <v>24100000</v>
      </c>
      <c r="B3083" s="84"/>
      <c r="C3083" s="85" t="str">
        <f>VLOOKUP(A3083,'DAFTAR HARGA'!A:D,3,FALSE)</f>
        <v>kg</v>
      </c>
      <c r="D3083" s="84" t="s">
        <v>418</v>
      </c>
      <c r="E3083" s="84">
        <f>VLOOKUP(A3083,'DAFTAR HARGA'!A:D,4,FALSE)</f>
        <v>6500</v>
      </c>
      <c r="F3083" s="128">
        <v>0.3</v>
      </c>
      <c r="G3083" s="87" t="e">
        <f>VLOOKUP(A3083,'DAFTAR HARGA'!A:D,5,FALSE)</f>
        <v>#REF!</v>
      </c>
      <c r="H3083" s="87" t="e">
        <f>F3083*G3083</f>
        <v>#REF!</v>
      </c>
      <c r="I3083" s="87"/>
      <c r="J3083" s="87"/>
      <c r="K3083" s="87"/>
      <c r="L3083" s="87"/>
    </row>
    <row r="3084" spans="1:12" ht="12" customHeight="1" x14ac:dyDescent="0.35">
      <c r="B3084" s="84"/>
      <c r="C3084" s="88"/>
      <c r="D3084" s="79"/>
      <c r="E3084" s="79"/>
      <c r="F3084" s="129" t="s">
        <v>423</v>
      </c>
      <c r="G3084" s="129"/>
      <c r="H3084" s="87" t="e">
        <f>SUM(H3081:H3083)</f>
        <v>#REF!</v>
      </c>
      <c r="I3084" s="101"/>
      <c r="J3084" s="87" t="e">
        <f>SUM(#REF!)</f>
        <v>#REF!</v>
      </c>
      <c r="K3084" s="101"/>
      <c r="L3084" s="87" t="e">
        <f>SUM(#REF!)</f>
        <v>#REF!</v>
      </c>
    </row>
    <row r="3085" spans="1:12" ht="12" customHeight="1" x14ac:dyDescent="0.35">
      <c r="B3085" s="84" t="s">
        <v>7</v>
      </c>
      <c r="C3085" s="88" t="s">
        <v>424</v>
      </c>
      <c r="D3085" s="79"/>
      <c r="E3085" s="79"/>
      <c r="F3085" s="90"/>
      <c r="G3085" s="84"/>
      <c r="H3085" s="87"/>
      <c r="I3085" s="84"/>
      <c r="J3085" s="87"/>
      <c r="K3085" s="84"/>
      <c r="L3085" s="87"/>
    </row>
    <row r="3086" spans="1:12" ht="12" customHeight="1" x14ac:dyDescent="0.35">
      <c r="B3086" s="84"/>
      <c r="C3086" s="85"/>
      <c r="D3086" s="84"/>
      <c r="E3086" s="84"/>
      <c r="F3086" s="128"/>
      <c r="G3086" s="87"/>
      <c r="H3086" s="87">
        <f>F3086*G3086</f>
        <v>0</v>
      </c>
      <c r="I3086" s="87"/>
      <c r="J3086" s="87">
        <f>H3086*I3086</f>
        <v>0</v>
      </c>
      <c r="K3086" s="87"/>
      <c r="L3086" s="87">
        <f>J3086*K3086</f>
        <v>0</v>
      </c>
    </row>
    <row r="3087" spans="1:12" ht="12" customHeight="1" x14ac:dyDescent="0.35">
      <c r="B3087" s="84"/>
      <c r="C3087" s="85"/>
      <c r="D3087" s="84"/>
      <c r="E3087" s="84"/>
      <c r="F3087" s="128"/>
      <c r="G3087" s="87"/>
      <c r="H3087" s="87">
        <f>F3087*G3087</f>
        <v>0</v>
      </c>
      <c r="I3087" s="87"/>
      <c r="J3087" s="87"/>
      <c r="K3087" s="87"/>
      <c r="L3087" s="87"/>
    </row>
    <row r="3088" spans="1:12" ht="12" customHeight="1" x14ac:dyDescent="0.35">
      <c r="B3088" s="84"/>
      <c r="C3088" s="85"/>
      <c r="D3088" s="84"/>
      <c r="E3088" s="84"/>
      <c r="F3088" s="128"/>
      <c r="G3088" s="87"/>
      <c r="H3088" s="87">
        <f>F3088*G3088</f>
        <v>0</v>
      </c>
      <c r="I3088" s="87"/>
      <c r="J3088" s="87"/>
      <c r="K3088" s="87"/>
      <c r="L3088" s="87"/>
    </row>
    <row r="3089" spans="1:12" ht="12" customHeight="1" x14ac:dyDescent="0.35">
      <c r="B3089" s="84"/>
      <c r="C3089" s="88"/>
      <c r="D3089" s="79"/>
      <c r="E3089" s="79"/>
      <c r="F3089" s="89" t="s">
        <v>425</v>
      </c>
      <c r="G3089" s="101"/>
      <c r="H3089" s="87">
        <f>SUM(H3086:H3088)</f>
        <v>0</v>
      </c>
      <c r="I3089" s="101"/>
      <c r="J3089" s="87">
        <f>SUM(J3086)</f>
        <v>0</v>
      </c>
      <c r="K3089" s="101"/>
      <c r="L3089" s="87">
        <f>SUM(L3086)</f>
        <v>0</v>
      </c>
    </row>
    <row r="3090" spans="1:12" ht="12" customHeight="1" x14ac:dyDescent="0.35">
      <c r="B3090" s="84" t="s">
        <v>8</v>
      </c>
      <c r="C3090" s="103" t="s">
        <v>426</v>
      </c>
      <c r="D3090" s="104"/>
      <c r="E3090" s="104"/>
      <c r="F3090" s="104"/>
      <c r="G3090" s="105"/>
      <c r="H3090" s="87" t="e">
        <f>H3079+H3084+H3089</f>
        <v>#REF!</v>
      </c>
      <c r="I3090" s="105"/>
      <c r="J3090" s="87" t="e">
        <f>J3079+J3084+J3089</f>
        <v>#REF!</v>
      </c>
      <c r="K3090" s="105"/>
      <c r="L3090" s="87" t="e">
        <f>L3079+L3084+L3089</f>
        <v>#REF!</v>
      </c>
    </row>
    <row r="3091" spans="1:12" ht="12" customHeight="1" x14ac:dyDescent="0.35">
      <c r="B3091" s="84" t="s">
        <v>9</v>
      </c>
      <c r="C3091" s="455" t="s">
        <v>427</v>
      </c>
      <c r="D3091" s="455"/>
      <c r="E3091" s="455"/>
      <c r="F3091" s="95" t="str">
        <f>OP</f>
        <v>TANJUNG PALAS TENGAH</v>
      </c>
      <c r="G3091" s="85" t="s">
        <v>428</v>
      </c>
      <c r="H3091" s="87" t="e">
        <f>H3090*F3091</f>
        <v>#REF!</v>
      </c>
      <c r="I3091" s="85" t="s">
        <v>428</v>
      </c>
      <c r="J3091" s="87" t="e">
        <f>J3090*F3091</f>
        <v>#REF!</v>
      </c>
      <c r="K3091" s="85" t="s">
        <v>428</v>
      </c>
      <c r="L3091" s="87" t="e">
        <f>L3090*F3091</f>
        <v>#REF!</v>
      </c>
    </row>
    <row r="3092" spans="1:12" ht="12" customHeight="1" x14ac:dyDescent="0.35">
      <c r="B3092" s="84" t="s">
        <v>10</v>
      </c>
      <c r="C3092" s="103" t="s">
        <v>429</v>
      </c>
      <c r="D3092" s="104"/>
      <c r="E3092" s="104"/>
      <c r="F3092" s="104"/>
      <c r="G3092" s="105"/>
      <c r="H3092" s="96" t="e">
        <f>H3090+H3091</f>
        <v>#REF!</v>
      </c>
      <c r="I3092" s="97"/>
      <c r="J3092" s="96" t="e">
        <f>J3090+J3091</f>
        <v>#REF!</v>
      </c>
      <c r="K3092" s="97"/>
      <c r="L3092" s="96" t="e">
        <f>L3090+L3091</f>
        <v>#REF!</v>
      </c>
    </row>
    <row r="3093" spans="1:12" x14ac:dyDescent="0.35">
      <c r="B3093" s="75" t="s">
        <v>806</v>
      </c>
    </row>
    <row r="3094" spans="1:12" ht="14" customHeight="1" x14ac:dyDescent="0.35"/>
    <row r="3095" spans="1:12" ht="37" customHeight="1" x14ac:dyDescent="0.35">
      <c r="B3095" s="76" t="s">
        <v>825</v>
      </c>
      <c r="C3095" s="458" t="s">
        <v>826</v>
      </c>
      <c r="D3095" s="459"/>
      <c r="E3095" s="459"/>
      <c r="F3095" s="459"/>
      <c r="G3095" s="456"/>
      <c r="H3095" s="457"/>
      <c r="I3095" s="455" t="s">
        <v>3</v>
      </c>
      <c r="J3095" s="455"/>
      <c r="K3095" s="455" t="s">
        <v>4</v>
      </c>
      <c r="L3095" s="455"/>
    </row>
    <row r="3096" spans="1:12" ht="12" customHeight="1" x14ac:dyDescent="0.35">
      <c r="B3096" s="451" t="s">
        <v>409</v>
      </c>
      <c r="C3096" s="451" t="s">
        <v>410</v>
      </c>
      <c r="D3096" s="452" t="s">
        <v>411</v>
      </c>
      <c r="E3096" s="451" t="s">
        <v>412</v>
      </c>
      <c r="F3096" s="451" t="s">
        <v>413</v>
      </c>
      <c r="G3096" s="77" t="s">
        <v>414</v>
      </c>
      <c r="H3096" s="77" t="s">
        <v>415</v>
      </c>
      <c r="I3096" s="78" t="s">
        <v>414</v>
      </c>
      <c r="J3096" s="79" t="s">
        <v>415</v>
      </c>
      <c r="K3096" s="79" t="s">
        <v>414</v>
      </c>
      <c r="L3096" s="79" t="s">
        <v>415</v>
      </c>
    </row>
    <row r="3097" spans="1:12" ht="12" customHeight="1" x14ac:dyDescent="0.35">
      <c r="B3097" s="451"/>
      <c r="C3097" s="451"/>
      <c r="D3097" s="453"/>
      <c r="E3097" s="451"/>
      <c r="F3097" s="451"/>
      <c r="G3097" s="77" t="s">
        <v>17</v>
      </c>
      <c r="H3097" s="77" t="s">
        <v>416</v>
      </c>
      <c r="I3097" s="78" t="s">
        <v>17</v>
      </c>
      <c r="J3097" s="79" t="s">
        <v>416</v>
      </c>
      <c r="K3097" s="79" t="s">
        <v>17</v>
      </c>
      <c r="L3097" s="79" t="s">
        <v>416</v>
      </c>
    </row>
    <row r="3098" spans="1:12" ht="12" customHeight="1" x14ac:dyDescent="0.35">
      <c r="B3098" s="451"/>
      <c r="C3098" s="451"/>
      <c r="D3098" s="454"/>
      <c r="E3098" s="451"/>
      <c r="F3098" s="451"/>
      <c r="G3098" s="106"/>
      <c r="H3098" s="77" t="s">
        <v>17</v>
      </c>
      <c r="I3098" s="94"/>
      <c r="J3098" s="79" t="s">
        <v>17</v>
      </c>
      <c r="K3098" s="85"/>
      <c r="L3098" s="79" t="s">
        <v>17</v>
      </c>
    </row>
    <row r="3099" spans="1:12" ht="12" customHeight="1" x14ac:dyDescent="0.35">
      <c r="B3099" s="80" t="s">
        <v>5</v>
      </c>
      <c r="C3099" s="81" t="s">
        <v>417</v>
      </c>
      <c r="D3099" s="82"/>
      <c r="E3099" s="82"/>
      <c r="F3099" s="82"/>
      <c r="G3099" s="82"/>
      <c r="H3099" s="82"/>
      <c r="I3099" s="83"/>
      <c r="J3099" s="83"/>
      <c r="K3099" s="83"/>
      <c r="L3099" s="83"/>
    </row>
    <row r="3100" spans="1:12" ht="12" customHeight="1" x14ac:dyDescent="0.35">
      <c r="A3100" s="134">
        <v>10130000</v>
      </c>
      <c r="B3100" s="84"/>
      <c r="C3100" s="85" t="str">
        <f>VLOOKUP(A3100,'DAFTAR HARGA'!A:D,3,FALSE)</f>
        <v>OH</v>
      </c>
      <c r="D3100" s="84" t="s">
        <v>418</v>
      </c>
      <c r="E3100" s="84">
        <f>VLOOKUP(A3100,'DAFTAR HARGA'!A:D,4,FALSE)</f>
        <v>115000</v>
      </c>
      <c r="F3100" s="128">
        <v>0.22</v>
      </c>
      <c r="G3100" s="87" t="e">
        <f>VLOOKUP(A3100,'DAFTAR HARGA'!A:D,5,FALSE)</f>
        <v>#REF!</v>
      </c>
      <c r="H3100" s="87" t="e">
        <f>F3100*G3100</f>
        <v>#REF!</v>
      </c>
      <c r="I3100" s="87">
        <v>91500</v>
      </c>
      <c r="J3100" s="87">
        <f>F3100*I3100</f>
        <v>20130</v>
      </c>
      <c r="K3100" s="87">
        <v>91500</v>
      </c>
      <c r="L3100" s="87">
        <f>F3100*K3100</f>
        <v>20130</v>
      </c>
    </row>
    <row r="3101" spans="1:12" ht="12" customHeight="1" x14ac:dyDescent="0.35">
      <c r="A3101" s="134">
        <v>10142000</v>
      </c>
      <c r="B3101" s="84"/>
      <c r="C3101" s="85" t="str">
        <f>VLOOKUP(A3101,'DAFTAR HARGA'!A:D,3,FALSE)</f>
        <v>OH</v>
      </c>
      <c r="D3101" s="84" t="s">
        <v>418</v>
      </c>
      <c r="E3101" s="84">
        <f>VLOOKUP(A3101,'DAFTAR HARGA'!A:D,4,FALSE)</f>
        <v>236600</v>
      </c>
      <c r="F3101" s="128">
        <v>0.11</v>
      </c>
      <c r="G3101" s="87" t="e">
        <f>VLOOKUP(A3101,'DAFTAR HARGA'!A:D,5,FALSE)</f>
        <v>#REF!</v>
      </c>
      <c r="H3101" s="87" t="e">
        <f>F3101*G3101</f>
        <v>#REF!</v>
      </c>
      <c r="I3101" s="87"/>
      <c r="J3101" s="87"/>
      <c r="K3101" s="87"/>
      <c r="L3101" s="87"/>
    </row>
    <row r="3102" spans="1:12" ht="12" customHeight="1" x14ac:dyDescent="0.35">
      <c r="A3102" s="134">
        <v>10120000</v>
      </c>
      <c r="B3102" s="84"/>
      <c r="C3102" s="85" t="str">
        <f>VLOOKUP(A3102,'DAFTAR HARGA'!A:D,3,FALSE)</f>
        <v>OH</v>
      </c>
      <c r="D3102" s="84" t="s">
        <v>418</v>
      </c>
      <c r="E3102" s="84">
        <f>VLOOKUP(A3102,'DAFTAR HARGA'!A:D,4,FALSE)</f>
        <v>130000</v>
      </c>
      <c r="F3102" s="128">
        <f>F3101/10</f>
        <v>1.0999999999999999E-2</v>
      </c>
      <c r="G3102" s="87" t="e">
        <f>VLOOKUP(A3102,'DAFTAR HARGA'!A:D,5,FALSE)</f>
        <v>#REF!</v>
      </c>
      <c r="H3102" s="87" t="e">
        <f>F3102*G3102</f>
        <v>#REF!</v>
      </c>
      <c r="I3102" s="87"/>
      <c r="J3102" s="87"/>
      <c r="K3102" s="87"/>
      <c r="L3102" s="87"/>
    </row>
    <row r="3103" spans="1:12" ht="12" customHeight="1" x14ac:dyDescent="0.35">
      <c r="A3103" s="134">
        <v>10110000</v>
      </c>
      <c r="B3103" s="84"/>
      <c r="C3103" s="85" t="str">
        <f>VLOOKUP(A3103,'DAFTAR HARGA'!A:D,3,FALSE)</f>
        <v>OH</v>
      </c>
      <c r="D3103" s="84" t="s">
        <v>418</v>
      </c>
      <c r="E3103" s="84">
        <f>VLOOKUP(A3103,'DAFTAR HARGA'!A:D,4,FALSE)</f>
        <v>150000</v>
      </c>
      <c r="F3103" s="128">
        <f>F3100/10</f>
        <v>2.1999999999999999E-2</v>
      </c>
      <c r="G3103" s="87" t="e">
        <f>VLOOKUP(A3103,'DAFTAR HARGA'!A:D,5,FALSE)</f>
        <v>#REF!</v>
      </c>
      <c r="H3103" s="87" t="e">
        <f>F3103*G3103</f>
        <v>#REF!</v>
      </c>
      <c r="I3103" s="87">
        <v>92500</v>
      </c>
      <c r="J3103" s="87">
        <f>F3103*I3103</f>
        <v>2034.9999999999998</v>
      </c>
      <c r="K3103" s="87">
        <v>92500</v>
      </c>
      <c r="L3103" s="87">
        <f>F3103*K3103</f>
        <v>2034.9999999999998</v>
      </c>
    </row>
    <row r="3104" spans="1:12" ht="12" customHeight="1" x14ac:dyDescent="0.35">
      <c r="B3104" s="84"/>
      <c r="C3104" s="85"/>
      <c r="D3104" s="84"/>
      <c r="E3104" s="84"/>
      <c r="F3104" s="86"/>
      <c r="G3104" s="87"/>
      <c r="H3104" s="87"/>
      <c r="I3104" s="87"/>
      <c r="J3104" s="87"/>
      <c r="K3104" s="87"/>
      <c r="L3104" s="87"/>
    </row>
    <row r="3105" spans="1:12" ht="12" customHeight="1" x14ac:dyDescent="0.35">
      <c r="B3105" s="84"/>
      <c r="C3105" s="88"/>
      <c r="D3105" s="79"/>
      <c r="E3105" s="79"/>
      <c r="F3105" s="89" t="s">
        <v>421</v>
      </c>
      <c r="G3105" s="101"/>
      <c r="H3105" s="87" t="e">
        <f>SUM(H3100:H3104)</f>
        <v>#REF!</v>
      </c>
      <c r="I3105" s="101"/>
      <c r="J3105" s="87">
        <f>SUM(J3103:J3104)</f>
        <v>2034.9999999999998</v>
      </c>
      <c r="K3105" s="101"/>
      <c r="L3105" s="87">
        <f>SUM(L3103:L3104)</f>
        <v>2034.9999999999998</v>
      </c>
    </row>
    <row r="3106" spans="1:12" ht="12" customHeight="1" x14ac:dyDescent="0.35">
      <c r="B3106" s="84" t="s">
        <v>6</v>
      </c>
      <c r="C3106" s="88" t="s">
        <v>422</v>
      </c>
      <c r="D3106" s="79"/>
      <c r="E3106" s="79"/>
      <c r="F3106" s="90"/>
      <c r="G3106" s="84"/>
      <c r="H3106" s="87"/>
      <c r="I3106" s="84"/>
      <c r="J3106" s="87"/>
      <c r="K3106" s="84"/>
      <c r="L3106" s="87"/>
    </row>
    <row r="3107" spans="1:12" x14ac:dyDescent="0.35">
      <c r="A3107" s="134">
        <v>21924004</v>
      </c>
      <c r="B3107" s="84"/>
      <c r="C3107" s="85" t="str">
        <f>VLOOKUP(A3107,'DAFTAR HARGA'!A:D,3,FALSE)</f>
        <v>m²</v>
      </c>
      <c r="D3107" s="84" t="s">
        <v>418</v>
      </c>
      <c r="E3107" s="84">
        <f>VLOOKUP(A3107,'DAFTAR HARGA'!A:D,4,FALSE)</f>
        <v>175000</v>
      </c>
      <c r="F3107" s="128">
        <v>0.128</v>
      </c>
      <c r="G3107" s="87" t="e">
        <f>VLOOKUP(A3107,'DAFTAR HARGA'!A:D,5,FALSE)</f>
        <v>#REF!</v>
      </c>
      <c r="H3107" s="87" t="e">
        <f>F3107*G3107</f>
        <v>#REF!</v>
      </c>
      <c r="I3107" s="87">
        <v>232500</v>
      </c>
      <c r="J3107" s="87">
        <f>F3107*I3107</f>
        <v>29760</v>
      </c>
      <c r="K3107" s="87">
        <v>270000</v>
      </c>
      <c r="L3107" s="87">
        <f>F3107*K3107</f>
        <v>34560</v>
      </c>
    </row>
    <row r="3108" spans="1:12" x14ac:dyDescent="0.35">
      <c r="A3108" s="134">
        <v>21401200</v>
      </c>
      <c r="B3108" s="84"/>
      <c r="C3108" s="85" t="str">
        <f>VLOOKUP(A3108,'DAFTAR HARGA'!A:D,3,FALSE)</f>
        <v>m³</v>
      </c>
      <c r="D3108" s="84" t="s">
        <v>418</v>
      </c>
      <c r="E3108" s="84">
        <f>VLOOKUP(A3108,'DAFTAR HARGA'!A:D,4,FALSE)</f>
        <v>1900000</v>
      </c>
      <c r="F3108" s="128">
        <v>6.0000000000000001E-3</v>
      </c>
      <c r="G3108" s="87" t="e">
        <f>VLOOKUP(A3108,'DAFTAR HARGA'!A:D,5,FALSE)</f>
        <v>#REF!</v>
      </c>
      <c r="H3108" s="87" t="e">
        <f>F3108*G3108</f>
        <v>#REF!</v>
      </c>
      <c r="I3108" s="87"/>
      <c r="J3108" s="87"/>
      <c r="K3108" s="87"/>
      <c r="L3108" s="87"/>
    </row>
    <row r="3109" spans="1:12" x14ac:dyDescent="0.35">
      <c r="A3109" s="134">
        <v>21911005</v>
      </c>
      <c r="B3109" s="84"/>
      <c r="C3109" s="85" t="str">
        <f>VLOOKUP(A3109,'DAFTAR HARGA'!A:D,3,FALSE)</f>
        <v>kg</v>
      </c>
      <c r="D3109" s="84" t="s">
        <v>418</v>
      </c>
      <c r="E3109" s="84">
        <f>VLOOKUP(A3109,'DAFTAR HARGA'!A:D,4,FALSE)</f>
        <v>21200</v>
      </c>
      <c r="F3109" s="128">
        <v>0.25</v>
      </c>
      <c r="G3109" s="87" t="e">
        <f>VLOOKUP(A3109,'DAFTAR HARGA'!A:D,5,FALSE)</f>
        <v>#REF!</v>
      </c>
      <c r="H3109" s="87" t="e">
        <f>F3109*G3109</f>
        <v>#REF!</v>
      </c>
      <c r="I3109" s="87"/>
      <c r="J3109" s="87"/>
      <c r="K3109" s="87"/>
      <c r="L3109" s="87"/>
    </row>
    <row r="3110" spans="1:12" x14ac:dyDescent="0.35">
      <c r="A3110" s="134">
        <v>21961000</v>
      </c>
      <c r="B3110" s="84"/>
      <c r="C3110" s="85" t="str">
        <f>VLOOKUP(A3110,'DAFTAR HARGA'!A:D,3,FALSE)</f>
        <v>liter</v>
      </c>
      <c r="D3110" s="84" t="s">
        <v>418</v>
      </c>
      <c r="E3110" s="84">
        <f>VLOOKUP(A3110,'DAFTAR HARGA'!A:D,4,FALSE)</f>
        <v>22100</v>
      </c>
      <c r="F3110" s="128">
        <v>0.2</v>
      </c>
      <c r="G3110" s="87" t="e">
        <f>VLOOKUP(A3110,'DAFTAR HARGA'!A:D,5,FALSE)</f>
        <v>#REF!</v>
      </c>
      <c r="H3110" s="87" t="e">
        <f>F3110*G3110</f>
        <v>#REF!</v>
      </c>
      <c r="I3110" s="87"/>
      <c r="J3110" s="87"/>
      <c r="K3110" s="87"/>
      <c r="L3110" s="87"/>
    </row>
    <row r="3111" spans="1:12" ht="12" customHeight="1" x14ac:dyDescent="0.35">
      <c r="B3111" s="84"/>
      <c r="C3111" s="88"/>
      <c r="D3111" s="79"/>
      <c r="E3111" s="79"/>
      <c r="F3111" s="129" t="s">
        <v>423</v>
      </c>
      <c r="G3111" s="129"/>
      <c r="H3111" s="87" t="e">
        <f>SUM(H3107:H3110)</f>
        <v>#REF!</v>
      </c>
      <c r="I3111" s="101"/>
      <c r="J3111" s="87" t="e">
        <f>SUM(#REF!)</f>
        <v>#REF!</v>
      </c>
      <c r="K3111" s="101"/>
      <c r="L3111" s="87" t="e">
        <f>SUM(#REF!)</f>
        <v>#REF!</v>
      </c>
    </row>
    <row r="3112" spans="1:12" ht="12" customHeight="1" x14ac:dyDescent="0.35">
      <c r="B3112" s="84" t="s">
        <v>7</v>
      </c>
      <c r="C3112" s="88" t="s">
        <v>424</v>
      </c>
      <c r="D3112" s="79"/>
      <c r="E3112" s="79"/>
      <c r="F3112" s="90"/>
      <c r="G3112" s="84"/>
      <c r="H3112" s="87"/>
      <c r="I3112" s="84"/>
      <c r="J3112" s="87"/>
      <c r="K3112" s="84"/>
      <c r="L3112" s="87"/>
    </row>
    <row r="3113" spans="1:12" ht="12" customHeight="1" x14ac:dyDescent="0.35">
      <c r="B3113" s="84"/>
      <c r="C3113" s="85"/>
      <c r="D3113" s="84"/>
      <c r="E3113" s="84"/>
      <c r="F3113" s="128"/>
      <c r="G3113" s="87"/>
      <c r="H3113" s="87">
        <f>F3113*G3113</f>
        <v>0</v>
      </c>
      <c r="I3113" s="87"/>
      <c r="J3113" s="87">
        <f>H3113*I3113</f>
        <v>0</v>
      </c>
      <c r="K3113" s="87"/>
      <c r="L3113" s="87">
        <f>J3113*K3113</f>
        <v>0</v>
      </c>
    </row>
    <row r="3114" spans="1:12" ht="12" customHeight="1" x14ac:dyDescent="0.35">
      <c r="B3114" s="84"/>
      <c r="C3114" s="85"/>
      <c r="D3114" s="84"/>
      <c r="E3114" s="84"/>
      <c r="F3114" s="128"/>
      <c r="G3114" s="87"/>
      <c r="H3114" s="87">
        <f>F3114*G3114</f>
        <v>0</v>
      </c>
      <c r="I3114" s="87"/>
      <c r="J3114" s="87"/>
      <c r="K3114" s="87"/>
      <c r="L3114" s="87"/>
    </row>
    <row r="3115" spans="1:12" ht="12" customHeight="1" x14ac:dyDescent="0.35">
      <c r="B3115" s="84"/>
      <c r="C3115" s="85"/>
      <c r="D3115" s="84"/>
      <c r="E3115" s="84"/>
      <c r="F3115" s="128"/>
      <c r="G3115" s="87"/>
      <c r="H3115" s="87">
        <f>F3115*G3115</f>
        <v>0</v>
      </c>
      <c r="I3115" s="87"/>
      <c r="J3115" s="87"/>
      <c r="K3115" s="87"/>
      <c r="L3115" s="87"/>
    </row>
    <row r="3116" spans="1:12" ht="12" customHeight="1" x14ac:dyDescent="0.35">
      <c r="B3116" s="84"/>
      <c r="C3116" s="88"/>
      <c r="D3116" s="79"/>
      <c r="E3116" s="79"/>
      <c r="F3116" s="89" t="s">
        <v>425</v>
      </c>
      <c r="G3116" s="101"/>
      <c r="H3116" s="87">
        <f>SUM(H3113:H3115)</f>
        <v>0</v>
      </c>
      <c r="I3116" s="101"/>
      <c r="J3116" s="87">
        <f>SUM(J3113)</f>
        <v>0</v>
      </c>
      <c r="K3116" s="101"/>
      <c r="L3116" s="87">
        <f>SUM(L3113)</f>
        <v>0</v>
      </c>
    </row>
    <row r="3117" spans="1:12" ht="12" customHeight="1" x14ac:dyDescent="0.35">
      <c r="B3117" s="84" t="s">
        <v>8</v>
      </c>
      <c r="C3117" s="103" t="s">
        <v>426</v>
      </c>
      <c r="D3117" s="104"/>
      <c r="E3117" s="104"/>
      <c r="F3117" s="104"/>
      <c r="G3117" s="105"/>
      <c r="H3117" s="87" t="e">
        <f>H3105+H3111+H3116</f>
        <v>#REF!</v>
      </c>
      <c r="I3117" s="105"/>
      <c r="J3117" s="87" t="e">
        <f>J3105+J3111+J3116</f>
        <v>#REF!</v>
      </c>
      <c r="K3117" s="105"/>
      <c r="L3117" s="87" t="e">
        <f>L3105+L3111+L3116</f>
        <v>#REF!</v>
      </c>
    </row>
    <row r="3118" spans="1:12" ht="12" customHeight="1" x14ac:dyDescent="0.35">
      <c r="B3118" s="84" t="s">
        <v>9</v>
      </c>
      <c r="C3118" s="455" t="s">
        <v>427</v>
      </c>
      <c r="D3118" s="455"/>
      <c r="E3118" s="455"/>
      <c r="F3118" s="95" t="str">
        <f>OP</f>
        <v>TANJUNG PALAS TENGAH</v>
      </c>
      <c r="G3118" s="85" t="s">
        <v>428</v>
      </c>
      <c r="H3118" s="87" t="e">
        <f>H3117*F3118</f>
        <v>#REF!</v>
      </c>
      <c r="I3118" s="85" t="s">
        <v>428</v>
      </c>
      <c r="J3118" s="87" t="e">
        <f>J3117*F3118</f>
        <v>#REF!</v>
      </c>
      <c r="K3118" s="85" t="s">
        <v>428</v>
      </c>
      <c r="L3118" s="87" t="e">
        <f>L3117*F3118</f>
        <v>#REF!</v>
      </c>
    </row>
    <row r="3119" spans="1:12" ht="12" customHeight="1" x14ac:dyDescent="0.35">
      <c r="B3119" s="84" t="s">
        <v>10</v>
      </c>
      <c r="C3119" s="103" t="s">
        <v>429</v>
      </c>
      <c r="D3119" s="104"/>
      <c r="E3119" s="104"/>
      <c r="F3119" s="104"/>
      <c r="G3119" s="105"/>
      <c r="H3119" s="96" t="e">
        <f>H3117+H3118</f>
        <v>#REF!</v>
      </c>
      <c r="I3119" s="97"/>
      <c r="J3119" s="96" t="e">
        <f>J3117+J3118</f>
        <v>#REF!</v>
      </c>
      <c r="K3119" s="97"/>
      <c r="L3119" s="96" t="e">
        <f>L3117+L3118</f>
        <v>#REF!</v>
      </c>
    </row>
    <row r="3120" spans="1:12" x14ac:dyDescent="0.35">
      <c r="B3120" s="75" t="s">
        <v>806</v>
      </c>
    </row>
    <row r="3121" spans="1:12" ht="14" customHeight="1" x14ac:dyDescent="0.35"/>
    <row r="3122" spans="1:12" ht="37" customHeight="1" x14ac:dyDescent="0.35">
      <c r="B3122" s="76" t="s">
        <v>827</v>
      </c>
      <c r="C3122" s="458" t="s">
        <v>830</v>
      </c>
      <c r="D3122" s="459"/>
      <c r="E3122" s="459"/>
      <c r="F3122" s="459"/>
      <c r="G3122" s="456"/>
      <c r="H3122" s="457"/>
      <c r="I3122" s="455" t="s">
        <v>3</v>
      </c>
      <c r="J3122" s="455"/>
      <c r="K3122" s="455" t="s">
        <v>4</v>
      </c>
      <c r="L3122" s="455"/>
    </row>
    <row r="3123" spans="1:12" ht="12" customHeight="1" x14ac:dyDescent="0.35">
      <c r="B3123" s="451" t="s">
        <v>409</v>
      </c>
      <c r="C3123" s="451" t="s">
        <v>410</v>
      </c>
      <c r="D3123" s="452" t="s">
        <v>411</v>
      </c>
      <c r="E3123" s="451" t="s">
        <v>412</v>
      </c>
      <c r="F3123" s="451" t="s">
        <v>413</v>
      </c>
      <c r="G3123" s="77" t="s">
        <v>414</v>
      </c>
      <c r="H3123" s="77" t="s">
        <v>415</v>
      </c>
      <c r="I3123" s="78" t="s">
        <v>414</v>
      </c>
      <c r="J3123" s="79" t="s">
        <v>415</v>
      </c>
      <c r="K3123" s="79" t="s">
        <v>414</v>
      </c>
      <c r="L3123" s="79" t="s">
        <v>415</v>
      </c>
    </row>
    <row r="3124" spans="1:12" ht="12" customHeight="1" x14ac:dyDescent="0.35">
      <c r="B3124" s="451"/>
      <c r="C3124" s="451"/>
      <c r="D3124" s="453"/>
      <c r="E3124" s="451"/>
      <c r="F3124" s="451"/>
      <c r="G3124" s="77" t="s">
        <v>17</v>
      </c>
      <c r="H3124" s="77" t="s">
        <v>416</v>
      </c>
      <c r="I3124" s="78" t="s">
        <v>17</v>
      </c>
      <c r="J3124" s="79" t="s">
        <v>416</v>
      </c>
      <c r="K3124" s="79" t="s">
        <v>17</v>
      </c>
      <c r="L3124" s="79" t="s">
        <v>416</v>
      </c>
    </row>
    <row r="3125" spans="1:12" ht="12" customHeight="1" x14ac:dyDescent="0.35">
      <c r="B3125" s="451"/>
      <c r="C3125" s="451"/>
      <c r="D3125" s="454"/>
      <c r="E3125" s="451"/>
      <c r="F3125" s="451"/>
      <c r="G3125" s="106"/>
      <c r="H3125" s="77" t="s">
        <v>17</v>
      </c>
      <c r="I3125" s="94"/>
      <c r="J3125" s="79" t="s">
        <v>17</v>
      </c>
      <c r="K3125" s="85"/>
      <c r="L3125" s="79" t="s">
        <v>17</v>
      </c>
    </row>
    <row r="3126" spans="1:12" ht="12" customHeight="1" x14ac:dyDescent="0.35">
      <c r="B3126" s="80" t="s">
        <v>5</v>
      </c>
      <c r="C3126" s="81" t="s">
        <v>417</v>
      </c>
      <c r="D3126" s="82"/>
      <c r="E3126" s="82"/>
      <c r="F3126" s="82"/>
      <c r="G3126" s="82"/>
      <c r="H3126" s="82"/>
      <c r="I3126" s="83"/>
      <c r="J3126" s="83"/>
      <c r="K3126" s="83"/>
      <c r="L3126" s="83"/>
    </row>
    <row r="3127" spans="1:12" ht="12" customHeight="1" x14ac:dyDescent="0.35">
      <c r="A3127" s="134">
        <v>10130000</v>
      </c>
      <c r="B3127" s="84"/>
      <c r="C3127" s="85" t="str">
        <f>VLOOKUP(A3127,'DAFTAR HARGA'!A:D,3,FALSE)</f>
        <v>OH</v>
      </c>
      <c r="D3127" s="84" t="s">
        <v>418</v>
      </c>
      <c r="E3127" s="84">
        <f>VLOOKUP(A3127,'DAFTAR HARGA'!A:D,4,FALSE)</f>
        <v>115000</v>
      </c>
      <c r="F3127" s="128">
        <v>0.33</v>
      </c>
      <c r="G3127" s="87" t="e">
        <f>VLOOKUP(A3127,'DAFTAR HARGA'!A:D,5,FALSE)</f>
        <v>#REF!</v>
      </c>
      <c r="H3127" s="87" t="e">
        <f>F3127*G3127</f>
        <v>#REF!</v>
      </c>
      <c r="I3127" s="87">
        <v>91500</v>
      </c>
      <c r="J3127" s="87">
        <f>F3127*I3127</f>
        <v>30195</v>
      </c>
      <c r="K3127" s="87">
        <v>91500</v>
      </c>
      <c r="L3127" s="87">
        <f>F3127*K3127</f>
        <v>30195</v>
      </c>
    </row>
    <row r="3128" spans="1:12" ht="12" customHeight="1" x14ac:dyDescent="0.35">
      <c r="A3128" s="134">
        <v>10142000</v>
      </c>
      <c r="B3128" s="84"/>
      <c r="C3128" s="85" t="str">
        <f>VLOOKUP(A3128,'DAFTAR HARGA'!A:D,3,FALSE)</f>
        <v>OH</v>
      </c>
      <c r="D3128" s="84" t="s">
        <v>418</v>
      </c>
      <c r="E3128" s="84">
        <f>VLOOKUP(A3128,'DAFTAR HARGA'!A:D,4,FALSE)</f>
        <v>236600</v>
      </c>
      <c r="F3128" s="128">
        <v>0.33</v>
      </c>
      <c r="G3128" s="87" t="e">
        <f>VLOOKUP(A3128,'DAFTAR HARGA'!A:D,5,FALSE)</f>
        <v>#REF!</v>
      </c>
      <c r="H3128" s="87" t="e">
        <f>F3128*G3128</f>
        <v>#REF!</v>
      </c>
      <c r="I3128" s="87"/>
      <c r="J3128" s="87"/>
      <c r="K3128" s="87"/>
      <c r="L3128" s="87"/>
    </row>
    <row r="3129" spans="1:12" ht="12" customHeight="1" x14ac:dyDescent="0.35">
      <c r="A3129" s="134">
        <v>10120000</v>
      </c>
      <c r="B3129" s="84"/>
      <c r="C3129" s="85" t="str">
        <f>VLOOKUP(A3129,'DAFTAR HARGA'!A:D,3,FALSE)</f>
        <v>OH</v>
      </c>
      <c r="D3129" s="84" t="s">
        <v>418</v>
      </c>
      <c r="E3129" s="84">
        <f>VLOOKUP(A3129,'DAFTAR HARGA'!A:D,4,FALSE)</f>
        <v>130000</v>
      </c>
      <c r="F3129" s="128">
        <f>F3128/10</f>
        <v>3.3000000000000002E-2</v>
      </c>
      <c r="G3129" s="87" t="e">
        <f>VLOOKUP(A3129,'DAFTAR HARGA'!A:D,5,FALSE)</f>
        <v>#REF!</v>
      </c>
      <c r="H3129" s="87" t="e">
        <f>F3129*G3129</f>
        <v>#REF!</v>
      </c>
      <c r="I3129" s="87"/>
      <c r="J3129" s="87"/>
      <c r="K3129" s="87"/>
      <c r="L3129" s="87"/>
    </row>
    <row r="3130" spans="1:12" ht="12" customHeight="1" x14ac:dyDescent="0.35">
      <c r="A3130" s="134">
        <v>10110000</v>
      </c>
      <c r="B3130" s="84"/>
      <c r="C3130" s="85" t="str">
        <f>VLOOKUP(A3130,'DAFTAR HARGA'!A:D,3,FALSE)</f>
        <v>OH</v>
      </c>
      <c r="D3130" s="84" t="s">
        <v>418</v>
      </c>
      <c r="E3130" s="84">
        <f>VLOOKUP(A3130,'DAFTAR HARGA'!A:D,4,FALSE)</f>
        <v>150000</v>
      </c>
      <c r="F3130" s="128">
        <f>F3127/10</f>
        <v>3.3000000000000002E-2</v>
      </c>
      <c r="G3130" s="87" t="e">
        <f>VLOOKUP(A3130,'DAFTAR HARGA'!A:D,5,FALSE)</f>
        <v>#REF!</v>
      </c>
      <c r="H3130" s="87" t="e">
        <f>F3130*G3130</f>
        <v>#REF!</v>
      </c>
      <c r="I3130" s="87">
        <v>92500</v>
      </c>
      <c r="J3130" s="87">
        <f>F3130*I3130</f>
        <v>3052.5</v>
      </c>
      <c r="K3130" s="87">
        <v>92500</v>
      </c>
      <c r="L3130" s="87">
        <f>F3130*K3130</f>
        <v>3052.5</v>
      </c>
    </row>
    <row r="3131" spans="1:12" ht="12" customHeight="1" x14ac:dyDescent="0.35">
      <c r="B3131" s="84"/>
      <c r="C3131" s="85"/>
      <c r="D3131" s="84"/>
      <c r="E3131" s="84"/>
      <c r="F3131" s="86"/>
      <c r="G3131" s="87"/>
      <c r="H3131" s="87"/>
      <c r="I3131" s="87"/>
      <c r="J3131" s="87"/>
      <c r="K3131" s="87"/>
      <c r="L3131" s="87"/>
    </row>
    <row r="3132" spans="1:12" ht="12" customHeight="1" x14ac:dyDescent="0.35">
      <c r="B3132" s="84"/>
      <c r="C3132" s="88"/>
      <c r="D3132" s="79"/>
      <c r="E3132" s="79"/>
      <c r="F3132" s="89" t="s">
        <v>421</v>
      </c>
      <c r="G3132" s="101"/>
      <c r="H3132" s="87" t="e">
        <f>SUM(H3127:H3131)</f>
        <v>#REF!</v>
      </c>
      <c r="I3132" s="101"/>
      <c r="J3132" s="87">
        <f>SUM(J3130:J3131)</f>
        <v>3052.5</v>
      </c>
      <c r="K3132" s="101"/>
      <c r="L3132" s="87">
        <f>SUM(L3130:L3131)</f>
        <v>3052.5</v>
      </c>
    </row>
    <row r="3133" spans="1:12" ht="12" customHeight="1" x14ac:dyDescent="0.35">
      <c r="B3133" s="84" t="s">
        <v>6</v>
      </c>
      <c r="C3133" s="88" t="s">
        <v>422</v>
      </c>
      <c r="D3133" s="79"/>
      <c r="E3133" s="79"/>
      <c r="F3133" s="90"/>
      <c r="G3133" s="84"/>
      <c r="H3133" s="87"/>
      <c r="I3133" s="84"/>
      <c r="J3133" s="87"/>
      <c r="K3133" s="84"/>
      <c r="L3133" s="87"/>
    </row>
    <row r="3134" spans="1:12" x14ac:dyDescent="0.35">
      <c r="A3134" s="134">
        <v>21924004</v>
      </c>
      <c r="B3134" s="84"/>
      <c r="C3134" s="85" t="str">
        <f>VLOOKUP(A3134,'DAFTAR HARGA'!A:D,3,FALSE)</f>
        <v>m²</v>
      </c>
      <c r="D3134" s="84" t="s">
        <v>418</v>
      </c>
      <c r="E3134" s="84">
        <f>VLOOKUP(A3134,'DAFTAR HARGA'!A:D,4,FALSE)</f>
        <v>175000</v>
      </c>
      <c r="F3134" s="128">
        <v>0.128</v>
      </c>
      <c r="G3134" s="87" t="e">
        <f>VLOOKUP(A3134,'DAFTAR HARGA'!A:D,5,FALSE)</f>
        <v>#REF!</v>
      </c>
      <c r="H3134" s="87" t="e">
        <f>F3134*G3134</f>
        <v>#REF!</v>
      </c>
      <c r="I3134" s="87">
        <v>232500</v>
      </c>
      <c r="J3134" s="87">
        <f>F3134*I3134</f>
        <v>29760</v>
      </c>
      <c r="K3134" s="87">
        <v>270000</v>
      </c>
      <c r="L3134" s="87">
        <f>F3134*K3134</f>
        <v>34560</v>
      </c>
    </row>
    <row r="3135" spans="1:12" x14ac:dyDescent="0.35">
      <c r="A3135" s="134">
        <v>21401200</v>
      </c>
      <c r="B3135" s="84"/>
      <c r="C3135" s="85" t="str">
        <f>VLOOKUP(A3135,'DAFTAR HARGA'!A:D,3,FALSE)</f>
        <v>m³</v>
      </c>
      <c r="D3135" s="84" t="s">
        <v>418</v>
      </c>
      <c r="E3135" s="84">
        <f>VLOOKUP(A3135,'DAFTAR HARGA'!A:D,4,FALSE)</f>
        <v>1900000</v>
      </c>
      <c r="F3135" s="128">
        <v>7.0000000000000001E-3</v>
      </c>
      <c r="G3135" s="87" t="e">
        <f>VLOOKUP(A3135,'DAFTAR HARGA'!A:D,5,FALSE)</f>
        <v>#REF!</v>
      </c>
      <c r="H3135" s="87" t="e">
        <f>F3135*G3135</f>
        <v>#REF!</v>
      </c>
      <c r="I3135" s="87"/>
      <c r="J3135" s="87"/>
      <c r="K3135" s="87"/>
      <c r="L3135" s="87"/>
    </row>
    <row r="3136" spans="1:12" x14ac:dyDescent="0.35">
      <c r="A3136" s="134">
        <v>21911005</v>
      </c>
      <c r="B3136" s="84"/>
      <c r="C3136" s="85" t="str">
        <f>VLOOKUP(A3136,'DAFTAR HARGA'!A:D,3,FALSE)</f>
        <v>kg</v>
      </c>
      <c r="D3136" s="84" t="s">
        <v>418</v>
      </c>
      <c r="E3136" s="84">
        <f>VLOOKUP(A3136,'DAFTAR HARGA'!A:D,4,FALSE)</f>
        <v>21200</v>
      </c>
      <c r="F3136" s="128">
        <v>0.25</v>
      </c>
      <c r="G3136" s="87" t="e">
        <f>VLOOKUP(A3136,'DAFTAR HARGA'!A:D,5,FALSE)</f>
        <v>#REF!</v>
      </c>
      <c r="H3136" s="87" t="e">
        <f>F3136*G3136</f>
        <v>#REF!</v>
      </c>
      <c r="I3136" s="87"/>
      <c r="J3136" s="87"/>
      <c r="K3136" s="87"/>
      <c r="L3136" s="87"/>
    </row>
    <row r="3137" spans="1:12" x14ac:dyDescent="0.35">
      <c r="A3137" s="134">
        <v>21961000</v>
      </c>
      <c r="B3137" s="84"/>
      <c r="C3137" s="85" t="str">
        <f>VLOOKUP(A3137,'DAFTAR HARGA'!A:D,3,FALSE)</f>
        <v>liter</v>
      </c>
      <c r="D3137" s="84" t="s">
        <v>418</v>
      </c>
      <c r="E3137" s="84">
        <f>VLOOKUP(A3137,'DAFTAR HARGA'!A:D,4,FALSE)</f>
        <v>22100</v>
      </c>
      <c r="F3137" s="128">
        <v>0.2</v>
      </c>
      <c r="G3137" s="87" t="e">
        <f>VLOOKUP(A3137,'DAFTAR HARGA'!A:D,5,FALSE)</f>
        <v>#REF!</v>
      </c>
      <c r="H3137" s="87" t="e">
        <f>F3137*G3137</f>
        <v>#REF!</v>
      </c>
      <c r="I3137" s="87"/>
      <c r="J3137" s="87"/>
      <c r="K3137" s="87"/>
      <c r="L3137" s="87"/>
    </row>
    <row r="3138" spans="1:12" ht="12" customHeight="1" x14ac:dyDescent="0.35">
      <c r="B3138" s="84"/>
      <c r="C3138" s="88"/>
      <c r="D3138" s="79"/>
      <c r="E3138" s="79"/>
      <c r="F3138" s="129" t="s">
        <v>423</v>
      </c>
      <c r="G3138" s="129"/>
      <c r="H3138" s="87" t="e">
        <f>SUM(H3134:H3137)</f>
        <v>#REF!</v>
      </c>
      <c r="I3138" s="101"/>
      <c r="J3138" s="87" t="e">
        <f>SUM(#REF!)</f>
        <v>#REF!</v>
      </c>
      <c r="K3138" s="101"/>
      <c r="L3138" s="87" t="e">
        <f>SUM(#REF!)</f>
        <v>#REF!</v>
      </c>
    </row>
    <row r="3139" spans="1:12" ht="12" customHeight="1" x14ac:dyDescent="0.35">
      <c r="B3139" s="84" t="s">
        <v>7</v>
      </c>
      <c r="C3139" s="88" t="s">
        <v>424</v>
      </c>
      <c r="D3139" s="79"/>
      <c r="E3139" s="79"/>
      <c r="F3139" s="90"/>
      <c r="G3139" s="84"/>
      <c r="H3139" s="87"/>
      <c r="I3139" s="84"/>
      <c r="J3139" s="87"/>
      <c r="K3139" s="84"/>
      <c r="L3139" s="87"/>
    </row>
    <row r="3140" spans="1:12" ht="12" customHeight="1" x14ac:dyDescent="0.35">
      <c r="B3140" s="84"/>
      <c r="C3140" s="85"/>
      <c r="D3140" s="84"/>
      <c r="E3140" s="84"/>
      <c r="F3140" s="128"/>
      <c r="G3140" s="87"/>
      <c r="H3140" s="87">
        <f>F3140*G3140</f>
        <v>0</v>
      </c>
      <c r="I3140" s="87"/>
      <c r="J3140" s="87">
        <f>H3140*I3140</f>
        <v>0</v>
      </c>
      <c r="K3140" s="87"/>
      <c r="L3140" s="87">
        <f>J3140*K3140</f>
        <v>0</v>
      </c>
    </row>
    <row r="3141" spans="1:12" ht="12" customHeight="1" x14ac:dyDescent="0.35">
      <c r="B3141" s="84"/>
      <c r="C3141" s="85"/>
      <c r="D3141" s="84"/>
      <c r="E3141" s="84"/>
      <c r="F3141" s="128"/>
      <c r="G3141" s="87"/>
      <c r="H3141" s="87">
        <f>F3141*G3141</f>
        <v>0</v>
      </c>
      <c r="I3141" s="87"/>
      <c r="J3141" s="87"/>
      <c r="K3141" s="87"/>
      <c r="L3141" s="87"/>
    </row>
    <row r="3142" spans="1:12" ht="12" customHeight="1" x14ac:dyDescent="0.35">
      <c r="B3142" s="84"/>
      <c r="C3142" s="85"/>
      <c r="D3142" s="84"/>
      <c r="E3142" s="84"/>
      <c r="F3142" s="128"/>
      <c r="G3142" s="87"/>
      <c r="H3142" s="87">
        <f>F3142*G3142</f>
        <v>0</v>
      </c>
      <c r="I3142" s="87"/>
      <c r="J3142" s="87"/>
      <c r="K3142" s="87"/>
      <c r="L3142" s="87"/>
    </row>
    <row r="3143" spans="1:12" ht="12" customHeight="1" x14ac:dyDescent="0.35">
      <c r="B3143" s="84"/>
      <c r="C3143" s="88"/>
      <c r="D3143" s="79"/>
      <c r="E3143" s="79"/>
      <c r="F3143" s="89" t="s">
        <v>425</v>
      </c>
      <c r="G3143" s="101"/>
      <c r="H3143" s="87">
        <f>SUM(H3140:H3142)</f>
        <v>0</v>
      </c>
      <c r="I3143" s="101"/>
      <c r="J3143" s="87">
        <f>SUM(J3140)</f>
        <v>0</v>
      </c>
      <c r="K3143" s="101"/>
      <c r="L3143" s="87">
        <f>SUM(L3140)</f>
        <v>0</v>
      </c>
    </row>
    <row r="3144" spans="1:12" ht="12" customHeight="1" x14ac:dyDescent="0.35">
      <c r="B3144" s="84" t="s">
        <v>8</v>
      </c>
      <c r="C3144" s="103" t="s">
        <v>426</v>
      </c>
      <c r="D3144" s="104"/>
      <c r="E3144" s="104"/>
      <c r="F3144" s="104"/>
      <c r="G3144" s="105"/>
      <c r="H3144" s="87" t="e">
        <f>H3132+H3138+H3143</f>
        <v>#REF!</v>
      </c>
      <c r="I3144" s="105"/>
      <c r="J3144" s="87" t="e">
        <f>J3132+J3138+J3143</f>
        <v>#REF!</v>
      </c>
      <c r="K3144" s="105"/>
      <c r="L3144" s="87" t="e">
        <f>L3132+L3138+L3143</f>
        <v>#REF!</v>
      </c>
    </row>
    <row r="3145" spans="1:12" ht="12" customHeight="1" x14ac:dyDescent="0.35">
      <c r="B3145" s="84" t="s">
        <v>9</v>
      </c>
      <c r="C3145" s="455" t="s">
        <v>427</v>
      </c>
      <c r="D3145" s="455"/>
      <c r="E3145" s="455"/>
      <c r="F3145" s="95" t="str">
        <f>OP</f>
        <v>TANJUNG PALAS TENGAH</v>
      </c>
      <c r="G3145" s="85" t="s">
        <v>428</v>
      </c>
      <c r="H3145" s="87" t="e">
        <f>H3144*F3145</f>
        <v>#REF!</v>
      </c>
      <c r="I3145" s="85" t="s">
        <v>428</v>
      </c>
      <c r="J3145" s="87" t="e">
        <f>J3144*F3145</f>
        <v>#REF!</v>
      </c>
      <c r="K3145" s="85" t="s">
        <v>428</v>
      </c>
      <c r="L3145" s="87" t="e">
        <f>L3144*F3145</f>
        <v>#REF!</v>
      </c>
    </row>
    <row r="3146" spans="1:12" ht="12" customHeight="1" x14ac:dyDescent="0.35">
      <c r="B3146" s="84" t="s">
        <v>10</v>
      </c>
      <c r="C3146" s="103" t="s">
        <v>429</v>
      </c>
      <c r="D3146" s="104"/>
      <c r="E3146" s="104"/>
      <c r="F3146" s="104"/>
      <c r="G3146" s="105"/>
      <c r="H3146" s="96" t="e">
        <f>H3144+H3145</f>
        <v>#REF!</v>
      </c>
      <c r="I3146" s="97"/>
      <c r="J3146" s="96" t="e">
        <f>J3144+J3145</f>
        <v>#REF!</v>
      </c>
      <c r="K3146" s="97"/>
      <c r="L3146" s="96" t="e">
        <f>L3144+L3145</f>
        <v>#REF!</v>
      </c>
    </row>
    <row r="3147" spans="1:12" x14ac:dyDescent="0.35">
      <c r="B3147" s="75" t="s">
        <v>806</v>
      </c>
    </row>
    <row r="3148" spans="1:12" ht="14" customHeight="1" x14ac:dyDescent="0.35"/>
    <row r="3149" spans="1:12" ht="37" customHeight="1" x14ac:dyDescent="0.35">
      <c r="B3149" s="76" t="s">
        <v>828</v>
      </c>
      <c r="C3149" s="458" t="s">
        <v>829</v>
      </c>
      <c r="D3149" s="459"/>
      <c r="E3149" s="459"/>
      <c r="F3149" s="459"/>
      <c r="G3149" s="456"/>
      <c r="H3149" s="457"/>
      <c r="I3149" s="455" t="s">
        <v>3</v>
      </c>
      <c r="J3149" s="455"/>
      <c r="K3149" s="455" t="s">
        <v>4</v>
      </c>
      <c r="L3149" s="455"/>
    </row>
    <row r="3150" spans="1:12" ht="12" customHeight="1" x14ac:dyDescent="0.35">
      <c r="B3150" s="451" t="s">
        <v>409</v>
      </c>
      <c r="C3150" s="451" t="s">
        <v>410</v>
      </c>
      <c r="D3150" s="452" t="s">
        <v>411</v>
      </c>
      <c r="E3150" s="451" t="s">
        <v>412</v>
      </c>
      <c r="F3150" s="451" t="s">
        <v>413</v>
      </c>
      <c r="G3150" s="77" t="s">
        <v>414</v>
      </c>
      <c r="H3150" s="77" t="s">
        <v>415</v>
      </c>
      <c r="I3150" s="78" t="s">
        <v>414</v>
      </c>
      <c r="J3150" s="79" t="s">
        <v>415</v>
      </c>
      <c r="K3150" s="79" t="s">
        <v>414</v>
      </c>
      <c r="L3150" s="79" t="s">
        <v>415</v>
      </c>
    </row>
    <row r="3151" spans="1:12" ht="12" customHeight="1" x14ac:dyDescent="0.35">
      <c r="B3151" s="451"/>
      <c r="C3151" s="451"/>
      <c r="D3151" s="453"/>
      <c r="E3151" s="451"/>
      <c r="F3151" s="451"/>
      <c r="G3151" s="77" t="s">
        <v>17</v>
      </c>
      <c r="H3151" s="77" t="s">
        <v>416</v>
      </c>
      <c r="I3151" s="78" t="s">
        <v>17</v>
      </c>
      <c r="J3151" s="79" t="s">
        <v>416</v>
      </c>
      <c r="K3151" s="79" t="s">
        <v>17</v>
      </c>
      <c r="L3151" s="79" t="s">
        <v>416</v>
      </c>
    </row>
    <row r="3152" spans="1:12" ht="12" customHeight="1" x14ac:dyDescent="0.35">
      <c r="B3152" s="451"/>
      <c r="C3152" s="451"/>
      <c r="D3152" s="454"/>
      <c r="E3152" s="451"/>
      <c r="F3152" s="451"/>
      <c r="G3152" s="106"/>
      <c r="H3152" s="77" t="s">
        <v>17</v>
      </c>
      <c r="I3152" s="94"/>
      <c r="J3152" s="79" t="s">
        <v>17</v>
      </c>
      <c r="K3152" s="85"/>
      <c r="L3152" s="79" t="s">
        <v>17</v>
      </c>
    </row>
    <row r="3153" spans="1:12" ht="12" customHeight="1" x14ac:dyDescent="0.35">
      <c r="B3153" s="80" t="s">
        <v>5</v>
      </c>
      <c r="C3153" s="81" t="s">
        <v>417</v>
      </c>
      <c r="D3153" s="82"/>
      <c r="E3153" s="82"/>
      <c r="F3153" s="82"/>
      <c r="G3153" s="82"/>
      <c r="H3153" s="82"/>
      <c r="I3153" s="83"/>
      <c r="J3153" s="83"/>
      <c r="K3153" s="83"/>
      <c r="L3153" s="83"/>
    </row>
    <row r="3154" spans="1:12" ht="12" customHeight="1" x14ac:dyDescent="0.35">
      <c r="A3154" s="134">
        <v>10130000</v>
      </c>
      <c r="B3154" s="84"/>
      <c r="C3154" s="85" t="str">
        <f>VLOOKUP(A3154,'DAFTAR HARGA'!A:D,3,FALSE)</f>
        <v>OH</v>
      </c>
      <c r="D3154" s="84" t="s">
        <v>418</v>
      </c>
      <c r="E3154" s="84">
        <f>VLOOKUP(A3154,'DAFTAR HARGA'!A:D,4,FALSE)</f>
        <v>115000</v>
      </c>
      <c r="F3154" s="128">
        <v>0.34</v>
      </c>
      <c r="G3154" s="87" t="e">
        <f>VLOOKUP(A3154,'DAFTAR HARGA'!A:D,5,FALSE)</f>
        <v>#REF!</v>
      </c>
      <c r="H3154" s="87" t="e">
        <f>F3154*G3154</f>
        <v>#REF!</v>
      </c>
      <c r="I3154" s="87">
        <v>91500</v>
      </c>
      <c r="J3154" s="87">
        <f>F3154*I3154</f>
        <v>31110.000000000004</v>
      </c>
      <c r="K3154" s="87">
        <v>91500</v>
      </c>
      <c r="L3154" s="87">
        <f>F3154*K3154</f>
        <v>31110.000000000004</v>
      </c>
    </row>
    <row r="3155" spans="1:12" ht="12" customHeight="1" x14ac:dyDescent="0.35">
      <c r="A3155" s="134">
        <v>10142000</v>
      </c>
      <c r="B3155" s="84"/>
      <c r="C3155" s="85" t="str">
        <f>VLOOKUP(A3155,'DAFTAR HARGA'!A:D,3,FALSE)</f>
        <v>OH</v>
      </c>
      <c r="D3155" s="84" t="s">
        <v>418</v>
      </c>
      <c r="E3155" s="84">
        <f>VLOOKUP(A3155,'DAFTAR HARGA'!A:D,4,FALSE)</f>
        <v>236600</v>
      </c>
      <c r="F3155" s="128">
        <v>0.17</v>
      </c>
      <c r="G3155" s="87" t="e">
        <f>VLOOKUP(A3155,'DAFTAR HARGA'!A:D,5,FALSE)</f>
        <v>#REF!</v>
      </c>
      <c r="H3155" s="87" t="e">
        <f>F3155*G3155</f>
        <v>#REF!</v>
      </c>
      <c r="I3155" s="87"/>
      <c r="J3155" s="87"/>
      <c r="K3155" s="87"/>
      <c r="L3155" s="87"/>
    </row>
    <row r="3156" spans="1:12" ht="12" customHeight="1" x14ac:dyDescent="0.35">
      <c r="A3156" s="134">
        <v>10120000</v>
      </c>
      <c r="B3156" s="84"/>
      <c r="C3156" s="85" t="str">
        <f>VLOOKUP(A3156,'DAFTAR HARGA'!A:D,3,FALSE)</f>
        <v>OH</v>
      </c>
      <c r="D3156" s="84" t="s">
        <v>418</v>
      </c>
      <c r="E3156" s="84">
        <f>VLOOKUP(A3156,'DAFTAR HARGA'!A:D,4,FALSE)</f>
        <v>130000</v>
      </c>
      <c r="F3156" s="128">
        <f>F3155/10</f>
        <v>1.7000000000000001E-2</v>
      </c>
      <c r="G3156" s="87" t="e">
        <f>VLOOKUP(A3156,'DAFTAR HARGA'!A:D,5,FALSE)</f>
        <v>#REF!</v>
      </c>
      <c r="H3156" s="87" t="e">
        <f>F3156*G3156</f>
        <v>#REF!</v>
      </c>
      <c r="I3156" s="87"/>
      <c r="J3156" s="87"/>
      <c r="K3156" s="87"/>
      <c r="L3156" s="87"/>
    </row>
    <row r="3157" spans="1:12" ht="12" customHeight="1" x14ac:dyDescent="0.35">
      <c r="A3157" s="134">
        <v>10110000</v>
      </c>
      <c r="B3157" s="84"/>
      <c r="C3157" s="85" t="str">
        <f>VLOOKUP(A3157,'DAFTAR HARGA'!A:D,3,FALSE)</f>
        <v>OH</v>
      </c>
      <c r="D3157" s="84" t="s">
        <v>418</v>
      </c>
      <c r="E3157" s="84">
        <f>VLOOKUP(A3157,'DAFTAR HARGA'!A:D,4,FALSE)</f>
        <v>150000</v>
      </c>
      <c r="F3157" s="128">
        <f>F3154/10</f>
        <v>3.4000000000000002E-2</v>
      </c>
      <c r="G3157" s="87" t="e">
        <f>VLOOKUP(A3157,'DAFTAR HARGA'!A:D,5,FALSE)</f>
        <v>#REF!</v>
      </c>
      <c r="H3157" s="87" t="e">
        <f>F3157*G3157</f>
        <v>#REF!</v>
      </c>
      <c r="I3157" s="87">
        <v>92500</v>
      </c>
      <c r="J3157" s="87">
        <f>F3157*I3157</f>
        <v>3145</v>
      </c>
      <c r="K3157" s="87">
        <v>92500</v>
      </c>
      <c r="L3157" s="87">
        <f>F3157*K3157</f>
        <v>3145</v>
      </c>
    </row>
    <row r="3158" spans="1:12" ht="12" customHeight="1" x14ac:dyDescent="0.35">
      <c r="B3158" s="84"/>
      <c r="C3158" s="85"/>
      <c r="D3158" s="84"/>
      <c r="E3158" s="84"/>
      <c r="F3158" s="86"/>
      <c r="G3158" s="87"/>
      <c r="H3158" s="87"/>
      <c r="I3158" s="87"/>
      <c r="J3158" s="87"/>
      <c r="K3158" s="87"/>
      <c r="L3158" s="87"/>
    </row>
    <row r="3159" spans="1:12" ht="12" customHeight="1" x14ac:dyDescent="0.35">
      <c r="B3159" s="84"/>
      <c r="C3159" s="88"/>
      <c r="D3159" s="79"/>
      <c r="E3159" s="79"/>
      <c r="F3159" s="89" t="s">
        <v>421</v>
      </c>
      <c r="G3159" s="101"/>
      <c r="H3159" s="87" t="e">
        <f>SUM(H3154:H3158)</f>
        <v>#REF!</v>
      </c>
      <c r="I3159" s="101"/>
      <c r="J3159" s="87">
        <f>SUM(J3157:J3158)</f>
        <v>3145</v>
      </c>
      <c r="K3159" s="101"/>
      <c r="L3159" s="87">
        <f>SUM(L3157:L3158)</f>
        <v>3145</v>
      </c>
    </row>
    <row r="3160" spans="1:12" ht="12" customHeight="1" x14ac:dyDescent="0.35">
      <c r="B3160" s="84" t="s">
        <v>6</v>
      </c>
      <c r="C3160" s="88" t="s">
        <v>422</v>
      </c>
      <c r="D3160" s="79"/>
      <c r="E3160" s="79"/>
      <c r="F3160" s="90"/>
      <c r="G3160" s="84"/>
      <c r="H3160" s="87"/>
      <c r="I3160" s="84"/>
      <c r="J3160" s="87"/>
      <c r="K3160" s="84"/>
      <c r="L3160" s="87"/>
    </row>
    <row r="3161" spans="1:12" x14ac:dyDescent="0.35">
      <c r="A3161" s="134">
        <v>21401200</v>
      </c>
      <c r="B3161" s="84"/>
      <c r="C3161" s="85" t="str">
        <f>VLOOKUP(A3161,'DAFTAR HARGA'!A:D,3,FALSE)</f>
        <v>m³</v>
      </c>
      <c r="D3161" s="84" t="s">
        <v>418</v>
      </c>
      <c r="E3161" s="84">
        <f>VLOOKUP(A3161,'DAFTAR HARGA'!A:D,4,FALSE)</f>
        <v>1900000</v>
      </c>
      <c r="F3161" s="128">
        <v>1.0999999999999999E-2</v>
      </c>
      <c r="G3161" s="87" t="e">
        <f>VLOOKUP(A3161,'DAFTAR HARGA'!A:D,5,FALSE)</f>
        <v>#REF!</v>
      </c>
      <c r="H3161" s="87" t="e">
        <f>F3161*G3161</f>
        <v>#REF!</v>
      </c>
      <c r="I3161" s="87"/>
      <c r="J3161" s="87"/>
      <c r="K3161" s="87"/>
      <c r="L3161" s="87"/>
    </row>
    <row r="3162" spans="1:12" x14ac:dyDescent="0.35">
      <c r="A3162" s="134">
        <v>21911005</v>
      </c>
      <c r="B3162" s="84"/>
      <c r="C3162" s="85" t="str">
        <f>VLOOKUP(A3162,'DAFTAR HARGA'!A:D,3,FALSE)</f>
        <v>kg</v>
      </c>
      <c r="D3162" s="84" t="s">
        <v>418</v>
      </c>
      <c r="E3162" s="84">
        <f>VLOOKUP(A3162,'DAFTAR HARGA'!A:D,4,FALSE)</f>
        <v>21200</v>
      </c>
      <c r="F3162" s="128">
        <v>0.24</v>
      </c>
      <c r="G3162" s="87" t="e">
        <f>VLOOKUP(A3162,'DAFTAR HARGA'!A:D,5,FALSE)</f>
        <v>#REF!</v>
      </c>
      <c r="H3162" s="87" t="e">
        <f>F3162*G3162</f>
        <v>#REF!</v>
      </c>
      <c r="I3162" s="87"/>
      <c r="J3162" s="87"/>
      <c r="K3162" s="87"/>
      <c r="L3162" s="87"/>
    </row>
    <row r="3163" spans="1:12" x14ac:dyDescent="0.35">
      <c r="B3163" s="84"/>
      <c r="C3163" s="85"/>
      <c r="D3163" s="84"/>
      <c r="E3163" s="84"/>
      <c r="F3163" s="128"/>
      <c r="G3163" s="87"/>
      <c r="H3163" s="87">
        <f>F3163*G3163</f>
        <v>0</v>
      </c>
      <c r="I3163" s="87"/>
      <c r="J3163" s="87"/>
      <c r="K3163" s="87"/>
      <c r="L3163" s="87"/>
    </row>
    <row r="3164" spans="1:12" ht="12" customHeight="1" x14ac:dyDescent="0.35">
      <c r="B3164" s="84"/>
      <c r="C3164" s="88"/>
      <c r="D3164" s="79"/>
      <c r="E3164" s="79"/>
      <c r="F3164" s="129" t="s">
        <v>423</v>
      </c>
      <c r="G3164" s="129"/>
      <c r="H3164" s="87" t="e">
        <f>SUM(H3161:H3163)</f>
        <v>#REF!</v>
      </c>
      <c r="I3164" s="101"/>
      <c r="J3164" s="87" t="e">
        <f>SUM(#REF!)</f>
        <v>#REF!</v>
      </c>
      <c r="K3164" s="101"/>
      <c r="L3164" s="87" t="e">
        <f>SUM(#REF!)</f>
        <v>#REF!</v>
      </c>
    </row>
    <row r="3165" spans="1:12" ht="12" customHeight="1" x14ac:dyDescent="0.35">
      <c r="B3165" s="84" t="s">
        <v>7</v>
      </c>
      <c r="C3165" s="88" t="s">
        <v>424</v>
      </c>
      <c r="D3165" s="79"/>
      <c r="E3165" s="79"/>
      <c r="F3165" s="90"/>
      <c r="G3165" s="84"/>
      <c r="H3165" s="87"/>
      <c r="I3165" s="84"/>
      <c r="J3165" s="87"/>
      <c r="K3165" s="84"/>
      <c r="L3165" s="87"/>
    </row>
    <row r="3166" spans="1:12" ht="12" customHeight="1" x14ac:dyDescent="0.35">
      <c r="B3166" s="84"/>
      <c r="C3166" s="85"/>
      <c r="D3166" s="84"/>
      <c r="E3166" s="84"/>
      <c r="F3166" s="128"/>
      <c r="G3166" s="87"/>
      <c r="H3166" s="87">
        <f>F3166*G3166</f>
        <v>0</v>
      </c>
      <c r="I3166" s="87"/>
      <c r="J3166" s="87">
        <f>H3166*I3166</f>
        <v>0</v>
      </c>
      <c r="K3166" s="87"/>
      <c r="L3166" s="87">
        <f>J3166*K3166</f>
        <v>0</v>
      </c>
    </row>
    <row r="3167" spans="1:12" ht="12" customHeight="1" x14ac:dyDescent="0.35">
      <c r="B3167" s="84"/>
      <c r="C3167" s="85"/>
      <c r="D3167" s="84"/>
      <c r="E3167" s="84"/>
      <c r="F3167" s="128"/>
      <c r="G3167" s="87"/>
      <c r="H3167" s="87">
        <f>F3167*G3167</f>
        <v>0</v>
      </c>
      <c r="I3167" s="87"/>
      <c r="J3167" s="87"/>
      <c r="K3167" s="87"/>
      <c r="L3167" s="87"/>
    </row>
    <row r="3168" spans="1:12" ht="12" customHeight="1" x14ac:dyDescent="0.35">
      <c r="B3168" s="84"/>
      <c r="C3168" s="85"/>
      <c r="D3168" s="84"/>
      <c r="E3168" s="84"/>
      <c r="F3168" s="128"/>
      <c r="G3168" s="87"/>
      <c r="H3168" s="87">
        <f>F3168*G3168</f>
        <v>0</v>
      </c>
      <c r="I3168" s="87"/>
      <c r="J3168" s="87"/>
      <c r="K3168" s="87"/>
      <c r="L3168" s="87"/>
    </row>
    <row r="3169" spans="1:12" ht="12" customHeight="1" x14ac:dyDescent="0.35">
      <c r="B3169" s="84"/>
      <c r="C3169" s="88"/>
      <c r="D3169" s="79"/>
      <c r="E3169" s="79"/>
      <c r="F3169" s="89" t="s">
        <v>425</v>
      </c>
      <c r="G3169" s="101"/>
      <c r="H3169" s="87">
        <f>SUM(H3166:H3168)</f>
        <v>0</v>
      </c>
      <c r="I3169" s="101"/>
      <c r="J3169" s="87">
        <f>SUM(J3166)</f>
        <v>0</v>
      </c>
      <c r="K3169" s="101"/>
      <c r="L3169" s="87">
        <f>SUM(L3166)</f>
        <v>0</v>
      </c>
    </row>
    <row r="3170" spans="1:12" ht="12" customHeight="1" x14ac:dyDescent="0.35">
      <c r="B3170" s="84" t="s">
        <v>8</v>
      </c>
      <c r="C3170" s="103" t="s">
        <v>426</v>
      </c>
      <c r="D3170" s="104"/>
      <c r="E3170" s="104"/>
      <c r="F3170" s="104"/>
      <c r="G3170" s="105"/>
      <c r="H3170" s="87" t="e">
        <f>H3159+H3164+H3169</f>
        <v>#REF!</v>
      </c>
      <c r="I3170" s="105"/>
      <c r="J3170" s="87" t="e">
        <f>J3159+J3164+J3169</f>
        <v>#REF!</v>
      </c>
      <c r="K3170" s="105"/>
      <c r="L3170" s="87" t="e">
        <f>L3159+L3164+L3169</f>
        <v>#REF!</v>
      </c>
    </row>
    <row r="3171" spans="1:12" ht="12" customHeight="1" x14ac:dyDescent="0.35">
      <c r="B3171" s="84" t="s">
        <v>9</v>
      </c>
      <c r="C3171" s="455" t="s">
        <v>427</v>
      </c>
      <c r="D3171" s="455"/>
      <c r="E3171" s="455"/>
      <c r="F3171" s="95" t="str">
        <f>OP</f>
        <v>TANJUNG PALAS TENGAH</v>
      </c>
      <c r="G3171" s="85" t="s">
        <v>428</v>
      </c>
      <c r="H3171" s="87" t="e">
        <f>H3170*F3171</f>
        <v>#REF!</v>
      </c>
      <c r="I3171" s="85" t="s">
        <v>428</v>
      </c>
      <c r="J3171" s="87" t="e">
        <f>J3170*F3171</f>
        <v>#REF!</v>
      </c>
      <c r="K3171" s="85" t="s">
        <v>428</v>
      </c>
      <c r="L3171" s="87" t="e">
        <f>L3170*F3171</f>
        <v>#REF!</v>
      </c>
    </row>
    <row r="3172" spans="1:12" ht="12" customHeight="1" x14ac:dyDescent="0.35">
      <c r="B3172" s="84" t="s">
        <v>10</v>
      </c>
      <c r="C3172" s="103" t="s">
        <v>429</v>
      </c>
      <c r="D3172" s="104"/>
      <c r="E3172" s="104"/>
      <c r="F3172" s="104"/>
      <c r="G3172" s="105"/>
      <c r="H3172" s="96" t="e">
        <f>H3170+H3171</f>
        <v>#REF!</v>
      </c>
      <c r="I3172" s="97"/>
      <c r="J3172" s="96" t="e">
        <f>J3170+J3171</f>
        <v>#REF!</v>
      </c>
      <c r="K3172" s="97"/>
      <c r="L3172" s="96" t="e">
        <f>L3170+L3171</f>
        <v>#REF!</v>
      </c>
    </row>
    <row r="3173" spans="1:12" x14ac:dyDescent="0.35">
      <c r="B3173" s="75" t="s">
        <v>806</v>
      </c>
    </row>
    <row r="3174" spans="1:12" ht="14" customHeight="1" x14ac:dyDescent="0.35"/>
    <row r="3175" spans="1:12" ht="37" customHeight="1" x14ac:dyDescent="0.35">
      <c r="B3175" s="76" t="s">
        <v>831</v>
      </c>
      <c r="C3175" s="458" t="s">
        <v>833</v>
      </c>
      <c r="D3175" s="459"/>
      <c r="E3175" s="459"/>
      <c r="F3175" s="459"/>
      <c r="G3175" s="456"/>
      <c r="H3175" s="457"/>
      <c r="I3175" s="455" t="s">
        <v>3</v>
      </c>
      <c r="J3175" s="455"/>
      <c r="K3175" s="455" t="s">
        <v>4</v>
      </c>
      <c r="L3175" s="455"/>
    </row>
    <row r="3176" spans="1:12" ht="12" customHeight="1" x14ac:dyDescent="0.35">
      <c r="B3176" s="451" t="s">
        <v>409</v>
      </c>
      <c r="C3176" s="451" t="s">
        <v>410</v>
      </c>
      <c r="D3176" s="452" t="s">
        <v>411</v>
      </c>
      <c r="E3176" s="451" t="s">
        <v>412</v>
      </c>
      <c r="F3176" s="451" t="s">
        <v>413</v>
      </c>
      <c r="G3176" s="77" t="s">
        <v>414</v>
      </c>
      <c r="H3176" s="77" t="s">
        <v>415</v>
      </c>
      <c r="I3176" s="78" t="s">
        <v>414</v>
      </c>
      <c r="J3176" s="79" t="s">
        <v>415</v>
      </c>
      <c r="K3176" s="79" t="s">
        <v>414</v>
      </c>
      <c r="L3176" s="79" t="s">
        <v>415</v>
      </c>
    </row>
    <row r="3177" spans="1:12" ht="12" customHeight="1" x14ac:dyDescent="0.35">
      <c r="B3177" s="451"/>
      <c r="C3177" s="451"/>
      <c r="D3177" s="453"/>
      <c r="E3177" s="451"/>
      <c r="F3177" s="451"/>
      <c r="G3177" s="77" t="s">
        <v>17</v>
      </c>
      <c r="H3177" s="77" t="s">
        <v>416</v>
      </c>
      <c r="I3177" s="78" t="s">
        <v>17</v>
      </c>
      <c r="J3177" s="79" t="s">
        <v>416</v>
      </c>
      <c r="K3177" s="79" t="s">
        <v>17</v>
      </c>
      <c r="L3177" s="79" t="s">
        <v>416</v>
      </c>
    </row>
    <row r="3178" spans="1:12" ht="12" customHeight="1" x14ac:dyDescent="0.35">
      <c r="B3178" s="451"/>
      <c r="C3178" s="451"/>
      <c r="D3178" s="454"/>
      <c r="E3178" s="451"/>
      <c r="F3178" s="451"/>
      <c r="G3178" s="106"/>
      <c r="H3178" s="77" t="s">
        <v>17</v>
      </c>
      <c r="I3178" s="94"/>
      <c r="J3178" s="79" t="s">
        <v>17</v>
      </c>
      <c r="K3178" s="85"/>
      <c r="L3178" s="79" t="s">
        <v>17</v>
      </c>
    </row>
    <row r="3179" spans="1:12" ht="12" customHeight="1" x14ac:dyDescent="0.35">
      <c r="B3179" s="80" t="s">
        <v>5</v>
      </c>
      <c r="C3179" s="81" t="s">
        <v>417</v>
      </c>
      <c r="D3179" s="82"/>
      <c r="E3179" s="82"/>
      <c r="F3179" s="82"/>
      <c r="G3179" s="82"/>
      <c r="H3179" s="82"/>
      <c r="I3179" s="83"/>
      <c r="J3179" s="83"/>
      <c r="K3179" s="83"/>
      <c r="L3179" s="83"/>
    </row>
    <row r="3180" spans="1:12" ht="12" customHeight="1" x14ac:dyDescent="0.35">
      <c r="A3180" s="134">
        <v>10130000</v>
      </c>
      <c r="B3180" s="84"/>
      <c r="C3180" s="85" t="str">
        <f>VLOOKUP(A3180,'DAFTAR HARGA'!A:D,3,FALSE)</f>
        <v>OH</v>
      </c>
      <c r="D3180" s="84" t="s">
        <v>418</v>
      </c>
      <c r="E3180" s="84">
        <f>VLOOKUP(A3180,'DAFTAR HARGA'!A:D,4,FALSE)</f>
        <v>115000</v>
      </c>
      <c r="F3180" s="128">
        <v>0.38</v>
      </c>
      <c r="G3180" s="87" t="e">
        <f>VLOOKUP(A3180,'DAFTAR HARGA'!A:D,5,FALSE)</f>
        <v>#REF!</v>
      </c>
      <c r="H3180" s="87" t="e">
        <f>F3180*G3180</f>
        <v>#REF!</v>
      </c>
      <c r="I3180" s="87">
        <v>91500</v>
      </c>
      <c r="J3180" s="87">
        <f>F3180*I3180</f>
        <v>34770</v>
      </c>
      <c r="K3180" s="87">
        <v>91500</v>
      </c>
      <c r="L3180" s="87">
        <f>F3180*K3180</f>
        <v>34770</v>
      </c>
    </row>
    <row r="3181" spans="1:12" ht="12" customHeight="1" x14ac:dyDescent="0.35">
      <c r="A3181" s="134">
        <v>10142000</v>
      </c>
      <c r="B3181" s="84"/>
      <c r="C3181" s="85" t="str">
        <f>VLOOKUP(A3181,'DAFTAR HARGA'!A:D,3,FALSE)</f>
        <v>OH</v>
      </c>
      <c r="D3181" s="84" t="s">
        <v>418</v>
      </c>
      <c r="E3181" s="84">
        <f>VLOOKUP(A3181,'DAFTAR HARGA'!A:D,4,FALSE)</f>
        <v>236600</v>
      </c>
      <c r="F3181" s="128">
        <v>0.19</v>
      </c>
      <c r="G3181" s="87" t="e">
        <f>VLOOKUP(A3181,'DAFTAR HARGA'!A:D,5,FALSE)</f>
        <v>#REF!</v>
      </c>
      <c r="H3181" s="87" t="e">
        <f>F3181*G3181</f>
        <v>#REF!</v>
      </c>
      <c r="I3181" s="87"/>
      <c r="J3181" s="87"/>
      <c r="K3181" s="87"/>
      <c r="L3181" s="87"/>
    </row>
    <row r="3182" spans="1:12" ht="12" customHeight="1" x14ac:dyDescent="0.35">
      <c r="A3182" s="134">
        <v>10120000</v>
      </c>
      <c r="B3182" s="84"/>
      <c r="C3182" s="85" t="str">
        <f>VLOOKUP(A3182,'DAFTAR HARGA'!A:D,3,FALSE)</f>
        <v>OH</v>
      </c>
      <c r="D3182" s="84" t="s">
        <v>418</v>
      </c>
      <c r="E3182" s="84">
        <f>VLOOKUP(A3182,'DAFTAR HARGA'!A:D,4,FALSE)</f>
        <v>130000</v>
      </c>
      <c r="F3182" s="128">
        <f>F3181/10</f>
        <v>1.9E-2</v>
      </c>
      <c r="G3182" s="87" t="e">
        <f>VLOOKUP(A3182,'DAFTAR HARGA'!A:D,5,FALSE)</f>
        <v>#REF!</v>
      </c>
      <c r="H3182" s="87" t="e">
        <f>F3182*G3182</f>
        <v>#REF!</v>
      </c>
      <c r="I3182" s="87"/>
      <c r="J3182" s="87"/>
      <c r="K3182" s="87"/>
      <c r="L3182" s="87"/>
    </row>
    <row r="3183" spans="1:12" ht="12" customHeight="1" x14ac:dyDescent="0.35">
      <c r="A3183" s="134">
        <v>10110000</v>
      </c>
      <c r="B3183" s="84"/>
      <c r="C3183" s="85" t="str">
        <f>VLOOKUP(A3183,'DAFTAR HARGA'!A:D,3,FALSE)</f>
        <v>OH</v>
      </c>
      <c r="D3183" s="84" t="s">
        <v>418</v>
      </c>
      <c r="E3183" s="84">
        <f>VLOOKUP(A3183,'DAFTAR HARGA'!A:D,4,FALSE)</f>
        <v>150000</v>
      </c>
      <c r="F3183" s="128">
        <f>F3180/10</f>
        <v>3.7999999999999999E-2</v>
      </c>
      <c r="G3183" s="87" t="e">
        <f>VLOOKUP(A3183,'DAFTAR HARGA'!A:D,5,FALSE)</f>
        <v>#REF!</v>
      </c>
      <c r="H3183" s="87" t="e">
        <f>F3183*G3183</f>
        <v>#REF!</v>
      </c>
      <c r="I3183" s="87">
        <v>92500</v>
      </c>
      <c r="J3183" s="87">
        <f>F3183*I3183</f>
        <v>3515</v>
      </c>
      <c r="K3183" s="87">
        <v>92500</v>
      </c>
      <c r="L3183" s="87">
        <f>F3183*K3183</f>
        <v>3515</v>
      </c>
    </row>
    <row r="3184" spans="1:12" ht="12" customHeight="1" x14ac:dyDescent="0.35">
      <c r="B3184" s="84"/>
      <c r="C3184" s="85"/>
      <c r="D3184" s="84"/>
      <c r="E3184" s="84"/>
      <c r="F3184" s="86"/>
      <c r="G3184" s="87"/>
      <c r="H3184" s="87"/>
      <c r="I3184" s="87"/>
      <c r="J3184" s="87"/>
      <c r="K3184" s="87"/>
      <c r="L3184" s="87"/>
    </row>
    <row r="3185" spans="1:12" ht="12" customHeight="1" x14ac:dyDescent="0.35">
      <c r="B3185" s="84"/>
      <c r="C3185" s="88"/>
      <c r="D3185" s="79"/>
      <c r="E3185" s="79"/>
      <c r="F3185" s="89" t="s">
        <v>421</v>
      </c>
      <c r="G3185" s="101"/>
      <c r="H3185" s="87" t="e">
        <f>SUM(H3180:H3184)</f>
        <v>#REF!</v>
      </c>
      <c r="I3185" s="101"/>
      <c r="J3185" s="87">
        <f>SUM(J3183:J3184)</f>
        <v>3515</v>
      </c>
      <c r="K3185" s="101"/>
      <c r="L3185" s="87">
        <f>SUM(L3183:L3184)</f>
        <v>3515</v>
      </c>
    </row>
    <row r="3186" spans="1:12" ht="12" customHeight="1" x14ac:dyDescent="0.35">
      <c r="B3186" s="84" t="s">
        <v>6</v>
      </c>
      <c r="C3186" s="88" t="s">
        <v>422</v>
      </c>
      <c r="D3186" s="79"/>
      <c r="E3186" s="79"/>
      <c r="F3186" s="90"/>
      <c r="G3186" s="84"/>
      <c r="H3186" s="87"/>
      <c r="I3186" s="84"/>
      <c r="J3186" s="87"/>
      <c r="K3186" s="84"/>
      <c r="L3186" s="87"/>
    </row>
    <row r="3187" spans="1:12" x14ac:dyDescent="0.35">
      <c r="A3187" s="134">
        <v>21404010</v>
      </c>
      <c r="B3187" s="84"/>
      <c r="C3187" s="85" t="str">
        <f>VLOOKUP(A3187,'DAFTAR HARGA'!A:D,3,FALSE)</f>
        <v>bt</v>
      </c>
      <c r="D3187" s="84" t="s">
        <v>418</v>
      </c>
      <c r="E3187" s="84">
        <f>VLOOKUP(A3187,'DAFTAR HARGA'!A:D,4,FALSE)</f>
        <v>24700</v>
      </c>
      <c r="F3187" s="128">
        <v>0.748</v>
      </c>
      <c r="G3187" s="87" t="e">
        <f>VLOOKUP(A3187,'DAFTAR HARGA'!A:D,5,FALSE)</f>
        <v>#REF!</v>
      </c>
      <c r="H3187" s="87" t="e">
        <f>F3187*G3187</f>
        <v>#REF!</v>
      </c>
      <c r="I3187" s="87"/>
      <c r="J3187" s="87"/>
      <c r="K3187" s="87"/>
      <c r="L3187" s="87"/>
    </row>
    <row r="3188" spans="1:12" x14ac:dyDescent="0.35">
      <c r="A3188" s="134">
        <v>21911005</v>
      </c>
      <c r="B3188" s="84"/>
      <c r="C3188" s="85" t="str">
        <f>VLOOKUP(A3188,'DAFTAR HARGA'!A:D,3,FALSE)</f>
        <v>kg</v>
      </c>
      <c r="D3188" s="84" t="s">
        <v>418</v>
      </c>
      <c r="E3188" s="84">
        <f>VLOOKUP(A3188,'DAFTAR HARGA'!A:D,4,FALSE)</f>
        <v>21200</v>
      </c>
      <c r="F3188" s="128">
        <v>0.24</v>
      </c>
      <c r="G3188" s="87" t="e">
        <f>VLOOKUP(A3188,'DAFTAR HARGA'!A:D,5,FALSE)</f>
        <v>#REF!</v>
      </c>
      <c r="H3188" s="87" t="e">
        <f>F3188*G3188</f>
        <v>#REF!</v>
      </c>
      <c r="I3188" s="87"/>
      <c r="J3188" s="87"/>
      <c r="K3188" s="87"/>
      <c r="L3188" s="87"/>
    </row>
    <row r="3189" spans="1:12" x14ac:dyDescent="0.35">
      <c r="B3189" s="84"/>
      <c r="C3189" s="85"/>
      <c r="D3189" s="84"/>
      <c r="E3189" s="84"/>
      <c r="F3189" s="128"/>
      <c r="G3189" s="87"/>
      <c r="H3189" s="87">
        <f>F3189*G3189</f>
        <v>0</v>
      </c>
      <c r="I3189" s="87"/>
      <c r="J3189" s="87"/>
      <c r="K3189" s="87"/>
      <c r="L3189" s="87"/>
    </row>
    <row r="3190" spans="1:12" ht="12" customHeight="1" x14ac:dyDescent="0.35">
      <c r="B3190" s="84"/>
      <c r="C3190" s="88"/>
      <c r="D3190" s="79"/>
      <c r="E3190" s="79"/>
      <c r="F3190" s="129" t="s">
        <v>423</v>
      </c>
      <c r="G3190" s="129"/>
      <c r="H3190" s="87" t="e">
        <f>SUM(H3187:H3189)</f>
        <v>#REF!</v>
      </c>
      <c r="I3190" s="101"/>
      <c r="J3190" s="87" t="e">
        <f>SUM(#REF!)</f>
        <v>#REF!</v>
      </c>
      <c r="K3190" s="101"/>
      <c r="L3190" s="87" t="e">
        <f>SUM(#REF!)</f>
        <v>#REF!</v>
      </c>
    </row>
    <row r="3191" spans="1:12" ht="12" customHeight="1" x14ac:dyDescent="0.35">
      <c r="B3191" s="84" t="s">
        <v>7</v>
      </c>
      <c r="C3191" s="88" t="s">
        <v>424</v>
      </c>
      <c r="D3191" s="79"/>
      <c r="E3191" s="79"/>
      <c r="F3191" s="90"/>
      <c r="G3191" s="84"/>
      <c r="H3191" s="87"/>
      <c r="I3191" s="84"/>
      <c r="J3191" s="87"/>
      <c r="K3191" s="84"/>
      <c r="L3191" s="87"/>
    </row>
    <row r="3192" spans="1:12" ht="12" customHeight="1" x14ac:dyDescent="0.35">
      <c r="B3192" s="84"/>
      <c r="C3192" s="85"/>
      <c r="D3192" s="84"/>
      <c r="E3192" s="84"/>
      <c r="F3192" s="128"/>
      <c r="G3192" s="87"/>
      <c r="H3192" s="87">
        <f>F3192*G3192</f>
        <v>0</v>
      </c>
      <c r="I3192" s="87"/>
      <c r="J3192" s="87">
        <f>H3192*I3192</f>
        <v>0</v>
      </c>
      <c r="K3192" s="87"/>
      <c r="L3192" s="87">
        <f>J3192*K3192</f>
        <v>0</v>
      </c>
    </row>
    <row r="3193" spans="1:12" ht="12" customHeight="1" x14ac:dyDescent="0.35">
      <c r="B3193" s="84"/>
      <c r="C3193" s="85"/>
      <c r="D3193" s="84"/>
      <c r="E3193" s="84"/>
      <c r="F3193" s="128"/>
      <c r="G3193" s="87"/>
      <c r="H3193" s="87">
        <f>F3193*G3193</f>
        <v>0</v>
      </c>
      <c r="I3193" s="87"/>
      <c r="J3193" s="87"/>
      <c r="K3193" s="87"/>
      <c r="L3193" s="87"/>
    </row>
    <row r="3194" spans="1:12" ht="12" customHeight="1" x14ac:dyDescent="0.35">
      <c r="B3194" s="84"/>
      <c r="C3194" s="85"/>
      <c r="D3194" s="84"/>
      <c r="E3194" s="84"/>
      <c r="F3194" s="128"/>
      <c r="G3194" s="87"/>
      <c r="H3194" s="87">
        <f>F3194*G3194</f>
        <v>0</v>
      </c>
      <c r="I3194" s="87"/>
      <c r="J3194" s="87"/>
      <c r="K3194" s="87"/>
      <c r="L3194" s="87"/>
    </row>
    <row r="3195" spans="1:12" ht="12" customHeight="1" x14ac:dyDescent="0.35">
      <c r="B3195" s="84"/>
      <c r="C3195" s="88"/>
      <c r="D3195" s="79"/>
      <c r="E3195" s="79"/>
      <c r="F3195" s="89" t="s">
        <v>425</v>
      </c>
      <c r="G3195" s="101"/>
      <c r="H3195" s="87">
        <f>SUM(H3192:H3194)</f>
        <v>0</v>
      </c>
      <c r="I3195" s="101"/>
      <c r="J3195" s="87">
        <f>SUM(J3192)</f>
        <v>0</v>
      </c>
      <c r="K3195" s="101"/>
      <c r="L3195" s="87">
        <f>SUM(L3192)</f>
        <v>0</v>
      </c>
    </row>
    <row r="3196" spans="1:12" ht="12" customHeight="1" x14ac:dyDescent="0.35">
      <c r="B3196" s="84" t="s">
        <v>8</v>
      </c>
      <c r="C3196" s="103" t="s">
        <v>426</v>
      </c>
      <c r="D3196" s="104"/>
      <c r="E3196" s="104"/>
      <c r="F3196" s="104"/>
      <c r="G3196" s="105"/>
      <c r="H3196" s="87" t="e">
        <f>H3185+H3190+H3195</f>
        <v>#REF!</v>
      </c>
      <c r="I3196" s="105"/>
      <c r="J3196" s="87" t="e">
        <f>J3185+J3190+J3195</f>
        <v>#REF!</v>
      </c>
      <c r="K3196" s="105"/>
      <c r="L3196" s="87" t="e">
        <f>L3185+L3190+L3195</f>
        <v>#REF!</v>
      </c>
    </row>
    <row r="3197" spans="1:12" ht="12" customHeight="1" x14ac:dyDescent="0.35">
      <c r="B3197" s="84" t="s">
        <v>9</v>
      </c>
      <c r="C3197" s="455" t="s">
        <v>427</v>
      </c>
      <c r="D3197" s="455"/>
      <c r="E3197" s="455"/>
      <c r="F3197" s="95" t="str">
        <f>OP</f>
        <v>TANJUNG PALAS TENGAH</v>
      </c>
      <c r="G3197" s="85" t="s">
        <v>428</v>
      </c>
      <c r="H3197" s="87" t="e">
        <f>H3196*F3197</f>
        <v>#REF!</v>
      </c>
      <c r="I3197" s="85" t="s">
        <v>428</v>
      </c>
      <c r="J3197" s="87" t="e">
        <f>J3196*F3197</f>
        <v>#REF!</v>
      </c>
      <c r="K3197" s="85" t="s">
        <v>428</v>
      </c>
      <c r="L3197" s="87" t="e">
        <f>L3196*F3197</f>
        <v>#REF!</v>
      </c>
    </row>
    <row r="3198" spans="1:12" ht="12" customHeight="1" x14ac:dyDescent="0.35">
      <c r="B3198" s="84" t="s">
        <v>10</v>
      </c>
      <c r="C3198" s="103" t="s">
        <v>429</v>
      </c>
      <c r="D3198" s="104"/>
      <c r="E3198" s="104"/>
      <c r="F3198" s="104"/>
      <c r="G3198" s="105"/>
      <c r="H3198" s="96" t="e">
        <f>H3196+H3197</f>
        <v>#REF!</v>
      </c>
      <c r="I3198" s="97"/>
      <c r="J3198" s="96" t="e">
        <f>J3196+J3197</f>
        <v>#REF!</v>
      </c>
      <c r="K3198" s="97"/>
      <c r="L3198" s="96" t="e">
        <f>L3196+L3197</f>
        <v>#REF!</v>
      </c>
    </row>
    <row r="3199" spans="1:12" x14ac:dyDescent="0.35">
      <c r="B3199" s="75" t="s">
        <v>806</v>
      </c>
    </row>
    <row r="3200" spans="1:12" ht="14" customHeight="1" x14ac:dyDescent="0.35"/>
    <row r="3201" spans="1:12" ht="37" customHeight="1" x14ac:dyDescent="0.35">
      <c r="B3201" s="76" t="s">
        <v>832</v>
      </c>
      <c r="C3201" s="458" t="s">
        <v>834</v>
      </c>
      <c r="D3201" s="459"/>
      <c r="E3201" s="459"/>
      <c r="F3201" s="459"/>
      <c r="G3201" s="456"/>
      <c r="H3201" s="457"/>
      <c r="I3201" s="455" t="s">
        <v>3</v>
      </c>
      <c r="J3201" s="455"/>
      <c r="K3201" s="455" t="s">
        <v>4</v>
      </c>
      <c r="L3201" s="455"/>
    </row>
    <row r="3202" spans="1:12" ht="12" customHeight="1" x14ac:dyDescent="0.35">
      <c r="B3202" s="451" t="s">
        <v>409</v>
      </c>
      <c r="C3202" s="451" t="s">
        <v>410</v>
      </c>
      <c r="D3202" s="452" t="s">
        <v>411</v>
      </c>
      <c r="E3202" s="451" t="s">
        <v>412</v>
      </c>
      <c r="F3202" s="451" t="s">
        <v>413</v>
      </c>
      <c r="G3202" s="77" t="s">
        <v>414</v>
      </c>
      <c r="H3202" s="77" t="s">
        <v>415</v>
      </c>
      <c r="I3202" s="78" t="s">
        <v>414</v>
      </c>
      <c r="J3202" s="79" t="s">
        <v>415</v>
      </c>
      <c r="K3202" s="79" t="s">
        <v>414</v>
      </c>
      <c r="L3202" s="79" t="s">
        <v>415</v>
      </c>
    </row>
    <row r="3203" spans="1:12" ht="12" customHeight="1" x14ac:dyDescent="0.35">
      <c r="B3203" s="451"/>
      <c r="C3203" s="451"/>
      <c r="D3203" s="453"/>
      <c r="E3203" s="451"/>
      <c r="F3203" s="451"/>
      <c r="G3203" s="77" t="s">
        <v>17</v>
      </c>
      <c r="H3203" s="77" t="s">
        <v>416</v>
      </c>
      <c r="I3203" s="78" t="s">
        <v>17</v>
      </c>
      <c r="J3203" s="79" t="s">
        <v>416</v>
      </c>
      <c r="K3203" s="79" t="s">
        <v>17</v>
      </c>
      <c r="L3203" s="79" t="s">
        <v>416</v>
      </c>
    </row>
    <row r="3204" spans="1:12" ht="12" customHeight="1" x14ac:dyDescent="0.35">
      <c r="B3204" s="451"/>
      <c r="C3204" s="451"/>
      <c r="D3204" s="454"/>
      <c r="E3204" s="451"/>
      <c r="F3204" s="451"/>
      <c r="G3204" s="106"/>
      <c r="H3204" s="77" t="s">
        <v>17</v>
      </c>
      <c r="I3204" s="94"/>
      <c r="J3204" s="79" t="s">
        <v>17</v>
      </c>
      <c r="K3204" s="85"/>
      <c r="L3204" s="79" t="s">
        <v>17</v>
      </c>
    </row>
    <row r="3205" spans="1:12" ht="12" customHeight="1" x14ac:dyDescent="0.35">
      <c r="B3205" s="80" t="s">
        <v>5</v>
      </c>
      <c r="C3205" s="81" t="s">
        <v>417</v>
      </c>
      <c r="D3205" s="82"/>
      <c r="E3205" s="82"/>
      <c r="F3205" s="82"/>
      <c r="G3205" s="82"/>
      <c r="H3205" s="82"/>
      <c r="I3205" s="83"/>
      <c r="J3205" s="83"/>
      <c r="K3205" s="83"/>
      <c r="L3205" s="83"/>
    </row>
    <row r="3206" spans="1:12" ht="12" customHeight="1" x14ac:dyDescent="0.35">
      <c r="A3206" s="134">
        <v>10130000</v>
      </c>
      <c r="B3206" s="84"/>
      <c r="C3206" s="85" t="str">
        <f>VLOOKUP(A3206,'DAFTAR HARGA'!A:D,3,FALSE)</f>
        <v>OH</v>
      </c>
      <c r="D3206" s="84" t="s">
        <v>418</v>
      </c>
      <c r="E3206" s="84">
        <f>VLOOKUP(A3206,'DAFTAR HARGA'!A:D,4,FALSE)</f>
        <v>115000</v>
      </c>
      <c r="F3206" s="128">
        <v>0.36</v>
      </c>
      <c r="G3206" s="87" t="e">
        <f>VLOOKUP(A3206,'DAFTAR HARGA'!A:D,5,FALSE)</f>
        <v>#REF!</v>
      </c>
      <c r="H3206" s="87" t="e">
        <f>F3206*G3206</f>
        <v>#REF!</v>
      </c>
      <c r="I3206" s="87">
        <v>91500</v>
      </c>
      <c r="J3206" s="87">
        <f>F3206*I3206</f>
        <v>32940</v>
      </c>
      <c r="K3206" s="87">
        <v>91500</v>
      </c>
      <c r="L3206" s="87">
        <f>F3206*K3206</f>
        <v>32940</v>
      </c>
    </row>
    <row r="3207" spans="1:12" ht="12" customHeight="1" x14ac:dyDescent="0.35">
      <c r="A3207" s="134">
        <v>10142000</v>
      </c>
      <c r="B3207" s="84"/>
      <c r="C3207" s="85" t="str">
        <f>VLOOKUP(A3207,'DAFTAR HARGA'!A:D,3,FALSE)</f>
        <v>OH</v>
      </c>
      <c r="D3207" s="84" t="s">
        <v>418</v>
      </c>
      <c r="E3207" s="84">
        <f>VLOOKUP(A3207,'DAFTAR HARGA'!A:D,4,FALSE)</f>
        <v>236600</v>
      </c>
      <c r="F3207" s="128">
        <v>0.18</v>
      </c>
      <c r="G3207" s="87" t="e">
        <f>VLOOKUP(A3207,'DAFTAR HARGA'!A:D,5,FALSE)</f>
        <v>#REF!</v>
      </c>
      <c r="H3207" s="87" t="e">
        <f>F3207*G3207</f>
        <v>#REF!</v>
      </c>
      <c r="I3207" s="87"/>
      <c r="J3207" s="87"/>
      <c r="K3207" s="87"/>
      <c r="L3207" s="87"/>
    </row>
    <row r="3208" spans="1:12" ht="12" customHeight="1" x14ac:dyDescent="0.35">
      <c r="A3208" s="134">
        <v>10120000</v>
      </c>
      <c r="B3208" s="84"/>
      <c r="C3208" s="85" t="str">
        <f>VLOOKUP(A3208,'DAFTAR HARGA'!A:D,3,FALSE)</f>
        <v>OH</v>
      </c>
      <c r="D3208" s="84" t="s">
        <v>418</v>
      </c>
      <c r="E3208" s="84">
        <f>VLOOKUP(A3208,'DAFTAR HARGA'!A:D,4,FALSE)</f>
        <v>130000</v>
      </c>
      <c r="F3208" s="128">
        <f>F3207/10</f>
        <v>1.7999999999999999E-2</v>
      </c>
      <c r="G3208" s="87" t="e">
        <f>VLOOKUP(A3208,'DAFTAR HARGA'!A:D,5,FALSE)</f>
        <v>#REF!</v>
      </c>
      <c r="H3208" s="87" t="e">
        <f>F3208*G3208</f>
        <v>#REF!</v>
      </c>
      <c r="I3208" s="87"/>
      <c r="J3208" s="87"/>
      <c r="K3208" s="87"/>
      <c r="L3208" s="87"/>
    </row>
    <row r="3209" spans="1:12" ht="12" customHeight="1" x14ac:dyDescent="0.35">
      <c r="A3209" s="134">
        <v>10110000</v>
      </c>
      <c r="B3209" s="84"/>
      <c r="C3209" s="85" t="str">
        <f>VLOOKUP(A3209,'DAFTAR HARGA'!A:D,3,FALSE)</f>
        <v>OH</v>
      </c>
      <c r="D3209" s="84" t="s">
        <v>418</v>
      </c>
      <c r="E3209" s="84">
        <f>VLOOKUP(A3209,'DAFTAR HARGA'!A:D,4,FALSE)</f>
        <v>150000</v>
      </c>
      <c r="F3209" s="128">
        <f>F3206/10</f>
        <v>3.5999999999999997E-2</v>
      </c>
      <c r="G3209" s="87" t="e">
        <f>VLOOKUP(A3209,'DAFTAR HARGA'!A:D,5,FALSE)</f>
        <v>#REF!</v>
      </c>
      <c r="H3209" s="87" t="e">
        <f>F3209*G3209</f>
        <v>#REF!</v>
      </c>
      <c r="I3209" s="87">
        <v>92500</v>
      </c>
      <c r="J3209" s="87">
        <f>F3209*I3209</f>
        <v>3329.9999999999995</v>
      </c>
      <c r="K3209" s="87">
        <v>92500</v>
      </c>
      <c r="L3209" s="87">
        <f>F3209*K3209</f>
        <v>3329.9999999999995</v>
      </c>
    </row>
    <row r="3210" spans="1:12" ht="12" customHeight="1" x14ac:dyDescent="0.35">
      <c r="B3210" s="84"/>
      <c r="C3210" s="85"/>
      <c r="D3210" s="84"/>
      <c r="E3210" s="84"/>
      <c r="F3210" s="86"/>
      <c r="G3210" s="87"/>
      <c r="H3210" s="87"/>
      <c r="I3210" s="87"/>
      <c r="J3210" s="87"/>
      <c r="K3210" s="87"/>
      <c r="L3210" s="87"/>
    </row>
    <row r="3211" spans="1:12" ht="12" customHeight="1" x14ac:dyDescent="0.35">
      <c r="B3211" s="84"/>
      <c r="C3211" s="88"/>
      <c r="D3211" s="79"/>
      <c r="E3211" s="79"/>
      <c r="F3211" s="89" t="s">
        <v>421</v>
      </c>
      <c r="G3211" s="101"/>
      <c r="H3211" s="87" t="e">
        <f>SUM(H3206:H3210)</f>
        <v>#REF!</v>
      </c>
      <c r="I3211" s="101"/>
      <c r="J3211" s="87">
        <f>SUM(J3209:J3210)</f>
        <v>3329.9999999999995</v>
      </c>
      <c r="K3211" s="101"/>
      <c r="L3211" s="87">
        <f>SUM(L3209:L3210)</f>
        <v>3329.9999999999995</v>
      </c>
    </row>
    <row r="3212" spans="1:12" ht="12" customHeight="1" x14ac:dyDescent="0.35">
      <c r="B3212" s="84" t="s">
        <v>6</v>
      </c>
      <c r="C3212" s="88" t="s">
        <v>422</v>
      </c>
      <c r="D3212" s="79"/>
      <c r="E3212" s="79"/>
      <c r="F3212" s="90"/>
      <c r="G3212" s="84"/>
      <c r="H3212" s="87"/>
      <c r="I3212" s="84"/>
      <c r="J3212" s="87"/>
      <c r="K3212" s="84"/>
      <c r="L3212" s="87"/>
    </row>
    <row r="3213" spans="1:12" x14ac:dyDescent="0.35">
      <c r="A3213" s="134">
        <v>21403008</v>
      </c>
      <c r="B3213" s="84"/>
      <c r="C3213" s="85" t="str">
        <f>VLOOKUP(A3213,'DAFTAR HARGA'!A:D,3,FALSE)</f>
        <v>bt</v>
      </c>
      <c r="D3213" s="84" t="s">
        <v>418</v>
      </c>
      <c r="E3213" s="84">
        <f>VLOOKUP(A3213,'DAFTAR HARGA'!A:D,4,FALSE)</f>
        <v>20800</v>
      </c>
      <c r="F3213" s="128">
        <v>0.92</v>
      </c>
      <c r="G3213" s="87" t="e">
        <f>VLOOKUP(A3213,'DAFTAR HARGA'!A:D,5,FALSE)</f>
        <v>#REF!</v>
      </c>
      <c r="H3213" s="87" t="e">
        <f>F3213*G3213</f>
        <v>#REF!</v>
      </c>
      <c r="I3213" s="87"/>
      <c r="J3213" s="87"/>
      <c r="K3213" s="87"/>
      <c r="L3213" s="87"/>
    </row>
    <row r="3214" spans="1:12" x14ac:dyDescent="0.35">
      <c r="A3214" s="134">
        <v>21911005</v>
      </c>
      <c r="B3214" s="84"/>
      <c r="C3214" s="85" t="str">
        <f>VLOOKUP(A3214,'DAFTAR HARGA'!A:D,3,FALSE)</f>
        <v>kg</v>
      </c>
      <c r="D3214" s="84" t="s">
        <v>418</v>
      </c>
      <c r="E3214" s="84">
        <f>VLOOKUP(A3214,'DAFTAR HARGA'!A:D,4,FALSE)</f>
        <v>21200</v>
      </c>
      <c r="F3214" s="128">
        <v>0.24</v>
      </c>
      <c r="G3214" s="87" t="e">
        <f>VLOOKUP(A3214,'DAFTAR HARGA'!A:D,5,FALSE)</f>
        <v>#REF!</v>
      </c>
      <c r="H3214" s="87" t="e">
        <f>F3214*G3214</f>
        <v>#REF!</v>
      </c>
      <c r="I3214" s="87"/>
      <c r="J3214" s="87"/>
      <c r="K3214" s="87"/>
      <c r="L3214" s="87"/>
    </row>
    <row r="3215" spans="1:12" x14ac:dyDescent="0.35">
      <c r="A3215" s="134">
        <v>24100000</v>
      </c>
      <c r="B3215" s="84"/>
      <c r="C3215" s="85" t="str">
        <f>VLOOKUP(A3215,'DAFTAR HARGA'!A:D,3,FALSE)</f>
        <v>kg</v>
      </c>
      <c r="D3215" s="84" t="s">
        <v>418</v>
      </c>
      <c r="E3215" s="84">
        <f>VLOOKUP(A3215,'DAFTAR HARGA'!A:D,4,FALSE)</f>
        <v>6500</v>
      </c>
      <c r="F3215" s="128">
        <v>0.3</v>
      </c>
      <c r="G3215" s="87" t="e">
        <f>VLOOKUP(A3215,'DAFTAR HARGA'!A:D,5,FALSE)</f>
        <v>#REF!</v>
      </c>
      <c r="H3215" s="87" t="e">
        <f>F3215*G3215</f>
        <v>#REF!</v>
      </c>
      <c r="I3215" s="87"/>
      <c r="J3215" s="87"/>
      <c r="K3215" s="87"/>
      <c r="L3215" s="87"/>
    </row>
    <row r="3216" spans="1:12" ht="12" customHeight="1" x14ac:dyDescent="0.35">
      <c r="B3216" s="84"/>
      <c r="C3216" s="88"/>
      <c r="D3216" s="79"/>
      <c r="E3216" s="79"/>
      <c r="F3216" s="129" t="s">
        <v>423</v>
      </c>
      <c r="G3216" s="129"/>
      <c r="H3216" s="87" t="e">
        <f>SUM(H3213:H3215)</f>
        <v>#REF!</v>
      </c>
      <c r="I3216" s="101"/>
      <c r="J3216" s="87" t="e">
        <f>SUM(#REF!)</f>
        <v>#REF!</v>
      </c>
      <c r="K3216" s="101"/>
      <c r="L3216" s="87" t="e">
        <f>SUM(#REF!)</f>
        <v>#REF!</v>
      </c>
    </row>
    <row r="3217" spans="1:12" ht="12" customHeight="1" x14ac:dyDescent="0.35">
      <c r="B3217" s="84" t="s">
        <v>7</v>
      </c>
      <c r="C3217" s="88" t="s">
        <v>424</v>
      </c>
      <c r="D3217" s="79"/>
      <c r="E3217" s="79"/>
      <c r="F3217" s="90"/>
      <c r="G3217" s="84"/>
      <c r="H3217" s="87"/>
      <c r="I3217" s="84"/>
      <c r="J3217" s="87"/>
      <c r="K3217" s="84"/>
      <c r="L3217" s="87"/>
    </row>
    <row r="3218" spans="1:12" ht="12" customHeight="1" x14ac:dyDescent="0.35">
      <c r="B3218" s="84"/>
      <c r="C3218" s="85"/>
      <c r="D3218" s="84"/>
      <c r="E3218" s="84"/>
      <c r="F3218" s="128"/>
      <c r="G3218" s="87"/>
      <c r="H3218" s="87">
        <f>F3218*G3218</f>
        <v>0</v>
      </c>
      <c r="I3218" s="87"/>
      <c r="J3218" s="87">
        <f>H3218*I3218</f>
        <v>0</v>
      </c>
      <c r="K3218" s="87"/>
      <c r="L3218" s="87">
        <f>J3218*K3218</f>
        <v>0</v>
      </c>
    </row>
    <row r="3219" spans="1:12" ht="12" customHeight="1" x14ac:dyDescent="0.35">
      <c r="B3219" s="84"/>
      <c r="C3219" s="85"/>
      <c r="D3219" s="84"/>
      <c r="E3219" s="84"/>
      <c r="F3219" s="128"/>
      <c r="G3219" s="87"/>
      <c r="H3219" s="87">
        <f>F3219*G3219</f>
        <v>0</v>
      </c>
      <c r="I3219" s="87"/>
      <c r="J3219" s="87"/>
      <c r="K3219" s="87"/>
      <c r="L3219" s="87"/>
    </row>
    <row r="3220" spans="1:12" ht="12" customHeight="1" x14ac:dyDescent="0.35">
      <c r="B3220" s="84"/>
      <c r="C3220" s="85"/>
      <c r="D3220" s="84"/>
      <c r="E3220" s="84"/>
      <c r="F3220" s="128"/>
      <c r="G3220" s="87"/>
      <c r="H3220" s="87">
        <f>F3220*G3220</f>
        <v>0</v>
      </c>
      <c r="I3220" s="87"/>
      <c r="J3220" s="87"/>
      <c r="K3220" s="87"/>
      <c r="L3220" s="87"/>
    </row>
    <row r="3221" spans="1:12" ht="12" customHeight="1" x14ac:dyDescent="0.35">
      <c r="B3221" s="84"/>
      <c r="C3221" s="88"/>
      <c r="D3221" s="79"/>
      <c r="E3221" s="79"/>
      <c r="F3221" s="89" t="s">
        <v>425</v>
      </c>
      <c r="G3221" s="101"/>
      <c r="H3221" s="87">
        <f>SUM(H3218:H3220)</f>
        <v>0</v>
      </c>
      <c r="I3221" s="101"/>
      <c r="J3221" s="87">
        <f>SUM(J3218)</f>
        <v>0</v>
      </c>
      <c r="K3221" s="101"/>
      <c r="L3221" s="87">
        <f>SUM(L3218)</f>
        <v>0</v>
      </c>
    </row>
    <row r="3222" spans="1:12" ht="12" customHeight="1" x14ac:dyDescent="0.35">
      <c r="B3222" s="84" t="s">
        <v>8</v>
      </c>
      <c r="C3222" s="103" t="s">
        <v>426</v>
      </c>
      <c r="D3222" s="104"/>
      <c r="E3222" s="104"/>
      <c r="F3222" s="104"/>
      <c r="G3222" s="105"/>
      <c r="H3222" s="87" t="e">
        <f>H3211+H3216+H3221</f>
        <v>#REF!</v>
      </c>
      <c r="I3222" s="105"/>
      <c r="J3222" s="87" t="e">
        <f>J3211+J3216+J3221</f>
        <v>#REF!</v>
      </c>
      <c r="K3222" s="105"/>
      <c r="L3222" s="87" t="e">
        <f>L3211+L3216+L3221</f>
        <v>#REF!</v>
      </c>
    </row>
    <row r="3223" spans="1:12" ht="12" customHeight="1" x14ac:dyDescent="0.35">
      <c r="B3223" s="84" t="s">
        <v>9</v>
      </c>
      <c r="C3223" s="455" t="s">
        <v>427</v>
      </c>
      <c r="D3223" s="455"/>
      <c r="E3223" s="455"/>
      <c r="F3223" s="95" t="str">
        <f>OP</f>
        <v>TANJUNG PALAS TENGAH</v>
      </c>
      <c r="G3223" s="85" t="s">
        <v>428</v>
      </c>
      <c r="H3223" s="87" t="e">
        <f>H3222*F3223</f>
        <v>#REF!</v>
      </c>
      <c r="I3223" s="85" t="s">
        <v>428</v>
      </c>
      <c r="J3223" s="87" t="e">
        <f>J3222*F3223</f>
        <v>#REF!</v>
      </c>
      <c r="K3223" s="85" t="s">
        <v>428</v>
      </c>
      <c r="L3223" s="87" t="e">
        <f>L3222*F3223</f>
        <v>#REF!</v>
      </c>
    </row>
    <row r="3224" spans="1:12" ht="12" customHeight="1" x14ac:dyDescent="0.35">
      <c r="B3224" s="84" t="s">
        <v>10</v>
      </c>
      <c r="C3224" s="103" t="s">
        <v>429</v>
      </c>
      <c r="D3224" s="104"/>
      <c r="E3224" s="104"/>
      <c r="F3224" s="104"/>
      <c r="G3224" s="105"/>
      <c r="H3224" s="96" t="e">
        <f>H3222+H3223</f>
        <v>#REF!</v>
      </c>
      <c r="I3224" s="97"/>
      <c r="J3224" s="96" t="e">
        <f>J3222+J3223</f>
        <v>#REF!</v>
      </c>
      <c r="K3224" s="97"/>
      <c r="L3224" s="96" t="e">
        <f>L3222+L3223</f>
        <v>#REF!</v>
      </c>
    </row>
    <row r="3225" spans="1:12" x14ac:dyDescent="0.35">
      <c r="B3225" s="75" t="s">
        <v>806</v>
      </c>
    </row>
    <row r="3226" spans="1:12" ht="14" customHeight="1" x14ac:dyDescent="0.35"/>
    <row r="3227" spans="1:12" ht="37" customHeight="1" x14ac:dyDescent="0.35">
      <c r="B3227" s="76" t="s">
        <v>835</v>
      </c>
      <c r="C3227" s="458" t="s">
        <v>836</v>
      </c>
      <c r="D3227" s="459"/>
      <c r="E3227" s="459"/>
      <c r="F3227" s="459"/>
      <c r="G3227" s="456"/>
      <c r="H3227" s="457"/>
      <c r="I3227" s="455" t="s">
        <v>3</v>
      </c>
      <c r="J3227" s="455"/>
      <c r="K3227" s="455" t="s">
        <v>4</v>
      </c>
      <c r="L3227" s="455"/>
    </row>
    <row r="3228" spans="1:12" ht="12" customHeight="1" x14ac:dyDescent="0.35">
      <c r="B3228" s="451" t="s">
        <v>409</v>
      </c>
      <c r="C3228" s="451" t="s">
        <v>410</v>
      </c>
      <c r="D3228" s="452" t="s">
        <v>411</v>
      </c>
      <c r="E3228" s="451" t="s">
        <v>412</v>
      </c>
      <c r="F3228" s="451" t="s">
        <v>413</v>
      </c>
      <c r="G3228" s="77" t="s">
        <v>414</v>
      </c>
      <c r="H3228" s="77" t="s">
        <v>415</v>
      </c>
      <c r="I3228" s="78" t="s">
        <v>414</v>
      </c>
      <c r="J3228" s="79" t="s">
        <v>415</v>
      </c>
      <c r="K3228" s="79" t="s">
        <v>414</v>
      </c>
      <c r="L3228" s="79" t="s">
        <v>415</v>
      </c>
    </row>
    <row r="3229" spans="1:12" ht="12" customHeight="1" x14ac:dyDescent="0.35">
      <c r="B3229" s="451"/>
      <c r="C3229" s="451"/>
      <c r="D3229" s="453"/>
      <c r="E3229" s="451"/>
      <c r="F3229" s="451"/>
      <c r="G3229" s="77" t="s">
        <v>17</v>
      </c>
      <c r="H3229" s="77" t="s">
        <v>416</v>
      </c>
      <c r="I3229" s="78" t="s">
        <v>17</v>
      </c>
      <c r="J3229" s="79" t="s">
        <v>416</v>
      </c>
      <c r="K3229" s="79" t="s">
        <v>17</v>
      </c>
      <c r="L3229" s="79" t="s">
        <v>416</v>
      </c>
    </row>
    <row r="3230" spans="1:12" ht="12" customHeight="1" x14ac:dyDescent="0.35">
      <c r="B3230" s="451"/>
      <c r="C3230" s="451"/>
      <c r="D3230" s="454"/>
      <c r="E3230" s="451"/>
      <c r="F3230" s="451"/>
      <c r="G3230" s="106"/>
      <c r="H3230" s="77" t="s">
        <v>17</v>
      </c>
      <c r="I3230" s="94"/>
      <c r="J3230" s="79" t="s">
        <v>17</v>
      </c>
      <c r="K3230" s="85"/>
      <c r="L3230" s="79" t="s">
        <v>17</v>
      </c>
    </row>
    <row r="3231" spans="1:12" ht="12" customHeight="1" x14ac:dyDescent="0.35">
      <c r="B3231" s="80" t="s">
        <v>5</v>
      </c>
      <c r="C3231" s="81" t="s">
        <v>417</v>
      </c>
      <c r="D3231" s="82"/>
      <c r="E3231" s="82"/>
      <c r="F3231" s="82"/>
      <c r="G3231" s="82"/>
      <c r="H3231" s="82"/>
      <c r="I3231" s="83"/>
      <c r="J3231" s="83"/>
      <c r="K3231" s="83"/>
      <c r="L3231" s="83"/>
    </row>
    <row r="3232" spans="1:12" ht="12" customHeight="1" x14ac:dyDescent="0.35">
      <c r="A3232" s="134">
        <v>10130000</v>
      </c>
      <c r="B3232" s="84"/>
      <c r="C3232" s="85" t="str">
        <f>VLOOKUP(A3232,'DAFTAR HARGA'!A:D,3,FALSE)</f>
        <v>OH</v>
      </c>
      <c r="D3232" s="84" t="s">
        <v>418</v>
      </c>
      <c r="E3232" s="84">
        <f>VLOOKUP(A3232,'DAFTAR HARGA'!A:D,4,FALSE)</f>
        <v>115000</v>
      </c>
      <c r="F3232" s="128">
        <v>0.24</v>
      </c>
      <c r="G3232" s="87" t="e">
        <f>VLOOKUP(A3232,'DAFTAR HARGA'!A:D,5,FALSE)</f>
        <v>#REF!</v>
      </c>
      <c r="H3232" s="87" t="e">
        <f>F3232*G3232</f>
        <v>#REF!</v>
      </c>
      <c r="I3232" s="87">
        <v>91500</v>
      </c>
      <c r="J3232" s="87">
        <f>F3232*I3232</f>
        <v>21960</v>
      </c>
      <c r="K3232" s="87">
        <v>91500</v>
      </c>
      <c r="L3232" s="87">
        <f>F3232*K3232</f>
        <v>21960</v>
      </c>
    </row>
    <row r="3233" spans="1:12" ht="12" customHeight="1" x14ac:dyDescent="0.35">
      <c r="A3233" s="134">
        <v>10142000</v>
      </c>
      <c r="B3233" s="84"/>
      <c r="C3233" s="85" t="str">
        <f>VLOOKUP(A3233,'DAFTAR HARGA'!A:D,3,FALSE)</f>
        <v>OH</v>
      </c>
      <c r="D3233" s="84" t="s">
        <v>418</v>
      </c>
      <c r="E3233" s="84">
        <f>VLOOKUP(A3233,'DAFTAR HARGA'!A:D,4,FALSE)</f>
        <v>236600</v>
      </c>
      <c r="F3233" s="128">
        <v>0.12</v>
      </c>
      <c r="G3233" s="87" t="e">
        <f>VLOOKUP(A3233,'DAFTAR HARGA'!A:D,5,FALSE)</f>
        <v>#REF!</v>
      </c>
      <c r="H3233" s="87" t="e">
        <f>F3233*G3233</f>
        <v>#REF!</v>
      </c>
      <c r="I3233" s="87"/>
      <c r="J3233" s="87"/>
      <c r="K3233" s="87"/>
      <c r="L3233" s="87"/>
    </row>
    <row r="3234" spans="1:12" ht="12" customHeight="1" x14ac:dyDescent="0.35">
      <c r="A3234" s="134">
        <v>10120000</v>
      </c>
      <c r="B3234" s="84"/>
      <c r="C3234" s="85" t="str">
        <f>VLOOKUP(A3234,'DAFTAR HARGA'!A:D,3,FALSE)</f>
        <v>OH</v>
      </c>
      <c r="D3234" s="84" t="s">
        <v>418</v>
      </c>
      <c r="E3234" s="84">
        <f>VLOOKUP(A3234,'DAFTAR HARGA'!A:D,4,FALSE)</f>
        <v>130000</v>
      </c>
      <c r="F3234" s="128">
        <f>F3233/10</f>
        <v>1.2E-2</v>
      </c>
      <c r="G3234" s="87" t="e">
        <f>VLOOKUP(A3234,'DAFTAR HARGA'!A:D,5,FALSE)</f>
        <v>#REF!</v>
      </c>
      <c r="H3234" s="87" t="e">
        <f>F3234*G3234</f>
        <v>#REF!</v>
      </c>
      <c r="I3234" s="87"/>
      <c r="J3234" s="87"/>
      <c r="K3234" s="87"/>
      <c r="L3234" s="87"/>
    </row>
    <row r="3235" spans="1:12" ht="12" customHeight="1" x14ac:dyDescent="0.35">
      <c r="A3235" s="134">
        <v>10110000</v>
      </c>
      <c r="B3235" s="84"/>
      <c r="C3235" s="85" t="str">
        <f>VLOOKUP(A3235,'DAFTAR HARGA'!A:D,3,FALSE)</f>
        <v>OH</v>
      </c>
      <c r="D3235" s="84" t="s">
        <v>418</v>
      </c>
      <c r="E3235" s="84">
        <f>VLOOKUP(A3235,'DAFTAR HARGA'!A:D,4,FALSE)</f>
        <v>150000</v>
      </c>
      <c r="F3235" s="128">
        <f>F3232/10</f>
        <v>2.4E-2</v>
      </c>
      <c r="G3235" s="87" t="e">
        <f>VLOOKUP(A3235,'DAFTAR HARGA'!A:D,5,FALSE)</f>
        <v>#REF!</v>
      </c>
      <c r="H3235" s="87" t="e">
        <f>F3235*G3235</f>
        <v>#REF!</v>
      </c>
      <c r="I3235" s="87">
        <v>92500</v>
      </c>
      <c r="J3235" s="87">
        <f>F3235*I3235</f>
        <v>2220</v>
      </c>
      <c r="K3235" s="87">
        <v>92500</v>
      </c>
      <c r="L3235" s="87">
        <f>F3235*K3235</f>
        <v>2220</v>
      </c>
    </row>
    <row r="3236" spans="1:12" ht="12" customHeight="1" x14ac:dyDescent="0.35">
      <c r="B3236" s="84"/>
      <c r="C3236" s="85"/>
      <c r="D3236" s="84"/>
      <c r="E3236" s="84"/>
      <c r="F3236" s="86"/>
      <c r="G3236" s="87"/>
      <c r="H3236" s="87"/>
      <c r="I3236" s="87"/>
      <c r="J3236" s="87"/>
      <c r="K3236" s="87"/>
      <c r="L3236" s="87"/>
    </row>
    <row r="3237" spans="1:12" ht="12" customHeight="1" x14ac:dyDescent="0.35">
      <c r="B3237" s="84"/>
      <c r="C3237" s="88"/>
      <c r="D3237" s="79"/>
      <c r="E3237" s="79"/>
      <c r="F3237" s="89" t="s">
        <v>421</v>
      </c>
      <c r="G3237" s="101"/>
      <c r="H3237" s="87" t="e">
        <f>SUM(H3232:H3236)</f>
        <v>#REF!</v>
      </c>
      <c r="I3237" s="101"/>
      <c r="J3237" s="87">
        <f>SUM(J3235:J3236)</f>
        <v>2220</v>
      </c>
      <c r="K3237" s="101"/>
      <c r="L3237" s="87">
        <f>SUM(L3235:L3236)</f>
        <v>2220</v>
      </c>
    </row>
    <row r="3238" spans="1:12" ht="12" customHeight="1" x14ac:dyDescent="0.35">
      <c r="B3238" s="84" t="s">
        <v>6</v>
      </c>
      <c r="C3238" s="88" t="s">
        <v>422</v>
      </c>
      <c r="D3238" s="79"/>
      <c r="E3238" s="79"/>
      <c r="F3238" s="90"/>
      <c r="G3238" s="84"/>
      <c r="H3238" s="87"/>
      <c r="I3238" s="84"/>
      <c r="J3238" s="87"/>
      <c r="K3238" s="84"/>
      <c r="L3238" s="87"/>
    </row>
    <row r="3239" spans="1:12" x14ac:dyDescent="0.35">
      <c r="A3239" s="134">
        <v>21924004</v>
      </c>
      <c r="B3239" s="84"/>
      <c r="C3239" s="85" t="str">
        <f>VLOOKUP(A3239,'DAFTAR HARGA'!A:D,3,FALSE)</f>
        <v>m²</v>
      </c>
      <c r="D3239" s="84" t="s">
        <v>418</v>
      </c>
      <c r="E3239" s="84">
        <f>VLOOKUP(A3239,'DAFTAR HARGA'!A:D,4,FALSE)</f>
        <v>175000</v>
      </c>
      <c r="F3239" s="128">
        <v>0.128</v>
      </c>
      <c r="G3239" s="87" t="e">
        <f>VLOOKUP(A3239,'DAFTAR HARGA'!A:D,5,FALSE)</f>
        <v>#REF!</v>
      </c>
      <c r="H3239" s="87" t="e">
        <f>F3239*G3239</f>
        <v>#REF!</v>
      </c>
      <c r="I3239" s="87">
        <v>232500</v>
      </c>
      <c r="J3239" s="87">
        <f>F3239*I3239</f>
        <v>29760</v>
      </c>
      <c r="K3239" s="87">
        <v>270000</v>
      </c>
      <c r="L3239" s="87">
        <f>F3239*K3239</f>
        <v>34560</v>
      </c>
    </row>
    <row r="3240" spans="1:12" x14ac:dyDescent="0.35">
      <c r="A3240" s="134">
        <v>21401200</v>
      </c>
      <c r="B3240" s="84"/>
      <c r="C3240" s="85" t="str">
        <f>VLOOKUP(A3240,'DAFTAR HARGA'!A:D,3,FALSE)</f>
        <v>m³</v>
      </c>
      <c r="D3240" s="84" t="s">
        <v>418</v>
      </c>
      <c r="E3240" s="84">
        <f>VLOOKUP(A3240,'DAFTAR HARGA'!A:D,4,FALSE)</f>
        <v>1900000</v>
      </c>
      <c r="F3240" s="128">
        <v>5.0000000000000001E-3</v>
      </c>
      <c r="G3240" s="87" t="e">
        <f>VLOOKUP(A3240,'DAFTAR HARGA'!A:D,5,FALSE)</f>
        <v>#REF!</v>
      </c>
      <c r="H3240" s="87" t="e">
        <f>F3240*G3240</f>
        <v>#REF!</v>
      </c>
      <c r="I3240" s="87"/>
      <c r="J3240" s="87"/>
      <c r="K3240" s="87"/>
      <c r="L3240" s="87"/>
    </row>
    <row r="3241" spans="1:12" x14ac:dyDescent="0.35">
      <c r="A3241" s="134">
        <v>21911005</v>
      </c>
      <c r="B3241" s="84"/>
      <c r="C3241" s="85" t="str">
        <f>VLOOKUP(A3241,'DAFTAR HARGA'!A:D,3,FALSE)</f>
        <v>kg</v>
      </c>
      <c r="D3241" s="84" t="s">
        <v>418</v>
      </c>
      <c r="E3241" s="84">
        <f>VLOOKUP(A3241,'DAFTAR HARGA'!A:D,4,FALSE)</f>
        <v>21200</v>
      </c>
      <c r="F3241" s="128">
        <v>0.24</v>
      </c>
      <c r="G3241" s="87" t="e">
        <f>VLOOKUP(A3241,'DAFTAR HARGA'!A:D,5,FALSE)</f>
        <v>#REF!</v>
      </c>
      <c r="H3241" s="87" t="e">
        <f>F3241*G3241</f>
        <v>#REF!</v>
      </c>
      <c r="I3241" s="87"/>
      <c r="J3241" s="87"/>
      <c r="K3241" s="87"/>
      <c r="L3241" s="87"/>
    </row>
    <row r="3242" spans="1:12" x14ac:dyDescent="0.35">
      <c r="A3242" s="134">
        <v>21961000</v>
      </c>
      <c r="B3242" s="84"/>
      <c r="C3242" s="85" t="str">
        <f>VLOOKUP(A3242,'DAFTAR HARGA'!A:D,3,FALSE)</f>
        <v>liter</v>
      </c>
      <c r="D3242" s="84" t="s">
        <v>418</v>
      </c>
      <c r="E3242" s="84">
        <f>VLOOKUP(A3242,'DAFTAR HARGA'!A:D,4,FALSE)</f>
        <v>22100</v>
      </c>
      <c r="F3242" s="128">
        <v>0.2</v>
      </c>
      <c r="G3242" s="87" t="e">
        <f>VLOOKUP(A3242,'DAFTAR HARGA'!A:D,5,FALSE)</f>
        <v>#REF!</v>
      </c>
      <c r="H3242" s="87" t="e">
        <f>F3242*G3242</f>
        <v>#REF!</v>
      </c>
      <c r="I3242" s="87"/>
      <c r="J3242" s="87"/>
      <c r="K3242" s="87"/>
      <c r="L3242" s="87"/>
    </row>
    <row r="3243" spans="1:12" ht="12" customHeight="1" x14ac:dyDescent="0.35">
      <c r="B3243" s="84"/>
      <c r="C3243" s="88"/>
      <c r="D3243" s="79"/>
      <c r="E3243" s="79"/>
      <c r="F3243" s="129" t="s">
        <v>423</v>
      </c>
      <c r="G3243" s="129"/>
      <c r="H3243" s="87" t="e">
        <f>SUM(H3239:H3242)</f>
        <v>#REF!</v>
      </c>
      <c r="I3243" s="101"/>
      <c r="J3243" s="87" t="e">
        <f>SUM(#REF!)</f>
        <v>#REF!</v>
      </c>
      <c r="K3243" s="101"/>
      <c r="L3243" s="87" t="e">
        <f>SUM(#REF!)</f>
        <v>#REF!</v>
      </c>
    </row>
    <row r="3244" spans="1:12" ht="12" customHeight="1" x14ac:dyDescent="0.35">
      <c r="B3244" s="84" t="s">
        <v>7</v>
      </c>
      <c r="C3244" s="88" t="s">
        <v>424</v>
      </c>
      <c r="D3244" s="79"/>
      <c r="E3244" s="79"/>
      <c r="F3244" s="90"/>
      <c r="G3244" s="84"/>
      <c r="H3244" s="87"/>
      <c r="I3244" s="84"/>
      <c r="J3244" s="87"/>
      <c r="K3244" s="84"/>
      <c r="L3244" s="87"/>
    </row>
    <row r="3245" spans="1:12" ht="12" customHeight="1" x14ac:dyDescent="0.35">
      <c r="B3245" s="84"/>
      <c r="C3245" s="85"/>
      <c r="D3245" s="84"/>
      <c r="E3245" s="84"/>
      <c r="F3245" s="128"/>
      <c r="G3245" s="87"/>
      <c r="H3245" s="87">
        <f>F3245*G3245</f>
        <v>0</v>
      </c>
      <c r="I3245" s="87"/>
      <c r="J3245" s="87">
        <f>H3245*I3245</f>
        <v>0</v>
      </c>
      <c r="K3245" s="87"/>
      <c r="L3245" s="87">
        <f>J3245*K3245</f>
        <v>0</v>
      </c>
    </row>
    <row r="3246" spans="1:12" ht="12" customHeight="1" x14ac:dyDescent="0.35">
      <c r="B3246" s="84"/>
      <c r="C3246" s="85"/>
      <c r="D3246" s="84"/>
      <c r="E3246" s="84"/>
      <c r="F3246" s="128"/>
      <c r="G3246" s="87"/>
      <c r="H3246" s="87">
        <f>F3246*G3246</f>
        <v>0</v>
      </c>
      <c r="I3246" s="87"/>
      <c r="J3246" s="87"/>
      <c r="K3246" s="87"/>
      <c r="L3246" s="87"/>
    </row>
    <row r="3247" spans="1:12" ht="12" customHeight="1" x14ac:dyDescent="0.35">
      <c r="B3247" s="84"/>
      <c r="C3247" s="85"/>
      <c r="D3247" s="84"/>
      <c r="E3247" s="84"/>
      <c r="F3247" s="128"/>
      <c r="G3247" s="87"/>
      <c r="H3247" s="87">
        <f>F3247*G3247</f>
        <v>0</v>
      </c>
      <c r="I3247" s="87"/>
      <c r="J3247" s="87"/>
      <c r="K3247" s="87"/>
      <c r="L3247" s="87"/>
    </row>
    <row r="3248" spans="1:12" ht="12" customHeight="1" x14ac:dyDescent="0.35">
      <c r="B3248" s="84"/>
      <c r="C3248" s="88"/>
      <c r="D3248" s="79"/>
      <c r="E3248" s="79"/>
      <c r="F3248" s="89" t="s">
        <v>425</v>
      </c>
      <c r="G3248" s="101"/>
      <c r="H3248" s="87">
        <f>SUM(H3245:H3247)</f>
        <v>0</v>
      </c>
      <c r="I3248" s="101"/>
      <c r="J3248" s="87">
        <f>SUM(J3245)</f>
        <v>0</v>
      </c>
      <c r="K3248" s="101"/>
      <c r="L3248" s="87">
        <f>SUM(L3245)</f>
        <v>0</v>
      </c>
    </row>
    <row r="3249" spans="1:12" ht="12" customHeight="1" x14ac:dyDescent="0.35">
      <c r="B3249" s="84" t="s">
        <v>8</v>
      </c>
      <c r="C3249" s="103" t="s">
        <v>426</v>
      </c>
      <c r="D3249" s="104"/>
      <c r="E3249" s="104"/>
      <c r="F3249" s="104"/>
      <c r="G3249" s="105"/>
      <c r="H3249" s="87" t="e">
        <f>H3237+H3243+H3248</f>
        <v>#REF!</v>
      </c>
      <c r="I3249" s="105"/>
      <c r="J3249" s="87" t="e">
        <f>J3237+J3243+J3248</f>
        <v>#REF!</v>
      </c>
      <c r="K3249" s="105"/>
      <c r="L3249" s="87" t="e">
        <f>L3237+L3243+L3248</f>
        <v>#REF!</v>
      </c>
    </row>
    <row r="3250" spans="1:12" ht="12" customHeight="1" x14ac:dyDescent="0.35">
      <c r="B3250" s="84" t="s">
        <v>9</v>
      </c>
      <c r="C3250" s="455" t="s">
        <v>427</v>
      </c>
      <c r="D3250" s="455"/>
      <c r="E3250" s="455"/>
      <c r="F3250" s="95" t="str">
        <f>OP</f>
        <v>TANJUNG PALAS TENGAH</v>
      </c>
      <c r="G3250" s="85" t="s">
        <v>428</v>
      </c>
      <c r="H3250" s="87" t="e">
        <f>H3249*F3250</f>
        <v>#REF!</v>
      </c>
      <c r="I3250" s="85" t="s">
        <v>428</v>
      </c>
      <c r="J3250" s="87" t="e">
        <f>J3249*F3250</f>
        <v>#REF!</v>
      </c>
      <c r="K3250" s="85" t="s">
        <v>428</v>
      </c>
      <c r="L3250" s="87" t="e">
        <f>L3249*F3250</f>
        <v>#REF!</v>
      </c>
    </row>
    <row r="3251" spans="1:12" ht="12" customHeight="1" x14ac:dyDescent="0.35">
      <c r="B3251" s="84" t="s">
        <v>10</v>
      </c>
      <c r="C3251" s="103" t="s">
        <v>429</v>
      </c>
      <c r="D3251" s="104"/>
      <c r="E3251" s="104"/>
      <c r="F3251" s="104"/>
      <c r="G3251" s="105"/>
      <c r="H3251" s="96" t="e">
        <f>H3249+H3250</f>
        <v>#REF!</v>
      </c>
      <c r="I3251" s="97"/>
      <c r="J3251" s="96" t="e">
        <f>J3249+J3250</f>
        <v>#REF!</v>
      </c>
      <c r="K3251" s="97"/>
      <c r="L3251" s="96" t="e">
        <f>L3249+L3250</f>
        <v>#REF!</v>
      </c>
    </row>
    <row r="3252" spans="1:12" x14ac:dyDescent="0.35">
      <c r="B3252" s="75" t="s">
        <v>806</v>
      </c>
    </row>
    <row r="3253" spans="1:12" ht="14" customHeight="1" x14ac:dyDescent="0.35"/>
    <row r="3254" spans="1:12" ht="37" customHeight="1" x14ac:dyDescent="0.35">
      <c r="B3254" s="76" t="s">
        <v>837</v>
      </c>
      <c r="C3254" s="458" t="s">
        <v>838</v>
      </c>
      <c r="D3254" s="459"/>
      <c r="E3254" s="459"/>
      <c r="F3254" s="459"/>
      <c r="G3254" s="456"/>
      <c r="H3254" s="457"/>
      <c r="I3254" s="455" t="s">
        <v>3</v>
      </c>
      <c r="J3254" s="455"/>
      <c r="K3254" s="455" t="s">
        <v>4</v>
      </c>
      <c r="L3254" s="455"/>
    </row>
    <row r="3255" spans="1:12" ht="12" customHeight="1" x14ac:dyDescent="0.35">
      <c r="B3255" s="451" t="s">
        <v>409</v>
      </c>
      <c r="C3255" s="451" t="s">
        <v>410</v>
      </c>
      <c r="D3255" s="452" t="s">
        <v>411</v>
      </c>
      <c r="E3255" s="451" t="s">
        <v>412</v>
      </c>
      <c r="F3255" s="451" t="s">
        <v>413</v>
      </c>
      <c r="G3255" s="77" t="s">
        <v>414</v>
      </c>
      <c r="H3255" s="77" t="s">
        <v>415</v>
      </c>
      <c r="I3255" s="78" t="s">
        <v>414</v>
      </c>
      <c r="J3255" s="79" t="s">
        <v>415</v>
      </c>
      <c r="K3255" s="79" t="s">
        <v>414</v>
      </c>
      <c r="L3255" s="79" t="s">
        <v>415</v>
      </c>
    </row>
    <row r="3256" spans="1:12" ht="12" customHeight="1" x14ac:dyDescent="0.35">
      <c r="B3256" s="451"/>
      <c r="C3256" s="451"/>
      <c r="D3256" s="453"/>
      <c r="E3256" s="451"/>
      <c r="F3256" s="451"/>
      <c r="G3256" s="77" t="s">
        <v>17</v>
      </c>
      <c r="H3256" s="77" t="s">
        <v>416</v>
      </c>
      <c r="I3256" s="78" t="s">
        <v>17</v>
      </c>
      <c r="J3256" s="79" t="s">
        <v>416</v>
      </c>
      <c r="K3256" s="79" t="s">
        <v>17</v>
      </c>
      <c r="L3256" s="79" t="s">
        <v>416</v>
      </c>
    </row>
    <row r="3257" spans="1:12" ht="12" customHeight="1" x14ac:dyDescent="0.35">
      <c r="B3257" s="451"/>
      <c r="C3257" s="451"/>
      <c r="D3257" s="454"/>
      <c r="E3257" s="451"/>
      <c r="F3257" s="451"/>
      <c r="G3257" s="106"/>
      <c r="H3257" s="77" t="s">
        <v>17</v>
      </c>
      <c r="I3257" s="94"/>
      <c r="J3257" s="79" t="s">
        <v>17</v>
      </c>
      <c r="K3257" s="85"/>
      <c r="L3257" s="79" t="s">
        <v>17</v>
      </c>
    </row>
    <row r="3258" spans="1:12" ht="12" customHeight="1" x14ac:dyDescent="0.35">
      <c r="B3258" s="80" t="s">
        <v>5</v>
      </c>
      <c r="C3258" s="81" t="s">
        <v>417</v>
      </c>
      <c r="D3258" s="82"/>
      <c r="E3258" s="82"/>
      <c r="F3258" s="82"/>
      <c r="G3258" s="82"/>
      <c r="H3258" s="82"/>
      <c r="I3258" s="83"/>
      <c r="J3258" s="83"/>
      <c r="K3258" s="83"/>
      <c r="L3258" s="83"/>
    </row>
    <row r="3259" spans="1:12" ht="12" customHeight="1" x14ac:dyDescent="0.35">
      <c r="A3259" s="134">
        <v>10130000</v>
      </c>
      <c r="B3259" s="84"/>
      <c r="C3259" s="85" t="str">
        <f>VLOOKUP(A3259,'DAFTAR HARGA'!A:D,3,FALSE)</f>
        <v>OH</v>
      </c>
      <c r="D3259" s="84" t="s">
        <v>418</v>
      </c>
      <c r="E3259" s="84">
        <f>VLOOKUP(A3259,'DAFTAR HARGA'!A:D,4,FALSE)</f>
        <v>115000</v>
      </c>
      <c r="F3259" s="128">
        <v>0.36</v>
      </c>
      <c r="G3259" s="87" t="e">
        <f>VLOOKUP(A3259,'DAFTAR HARGA'!A:D,5,FALSE)</f>
        <v>#REF!</v>
      </c>
      <c r="H3259" s="87" t="e">
        <f>F3259*G3259</f>
        <v>#REF!</v>
      </c>
      <c r="I3259" s="87">
        <v>91500</v>
      </c>
      <c r="J3259" s="87">
        <f>F3259*I3259</f>
        <v>32940</v>
      </c>
      <c r="K3259" s="87">
        <v>91500</v>
      </c>
      <c r="L3259" s="87">
        <f>F3259*K3259</f>
        <v>32940</v>
      </c>
    </row>
    <row r="3260" spans="1:12" ht="12" customHeight="1" x14ac:dyDescent="0.35">
      <c r="A3260" s="134">
        <v>10142000</v>
      </c>
      <c r="B3260" s="84"/>
      <c r="C3260" s="85" t="str">
        <f>VLOOKUP(A3260,'DAFTAR HARGA'!A:D,3,FALSE)</f>
        <v>OH</v>
      </c>
      <c r="D3260" s="84" t="s">
        <v>418</v>
      </c>
      <c r="E3260" s="84">
        <f>VLOOKUP(A3260,'DAFTAR HARGA'!A:D,4,FALSE)</f>
        <v>236600</v>
      </c>
      <c r="F3260" s="128">
        <v>0.36</v>
      </c>
      <c r="G3260" s="87" t="e">
        <f>VLOOKUP(A3260,'DAFTAR HARGA'!A:D,5,FALSE)</f>
        <v>#REF!</v>
      </c>
      <c r="H3260" s="87" t="e">
        <f>F3260*G3260</f>
        <v>#REF!</v>
      </c>
      <c r="I3260" s="87"/>
      <c r="J3260" s="87"/>
      <c r="K3260" s="87"/>
      <c r="L3260" s="87"/>
    </row>
    <row r="3261" spans="1:12" ht="12" customHeight="1" x14ac:dyDescent="0.35">
      <c r="A3261" s="134">
        <v>10120000</v>
      </c>
      <c r="B3261" s="84"/>
      <c r="C3261" s="85" t="str">
        <f>VLOOKUP(A3261,'DAFTAR HARGA'!A:D,3,FALSE)</f>
        <v>OH</v>
      </c>
      <c r="D3261" s="84" t="s">
        <v>418</v>
      </c>
      <c r="E3261" s="84">
        <f>VLOOKUP(A3261,'DAFTAR HARGA'!A:D,4,FALSE)</f>
        <v>130000</v>
      </c>
      <c r="F3261" s="128">
        <f>F3260/10</f>
        <v>3.5999999999999997E-2</v>
      </c>
      <c r="G3261" s="87" t="e">
        <f>VLOOKUP(A3261,'DAFTAR HARGA'!A:D,5,FALSE)</f>
        <v>#REF!</v>
      </c>
      <c r="H3261" s="87" t="e">
        <f>F3261*G3261</f>
        <v>#REF!</v>
      </c>
      <c r="I3261" s="87"/>
      <c r="J3261" s="87"/>
      <c r="K3261" s="87"/>
      <c r="L3261" s="87"/>
    </row>
    <row r="3262" spans="1:12" ht="12" customHeight="1" x14ac:dyDescent="0.35">
      <c r="A3262" s="134">
        <v>10110000</v>
      </c>
      <c r="B3262" s="84"/>
      <c r="C3262" s="85" t="str">
        <f>VLOOKUP(A3262,'DAFTAR HARGA'!A:D,3,FALSE)</f>
        <v>OH</v>
      </c>
      <c r="D3262" s="84" t="s">
        <v>418</v>
      </c>
      <c r="E3262" s="84">
        <f>VLOOKUP(A3262,'DAFTAR HARGA'!A:D,4,FALSE)</f>
        <v>150000</v>
      </c>
      <c r="F3262" s="128">
        <f>F3259/10</f>
        <v>3.5999999999999997E-2</v>
      </c>
      <c r="G3262" s="87" t="e">
        <f>VLOOKUP(A3262,'DAFTAR HARGA'!A:D,5,FALSE)</f>
        <v>#REF!</v>
      </c>
      <c r="H3262" s="87" t="e">
        <f>F3262*G3262</f>
        <v>#REF!</v>
      </c>
      <c r="I3262" s="87">
        <v>92500</v>
      </c>
      <c r="J3262" s="87">
        <f>F3262*I3262</f>
        <v>3329.9999999999995</v>
      </c>
      <c r="K3262" s="87">
        <v>92500</v>
      </c>
      <c r="L3262" s="87">
        <f>F3262*K3262</f>
        <v>3329.9999999999995</v>
      </c>
    </row>
    <row r="3263" spans="1:12" ht="12" customHeight="1" x14ac:dyDescent="0.35">
      <c r="B3263" s="84"/>
      <c r="C3263" s="85"/>
      <c r="D3263" s="84"/>
      <c r="E3263" s="84"/>
      <c r="F3263" s="86"/>
      <c r="G3263" s="87"/>
      <c r="H3263" s="87"/>
      <c r="I3263" s="87"/>
      <c r="J3263" s="87"/>
      <c r="K3263" s="87"/>
      <c r="L3263" s="87"/>
    </row>
    <row r="3264" spans="1:12" ht="12" customHeight="1" x14ac:dyDescent="0.35">
      <c r="B3264" s="84"/>
      <c r="C3264" s="88"/>
      <c r="D3264" s="79"/>
      <c r="E3264" s="79"/>
      <c r="F3264" s="89" t="s">
        <v>421</v>
      </c>
      <c r="G3264" s="101"/>
      <c r="H3264" s="87" t="e">
        <f>SUM(H3259:H3263)</f>
        <v>#REF!</v>
      </c>
      <c r="I3264" s="101"/>
      <c r="J3264" s="87">
        <f>SUM(J3262:J3263)</f>
        <v>3329.9999999999995</v>
      </c>
      <c r="K3264" s="101"/>
      <c r="L3264" s="87">
        <f>SUM(L3262:L3263)</f>
        <v>3329.9999999999995</v>
      </c>
    </row>
    <row r="3265" spans="1:12" ht="12" customHeight="1" x14ac:dyDescent="0.35">
      <c r="B3265" s="84" t="s">
        <v>6</v>
      </c>
      <c r="C3265" s="88" t="s">
        <v>422</v>
      </c>
      <c r="D3265" s="79"/>
      <c r="E3265" s="79"/>
      <c r="F3265" s="90"/>
      <c r="G3265" s="84"/>
      <c r="H3265" s="87"/>
      <c r="I3265" s="84"/>
      <c r="J3265" s="87"/>
      <c r="K3265" s="84"/>
      <c r="L3265" s="87"/>
    </row>
    <row r="3266" spans="1:12" x14ac:dyDescent="0.35">
      <c r="A3266" s="134">
        <v>21924004</v>
      </c>
      <c r="B3266" s="84"/>
      <c r="C3266" s="85" t="str">
        <f>VLOOKUP(A3266,'DAFTAR HARGA'!A:D,3,FALSE)</f>
        <v>m²</v>
      </c>
      <c r="D3266" s="84" t="s">
        <v>418</v>
      </c>
      <c r="E3266" s="84">
        <f>VLOOKUP(A3266,'DAFTAR HARGA'!A:D,4,FALSE)</f>
        <v>175000</v>
      </c>
      <c r="F3266" s="128">
        <v>0.128</v>
      </c>
      <c r="G3266" s="87" t="e">
        <f>VLOOKUP(A3266,'DAFTAR HARGA'!A:D,5,FALSE)</f>
        <v>#REF!</v>
      </c>
      <c r="H3266" s="87" t="e">
        <f>F3266*G3266</f>
        <v>#REF!</v>
      </c>
      <c r="I3266" s="87">
        <v>232500</v>
      </c>
      <c r="J3266" s="87">
        <f>F3266*I3266</f>
        <v>29760</v>
      </c>
      <c r="K3266" s="87">
        <v>270000</v>
      </c>
      <c r="L3266" s="87">
        <f>F3266*K3266</f>
        <v>34560</v>
      </c>
    </row>
    <row r="3267" spans="1:12" x14ac:dyDescent="0.35">
      <c r="A3267" s="134">
        <v>21401200</v>
      </c>
      <c r="B3267" s="84"/>
      <c r="C3267" s="85" t="str">
        <f>VLOOKUP(A3267,'DAFTAR HARGA'!A:D,3,FALSE)</f>
        <v>m³</v>
      </c>
      <c r="D3267" s="84" t="s">
        <v>418</v>
      </c>
      <c r="E3267" s="84">
        <f>VLOOKUP(A3267,'DAFTAR HARGA'!A:D,4,FALSE)</f>
        <v>1900000</v>
      </c>
      <c r="F3267" s="128">
        <v>7.0000000000000001E-3</v>
      </c>
      <c r="G3267" s="87" t="e">
        <f>VLOOKUP(A3267,'DAFTAR HARGA'!A:D,5,FALSE)</f>
        <v>#REF!</v>
      </c>
      <c r="H3267" s="87" t="e">
        <f>F3267*G3267</f>
        <v>#REF!</v>
      </c>
      <c r="I3267" s="87"/>
      <c r="J3267" s="87"/>
      <c r="K3267" s="87"/>
      <c r="L3267" s="87"/>
    </row>
    <row r="3268" spans="1:12" x14ac:dyDescent="0.35">
      <c r="A3268" s="134">
        <v>21911005</v>
      </c>
      <c r="B3268" s="84"/>
      <c r="C3268" s="85" t="str">
        <f>VLOOKUP(A3268,'DAFTAR HARGA'!A:D,3,FALSE)</f>
        <v>kg</v>
      </c>
      <c r="D3268" s="84" t="s">
        <v>418</v>
      </c>
      <c r="E3268" s="84">
        <f>VLOOKUP(A3268,'DAFTAR HARGA'!A:D,4,FALSE)</f>
        <v>21200</v>
      </c>
      <c r="F3268" s="128">
        <v>0.3</v>
      </c>
      <c r="G3268" s="87" t="e">
        <f>VLOOKUP(A3268,'DAFTAR HARGA'!A:D,5,FALSE)</f>
        <v>#REF!</v>
      </c>
      <c r="H3268" s="87" t="e">
        <f>F3268*G3268</f>
        <v>#REF!</v>
      </c>
      <c r="I3268" s="87"/>
      <c r="J3268" s="87"/>
      <c r="K3268" s="87"/>
      <c r="L3268" s="87"/>
    </row>
    <row r="3269" spans="1:12" x14ac:dyDescent="0.35">
      <c r="A3269" s="134">
        <v>21961000</v>
      </c>
      <c r="B3269" s="84"/>
      <c r="C3269" s="85" t="str">
        <f>VLOOKUP(A3269,'DAFTAR HARGA'!A:D,3,FALSE)</f>
        <v>liter</v>
      </c>
      <c r="D3269" s="84" t="s">
        <v>418</v>
      </c>
      <c r="E3269" s="84">
        <f>VLOOKUP(A3269,'DAFTAR HARGA'!A:D,4,FALSE)</f>
        <v>22100</v>
      </c>
      <c r="F3269" s="128">
        <v>0.2</v>
      </c>
      <c r="G3269" s="87" t="e">
        <f>VLOOKUP(A3269,'DAFTAR HARGA'!A:D,5,FALSE)</f>
        <v>#REF!</v>
      </c>
      <c r="H3269" s="87" t="e">
        <f>F3269*G3269</f>
        <v>#REF!</v>
      </c>
      <c r="I3269" s="87"/>
      <c r="J3269" s="87"/>
      <c r="K3269" s="87"/>
      <c r="L3269" s="87"/>
    </row>
    <row r="3270" spans="1:12" ht="12" customHeight="1" x14ac:dyDescent="0.35">
      <c r="B3270" s="84"/>
      <c r="C3270" s="88"/>
      <c r="D3270" s="79"/>
      <c r="E3270" s="79"/>
      <c r="F3270" s="129" t="s">
        <v>423</v>
      </c>
      <c r="G3270" s="129"/>
      <c r="H3270" s="87" t="e">
        <f>SUM(H3266:H3269)</f>
        <v>#REF!</v>
      </c>
      <c r="I3270" s="101"/>
      <c r="J3270" s="87" t="e">
        <f>SUM(#REF!)</f>
        <v>#REF!</v>
      </c>
      <c r="K3270" s="101"/>
      <c r="L3270" s="87" t="e">
        <f>SUM(#REF!)</f>
        <v>#REF!</v>
      </c>
    </row>
    <row r="3271" spans="1:12" ht="12" customHeight="1" x14ac:dyDescent="0.35">
      <c r="B3271" s="84" t="s">
        <v>7</v>
      </c>
      <c r="C3271" s="88" t="s">
        <v>424</v>
      </c>
      <c r="D3271" s="79"/>
      <c r="E3271" s="79"/>
      <c r="F3271" s="90"/>
      <c r="G3271" s="84"/>
      <c r="H3271" s="87"/>
      <c r="I3271" s="84"/>
      <c r="J3271" s="87"/>
      <c r="K3271" s="84"/>
      <c r="L3271" s="87"/>
    </row>
    <row r="3272" spans="1:12" ht="12" customHeight="1" x14ac:dyDescent="0.35">
      <c r="B3272" s="84"/>
      <c r="C3272" s="85"/>
      <c r="D3272" s="84"/>
      <c r="E3272" s="84"/>
      <c r="F3272" s="128"/>
      <c r="G3272" s="87"/>
      <c r="H3272" s="87">
        <f>F3272*G3272</f>
        <v>0</v>
      </c>
      <c r="I3272" s="87"/>
      <c r="J3272" s="87">
        <f>H3272*I3272</f>
        <v>0</v>
      </c>
      <c r="K3272" s="87"/>
      <c r="L3272" s="87">
        <f>J3272*K3272</f>
        <v>0</v>
      </c>
    </row>
    <row r="3273" spans="1:12" ht="12" customHeight="1" x14ac:dyDescent="0.35">
      <c r="B3273" s="84"/>
      <c r="C3273" s="85"/>
      <c r="D3273" s="84"/>
      <c r="E3273" s="84"/>
      <c r="F3273" s="128"/>
      <c r="G3273" s="87"/>
      <c r="H3273" s="87">
        <f>F3273*G3273</f>
        <v>0</v>
      </c>
      <c r="I3273" s="87"/>
      <c r="J3273" s="87"/>
      <c r="K3273" s="87"/>
      <c r="L3273" s="87"/>
    </row>
    <row r="3274" spans="1:12" ht="12" customHeight="1" x14ac:dyDescent="0.35">
      <c r="B3274" s="84"/>
      <c r="C3274" s="85"/>
      <c r="D3274" s="84"/>
      <c r="E3274" s="84"/>
      <c r="F3274" s="128"/>
      <c r="G3274" s="87"/>
      <c r="H3274" s="87">
        <f>F3274*G3274</f>
        <v>0</v>
      </c>
      <c r="I3274" s="87"/>
      <c r="J3274" s="87"/>
      <c r="K3274" s="87"/>
      <c r="L3274" s="87"/>
    </row>
    <row r="3275" spans="1:12" ht="12" customHeight="1" x14ac:dyDescent="0.35">
      <c r="B3275" s="84"/>
      <c r="C3275" s="88"/>
      <c r="D3275" s="79"/>
      <c r="E3275" s="79"/>
      <c r="F3275" s="89" t="s">
        <v>425</v>
      </c>
      <c r="G3275" s="101"/>
      <c r="H3275" s="87">
        <f>SUM(H3272:H3274)</f>
        <v>0</v>
      </c>
      <c r="I3275" s="101"/>
      <c r="J3275" s="87">
        <f>SUM(J3272)</f>
        <v>0</v>
      </c>
      <c r="K3275" s="101"/>
      <c r="L3275" s="87">
        <f>SUM(L3272)</f>
        <v>0</v>
      </c>
    </row>
    <row r="3276" spans="1:12" ht="12" customHeight="1" x14ac:dyDescent="0.35">
      <c r="B3276" s="84" t="s">
        <v>8</v>
      </c>
      <c r="C3276" s="103" t="s">
        <v>426</v>
      </c>
      <c r="D3276" s="104"/>
      <c r="E3276" s="104"/>
      <c r="F3276" s="104"/>
      <c r="G3276" s="105"/>
      <c r="H3276" s="87" t="e">
        <f>H3264+H3270+H3275</f>
        <v>#REF!</v>
      </c>
      <c r="I3276" s="105"/>
      <c r="J3276" s="87" t="e">
        <f>J3264+J3270+J3275</f>
        <v>#REF!</v>
      </c>
      <c r="K3276" s="105"/>
      <c r="L3276" s="87" t="e">
        <f>L3264+L3270+L3275</f>
        <v>#REF!</v>
      </c>
    </row>
    <row r="3277" spans="1:12" ht="12" customHeight="1" x14ac:dyDescent="0.35">
      <c r="B3277" s="84" t="s">
        <v>9</v>
      </c>
      <c r="C3277" s="455" t="s">
        <v>427</v>
      </c>
      <c r="D3277" s="455"/>
      <c r="E3277" s="455"/>
      <c r="F3277" s="95" t="str">
        <f>OP</f>
        <v>TANJUNG PALAS TENGAH</v>
      </c>
      <c r="G3277" s="85" t="s">
        <v>428</v>
      </c>
      <c r="H3277" s="87" t="e">
        <f>H3276*F3277</f>
        <v>#REF!</v>
      </c>
      <c r="I3277" s="85" t="s">
        <v>428</v>
      </c>
      <c r="J3277" s="87" t="e">
        <f>J3276*F3277</f>
        <v>#REF!</v>
      </c>
      <c r="K3277" s="85" t="s">
        <v>428</v>
      </c>
      <c r="L3277" s="87" t="e">
        <f>L3276*F3277</f>
        <v>#REF!</v>
      </c>
    </row>
    <row r="3278" spans="1:12" ht="12" customHeight="1" x14ac:dyDescent="0.35">
      <c r="B3278" s="84" t="s">
        <v>10</v>
      </c>
      <c r="C3278" s="103" t="s">
        <v>429</v>
      </c>
      <c r="D3278" s="104"/>
      <c r="E3278" s="104"/>
      <c r="F3278" s="104"/>
      <c r="G3278" s="105"/>
      <c r="H3278" s="96" t="e">
        <f>H3276+H3277</f>
        <v>#REF!</v>
      </c>
      <c r="I3278" s="97"/>
      <c r="J3278" s="96" t="e">
        <f>J3276+J3277</f>
        <v>#REF!</v>
      </c>
      <c r="K3278" s="97"/>
      <c r="L3278" s="96" t="e">
        <f>L3276+L3277</f>
        <v>#REF!</v>
      </c>
    </row>
    <row r="3279" spans="1:12" x14ac:dyDescent="0.35">
      <c r="B3279" s="75" t="s">
        <v>806</v>
      </c>
    </row>
    <row r="3280" spans="1:12" ht="14" customHeight="1" x14ac:dyDescent="0.35"/>
    <row r="3281" spans="1:12" ht="37" customHeight="1" x14ac:dyDescent="0.35">
      <c r="B3281" s="76" t="s">
        <v>839</v>
      </c>
      <c r="C3281" s="458" t="s">
        <v>840</v>
      </c>
      <c r="D3281" s="459"/>
      <c r="E3281" s="459"/>
      <c r="F3281" s="459"/>
      <c r="G3281" s="456"/>
      <c r="H3281" s="457"/>
      <c r="I3281" s="455" t="s">
        <v>3</v>
      </c>
      <c r="J3281" s="455"/>
      <c r="K3281" s="455" t="s">
        <v>4</v>
      </c>
      <c r="L3281" s="455"/>
    </row>
    <row r="3282" spans="1:12" ht="12" customHeight="1" x14ac:dyDescent="0.35">
      <c r="B3282" s="451" t="s">
        <v>409</v>
      </c>
      <c r="C3282" s="451" t="s">
        <v>410</v>
      </c>
      <c r="D3282" s="452" t="s">
        <v>411</v>
      </c>
      <c r="E3282" s="451" t="s">
        <v>412</v>
      </c>
      <c r="F3282" s="451" t="s">
        <v>413</v>
      </c>
      <c r="G3282" s="77" t="s">
        <v>414</v>
      </c>
      <c r="H3282" s="77" t="s">
        <v>415</v>
      </c>
      <c r="I3282" s="78" t="s">
        <v>414</v>
      </c>
      <c r="J3282" s="79" t="s">
        <v>415</v>
      </c>
      <c r="K3282" s="79" t="s">
        <v>414</v>
      </c>
      <c r="L3282" s="79" t="s">
        <v>415</v>
      </c>
    </row>
    <row r="3283" spans="1:12" ht="12" customHeight="1" x14ac:dyDescent="0.35">
      <c r="B3283" s="451"/>
      <c r="C3283" s="451"/>
      <c r="D3283" s="453"/>
      <c r="E3283" s="451"/>
      <c r="F3283" s="451"/>
      <c r="G3283" s="77" t="s">
        <v>17</v>
      </c>
      <c r="H3283" s="77" t="s">
        <v>416</v>
      </c>
      <c r="I3283" s="78" t="s">
        <v>17</v>
      </c>
      <c r="J3283" s="79" t="s">
        <v>416</v>
      </c>
      <c r="K3283" s="79" t="s">
        <v>17</v>
      </c>
      <c r="L3283" s="79" t="s">
        <v>416</v>
      </c>
    </row>
    <row r="3284" spans="1:12" ht="12" customHeight="1" x14ac:dyDescent="0.35">
      <c r="B3284" s="451"/>
      <c r="C3284" s="451"/>
      <c r="D3284" s="454"/>
      <c r="E3284" s="451"/>
      <c r="F3284" s="451"/>
      <c r="G3284" s="106"/>
      <c r="H3284" s="77" t="s">
        <v>17</v>
      </c>
      <c r="I3284" s="94"/>
      <c r="J3284" s="79" t="s">
        <v>17</v>
      </c>
      <c r="K3284" s="85"/>
      <c r="L3284" s="79" t="s">
        <v>17</v>
      </c>
    </row>
    <row r="3285" spans="1:12" ht="12" customHeight="1" x14ac:dyDescent="0.35">
      <c r="B3285" s="80" t="s">
        <v>5</v>
      </c>
      <c r="C3285" s="81" t="s">
        <v>417</v>
      </c>
      <c r="D3285" s="82"/>
      <c r="E3285" s="82"/>
      <c r="F3285" s="82"/>
      <c r="G3285" s="82"/>
      <c r="H3285" s="82"/>
      <c r="I3285" s="83"/>
      <c r="J3285" s="83"/>
      <c r="K3285" s="83"/>
      <c r="L3285" s="83"/>
    </row>
    <row r="3286" spans="1:12" ht="12" customHeight="1" x14ac:dyDescent="0.35">
      <c r="A3286" s="134">
        <v>10130000</v>
      </c>
      <c r="B3286" s="84"/>
      <c r="C3286" s="85" t="str">
        <f>VLOOKUP(A3286,'DAFTAR HARGA'!A:D,3,FALSE)</f>
        <v>OH</v>
      </c>
      <c r="D3286" s="84" t="s">
        <v>418</v>
      </c>
      <c r="E3286" s="84">
        <f>VLOOKUP(A3286,'DAFTAR HARGA'!A:D,4,FALSE)</f>
        <v>115000</v>
      </c>
      <c r="F3286" s="128">
        <v>0.36</v>
      </c>
      <c r="G3286" s="87" t="e">
        <f>VLOOKUP(A3286,'DAFTAR HARGA'!A:D,5,FALSE)</f>
        <v>#REF!</v>
      </c>
      <c r="H3286" s="87" t="e">
        <f>F3286*G3286</f>
        <v>#REF!</v>
      </c>
      <c r="I3286" s="87">
        <v>91500</v>
      </c>
      <c r="J3286" s="87">
        <f>F3286*I3286</f>
        <v>32940</v>
      </c>
      <c r="K3286" s="87">
        <v>91500</v>
      </c>
      <c r="L3286" s="87">
        <f>F3286*K3286</f>
        <v>32940</v>
      </c>
    </row>
    <row r="3287" spans="1:12" ht="12" customHeight="1" x14ac:dyDescent="0.35">
      <c r="A3287" s="134">
        <v>10142000</v>
      </c>
      <c r="B3287" s="84"/>
      <c r="C3287" s="85" t="str">
        <f>VLOOKUP(A3287,'DAFTAR HARGA'!A:D,3,FALSE)</f>
        <v>OH</v>
      </c>
      <c r="D3287" s="84" t="s">
        <v>418</v>
      </c>
      <c r="E3287" s="84">
        <f>VLOOKUP(A3287,'DAFTAR HARGA'!A:D,4,FALSE)</f>
        <v>236600</v>
      </c>
      <c r="F3287" s="128">
        <v>0.18</v>
      </c>
      <c r="G3287" s="87" t="e">
        <f>VLOOKUP(A3287,'DAFTAR HARGA'!A:D,5,FALSE)</f>
        <v>#REF!</v>
      </c>
      <c r="H3287" s="87" t="e">
        <f>F3287*G3287</f>
        <v>#REF!</v>
      </c>
      <c r="I3287" s="87"/>
      <c r="J3287" s="87"/>
      <c r="K3287" s="87"/>
      <c r="L3287" s="87"/>
    </row>
    <row r="3288" spans="1:12" ht="12" customHeight="1" x14ac:dyDescent="0.35">
      <c r="A3288" s="134">
        <v>10120000</v>
      </c>
      <c r="B3288" s="84"/>
      <c r="C3288" s="85" t="str">
        <f>VLOOKUP(A3288,'DAFTAR HARGA'!A:D,3,FALSE)</f>
        <v>OH</v>
      </c>
      <c r="D3288" s="84" t="s">
        <v>418</v>
      </c>
      <c r="E3288" s="84">
        <f>VLOOKUP(A3288,'DAFTAR HARGA'!A:D,4,FALSE)</f>
        <v>130000</v>
      </c>
      <c r="F3288" s="128">
        <f>F3287/10</f>
        <v>1.7999999999999999E-2</v>
      </c>
      <c r="G3288" s="87" t="e">
        <f>VLOOKUP(A3288,'DAFTAR HARGA'!A:D,5,FALSE)</f>
        <v>#REF!</v>
      </c>
      <c r="H3288" s="87" t="e">
        <f>F3288*G3288</f>
        <v>#REF!</v>
      </c>
      <c r="I3288" s="87"/>
      <c r="J3288" s="87"/>
      <c r="K3288" s="87"/>
      <c r="L3288" s="87"/>
    </row>
    <row r="3289" spans="1:12" ht="12" customHeight="1" x14ac:dyDescent="0.35">
      <c r="A3289" s="134">
        <v>10110000</v>
      </c>
      <c r="B3289" s="84"/>
      <c r="C3289" s="85" t="str">
        <f>VLOOKUP(A3289,'DAFTAR HARGA'!A:D,3,FALSE)</f>
        <v>OH</v>
      </c>
      <c r="D3289" s="84" t="s">
        <v>418</v>
      </c>
      <c r="E3289" s="84">
        <f>VLOOKUP(A3289,'DAFTAR HARGA'!A:D,4,FALSE)</f>
        <v>150000</v>
      </c>
      <c r="F3289" s="128">
        <f>F3286/10</f>
        <v>3.5999999999999997E-2</v>
      </c>
      <c r="G3289" s="87" t="e">
        <f>VLOOKUP(A3289,'DAFTAR HARGA'!A:D,5,FALSE)</f>
        <v>#REF!</v>
      </c>
      <c r="H3289" s="87" t="e">
        <f>F3289*G3289</f>
        <v>#REF!</v>
      </c>
      <c r="I3289" s="87">
        <v>92500</v>
      </c>
      <c r="J3289" s="87">
        <f>F3289*I3289</f>
        <v>3329.9999999999995</v>
      </c>
      <c r="K3289" s="87">
        <v>92500</v>
      </c>
      <c r="L3289" s="87">
        <f>F3289*K3289</f>
        <v>3329.9999999999995</v>
      </c>
    </row>
    <row r="3290" spans="1:12" ht="12" customHeight="1" x14ac:dyDescent="0.35">
      <c r="B3290" s="84"/>
      <c r="C3290" s="85"/>
      <c r="D3290" s="84"/>
      <c r="E3290" s="84"/>
      <c r="F3290" s="86"/>
      <c r="G3290" s="87"/>
      <c r="H3290" s="87"/>
      <c r="I3290" s="87"/>
      <c r="J3290" s="87"/>
      <c r="K3290" s="87"/>
      <c r="L3290" s="87"/>
    </row>
    <row r="3291" spans="1:12" ht="12" customHeight="1" x14ac:dyDescent="0.35">
      <c r="B3291" s="84"/>
      <c r="C3291" s="88"/>
      <c r="D3291" s="79"/>
      <c r="E3291" s="79"/>
      <c r="F3291" s="89" t="s">
        <v>421</v>
      </c>
      <c r="G3291" s="101"/>
      <c r="H3291" s="87" t="e">
        <f>SUM(H3286:H3290)</f>
        <v>#REF!</v>
      </c>
      <c r="I3291" s="101"/>
      <c r="J3291" s="87">
        <f>SUM(J3289:J3290)</f>
        <v>3329.9999999999995</v>
      </c>
      <c r="K3291" s="101"/>
      <c r="L3291" s="87">
        <f>SUM(L3289:L3290)</f>
        <v>3329.9999999999995</v>
      </c>
    </row>
    <row r="3292" spans="1:12" ht="12" customHeight="1" x14ac:dyDescent="0.35">
      <c r="B3292" s="84" t="s">
        <v>6</v>
      </c>
      <c r="C3292" s="88" t="s">
        <v>422</v>
      </c>
      <c r="D3292" s="79"/>
      <c r="E3292" s="79"/>
      <c r="F3292" s="90"/>
      <c r="G3292" s="84"/>
      <c r="H3292" s="87"/>
      <c r="I3292" s="84"/>
      <c r="J3292" s="87"/>
      <c r="K3292" s="84"/>
      <c r="L3292" s="87"/>
    </row>
    <row r="3293" spans="1:12" x14ac:dyDescent="0.35">
      <c r="A3293" s="134">
        <v>21401200</v>
      </c>
      <c r="B3293" s="84"/>
      <c r="C3293" s="85" t="str">
        <f>VLOOKUP(A3293,'DAFTAR HARGA'!A:D,3,FALSE)</f>
        <v>m³</v>
      </c>
      <c r="D3293" s="84" t="s">
        <v>418</v>
      </c>
      <c r="E3293" s="84">
        <f>VLOOKUP(A3293,'DAFTAR HARGA'!A:D,4,FALSE)</f>
        <v>1900000</v>
      </c>
      <c r="F3293" s="128">
        <v>0.01</v>
      </c>
      <c r="G3293" s="87" t="e">
        <f>VLOOKUP(A3293,'DAFTAR HARGA'!A:D,5,FALSE)</f>
        <v>#REF!</v>
      </c>
      <c r="H3293" s="87" t="e">
        <f>F3293*G3293</f>
        <v>#REF!</v>
      </c>
      <c r="I3293" s="87"/>
      <c r="J3293" s="87"/>
      <c r="K3293" s="87"/>
      <c r="L3293" s="87"/>
    </row>
    <row r="3294" spans="1:12" x14ac:dyDescent="0.35">
      <c r="A3294" s="134">
        <v>21911005</v>
      </c>
      <c r="B3294" s="84"/>
      <c r="C3294" s="85" t="str">
        <f>VLOOKUP(A3294,'DAFTAR HARGA'!A:D,3,FALSE)</f>
        <v>kg</v>
      </c>
      <c r="D3294" s="84" t="s">
        <v>418</v>
      </c>
      <c r="E3294" s="84">
        <f>VLOOKUP(A3294,'DAFTAR HARGA'!A:D,4,FALSE)</f>
        <v>21200</v>
      </c>
      <c r="F3294" s="128">
        <v>0.24</v>
      </c>
      <c r="G3294" s="87" t="e">
        <f>VLOOKUP(A3294,'DAFTAR HARGA'!A:D,5,FALSE)</f>
        <v>#REF!</v>
      </c>
      <c r="H3294" s="87" t="e">
        <f>F3294*G3294</f>
        <v>#REF!</v>
      </c>
      <c r="I3294" s="87"/>
      <c r="J3294" s="87"/>
      <c r="K3294" s="87"/>
      <c r="L3294" s="87"/>
    </row>
    <row r="3295" spans="1:12" x14ac:dyDescent="0.35">
      <c r="B3295" s="84"/>
      <c r="C3295" s="85"/>
      <c r="D3295" s="84"/>
      <c r="E3295" s="84"/>
      <c r="F3295" s="128"/>
      <c r="G3295" s="87"/>
      <c r="H3295" s="87">
        <f>F3295*G3295</f>
        <v>0</v>
      </c>
      <c r="I3295" s="87"/>
      <c r="J3295" s="87"/>
      <c r="K3295" s="87"/>
      <c r="L3295" s="87"/>
    </row>
    <row r="3296" spans="1:12" ht="12" customHeight="1" x14ac:dyDescent="0.35">
      <c r="B3296" s="84"/>
      <c r="C3296" s="88"/>
      <c r="D3296" s="79"/>
      <c r="E3296" s="79"/>
      <c r="F3296" s="129" t="s">
        <v>423</v>
      </c>
      <c r="G3296" s="129"/>
      <c r="H3296" s="87" t="e">
        <f>SUM(H3293:H3295)</f>
        <v>#REF!</v>
      </c>
      <c r="I3296" s="101"/>
      <c r="J3296" s="87" t="e">
        <f>SUM(#REF!)</f>
        <v>#REF!</v>
      </c>
      <c r="K3296" s="101"/>
      <c r="L3296" s="87" t="e">
        <f>SUM(#REF!)</f>
        <v>#REF!</v>
      </c>
    </row>
    <row r="3297" spans="1:12" ht="12" customHeight="1" x14ac:dyDescent="0.35">
      <c r="B3297" s="84" t="s">
        <v>7</v>
      </c>
      <c r="C3297" s="88" t="s">
        <v>424</v>
      </c>
      <c r="D3297" s="79"/>
      <c r="E3297" s="79"/>
      <c r="F3297" s="90"/>
      <c r="G3297" s="84"/>
      <c r="H3297" s="87"/>
      <c r="I3297" s="84"/>
      <c r="J3297" s="87"/>
      <c r="K3297" s="84"/>
      <c r="L3297" s="87"/>
    </row>
    <row r="3298" spans="1:12" ht="12" customHeight="1" x14ac:dyDescent="0.35">
      <c r="B3298" s="84"/>
      <c r="C3298" s="85"/>
      <c r="D3298" s="84"/>
      <c r="E3298" s="84"/>
      <c r="F3298" s="128"/>
      <c r="G3298" s="87"/>
      <c r="H3298" s="87">
        <f>F3298*G3298</f>
        <v>0</v>
      </c>
      <c r="I3298" s="87"/>
      <c r="J3298" s="87">
        <f>H3298*I3298</f>
        <v>0</v>
      </c>
      <c r="K3298" s="87"/>
      <c r="L3298" s="87">
        <f>J3298*K3298</f>
        <v>0</v>
      </c>
    </row>
    <row r="3299" spans="1:12" ht="12" customHeight="1" x14ac:dyDescent="0.35">
      <c r="B3299" s="84"/>
      <c r="C3299" s="85"/>
      <c r="D3299" s="84"/>
      <c r="E3299" s="84"/>
      <c r="F3299" s="128"/>
      <c r="G3299" s="87"/>
      <c r="H3299" s="87">
        <f>F3299*G3299</f>
        <v>0</v>
      </c>
      <c r="I3299" s="87"/>
      <c r="J3299" s="87"/>
      <c r="K3299" s="87"/>
      <c r="L3299" s="87"/>
    </row>
    <row r="3300" spans="1:12" ht="12" customHeight="1" x14ac:dyDescent="0.35">
      <c r="B3300" s="84"/>
      <c r="C3300" s="85"/>
      <c r="D3300" s="84"/>
      <c r="E3300" s="84"/>
      <c r="F3300" s="128"/>
      <c r="G3300" s="87"/>
      <c r="H3300" s="87">
        <f>F3300*G3300</f>
        <v>0</v>
      </c>
      <c r="I3300" s="87"/>
      <c r="J3300" s="87"/>
      <c r="K3300" s="87"/>
      <c r="L3300" s="87"/>
    </row>
    <row r="3301" spans="1:12" ht="12" customHeight="1" x14ac:dyDescent="0.35">
      <c r="B3301" s="84"/>
      <c r="C3301" s="88"/>
      <c r="D3301" s="79"/>
      <c r="E3301" s="79"/>
      <c r="F3301" s="89" t="s">
        <v>425</v>
      </c>
      <c r="G3301" s="101"/>
      <c r="H3301" s="87">
        <f>SUM(H3298:H3300)</f>
        <v>0</v>
      </c>
      <c r="I3301" s="101"/>
      <c r="J3301" s="87">
        <f>SUM(J3298)</f>
        <v>0</v>
      </c>
      <c r="K3301" s="101"/>
      <c r="L3301" s="87">
        <f>SUM(L3298)</f>
        <v>0</v>
      </c>
    </row>
    <row r="3302" spans="1:12" ht="12" customHeight="1" x14ac:dyDescent="0.35">
      <c r="B3302" s="84" t="s">
        <v>8</v>
      </c>
      <c r="C3302" s="103" t="s">
        <v>426</v>
      </c>
      <c r="D3302" s="104"/>
      <c r="E3302" s="104"/>
      <c r="F3302" s="104"/>
      <c r="G3302" s="105"/>
      <c r="H3302" s="87" t="e">
        <f>H3291+H3296+H3301</f>
        <v>#REF!</v>
      </c>
      <c r="I3302" s="105"/>
      <c r="J3302" s="87" t="e">
        <f>J3291+J3296+J3301</f>
        <v>#REF!</v>
      </c>
      <c r="K3302" s="105"/>
      <c r="L3302" s="87" t="e">
        <f>L3291+L3296+L3301</f>
        <v>#REF!</v>
      </c>
    </row>
    <row r="3303" spans="1:12" ht="12" customHeight="1" x14ac:dyDescent="0.35">
      <c r="B3303" s="84" t="s">
        <v>9</v>
      </c>
      <c r="C3303" s="455" t="s">
        <v>427</v>
      </c>
      <c r="D3303" s="455"/>
      <c r="E3303" s="455"/>
      <c r="F3303" s="95" t="str">
        <f>OP</f>
        <v>TANJUNG PALAS TENGAH</v>
      </c>
      <c r="G3303" s="85" t="s">
        <v>428</v>
      </c>
      <c r="H3303" s="87" t="e">
        <f>H3302*F3303</f>
        <v>#REF!</v>
      </c>
      <c r="I3303" s="85" t="s">
        <v>428</v>
      </c>
      <c r="J3303" s="87" t="e">
        <f>J3302*F3303</f>
        <v>#REF!</v>
      </c>
      <c r="K3303" s="85" t="s">
        <v>428</v>
      </c>
      <c r="L3303" s="87" t="e">
        <f>L3302*F3303</f>
        <v>#REF!</v>
      </c>
    </row>
    <row r="3304" spans="1:12" ht="12" customHeight="1" x14ac:dyDescent="0.35">
      <c r="B3304" s="84" t="s">
        <v>10</v>
      </c>
      <c r="C3304" s="103" t="s">
        <v>429</v>
      </c>
      <c r="D3304" s="104"/>
      <c r="E3304" s="104"/>
      <c r="F3304" s="104"/>
      <c r="G3304" s="105"/>
      <c r="H3304" s="96" t="e">
        <f>H3302+H3303</f>
        <v>#REF!</v>
      </c>
      <c r="I3304" s="97"/>
      <c r="J3304" s="96" t="e">
        <f>J3302+J3303</f>
        <v>#REF!</v>
      </c>
      <c r="K3304" s="97"/>
      <c r="L3304" s="96" t="e">
        <f>L3302+L3303</f>
        <v>#REF!</v>
      </c>
    </row>
    <row r="3305" spans="1:12" x14ac:dyDescent="0.35">
      <c r="B3305" s="75" t="s">
        <v>806</v>
      </c>
    </row>
    <row r="3306" spans="1:12" ht="14" customHeight="1" x14ac:dyDescent="0.35"/>
    <row r="3307" spans="1:12" ht="37" customHeight="1" x14ac:dyDescent="0.35">
      <c r="B3307" s="76" t="s">
        <v>831</v>
      </c>
      <c r="C3307" s="458" t="s">
        <v>841</v>
      </c>
      <c r="D3307" s="459"/>
      <c r="E3307" s="459"/>
      <c r="F3307" s="459"/>
      <c r="G3307" s="456"/>
      <c r="H3307" s="457"/>
      <c r="I3307" s="455" t="s">
        <v>3</v>
      </c>
      <c r="J3307" s="455"/>
      <c r="K3307" s="455" t="s">
        <v>4</v>
      </c>
      <c r="L3307" s="455"/>
    </row>
    <row r="3308" spans="1:12" ht="12" customHeight="1" x14ac:dyDescent="0.35">
      <c r="B3308" s="451" t="s">
        <v>409</v>
      </c>
      <c r="C3308" s="451" t="s">
        <v>410</v>
      </c>
      <c r="D3308" s="452" t="s">
        <v>411</v>
      </c>
      <c r="E3308" s="451" t="s">
        <v>412</v>
      </c>
      <c r="F3308" s="451" t="s">
        <v>413</v>
      </c>
      <c r="G3308" s="77" t="s">
        <v>414</v>
      </c>
      <c r="H3308" s="77" t="s">
        <v>415</v>
      </c>
      <c r="I3308" s="78" t="s">
        <v>414</v>
      </c>
      <c r="J3308" s="79" t="s">
        <v>415</v>
      </c>
      <c r="K3308" s="79" t="s">
        <v>414</v>
      </c>
      <c r="L3308" s="79" t="s">
        <v>415</v>
      </c>
    </row>
    <row r="3309" spans="1:12" ht="12" customHeight="1" x14ac:dyDescent="0.35">
      <c r="B3309" s="451"/>
      <c r="C3309" s="451"/>
      <c r="D3309" s="453"/>
      <c r="E3309" s="451"/>
      <c r="F3309" s="451"/>
      <c r="G3309" s="77" t="s">
        <v>17</v>
      </c>
      <c r="H3309" s="77" t="s">
        <v>416</v>
      </c>
      <c r="I3309" s="78" t="s">
        <v>17</v>
      </c>
      <c r="J3309" s="79" t="s">
        <v>416</v>
      </c>
      <c r="K3309" s="79" t="s">
        <v>17</v>
      </c>
      <c r="L3309" s="79" t="s">
        <v>416</v>
      </c>
    </row>
    <row r="3310" spans="1:12" ht="12" customHeight="1" x14ac:dyDescent="0.35">
      <c r="B3310" s="451"/>
      <c r="C3310" s="451"/>
      <c r="D3310" s="454"/>
      <c r="E3310" s="451"/>
      <c r="F3310" s="451"/>
      <c r="G3310" s="106"/>
      <c r="H3310" s="77" t="s">
        <v>17</v>
      </c>
      <c r="I3310" s="94"/>
      <c r="J3310" s="79" t="s">
        <v>17</v>
      </c>
      <c r="K3310" s="85"/>
      <c r="L3310" s="79" t="s">
        <v>17</v>
      </c>
    </row>
    <row r="3311" spans="1:12" ht="12" customHeight="1" x14ac:dyDescent="0.35">
      <c r="B3311" s="80" t="s">
        <v>5</v>
      </c>
      <c r="C3311" s="81" t="s">
        <v>417</v>
      </c>
      <c r="D3311" s="82"/>
      <c r="E3311" s="82"/>
      <c r="F3311" s="82"/>
      <c r="G3311" s="82"/>
      <c r="H3311" s="82"/>
      <c r="I3311" s="83"/>
      <c r="J3311" s="83"/>
      <c r="K3311" s="83"/>
      <c r="L3311" s="83"/>
    </row>
    <row r="3312" spans="1:12" ht="12" customHeight="1" x14ac:dyDescent="0.35">
      <c r="A3312" s="134">
        <v>10130000</v>
      </c>
      <c r="B3312" s="84"/>
      <c r="C3312" s="85" t="str">
        <f>VLOOKUP(A3312,'DAFTAR HARGA'!A:D,3,FALSE)</f>
        <v>OH</v>
      </c>
      <c r="D3312" s="84" t="s">
        <v>418</v>
      </c>
      <c r="E3312" s="84">
        <f>VLOOKUP(A3312,'DAFTAR HARGA'!A:D,4,FALSE)</f>
        <v>115000</v>
      </c>
      <c r="F3312" s="128">
        <v>0.4</v>
      </c>
      <c r="G3312" s="87" t="e">
        <f>VLOOKUP(A3312,'DAFTAR HARGA'!A:D,5,FALSE)</f>
        <v>#REF!</v>
      </c>
      <c r="H3312" s="87" t="e">
        <f>F3312*G3312</f>
        <v>#REF!</v>
      </c>
      <c r="I3312" s="87">
        <v>91500</v>
      </c>
      <c r="J3312" s="87">
        <f>F3312*I3312</f>
        <v>36600</v>
      </c>
      <c r="K3312" s="87">
        <v>91500</v>
      </c>
      <c r="L3312" s="87">
        <f>F3312*K3312</f>
        <v>36600</v>
      </c>
    </row>
    <row r="3313" spans="1:12" ht="12" customHeight="1" x14ac:dyDescent="0.35">
      <c r="A3313" s="134">
        <v>10142000</v>
      </c>
      <c r="B3313" s="84"/>
      <c r="C3313" s="85" t="str">
        <f>VLOOKUP(A3313,'DAFTAR HARGA'!A:D,3,FALSE)</f>
        <v>OH</v>
      </c>
      <c r="D3313" s="84" t="s">
        <v>418</v>
      </c>
      <c r="E3313" s="84">
        <f>VLOOKUP(A3313,'DAFTAR HARGA'!A:D,4,FALSE)</f>
        <v>236600</v>
      </c>
      <c r="F3313" s="128">
        <v>0.2</v>
      </c>
      <c r="G3313" s="87" t="e">
        <f>VLOOKUP(A3313,'DAFTAR HARGA'!A:D,5,FALSE)</f>
        <v>#REF!</v>
      </c>
      <c r="H3313" s="87" t="e">
        <f>F3313*G3313</f>
        <v>#REF!</v>
      </c>
      <c r="I3313" s="87"/>
      <c r="J3313" s="87"/>
      <c r="K3313" s="87"/>
      <c r="L3313" s="87"/>
    </row>
    <row r="3314" spans="1:12" ht="12" customHeight="1" x14ac:dyDescent="0.35">
      <c r="A3314" s="134">
        <v>10120000</v>
      </c>
      <c r="B3314" s="84"/>
      <c r="C3314" s="85" t="str">
        <f>VLOOKUP(A3314,'DAFTAR HARGA'!A:D,3,FALSE)</f>
        <v>OH</v>
      </c>
      <c r="D3314" s="84" t="s">
        <v>418</v>
      </c>
      <c r="E3314" s="84">
        <f>VLOOKUP(A3314,'DAFTAR HARGA'!A:D,4,FALSE)</f>
        <v>130000</v>
      </c>
      <c r="F3314" s="128">
        <f>F3313/10</f>
        <v>0.02</v>
      </c>
      <c r="G3314" s="87" t="e">
        <f>VLOOKUP(A3314,'DAFTAR HARGA'!A:D,5,FALSE)</f>
        <v>#REF!</v>
      </c>
      <c r="H3314" s="87" t="e">
        <f>F3314*G3314</f>
        <v>#REF!</v>
      </c>
      <c r="I3314" s="87"/>
      <c r="J3314" s="87"/>
      <c r="K3314" s="87"/>
      <c r="L3314" s="87"/>
    </row>
    <row r="3315" spans="1:12" ht="12" customHeight="1" x14ac:dyDescent="0.35">
      <c r="A3315" s="134">
        <v>10110000</v>
      </c>
      <c r="B3315" s="84"/>
      <c r="C3315" s="85" t="str">
        <f>VLOOKUP(A3315,'DAFTAR HARGA'!A:D,3,FALSE)</f>
        <v>OH</v>
      </c>
      <c r="D3315" s="84" t="s">
        <v>418</v>
      </c>
      <c r="E3315" s="84">
        <f>VLOOKUP(A3315,'DAFTAR HARGA'!A:D,4,FALSE)</f>
        <v>150000</v>
      </c>
      <c r="F3315" s="128">
        <f>F3312/10</f>
        <v>0.04</v>
      </c>
      <c r="G3315" s="87" t="e">
        <f>VLOOKUP(A3315,'DAFTAR HARGA'!A:D,5,FALSE)</f>
        <v>#REF!</v>
      </c>
      <c r="H3315" s="87" t="e">
        <f>F3315*G3315</f>
        <v>#REF!</v>
      </c>
      <c r="I3315" s="87">
        <v>92500</v>
      </c>
      <c r="J3315" s="87">
        <f>F3315*I3315</f>
        <v>3700</v>
      </c>
      <c r="K3315" s="87">
        <v>92500</v>
      </c>
      <c r="L3315" s="87">
        <f>F3315*K3315</f>
        <v>3700</v>
      </c>
    </row>
    <row r="3316" spans="1:12" ht="12" customHeight="1" x14ac:dyDescent="0.35">
      <c r="B3316" s="84"/>
      <c r="C3316" s="85"/>
      <c r="D3316" s="84"/>
      <c r="E3316" s="84"/>
      <c r="F3316" s="86"/>
      <c r="G3316" s="87"/>
      <c r="H3316" s="87"/>
      <c r="I3316" s="87"/>
      <c r="J3316" s="87"/>
      <c r="K3316" s="87"/>
      <c r="L3316" s="87"/>
    </row>
    <row r="3317" spans="1:12" ht="12" customHeight="1" x14ac:dyDescent="0.35">
      <c r="B3317" s="84"/>
      <c r="C3317" s="88"/>
      <c r="D3317" s="79"/>
      <c r="E3317" s="79"/>
      <c r="F3317" s="89" t="s">
        <v>421</v>
      </c>
      <c r="G3317" s="101"/>
      <c r="H3317" s="87" t="e">
        <f>SUM(H3312:H3316)</f>
        <v>#REF!</v>
      </c>
      <c r="I3317" s="101"/>
      <c r="J3317" s="87">
        <f>SUM(J3315:J3316)</f>
        <v>3700</v>
      </c>
      <c r="K3317" s="101"/>
      <c r="L3317" s="87">
        <f>SUM(L3315:L3316)</f>
        <v>3700</v>
      </c>
    </row>
    <row r="3318" spans="1:12" ht="12" customHeight="1" x14ac:dyDescent="0.35">
      <c r="B3318" s="84" t="s">
        <v>6</v>
      </c>
      <c r="C3318" s="88" t="s">
        <v>422</v>
      </c>
      <c r="D3318" s="79"/>
      <c r="E3318" s="79"/>
      <c r="F3318" s="90"/>
      <c r="G3318" s="84"/>
      <c r="H3318" s="87"/>
      <c r="I3318" s="84"/>
      <c r="J3318" s="87"/>
      <c r="K3318" s="84"/>
      <c r="L3318" s="87"/>
    </row>
    <row r="3319" spans="1:12" x14ac:dyDescent="0.35">
      <c r="A3319" s="134">
        <v>21401180</v>
      </c>
      <c r="B3319" s="84"/>
      <c r="C3319" s="85" t="str">
        <f>VLOOKUP(A3319,'DAFTAR HARGA'!A:D,3,FALSE)</f>
        <v>m³</v>
      </c>
      <c r="D3319" s="84" t="s">
        <v>418</v>
      </c>
      <c r="E3319" s="84">
        <f>VLOOKUP(A3319,'DAFTAR HARGA'!A:D,4,FALSE)</f>
        <v>1900000</v>
      </c>
      <c r="F3319" s="128">
        <v>0.02</v>
      </c>
      <c r="G3319" s="87" t="e">
        <f>VLOOKUP(A3319,'DAFTAR HARGA'!A:D,5,FALSE)</f>
        <v>#REF!</v>
      </c>
      <c r="H3319" s="87" t="e">
        <f>F3319*G3319</f>
        <v>#REF!</v>
      </c>
      <c r="I3319" s="87"/>
      <c r="J3319" s="87"/>
      <c r="K3319" s="87"/>
      <c r="L3319" s="87"/>
    </row>
    <row r="3320" spans="1:12" x14ac:dyDescent="0.35">
      <c r="A3320" s="134">
        <v>21911005</v>
      </c>
      <c r="B3320" s="84"/>
      <c r="C3320" s="85" t="str">
        <f>VLOOKUP(A3320,'DAFTAR HARGA'!A:D,3,FALSE)</f>
        <v>kg</v>
      </c>
      <c r="D3320" s="84" t="s">
        <v>418</v>
      </c>
      <c r="E3320" s="84">
        <f>VLOOKUP(A3320,'DAFTAR HARGA'!A:D,4,FALSE)</f>
        <v>21200</v>
      </c>
      <c r="F3320" s="128">
        <v>0.24</v>
      </c>
      <c r="G3320" s="87" t="e">
        <f>VLOOKUP(A3320,'DAFTAR HARGA'!A:D,5,FALSE)</f>
        <v>#REF!</v>
      </c>
      <c r="H3320" s="87" t="e">
        <f>F3320*G3320</f>
        <v>#REF!</v>
      </c>
      <c r="I3320" s="87"/>
      <c r="J3320" s="87"/>
      <c r="K3320" s="87"/>
      <c r="L3320" s="87"/>
    </row>
    <row r="3321" spans="1:12" x14ac:dyDescent="0.35">
      <c r="B3321" s="84"/>
      <c r="C3321" s="85"/>
      <c r="D3321" s="84"/>
      <c r="E3321" s="84"/>
      <c r="F3321" s="128"/>
      <c r="G3321" s="87"/>
      <c r="H3321" s="87">
        <f>F3321*G3321</f>
        <v>0</v>
      </c>
      <c r="I3321" s="87"/>
      <c r="J3321" s="87"/>
      <c r="K3321" s="87"/>
      <c r="L3321" s="87"/>
    </row>
    <row r="3322" spans="1:12" ht="12" customHeight="1" x14ac:dyDescent="0.35">
      <c r="B3322" s="84"/>
      <c r="C3322" s="88"/>
      <c r="D3322" s="79"/>
      <c r="E3322" s="79"/>
      <c r="F3322" s="129" t="s">
        <v>423</v>
      </c>
      <c r="G3322" s="129"/>
      <c r="H3322" s="87" t="e">
        <f>SUM(H3319:H3321)</f>
        <v>#REF!</v>
      </c>
      <c r="I3322" s="101"/>
      <c r="J3322" s="87" t="e">
        <f>SUM(#REF!)</f>
        <v>#REF!</v>
      </c>
      <c r="K3322" s="101"/>
      <c r="L3322" s="87" t="e">
        <f>SUM(#REF!)</f>
        <v>#REF!</v>
      </c>
    </row>
    <row r="3323" spans="1:12" ht="12" customHeight="1" x14ac:dyDescent="0.35">
      <c r="B3323" s="84" t="s">
        <v>7</v>
      </c>
      <c r="C3323" s="88" t="s">
        <v>424</v>
      </c>
      <c r="D3323" s="79"/>
      <c r="E3323" s="79"/>
      <c r="F3323" s="90"/>
      <c r="G3323" s="84"/>
      <c r="H3323" s="87"/>
      <c r="I3323" s="84"/>
      <c r="J3323" s="87"/>
      <c r="K3323" s="84"/>
      <c r="L3323" s="87"/>
    </row>
    <row r="3324" spans="1:12" ht="12" customHeight="1" x14ac:dyDescent="0.35">
      <c r="B3324" s="84"/>
      <c r="C3324" s="85"/>
      <c r="D3324" s="84"/>
      <c r="E3324" s="84"/>
      <c r="F3324" s="128"/>
      <c r="G3324" s="87"/>
      <c r="H3324" s="87">
        <f>F3324*G3324</f>
        <v>0</v>
      </c>
      <c r="I3324" s="87"/>
      <c r="J3324" s="87">
        <f>H3324*I3324</f>
        <v>0</v>
      </c>
      <c r="K3324" s="87"/>
      <c r="L3324" s="87">
        <f>J3324*K3324</f>
        <v>0</v>
      </c>
    </row>
    <row r="3325" spans="1:12" ht="12" customHeight="1" x14ac:dyDescent="0.35">
      <c r="B3325" s="84"/>
      <c r="C3325" s="85"/>
      <c r="D3325" s="84"/>
      <c r="E3325" s="84"/>
      <c r="F3325" s="128"/>
      <c r="G3325" s="87"/>
      <c r="H3325" s="87">
        <f>F3325*G3325</f>
        <v>0</v>
      </c>
      <c r="I3325" s="87"/>
      <c r="J3325" s="87"/>
      <c r="K3325" s="87"/>
      <c r="L3325" s="87"/>
    </row>
    <row r="3326" spans="1:12" ht="12" customHeight="1" x14ac:dyDescent="0.35">
      <c r="B3326" s="84"/>
      <c r="C3326" s="85"/>
      <c r="D3326" s="84"/>
      <c r="E3326" s="84"/>
      <c r="F3326" s="128"/>
      <c r="G3326" s="87"/>
      <c r="H3326" s="87">
        <f>F3326*G3326</f>
        <v>0</v>
      </c>
      <c r="I3326" s="87"/>
      <c r="J3326" s="87"/>
      <c r="K3326" s="87"/>
      <c r="L3326" s="87"/>
    </row>
    <row r="3327" spans="1:12" ht="12" customHeight="1" x14ac:dyDescent="0.35">
      <c r="B3327" s="84"/>
      <c r="C3327" s="88"/>
      <c r="D3327" s="79"/>
      <c r="E3327" s="79"/>
      <c r="F3327" s="89" t="s">
        <v>425</v>
      </c>
      <c r="G3327" s="101"/>
      <c r="H3327" s="87">
        <f>SUM(H3324:H3326)</f>
        <v>0</v>
      </c>
      <c r="I3327" s="101"/>
      <c r="J3327" s="87">
        <f>SUM(J3324)</f>
        <v>0</v>
      </c>
      <c r="K3327" s="101"/>
      <c r="L3327" s="87">
        <f>SUM(L3324)</f>
        <v>0</v>
      </c>
    </row>
    <row r="3328" spans="1:12" ht="12" customHeight="1" x14ac:dyDescent="0.35">
      <c r="B3328" s="84" t="s">
        <v>8</v>
      </c>
      <c r="C3328" s="103" t="s">
        <v>426</v>
      </c>
      <c r="D3328" s="104"/>
      <c r="E3328" s="104"/>
      <c r="F3328" s="104"/>
      <c r="G3328" s="105"/>
      <c r="H3328" s="87" t="e">
        <f>H3317+H3322+H3327</f>
        <v>#REF!</v>
      </c>
      <c r="I3328" s="105"/>
      <c r="J3328" s="87" t="e">
        <f>J3317+J3322+J3327</f>
        <v>#REF!</v>
      </c>
      <c r="K3328" s="105"/>
      <c r="L3328" s="87" t="e">
        <f>L3317+L3322+L3327</f>
        <v>#REF!</v>
      </c>
    </row>
    <row r="3329" spans="1:12" ht="12" customHeight="1" x14ac:dyDescent="0.35">
      <c r="B3329" s="84" t="s">
        <v>9</v>
      </c>
      <c r="C3329" s="455" t="s">
        <v>427</v>
      </c>
      <c r="D3329" s="455"/>
      <c r="E3329" s="455"/>
      <c r="F3329" s="95" t="str">
        <f>OP</f>
        <v>TANJUNG PALAS TENGAH</v>
      </c>
      <c r="G3329" s="85" t="s">
        <v>428</v>
      </c>
      <c r="H3329" s="87" t="e">
        <f>H3328*F3329</f>
        <v>#REF!</v>
      </c>
      <c r="I3329" s="85" t="s">
        <v>428</v>
      </c>
      <c r="J3329" s="87" t="e">
        <f>J3328*F3329</f>
        <v>#REF!</v>
      </c>
      <c r="K3329" s="85" t="s">
        <v>428</v>
      </c>
      <c r="L3329" s="87" t="e">
        <f>L3328*F3329</f>
        <v>#REF!</v>
      </c>
    </row>
    <row r="3330" spans="1:12" ht="12" customHeight="1" x14ac:dyDescent="0.35">
      <c r="B3330" s="84" t="s">
        <v>10</v>
      </c>
      <c r="C3330" s="103" t="s">
        <v>429</v>
      </c>
      <c r="D3330" s="104"/>
      <c r="E3330" s="104"/>
      <c r="F3330" s="104"/>
      <c r="G3330" s="105"/>
      <c r="H3330" s="96" t="e">
        <f>H3328+H3329</f>
        <v>#REF!</v>
      </c>
      <c r="I3330" s="97"/>
      <c r="J3330" s="96" t="e">
        <f>J3328+J3329</f>
        <v>#REF!</v>
      </c>
      <c r="K3330" s="97"/>
      <c r="L3330" s="96" t="e">
        <f>L3328+L3329</f>
        <v>#REF!</v>
      </c>
    </row>
    <row r="3331" spans="1:12" x14ac:dyDescent="0.35">
      <c r="B3331" s="75" t="s">
        <v>806</v>
      </c>
    </row>
    <row r="3332" spans="1:12" ht="14" customHeight="1" x14ac:dyDescent="0.35"/>
    <row r="3333" spans="1:12" ht="37" customHeight="1" x14ac:dyDescent="0.35">
      <c r="B3333" s="76" t="s">
        <v>842</v>
      </c>
      <c r="C3333" s="458" t="s">
        <v>843</v>
      </c>
      <c r="D3333" s="459"/>
      <c r="E3333" s="459"/>
      <c r="F3333" s="459"/>
      <c r="G3333" s="456"/>
      <c r="H3333" s="457"/>
      <c r="I3333" s="455" t="s">
        <v>3</v>
      </c>
      <c r="J3333" s="455"/>
      <c r="K3333" s="455" t="s">
        <v>4</v>
      </c>
      <c r="L3333" s="455"/>
    </row>
    <row r="3334" spans="1:12" ht="12" customHeight="1" x14ac:dyDescent="0.35">
      <c r="B3334" s="451" t="s">
        <v>409</v>
      </c>
      <c r="C3334" s="451" t="s">
        <v>410</v>
      </c>
      <c r="D3334" s="452" t="s">
        <v>411</v>
      </c>
      <c r="E3334" s="451" t="s">
        <v>412</v>
      </c>
      <c r="F3334" s="451" t="s">
        <v>413</v>
      </c>
      <c r="G3334" s="77" t="s">
        <v>414</v>
      </c>
      <c r="H3334" s="77" t="s">
        <v>415</v>
      </c>
      <c r="I3334" s="78" t="s">
        <v>414</v>
      </c>
      <c r="J3334" s="79" t="s">
        <v>415</v>
      </c>
      <c r="K3334" s="79" t="s">
        <v>414</v>
      </c>
      <c r="L3334" s="79" t="s">
        <v>415</v>
      </c>
    </row>
    <row r="3335" spans="1:12" ht="12" customHeight="1" x14ac:dyDescent="0.35">
      <c r="B3335" s="451"/>
      <c r="C3335" s="451"/>
      <c r="D3335" s="453"/>
      <c r="E3335" s="451"/>
      <c r="F3335" s="451"/>
      <c r="G3335" s="77" t="s">
        <v>17</v>
      </c>
      <c r="H3335" s="77" t="s">
        <v>416</v>
      </c>
      <c r="I3335" s="78" t="s">
        <v>17</v>
      </c>
      <c r="J3335" s="79" t="s">
        <v>416</v>
      </c>
      <c r="K3335" s="79" t="s">
        <v>17</v>
      </c>
      <c r="L3335" s="79" t="s">
        <v>416</v>
      </c>
    </row>
    <row r="3336" spans="1:12" ht="12" customHeight="1" x14ac:dyDescent="0.35">
      <c r="B3336" s="451"/>
      <c r="C3336" s="451"/>
      <c r="D3336" s="454"/>
      <c r="E3336" s="451"/>
      <c r="F3336" s="451"/>
      <c r="G3336" s="106"/>
      <c r="H3336" s="77" t="s">
        <v>17</v>
      </c>
      <c r="I3336" s="94"/>
      <c r="J3336" s="79" t="s">
        <v>17</v>
      </c>
      <c r="K3336" s="85"/>
      <c r="L3336" s="79" t="s">
        <v>17</v>
      </c>
    </row>
    <row r="3337" spans="1:12" ht="12" customHeight="1" x14ac:dyDescent="0.35">
      <c r="B3337" s="80" t="s">
        <v>5</v>
      </c>
      <c r="C3337" s="81" t="s">
        <v>417</v>
      </c>
      <c r="D3337" s="82"/>
      <c r="E3337" s="82"/>
      <c r="F3337" s="82"/>
      <c r="G3337" s="82"/>
      <c r="H3337" s="82"/>
      <c r="I3337" s="83"/>
      <c r="J3337" s="83"/>
      <c r="K3337" s="83"/>
      <c r="L3337" s="83"/>
    </row>
    <row r="3338" spans="1:12" ht="12" customHeight="1" x14ac:dyDescent="0.35">
      <c r="A3338" s="134">
        <v>10130000</v>
      </c>
      <c r="B3338" s="84"/>
      <c r="C3338" s="85" t="str">
        <f>VLOOKUP(A3338,'DAFTAR HARGA'!A:D,3,FALSE)</f>
        <v>OH</v>
      </c>
      <c r="D3338" s="84" t="s">
        <v>418</v>
      </c>
      <c r="E3338" s="84">
        <f>VLOOKUP(A3338,'DAFTAR HARGA'!A:D,4,FALSE)</f>
        <v>115000</v>
      </c>
      <c r="F3338" s="128">
        <v>0.2</v>
      </c>
      <c r="G3338" s="87" t="e">
        <f>VLOOKUP(A3338,'DAFTAR HARGA'!A:D,5,FALSE)</f>
        <v>#REF!</v>
      </c>
      <c r="H3338" s="87" t="e">
        <f>F3338*G3338</f>
        <v>#REF!</v>
      </c>
      <c r="I3338" s="87">
        <v>91500</v>
      </c>
      <c r="J3338" s="87">
        <f>F3338*I3338</f>
        <v>18300</v>
      </c>
      <c r="K3338" s="87">
        <v>91500</v>
      </c>
      <c r="L3338" s="87">
        <f>F3338*K3338</f>
        <v>18300</v>
      </c>
    </row>
    <row r="3339" spans="1:12" ht="12" customHeight="1" x14ac:dyDescent="0.35">
      <c r="A3339" s="134">
        <v>10142000</v>
      </c>
      <c r="B3339" s="84"/>
      <c r="C3339" s="85" t="str">
        <f>VLOOKUP(A3339,'DAFTAR HARGA'!A:D,3,FALSE)</f>
        <v>OH</v>
      </c>
      <c r="D3339" s="84" t="s">
        <v>418</v>
      </c>
      <c r="E3339" s="84">
        <f>VLOOKUP(A3339,'DAFTAR HARGA'!A:D,4,FALSE)</f>
        <v>236600</v>
      </c>
      <c r="F3339" s="128">
        <v>0.1</v>
      </c>
      <c r="G3339" s="87" t="e">
        <f>VLOOKUP(A3339,'DAFTAR HARGA'!A:D,5,FALSE)</f>
        <v>#REF!</v>
      </c>
      <c r="H3339" s="87" t="e">
        <f>F3339*G3339</f>
        <v>#REF!</v>
      </c>
      <c r="I3339" s="87"/>
      <c r="J3339" s="87"/>
      <c r="K3339" s="87"/>
      <c r="L3339" s="87"/>
    </row>
    <row r="3340" spans="1:12" ht="12" customHeight="1" x14ac:dyDescent="0.35">
      <c r="A3340" s="134">
        <v>10120000</v>
      </c>
      <c r="B3340" s="84"/>
      <c r="C3340" s="85" t="str">
        <f>VLOOKUP(A3340,'DAFTAR HARGA'!A:D,3,FALSE)</f>
        <v>OH</v>
      </c>
      <c r="D3340" s="84" t="s">
        <v>418</v>
      </c>
      <c r="E3340" s="84">
        <f>VLOOKUP(A3340,'DAFTAR HARGA'!A:D,4,FALSE)</f>
        <v>130000</v>
      </c>
      <c r="F3340" s="128">
        <f>F3339/10</f>
        <v>0.01</v>
      </c>
      <c r="G3340" s="87" t="e">
        <f>VLOOKUP(A3340,'DAFTAR HARGA'!A:D,5,FALSE)</f>
        <v>#REF!</v>
      </c>
      <c r="H3340" s="87" t="e">
        <f>F3340*G3340</f>
        <v>#REF!</v>
      </c>
      <c r="I3340" s="87"/>
      <c r="J3340" s="87"/>
      <c r="K3340" s="87"/>
      <c r="L3340" s="87"/>
    </row>
    <row r="3341" spans="1:12" ht="12" customHeight="1" x14ac:dyDescent="0.35">
      <c r="A3341" s="134">
        <v>10110000</v>
      </c>
      <c r="B3341" s="84"/>
      <c r="C3341" s="85" t="str">
        <f>VLOOKUP(A3341,'DAFTAR HARGA'!A:D,3,FALSE)</f>
        <v>OH</v>
      </c>
      <c r="D3341" s="84" t="s">
        <v>418</v>
      </c>
      <c r="E3341" s="84">
        <f>VLOOKUP(A3341,'DAFTAR HARGA'!A:D,4,FALSE)</f>
        <v>150000</v>
      </c>
      <c r="F3341" s="128">
        <f>F3338/10</f>
        <v>0.02</v>
      </c>
      <c r="G3341" s="87" t="e">
        <f>VLOOKUP(A3341,'DAFTAR HARGA'!A:D,5,FALSE)</f>
        <v>#REF!</v>
      </c>
      <c r="H3341" s="87" t="e">
        <f>F3341*G3341</f>
        <v>#REF!</v>
      </c>
      <c r="I3341" s="87">
        <v>92500</v>
      </c>
      <c r="J3341" s="87">
        <f>F3341*I3341</f>
        <v>1850</v>
      </c>
      <c r="K3341" s="87">
        <v>92500</v>
      </c>
      <c r="L3341" s="87">
        <f>F3341*K3341</f>
        <v>1850</v>
      </c>
    </row>
    <row r="3342" spans="1:12" ht="12" customHeight="1" x14ac:dyDescent="0.35">
      <c r="B3342" s="84"/>
      <c r="C3342" s="85"/>
      <c r="D3342" s="84"/>
      <c r="E3342" s="84"/>
      <c r="F3342" s="86"/>
      <c r="G3342" s="87"/>
      <c r="H3342" s="87"/>
      <c r="I3342" s="87"/>
      <c r="J3342" s="87"/>
      <c r="K3342" s="87"/>
      <c r="L3342" s="87"/>
    </row>
    <row r="3343" spans="1:12" ht="12" customHeight="1" x14ac:dyDescent="0.35">
      <c r="B3343" s="84"/>
      <c r="C3343" s="88"/>
      <c r="D3343" s="79"/>
      <c r="E3343" s="79"/>
      <c r="F3343" s="89" t="s">
        <v>421</v>
      </c>
      <c r="G3343" s="101"/>
      <c r="H3343" s="87" t="e">
        <f>SUM(H3338:H3342)</f>
        <v>#REF!</v>
      </c>
      <c r="I3343" s="101"/>
      <c r="J3343" s="87">
        <f>SUM(J3341:J3342)</f>
        <v>1850</v>
      </c>
      <c r="K3343" s="101"/>
      <c r="L3343" s="87">
        <f>SUM(L3341:L3342)</f>
        <v>1850</v>
      </c>
    </row>
    <row r="3344" spans="1:12" ht="12" customHeight="1" x14ac:dyDescent="0.35">
      <c r="B3344" s="84" t="s">
        <v>6</v>
      </c>
      <c r="C3344" s="88" t="s">
        <v>422</v>
      </c>
      <c r="D3344" s="79"/>
      <c r="E3344" s="79"/>
      <c r="F3344" s="90"/>
      <c r="G3344" s="84"/>
      <c r="H3344" s="87"/>
      <c r="I3344" s="84"/>
      <c r="J3344" s="87"/>
      <c r="K3344" s="84"/>
      <c r="L3344" s="87"/>
    </row>
    <row r="3345" spans="1:12" x14ac:dyDescent="0.35">
      <c r="A3345" s="134">
        <v>21924004</v>
      </c>
      <c r="B3345" s="84"/>
      <c r="C3345" s="85" t="str">
        <f>VLOOKUP(A3345,'DAFTAR HARGA'!A:D,3,FALSE)</f>
        <v>m²</v>
      </c>
      <c r="D3345" s="84" t="s">
        <v>418</v>
      </c>
      <c r="E3345" s="84">
        <f>VLOOKUP(A3345,'DAFTAR HARGA'!A:D,4,FALSE)</f>
        <v>175000</v>
      </c>
      <c r="F3345" s="128">
        <v>0.128</v>
      </c>
      <c r="G3345" s="87" t="e">
        <f>VLOOKUP(A3345,'DAFTAR HARGA'!A:D,5,FALSE)</f>
        <v>#REF!</v>
      </c>
      <c r="H3345" s="87" t="e">
        <f>F3345*G3345</f>
        <v>#REF!</v>
      </c>
      <c r="I3345" s="87">
        <v>232500</v>
      </c>
      <c r="J3345" s="87">
        <f>F3345*I3345</f>
        <v>29760</v>
      </c>
      <c r="K3345" s="87">
        <v>270000</v>
      </c>
      <c r="L3345" s="87">
        <f>F3345*K3345</f>
        <v>34560</v>
      </c>
    </row>
    <row r="3346" spans="1:12" x14ac:dyDescent="0.35">
      <c r="A3346" s="134">
        <v>21401200</v>
      </c>
      <c r="B3346" s="84"/>
      <c r="C3346" s="85" t="str">
        <f>VLOOKUP(A3346,'DAFTAR HARGA'!A:D,3,FALSE)</f>
        <v>m³</v>
      </c>
      <c r="D3346" s="84" t="s">
        <v>418</v>
      </c>
      <c r="E3346" s="84">
        <f>VLOOKUP(A3346,'DAFTAR HARGA'!A:D,4,FALSE)</f>
        <v>1900000</v>
      </c>
      <c r="F3346" s="128">
        <v>8.9999999999999993E-3</v>
      </c>
      <c r="G3346" s="87" t="e">
        <f>VLOOKUP(A3346,'DAFTAR HARGA'!A:D,5,FALSE)</f>
        <v>#REF!</v>
      </c>
      <c r="H3346" s="87" t="e">
        <f>F3346*G3346</f>
        <v>#REF!</v>
      </c>
      <c r="I3346" s="87"/>
      <c r="J3346" s="87"/>
      <c r="K3346" s="87"/>
      <c r="L3346" s="87"/>
    </row>
    <row r="3347" spans="1:12" x14ac:dyDescent="0.35">
      <c r="A3347" s="134">
        <v>21911005</v>
      </c>
      <c r="B3347" s="84"/>
      <c r="C3347" s="85" t="str">
        <f>VLOOKUP(A3347,'DAFTAR HARGA'!A:D,3,FALSE)</f>
        <v>kg</v>
      </c>
      <c r="D3347" s="84" t="s">
        <v>418</v>
      </c>
      <c r="E3347" s="84">
        <f>VLOOKUP(A3347,'DAFTAR HARGA'!A:D,4,FALSE)</f>
        <v>21200</v>
      </c>
      <c r="F3347" s="128">
        <v>0.25</v>
      </c>
      <c r="G3347" s="87" t="e">
        <f>VLOOKUP(A3347,'DAFTAR HARGA'!A:D,5,FALSE)</f>
        <v>#REF!</v>
      </c>
      <c r="H3347" s="87" t="e">
        <f>F3347*G3347</f>
        <v>#REF!</v>
      </c>
      <c r="I3347" s="87"/>
      <c r="J3347" s="87"/>
      <c r="K3347" s="87"/>
      <c r="L3347" s="87"/>
    </row>
    <row r="3348" spans="1:12" x14ac:dyDescent="0.35">
      <c r="A3348" s="134">
        <v>21961000</v>
      </c>
      <c r="B3348" s="84"/>
      <c r="C3348" s="85" t="str">
        <f>VLOOKUP(A3348,'DAFTAR HARGA'!A:D,3,FALSE)</f>
        <v>liter</v>
      </c>
      <c r="D3348" s="84" t="s">
        <v>418</v>
      </c>
      <c r="E3348" s="84">
        <f>VLOOKUP(A3348,'DAFTAR HARGA'!A:D,4,FALSE)</f>
        <v>22100</v>
      </c>
      <c r="F3348" s="128">
        <v>0.2</v>
      </c>
      <c r="G3348" s="87" t="e">
        <f>VLOOKUP(A3348,'DAFTAR HARGA'!A:D,5,FALSE)</f>
        <v>#REF!</v>
      </c>
      <c r="H3348" s="87" t="e">
        <f>F3348*G3348</f>
        <v>#REF!</v>
      </c>
      <c r="I3348" s="87"/>
      <c r="J3348" s="87"/>
      <c r="K3348" s="87"/>
      <c r="L3348" s="87"/>
    </row>
    <row r="3349" spans="1:12" ht="12" customHeight="1" x14ac:dyDescent="0.35">
      <c r="B3349" s="84"/>
      <c r="C3349" s="88"/>
      <c r="D3349" s="79"/>
      <c r="E3349" s="79"/>
      <c r="F3349" s="129" t="s">
        <v>423</v>
      </c>
      <c r="G3349" s="129"/>
      <c r="H3349" s="87" t="e">
        <f>SUM(H3345:H3348)</f>
        <v>#REF!</v>
      </c>
      <c r="I3349" s="101"/>
      <c r="J3349" s="87" t="e">
        <f>SUM(#REF!)</f>
        <v>#REF!</v>
      </c>
      <c r="K3349" s="101"/>
      <c r="L3349" s="87" t="e">
        <f>SUM(#REF!)</f>
        <v>#REF!</v>
      </c>
    </row>
    <row r="3350" spans="1:12" ht="12" customHeight="1" x14ac:dyDescent="0.35">
      <c r="B3350" s="84" t="s">
        <v>7</v>
      </c>
      <c r="C3350" s="88" t="s">
        <v>424</v>
      </c>
      <c r="D3350" s="79"/>
      <c r="E3350" s="79"/>
      <c r="F3350" s="90"/>
      <c r="G3350" s="84"/>
      <c r="H3350" s="87"/>
      <c r="I3350" s="84"/>
      <c r="J3350" s="87"/>
      <c r="K3350" s="84"/>
      <c r="L3350" s="87"/>
    </row>
    <row r="3351" spans="1:12" ht="12" customHeight="1" x14ac:dyDescent="0.35">
      <c r="B3351" s="84"/>
      <c r="C3351" s="85"/>
      <c r="D3351" s="84"/>
      <c r="E3351" s="84"/>
      <c r="F3351" s="128"/>
      <c r="G3351" s="87"/>
      <c r="H3351" s="87">
        <f>F3351*G3351</f>
        <v>0</v>
      </c>
      <c r="I3351" s="87"/>
      <c r="J3351" s="87">
        <f>H3351*I3351</f>
        <v>0</v>
      </c>
      <c r="K3351" s="87"/>
      <c r="L3351" s="87">
        <f>J3351*K3351</f>
        <v>0</v>
      </c>
    </row>
    <row r="3352" spans="1:12" ht="12" customHeight="1" x14ac:dyDescent="0.35">
      <c r="B3352" s="84"/>
      <c r="C3352" s="85"/>
      <c r="D3352" s="84"/>
      <c r="E3352" s="84"/>
      <c r="F3352" s="128"/>
      <c r="G3352" s="87"/>
      <c r="H3352" s="87">
        <f>F3352*G3352</f>
        <v>0</v>
      </c>
      <c r="I3352" s="87"/>
      <c r="J3352" s="87"/>
      <c r="K3352" s="87"/>
      <c r="L3352" s="87"/>
    </row>
    <row r="3353" spans="1:12" ht="12" customHeight="1" x14ac:dyDescent="0.35">
      <c r="B3353" s="84"/>
      <c r="C3353" s="85"/>
      <c r="D3353" s="84"/>
      <c r="E3353" s="84"/>
      <c r="F3353" s="128"/>
      <c r="G3353" s="87"/>
      <c r="H3353" s="87">
        <f>F3353*G3353</f>
        <v>0</v>
      </c>
      <c r="I3353" s="87"/>
      <c r="J3353" s="87"/>
      <c r="K3353" s="87"/>
      <c r="L3353" s="87"/>
    </row>
    <row r="3354" spans="1:12" ht="12" customHeight="1" x14ac:dyDescent="0.35">
      <c r="B3354" s="84"/>
      <c r="C3354" s="88"/>
      <c r="D3354" s="79"/>
      <c r="E3354" s="79"/>
      <c r="F3354" s="89" t="s">
        <v>425</v>
      </c>
      <c r="G3354" s="101"/>
      <c r="H3354" s="87">
        <f>SUM(H3351:H3353)</f>
        <v>0</v>
      </c>
      <c r="I3354" s="101"/>
      <c r="J3354" s="87">
        <f>SUM(J3351)</f>
        <v>0</v>
      </c>
      <c r="K3354" s="101"/>
      <c r="L3354" s="87">
        <f>SUM(L3351)</f>
        <v>0</v>
      </c>
    </row>
    <row r="3355" spans="1:12" ht="12" customHeight="1" x14ac:dyDescent="0.35">
      <c r="B3355" s="84" t="s">
        <v>8</v>
      </c>
      <c r="C3355" s="103" t="s">
        <v>426</v>
      </c>
      <c r="D3355" s="104"/>
      <c r="E3355" s="104"/>
      <c r="F3355" s="104"/>
      <c r="G3355" s="105"/>
      <c r="H3355" s="87" t="e">
        <f>H3343+H3349+H3354</f>
        <v>#REF!</v>
      </c>
      <c r="I3355" s="105"/>
      <c r="J3355" s="87" t="e">
        <f>J3343+J3349+J3354</f>
        <v>#REF!</v>
      </c>
      <c r="K3355" s="105"/>
      <c r="L3355" s="87" t="e">
        <f>L3343+L3349+L3354</f>
        <v>#REF!</v>
      </c>
    </row>
    <row r="3356" spans="1:12" ht="12" customHeight="1" x14ac:dyDescent="0.35">
      <c r="B3356" s="84" t="s">
        <v>9</v>
      </c>
      <c r="C3356" s="455" t="s">
        <v>427</v>
      </c>
      <c r="D3356" s="455"/>
      <c r="E3356" s="455"/>
      <c r="F3356" s="95" t="str">
        <f>OP</f>
        <v>TANJUNG PALAS TENGAH</v>
      </c>
      <c r="G3356" s="85" t="s">
        <v>428</v>
      </c>
      <c r="H3356" s="87" t="e">
        <f>H3355*F3356</f>
        <v>#REF!</v>
      </c>
      <c r="I3356" s="85" t="s">
        <v>428</v>
      </c>
      <c r="J3356" s="87" t="e">
        <f>J3355*F3356</f>
        <v>#REF!</v>
      </c>
      <c r="K3356" s="85" t="s">
        <v>428</v>
      </c>
      <c r="L3356" s="87" t="e">
        <f>L3355*F3356</f>
        <v>#REF!</v>
      </c>
    </row>
    <row r="3357" spans="1:12" ht="12" customHeight="1" x14ac:dyDescent="0.35">
      <c r="B3357" s="84" t="s">
        <v>10</v>
      </c>
      <c r="C3357" s="103" t="s">
        <v>429</v>
      </c>
      <c r="D3357" s="104"/>
      <c r="E3357" s="104"/>
      <c r="F3357" s="104"/>
      <c r="G3357" s="105"/>
      <c r="H3357" s="96" t="e">
        <f>H3355+H3356</f>
        <v>#REF!</v>
      </c>
      <c r="I3357" s="97"/>
      <c r="J3357" s="96" t="e">
        <f>J3355+J3356</f>
        <v>#REF!</v>
      </c>
      <c r="K3357" s="97"/>
      <c r="L3357" s="96" t="e">
        <f>L3355+L3356</f>
        <v>#REF!</v>
      </c>
    </row>
    <row r="3358" spans="1:12" x14ac:dyDescent="0.35">
      <c r="B3358" s="75" t="s">
        <v>806</v>
      </c>
    </row>
    <row r="3359" spans="1:12" ht="14" customHeight="1" x14ac:dyDescent="0.35"/>
    <row r="3360" spans="1:12" ht="37" customHeight="1" x14ac:dyDescent="0.35">
      <c r="B3360" s="76" t="s">
        <v>844</v>
      </c>
      <c r="C3360" s="458" t="s">
        <v>845</v>
      </c>
      <c r="D3360" s="459"/>
      <c r="E3360" s="459"/>
      <c r="F3360" s="459"/>
      <c r="G3360" s="456"/>
      <c r="H3360" s="457"/>
      <c r="I3360" s="455" t="s">
        <v>3</v>
      </c>
      <c r="J3360" s="455"/>
      <c r="K3360" s="455" t="s">
        <v>4</v>
      </c>
      <c r="L3360" s="455"/>
    </row>
    <row r="3361" spans="1:12" ht="12" customHeight="1" x14ac:dyDescent="0.35">
      <c r="B3361" s="451" t="s">
        <v>409</v>
      </c>
      <c r="C3361" s="451" t="s">
        <v>410</v>
      </c>
      <c r="D3361" s="452" t="s">
        <v>411</v>
      </c>
      <c r="E3361" s="451" t="s">
        <v>412</v>
      </c>
      <c r="F3361" s="451" t="s">
        <v>413</v>
      </c>
      <c r="G3361" s="77" t="s">
        <v>414</v>
      </c>
      <c r="H3361" s="77" t="s">
        <v>415</v>
      </c>
      <c r="I3361" s="78" t="s">
        <v>414</v>
      </c>
      <c r="J3361" s="79" t="s">
        <v>415</v>
      </c>
      <c r="K3361" s="79" t="s">
        <v>414</v>
      </c>
      <c r="L3361" s="79" t="s">
        <v>415</v>
      </c>
    </row>
    <row r="3362" spans="1:12" ht="12" customHeight="1" x14ac:dyDescent="0.35">
      <c r="B3362" s="451"/>
      <c r="C3362" s="451"/>
      <c r="D3362" s="453"/>
      <c r="E3362" s="451"/>
      <c r="F3362" s="451"/>
      <c r="G3362" s="77" t="s">
        <v>17</v>
      </c>
      <c r="H3362" s="77" t="s">
        <v>416</v>
      </c>
      <c r="I3362" s="78" t="s">
        <v>17</v>
      </c>
      <c r="J3362" s="79" t="s">
        <v>416</v>
      </c>
      <c r="K3362" s="79" t="s">
        <v>17</v>
      </c>
      <c r="L3362" s="79" t="s">
        <v>416</v>
      </c>
    </row>
    <row r="3363" spans="1:12" ht="12" customHeight="1" x14ac:dyDescent="0.35">
      <c r="B3363" s="451"/>
      <c r="C3363" s="451"/>
      <c r="D3363" s="454"/>
      <c r="E3363" s="451"/>
      <c r="F3363" s="451"/>
      <c r="G3363" s="106"/>
      <c r="H3363" s="77" t="s">
        <v>17</v>
      </c>
      <c r="I3363" s="94"/>
      <c r="J3363" s="79" t="s">
        <v>17</v>
      </c>
      <c r="K3363" s="85"/>
      <c r="L3363" s="79" t="s">
        <v>17</v>
      </c>
    </row>
    <row r="3364" spans="1:12" ht="12" customHeight="1" x14ac:dyDescent="0.35">
      <c r="B3364" s="80" t="s">
        <v>5</v>
      </c>
      <c r="C3364" s="81" t="s">
        <v>417</v>
      </c>
      <c r="D3364" s="82"/>
      <c r="E3364" s="82"/>
      <c r="F3364" s="82"/>
      <c r="G3364" s="82"/>
      <c r="H3364" s="82"/>
      <c r="I3364" s="83"/>
      <c r="J3364" s="83"/>
      <c r="K3364" s="83"/>
      <c r="L3364" s="83"/>
    </row>
    <row r="3365" spans="1:12" ht="12" customHeight="1" x14ac:dyDescent="0.35">
      <c r="A3365" s="134">
        <v>10130000</v>
      </c>
      <c r="B3365" s="84"/>
      <c r="C3365" s="85" t="str">
        <f>VLOOKUP(A3365,'DAFTAR HARGA'!A:D,3,FALSE)</f>
        <v>OH</v>
      </c>
      <c r="D3365" s="84" t="s">
        <v>418</v>
      </c>
      <c r="E3365" s="84">
        <f>VLOOKUP(A3365,'DAFTAR HARGA'!A:D,4,FALSE)</f>
        <v>115000</v>
      </c>
      <c r="F3365" s="128">
        <v>0.2</v>
      </c>
      <c r="G3365" s="87" t="e">
        <f>VLOOKUP(A3365,'DAFTAR HARGA'!A:D,5,FALSE)</f>
        <v>#REF!</v>
      </c>
      <c r="H3365" s="87" t="e">
        <f>F3365*G3365</f>
        <v>#REF!</v>
      </c>
      <c r="I3365" s="87">
        <v>91500</v>
      </c>
      <c r="J3365" s="87">
        <f>F3365*I3365</f>
        <v>18300</v>
      </c>
      <c r="K3365" s="87">
        <v>91500</v>
      </c>
      <c r="L3365" s="87">
        <f>F3365*K3365</f>
        <v>18300</v>
      </c>
    </row>
    <row r="3366" spans="1:12" ht="12" customHeight="1" x14ac:dyDescent="0.35">
      <c r="A3366" s="134">
        <v>10142000</v>
      </c>
      <c r="B3366" s="84"/>
      <c r="C3366" s="85" t="str">
        <f>VLOOKUP(A3366,'DAFTAR HARGA'!A:D,3,FALSE)</f>
        <v>OH</v>
      </c>
      <c r="D3366" s="84" t="s">
        <v>418</v>
      </c>
      <c r="E3366" s="84">
        <f>VLOOKUP(A3366,'DAFTAR HARGA'!A:D,4,FALSE)</f>
        <v>236600</v>
      </c>
      <c r="F3366" s="128">
        <v>0.1</v>
      </c>
      <c r="G3366" s="87" t="e">
        <f>VLOOKUP(A3366,'DAFTAR HARGA'!A:D,5,FALSE)</f>
        <v>#REF!</v>
      </c>
      <c r="H3366" s="87" t="e">
        <f>F3366*G3366</f>
        <v>#REF!</v>
      </c>
      <c r="I3366" s="87"/>
      <c r="J3366" s="87"/>
      <c r="K3366" s="87"/>
      <c r="L3366" s="87"/>
    </row>
    <row r="3367" spans="1:12" ht="12" customHeight="1" x14ac:dyDescent="0.35">
      <c r="A3367" s="134">
        <v>10120000</v>
      </c>
      <c r="B3367" s="84"/>
      <c r="C3367" s="85" t="str">
        <f>VLOOKUP(A3367,'DAFTAR HARGA'!A:D,3,FALSE)</f>
        <v>OH</v>
      </c>
      <c r="D3367" s="84" t="s">
        <v>418</v>
      </c>
      <c r="E3367" s="84">
        <f>VLOOKUP(A3367,'DAFTAR HARGA'!A:D,4,FALSE)</f>
        <v>130000</v>
      </c>
      <c r="F3367" s="128">
        <f>F3366/10</f>
        <v>0.01</v>
      </c>
      <c r="G3367" s="87" t="e">
        <f>VLOOKUP(A3367,'DAFTAR HARGA'!A:D,5,FALSE)</f>
        <v>#REF!</v>
      </c>
      <c r="H3367" s="87" t="e">
        <f>F3367*G3367</f>
        <v>#REF!</v>
      </c>
      <c r="I3367" s="87"/>
      <c r="J3367" s="87"/>
      <c r="K3367" s="87"/>
      <c r="L3367" s="87"/>
    </row>
    <row r="3368" spans="1:12" ht="12" customHeight="1" x14ac:dyDescent="0.35">
      <c r="A3368" s="134">
        <v>10110000</v>
      </c>
      <c r="B3368" s="84"/>
      <c r="C3368" s="85" t="str">
        <f>VLOOKUP(A3368,'DAFTAR HARGA'!A:D,3,FALSE)</f>
        <v>OH</v>
      </c>
      <c r="D3368" s="84" t="s">
        <v>418</v>
      </c>
      <c r="E3368" s="84">
        <f>VLOOKUP(A3368,'DAFTAR HARGA'!A:D,4,FALSE)</f>
        <v>150000</v>
      </c>
      <c r="F3368" s="128">
        <f>F3365/10</f>
        <v>0.02</v>
      </c>
      <c r="G3368" s="87" t="e">
        <f>VLOOKUP(A3368,'DAFTAR HARGA'!A:D,5,FALSE)</f>
        <v>#REF!</v>
      </c>
      <c r="H3368" s="87" t="e">
        <f>F3368*G3368</f>
        <v>#REF!</v>
      </c>
      <c r="I3368" s="87">
        <v>92500</v>
      </c>
      <c r="J3368" s="87">
        <f>F3368*I3368</f>
        <v>1850</v>
      </c>
      <c r="K3368" s="87">
        <v>92500</v>
      </c>
      <c r="L3368" s="87">
        <f>F3368*K3368</f>
        <v>1850</v>
      </c>
    </row>
    <row r="3369" spans="1:12" ht="12" customHeight="1" x14ac:dyDescent="0.35">
      <c r="B3369" s="84"/>
      <c r="C3369" s="85"/>
      <c r="D3369" s="84"/>
      <c r="E3369" s="84"/>
      <c r="F3369" s="86"/>
      <c r="G3369" s="87"/>
      <c r="H3369" s="87"/>
      <c r="I3369" s="87"/>
      <c r="J3369" s="87"/>
      <c r="K3369" s="87"/>
      <c r="L3369" s="87"/>
    </row>
    <row r="3370" spans="1:12" ht="12" customHeight="1" x14ac:dyDescent="0.35">
      <c r="B3370" s="84"/>
      <c r="C3370" s="88"/>
      <c r="D3370" s="79"/>
      <c r="E3370" s="79"/>
      <c r="F3370" s="89" t="s">
        <v>421</v>
      </c>
      <c r="G3370" s="101"/>
      <c r="H3370" s="87" t="e">
        <f>SUM(H3365:H3369)</f>
        <v>#REF!</v>
      </c>
      <c r="I3370" s="101"/>
      <c r="J3370" s="87">
        <f>SUM(J3368:J3369)</f>
        <v>1850</v>
      </c>
      <c r="K3370" s="101"/>
      <c r="L3370" s="87">
        <f>SUM(L3368:L3369)</f>
        <v>1850</v>
      </c>
    </row>
    <row r="3371" spans="1:12" ht="12" customHeight="1" x14ac:dyDescent="0.35">
      <c r="B3371" s="84" t="s">
        <v>6</v>
      </c>
      <c r="C3371" s="88" t="s">
        <v>422</v>
      </c>
      <c r="D3371" s="79"/>
      <c r="E3371" s="79"/>
      <c r="F3371" s="90"/>
      <c r="G3371" s="84"/>
      <c r="H3371" s="87"/>
      <c r="I3371" s="84"/>
      <c r="J3371" s="87"/>
      <c r="K3371" s="84"/>
      <c r="L3371" s="87"/>
    </row>
    <row r="3372" spans="1:12" x14ac:dyDescent="0.35">
      <c r="A3372" s="134">
        <v>21401200</v>
      </c>
      <c r="B3372" s="84"/>
      <c r="C3372" s="85" t="str">
        <f>VLOOKUP(A3372,'DAFTAR HARGA'!A:D,3,FALSE)</f>
        <v>m³</v>
      </c>
      <c r="D3372" s="84" t="s">
        <v>418</v>
      </c>
      <c r="E3372" s="84">
        <f>VLOOKUP(A3372,'DAFTAR HARGA'!A:D,4,FALSE)</f>
        <v>1900000</v>
      </c>
      <c r="F3372" s="128">
        <v>1.4E-2</v>
      </c>
      <c r="G3372" s="87" t="e">
        <f>VLOOKUP(A3372,'DAFTAR HARGA'!A:D,5,FALSE)</f>
        <v>#REF!</v>
      </c>
      <c r="H3372" s="87" t="e">
        <f>F3372*G3372</f>
        <v>#REF!</v>
      </c>
      <c r="I3372" s="87"/>
      <c r="J3372" s="87"/>
      <c r="K3372" s="87"/>
      <c r="L3372" s="87"/>
    </row>
    <row r="3373" spans="1:12" x14ac:dyDescent="0.35">
      <c r="A3373" s="134">
        <v>21911005</v>
      </c>
      <c r="B3373" s="84"/>
      <c r="C3373" s="85" t="str">
        <f>VLOOKUP(A3373,'DAFTAR HARGA'!A:D,3,FALSE)</f>
        <v>kg</v>
      </c>
      <c r="D3373" s="84" t="s">
        <v>418</v>
      </c>
      <c r="E3373" s="84">
        <f>VLOOKUP(A3373,'DAFTAR HARGA'!A:D,4,FALSE)</f>
        <v>21200</v>
      </c>
      <c r="F3373" s="128">
        <v>0.25</v>
      </c>
      <c r="G3373" s="87" t="e">
        <f>VLOOKUP(A3373,'DAFTAR HARGA'!A:D,5,FALSE)</f>
        <v>#REF!</v>
      </c>
      <c r="H3373" s="87" t="e">
        <f>F3373*G3373</f>
        <v>#REF!</v>
      </c>
      <c r="I3373" s="87"/>
      <c r="J3373" s="87"/>
      <c r="K3373" s="87"/>
      <c r="L3373" s="87"/>
    </row>
    <row r="3374" spans="1:12" x14ac:dyDescent="0.35">
      <c r="B3374" s="84"/>
      <c r="C3374" s="85"/>
      <c r="D3374" s="84"/>
      <c r="E3374" s="84"/>
      <c r="F3374" s="128"/>
      <c r="G3374" s="87"/>
      <c r="H3374" s="87">
        <f>F3374*G3374</f>
        <v>0</v>
      </c>
      <c r="I3374" s="87"/>
      <c r="J3374" s="87"/>
      <c r="K3374" s="87"/>
      <c r="L3374" s="87"/>
    </row>
    <row r="3375" spans="1:12" ht="12" customHeight="1" x14ac:dyDescent="0.35">
      <c r="B3375" s="84"/>
      <c r="C3375" s="88"/>
      <c r="D3375" s="79"/>
      <c r="E3375" s="79"/>
      <c r="F3375" s="129" t="s">
        <v>423</v>
      </c>
      <c r="G3375" s="129"/>
      <c r="H3375" s="87" t="e">
        <f>SUM(H3372:H3374)</f>
        <v>#REF!</v>
      </c>
      <c r="I3375" s="101"/>
      <c r="J3375" s="87" t="e">
        <f>SUM(#REF!)</f>
        <v>#REF!</v>
      </c>
      <c r="K3375" s="101"/>
      <c r="L3375" s="87" t="e">
        <f>SUM(#REF!)</f>
        <v>#REF!</v>
      </c>
    </row>
    <row r="3376" spans="1:12" ht="12" customHeight="1" x14ac:dyDescent="0.35">
      <c r="B3376" s="84" t="s">
        <v>7</v>
      </c>
      <c r="C3376" s="88" t="s">
        <v>424</v>
      </c>
      <c r="D3376" s="79"/>
      <c r="E3376" s="79"/>
      <c r="F3376" s="90"/>
      <c r="G3376" s="84"/>
      <c r="H3376" s="87"/>
      <c r="I3376" s="84"/>
      <c r="J3376" s="87"/>
      <c r="K3376" s="84"/>
      <c r="L3376" s="87"/>
    </row>
    <row r="3377" spans="1:12" ht="12" customHeight="1" x14ac:dyDescent="0.35">
      <c r="B3377" s="84"/>
      <c r="C3377" s="85"/>
      <c r="D3377" s="84"/>
      <c r="E3377" s="84"/>
      <c r="F3377" s="128"/>
      <c r="G3377" s="87"/>
      <c r="H3377" s="87">
        <f>F3377*G3377</f>
        <v>0</v>
      </c>
      <c r="I3377" s="87"/>
      <c r="J3377" s="87">
        <f>H3377*I3377</f>
        <v>0</v>
      </c>
      <c r="K3377" s="87"/>
      <c r="L3377" s="87">
        <f>J3377*K3377</f>
        <v>0</v>
      </c>
    </row>
    <row r="3378" spans="1:12" ht="12" customHeight="1" x14ac:dyDescent="0.35">
      <c r="B3378" s="84"/>
      <c r="C3378" s="85"/>
      <c r="D3378" s="84"/>
      <c r="E3378" s="84"/>
      <c r="F3378" s="128"/>
      <c r="G3378" s="87"/>
      <c r="H3378" s="87">
        <f>F3378*G3378</f>
        <v>0</v>
      </c>
      <c r="I3378" s="87"/>
      <c r="J3378" s="87"/>
      <c r="K3378" s="87"/>
      <c r="L3378" s="87"/>
    </row>
    <row r="3379" spans="1:12" ht="12" customHeight="1" x14ac:dyDescent="0.35">
      <c r="B3379" s="84"/>
      <c r="C3379" s="85"/>
      <c r="D3379" s="84"/>
      <c r="E3379" s="84"/>
      <c r="F3379" s="128"/>
      <c r="G3379" s="87"/>
      <c r="H3379" s="87">
        <f>F3379*G3379</f>
        <v>0</v>
      </c>
      <c r="I3379" s="87"/>
      <c r="J3379" s="87"/>
      <c r="K3379" s="87"/>
      <c r="L3379" s="87"/>
    </row>
    <row r="3380" spans="1:12" ht="12" customHeight="1" x14ac:dyDescent="0.35">
      <c r="B3380" s="84"/>
      <c r="C3380" s="88"/>
      <c r="D3380" s="79"/>
      <c r="E3380" s="79"/>
      <c r="F3380" s="89" t="s">
        <v>425</v>
      </c>
      <c r="G3380" s="101"/>
      <c r="H3380" s="87">
        <f>SUM(H3377:H3379)</f>
        <v>0</v>
      </c>
      <c r="I3380" s="101"/>
      <c r="J3380" s="87">
        <f>SUM(J3377)</f>
        <v>0</v>
      </c>
      <c r="K3380" s="101"/>
      <c r="L3380" s="87">
        <f>SUM(L3377)</f>
        <v>0</v>
      </c>
    </row>
    <row r="3381" spans="1:12" ht="12" customHeight="1" x14ac:dyDescent="0.35">
      <c r="B3381" s="84" t="s">
        <v>8</v>
      </c>
      <c r="C3381" s="103" t="s">
        <v>426</v>
      </c>
      <c r="D3381" s="104"/>
      <c r="E3381" s="104"/>
      <c r="F3381" s="104"/>
      <c r="G3381" s="105"/>
      <c r="H3381" s="87" t="e">
        <f>H3370+H3375+H3380</f>
        <v>#REF!</v>
      </c>
      <c r="I3381" s="105"/>
      <c r="J3381" s="87" t="e">
        <f>J3370+J3375+J3380</f>
        <v>#REF!</v>
      </c>
      <c r="K3381" s="105"/>
      <c r="L3381" s="87" t="e">
        <f>L3370+L3375+L3380</f>
        <v>#REF!</v>
      </c>
    </row>
    <row r="3382" spans="1:12" ht="12" customHeight="1" x14ac:dyDescent="0.35">
      <c r="B3382" s="84" t="s">
        <v>9</v>
      </c>
      <c r="C3382" s="455" t="s">
        <v>427</v>
      </c>
      <c r="D3382" s="455"/>
      <c r="E3382" s="455"/>
      <c r="F3382" s="95" t="str">
        <f>OP</f>
        <v>TANJUNG PALAS TENGAH</v>
      </c>
      <c r="G3382" s="85" t="s">
        <v>428</v>
      </c>
      <c r="H3382" s="87" t="e">
        <f>H3381*F3382</f>
        <v>#REF!</v>
      </c>
      <c r="I3382" s="85" t="s">
        <v>428</v>
      </c>
      <c r="J3382" s="87" t="e">
        <f>J3381*F3382</f>
        <v>#REF!</v>
      </c>
      <c r="K3382" s="85" t="s">
        <v>428</v>
      </c>
      <c r="L3382" s="87" t="e">
        <f>L3381*F3382</f>
        <v>#REF!</v>
      </c>
    </row>
    <row r="3383" spans="1:12" ht="12" customHeight="1" x14ac:dyDescent="0.35">
      <c r="B3383" s="84" t="s">
        <v>10</v>
      </c>
      <c r="C3383" s="103" t="s">
        <v>429</v>
      </c>
      <c r="D3383" s="104"/>
      <c r="E3383" s="104"/>
      <c r="F3383" s="104"/>
      <c r="G3383" s="105"/>
      <c r="H3383" s="96" t="e">
        <f>H3381+H3382</f>
        <v>#REF!</v>
      </c>
      <c r="I3383" s="97"/>
      <c r="J3383" s="96" t="e">
        <f>J3381+J3382</f>
        <v>#REF!</v>
      </c>
      <c r="K3383" s="97"/>
      <c r="L3383" s="96" t="e">
        <f>L3381+L3382</f>
        <v>#REF!</v>
      </c>
    </row>
    <row r="3384" spans="1:12" x14ac:dyDescent="0.35">
      <c r="B3384" s="75" t="s">
        <v>806</v>
      </c>
    </row>
    <row r="3385" spans="1:12" ht="14" customHeight="1" x14ac:dyDescent="0.35"/>
    <row r="3386" spans="1:12" ht="37" customHeight="1" x14ac:dyDescent="0.35">
      <c r="B3386" s="76" t="s">
        <v>846</v>
      </c>
      <c r="C3386" s="458" t="s">
        <v>847</v>
      </c>
      <c r="D3386" s="459"/>
      <c r="E3386" s="459"/>
      <c r="F3386" s="459"/>
      <c r="G3386" s="456"/>
      <c r="H3386" s="457"/>
      <c r="I3386" s="455" t="s">
        <v>3</v>
      </c>
      <c r="J3386" s="455"/>
      <c r="K3386" s="455" t="s">
        <v>4</v>
      </c>
      <c r="L3386" s="455"/>
    </row>
    <row r="3387" spans="1:12" ht="12" customHeight="1" x14ac:dyDescent="0.35">
      <c r="B3387" s="451" t="s">
        <v>409</v>
      </c>
      <c r="C3387" s="451" t="s">
        <v>410</v>
      </c>
      <c r="D3387" s="452" t="s">
        <v>411</v>
      </c>
      <c r="E3387" s="451" t="s">
        <v>412</v>
      </c>
      <c r="F3387" s="451" t="s">
        <v>413</v>
      </c>
      <c r="G3387" s="77" t="s">
        <v>414</v>
      </c>
      <c r="H3387" s="77" t="s">
        <v>415</v>
      </c>
      <c r="I3387" s="78" t="s">
        <v>414</v>
      </c>
      <c r="J3387" s="79" t="s">
        <v>415</v>
      </c>
      <c r="K3387" s="79" t="s">
        <v>414</v>
      </c>
      <c r="L3387" s="79" t="s">
        <v>415</v>
      </c>
    </row>
    <row r="3388" spans="1:12" ht="12" customHeight="1" x14ac:dyDescent="0.35">
      <c r="B3388" s="451"/>
      <c r="C3388" s="451"/>
      <c r="D3388" s="453"/>
      <c r="E3388" s="451"/>
      <c r="F3388" s="451"/>
      <c r="G3388" s="77" t="s">
        <v>17</v>
      </c>
      <c r="H3388" s="77" t="s">
        <v>416</v>
      </c>
      <c r="I3388" s="78" t="s">
        <v>17</v>
      </c>
      <c r="J3388" s="79" t="s">
        <v>416</v>
      </c>
      <c r="K3388" s="79" t="s">
        <v>17</v>
      </c>
      <c r="L3388" s="79" t="s">
        <v>416</v>
      </c>
    </row>
    <row r="3389" spans="1:12" ht="12" customHeight="1" x14ac:dyDescent="0.35">
      <c r="B3389" s="451"/>
      <c r="C3389" s="451"/>
      <c r="D3389" s="454"/>
      <c r="E3389" s="451"/>
      <c r="F3389" s="451"/>
      <c r="G3389" s="106"/>
      <c r="H3389" s="77" t="s">
        <v>17</v>
      </c>
      <c r="I3389" s="94"/>
      <c r="J3389" s="79" t="s">
        <v>17</v>
      </c>
      <c r="K3389" s="85"/>
      <c r="L3389" s="79" t="s">
        <v>17</v>
      </c>
    </row>
    <row r="3390" spans="1:12" ht="12" customHeight="1" x14ac:dyDescent="0.35">
      <c r="B3390" s="80" t="s">
        <v>5</v>
      </c>
      <c r="C3390" s="81" t="s">
        <v>417</v>
      </c>
      <c r="D3390" s="82"/>
      <c r="E3390" s="82"/>
      <c r="F3390" s="82"/>
      <c r="G3390" s="82"/>
      <c r="H3390" s="82"/>
      <c r="I3390" s="83"/>
      <c r="J3390" s="83"/>
      <c r="K3390" s="83"/>
      <c r="L3390" s="83"/>
    </row>
    <row r="3391" spans="1:12" ht="12" customHeight="1" x14ac:dyDescent="0.35">
      <c r="A3391" s="134">
        <v>10130000</v>
      </c>
      <c r="B3391" s="84"/>
      <c r="C3391" s="85" t="str">
        <f>VLOOKUP(A3391,'DAFTAR HARGA'!A:D,3,FALSE)</f>
        <v>OH</v>
      </c>
      <c r="D3391" s="84" t="s">
        <v>418</v>
      </c>
      <c r="E3391" s="84">
        <f>VLOOKUP(A3391,'DAFTAR HARGA'!A:D,4,FALSE)</f>
        <v>115000</v>
      </c>
      <c r="F3391" s="128">
        <v>0.04</v>
      </c>
      <c r="G3391" s="87" t="e">
        <f>VLOOKUP(A3391,'DAFTAR HARGA'!A:D,5,FALSE)</f>
        <v>#REF!</v>
      </c>
      <c r="H3391" s="87" t="e">
        <f>F3391*G3391</f>
        <v>#REF!</v>
      </c>
      <c r="I3391" s="87">
        <v>91500</v>
      </c>
      <c r="J3391" s="87">
        <f>F3391*I3391</f>
        <v>3660</v>
      </c>
      <c r="K3391" s="87">
        <v>91500</v>
      </c>
      <c r="L3391" s="87">
        <f>F3391*K3391</f>
        <v>3660</v>
      </c>
    </row>
    <row r="3392" spans="1:12" ht="12" customHeight="1" x14ac:dyDescent="0.35">
      <c r="A3392" s="134">
        <v>10110000</v>
      </c>
      <c r="B3392" s="84"/>
      <c r="C3392" s="85" t="str">
        <f>VLOOKUP(A3392,'DAFTAR HARGA'!A:D,3,FALSE)</f>
        <v>OH</v>
      </c>
      <c r="D3392" s="84" t="s">
        <v>418</v>
      </c>
      <c r="E3392" s="84">
        <f>VLOOKUP(A3392,'DAFTAR HARGA'!A:D,4,FALSE)</f>
        <v>150000</v>
      </c>
      <c r="F3392" s="128">
        <f>F3391/10</f>
        <v>4.0000000000000001E-3</v>
      </c>
      <c r="G3392" s="87" t="e">
        <f>VLOOKUP(A3392,'DAFTAR HARGA'!A:D,5,FALSE)</f>
        <v>#REF!</v>
      </c>
      <c r="H3392" s="87" t="e">
        <f>F3392*G3392</f>
        <v>#REF!</v>
      </c>
      <c r="I3392" s="87">
        <v>92500</v>
      </c>
      <c r="J3392" s="87">
        <f>F3392*I3392</f>
        <v>370</v>
      </c>
      <c r="K3392" s="87">
        <v>92500</v>
      </c>
      <c r="L3392" s="87">
        <f>F3392*K3392</f>
        <v>370</v>
      </c>
    </row>
    <row r="3393" spans="2:12" ht="12" customHeight="1" x14ac:dyDescent="0.35">
      <c r="B3393" s="84"/>
      <c r="C3393" s="85"/>
      <c r="D3393" s="84"/>
      <c r="E3393" s="84"/>
      <c r="F3393" s="86"/>
      <c r="G3393" s="87"/>
      <c r="H3393" s="87"/>
      <c r="I3393" s="87"/>
      <c r="J3393" s="87"/>
      <c r="K3393" s="87"/>
      <c r="L3393" s="87"/>
    </row>
    <row r="3394" spans="2:12" ht="12" customHeight="1" x14ac:dyDescent="0.35">
      <c r="B3394" s="84"/>
      <c r="C3394" s="88"/>
      <c r="D3394" s="79"/>
      <c r="E3394" s="79"/>
      <c r="F3394" s="89" t="s">
        <v>421</v>
      </c>
      <c r="G3394" s="101"/>
      <c r="H3394" s="87" t="e">
        <f>SUM(H3391:H3393)</f>
        <v>#REF!</v>
      </c>
      <c r="I3394" s="101"/>
      <c r="J3394" s="87">
        <f>SUM(J3392:J3393)</f>
        <v>370</v>
      </c>
      <c r="K3394" s="101"/>
      <c r="L3394" s="87">
        <f>SUM(L3392:L3393)</f>
        <v>370</v>
      </c>
    </row>
    <row r="3395" spans="2:12" ht="12" customHeight="1" x14ac:dyDescent="0.35">
      <c r="B3395" s="84" t="s">
        <v>6</v>
      </c>
      <c r="C3395" s="88" t="s">
        <v>422</v>
      </c>
      <c r="D3395" s="79"/>
      <c r="E3395" s="79"/>
      <c r="F3395" s="90"/>
      <c r="G3395" s="84"/>
      <c r="H3395" s="87"/>
      <c r="I3395" s="84"/>
      <c r="J3395" s="87"/>
      <c r="K3395" s="84"/>
      <c r="L3395" s="87"/>
    </row>
    <row r="3396" spans="2:12" x14ac:dyDescent="0.35">
      <c r="B3396" s="84"/>
      <c r="C3396" s="85"/>
      <c r="D3396" s="84"/>
      <c r="E3396" s="84"/>
      <c r="F3396" s="128"/>
      <c r="G3396" s="87"/>
      <c r="H3396" s="87">
        <f>F3396*G3396</f>
        <v>0</v>
      </c>
      <c r="I3396" s="87"/>
      <c r="J3396" s="87"/>
      <c r="K3396" s="87"/>
      <c r="L3396" s="87"/>
    </row>
    <row r="3397" spans="2:12" x14ac:dyDescent="0.35">
      <c r="B3397" s="84"/>
      <c r="C3397" s="85"/>
      <c r="D3397" s="84"/>
      <c r="E3397" s="84"/>
      <c r="F3397" s="128"/>
      <c r="G3397" s="87"/>
      <c r="H3397" s="87">
        <f>F3397*G3397</f>
        <v>0</v>
      </c>
      <c r="I3397" s="87"/>
      <c r="J3397" s="87"/>
      <c r="K3397" s="87"/>
      <c r="L3397" s="87"/>
    </row>
    <row r="3398" spans="2:12" x14ac:dyDescent="0.35">
      <c r="B3398" s="84"/>
      <c r="C3398" s="85"/>
      <c r="D3398" s="84"/>
      <c r="E3398" s="84"/>
      <c r="F3398" s="128"/>
      <c r="G3398" s="87"/>
      <c r="H3398" s="87">
        <f>F3398*G3398</f>
        <v>0</v>
      </c>
      <c r="I3398" s="87"/>
      <c r="J3398" s="87"/>
      <c r="K3398" s="87"/>
      <c r="L3398" s="87"/>
    </row>
    <row r="3399" spans="2:12" ht="12" customHeight="1" x14ac:dyDescent="0.35">
      <c r="B3399" s="84"/>
      <c r="C3399" s="88"/>
      <c r="D3399" s="79"/>
      <c r="E3399" s="79"/>
      <c r="F3399" s="129" t="s">
        <v>423</v>
      </c>
      <c r="G3399" s="129"/>
      <c r="H3399" s="87">
        <f>SUM(H3396:H3398)</f>
        <v>0</v>
      </c>
      <c r="I3399" s="101"/>
      <c r="J3399" s="87" t="e">
        <f>SUM(#REF!)</f>
        <v>#REF!</v>
      </c>
      <c r="K3399" s="101"/>
      <c r="L3399" s="87" t="e">
        <f>SUM(#REF!)</f>
        <v>#REF!</v>
      </c>
    </row>
    <row r="3400" spans="2:12" ht="12" customHeight="1" x14ac:dyDescent="0.35">
      <c r="B3400" s="84" t="s">
        <v>7</v>
      </c>
      <c r="C3400" s="88" t="s">
        <v>424</v>
      </c>
      <c r="D3400" s="79"/>
      <c r="E3400" s="79"/>
      <c r="F3400" s="90"/>
      <c r="G3400" s="84"/>
      <c r="H3400" s="87"/>
      <c r="I3400" s="84"/>
      <c r="J3400" s="87"/>
      <c r="K3400" s="84"/>
      <c r="L3400" s="87"/>
    </row>
    <row r="3401" spans="2:12" ht="12" customHeight="1" x14ac:dyDescent="0.35">
      <c r="B3401" s="84"/>
      <c r="C3401" s="85"/>
      <c r="D3401" s="84"/>
      <c r="E3401" s="84"/>
      <c r="F3401" s="128"/>
      <c r="G3401" s="87"/>
      <c r="H3401" s="87">
        <f>F3401*G3401</f>
        <v>0</v>
      </c>
      <c r="I3401" s="87"/>
      <c r="J3401" s="87">
        <f>H3401*I3401</f>
        <v>0</v>
      </c>
      <c r="K3401" s="87"/>
      <c r="L3401" s="87">
        <f>J3401*K3401</f>
        <v>0</v>
      </c>
    </row>
    <row r="3402" spans="2:12" ht="12" customHeight="1" x14ac:dyDescent="0.35">
      <c r="B3402" s="84"/>
      <c r="C3402" s="85"/>
      <c r="D3402" s="84"/>
      <c r="E3402" s="84"/>
      <c r="F3402" s="128"/>
      <c r="G3402" s="87"/>
      <c r="H3402" s="87">
        <f>F3402*G3402</f>
        <v>0</v>
      </c>
      <c r="I3402" s="87"/>
      <c r="J3402" s="87"/>
      <c r="K3402" s="87"/>
      <c r="L3402" s="87"/>
    </row>
    <row r="3403" spans="2:12" ht="12" customHeight="1" x14ac:dyDescent="0.35">
      <c r="B3403" s="84"/>
      <c r="C3403" s="85"/>
      <c r="D3403" s="84"/>
      <c r="E3403" s="84"/>
      <c r="F3403" s="128"/>
      <c r="G3403" s="87"/>
      <c r="H3403" s="87">
        <f>F3403*G3403</f>
        <v>0</v>
      </c>
      <c r="I3403" s="87"/>
      <c r="J3403" s="87"/>
      <c r="K3403" s="87"/>
      <c r="L3403" s="87"/>
    </row>
    <row r="3404" spans="2:12" ht="12" customHeight="1" x14ac:dyDescent="0.35">
      <c r="B3404" s="84"/>
      <c r="C3404" s="88"/>
      <c r="D3404" s="79"/>
      <c r="E3404" s="79"/>
      <c r="F3404" s="89" t="s">
        <v>425</v>
      </c>
      <c r="G3404" s="101"/>
      <c r="H3404" s="87">
        <f>SUM(H3401:H3403)</f>
        <v>0</v>
      </c>
      <c r="I3404" s="101"/>
      <c r="J3404" s="87">
        <f>SUM(J3401)</f>
        <v>0</v>
      </c>
      <c r="K3404" s="101"/>
      <c r="L3404" s="87">
        <f>SUM(L3401)</f>
        <v>0</v>
      </c>
    </row>
    <row r="3405" spans="2:12" ht="12" customHeight="1" x14ac:dyDescent="0.35">
      <c r="B3405" s="84" t="s">
        <v>8</v>
      </c>
      <c r="C3405" s="103" t="s">
        <v>426</v>
      </c>
      <c r="D3405" s="104"/>
      <c r="E3405" s="104"/>
      <c r="F3405" s="104"/>
      <c r="G3405" s="105"/>
      <c r="H3405" s="87" t="e">
        <f>H3394+H3399+H3404</f>
        <v>#REF!</v>
      </c>
      <c r="I3405" s="105"/>
      <c r="J3405" s="87" t="e">
        <f>J3394+J3399+J3404</f>
        <v>#REF!</v>
      </c>
      <c r="K3405" s="105"/>
      <c r="L3405" s="87" t="e">
        <f>L3394+L3399+L3404</f>
        <v>#REF!</v>
      </c>
    </row>
    <row r="3406" spans="2:12" ht="12" customHeight="1" x14ac:dyDescent="0.35">
      <c r="B3406" s="84" t="s">
        <v>9</v>
      </c>
      <c r="C3406" s="455" t="s">
        <v>427</v>
      </c>
      <c r="D3406" s="455"/>
      <c r="E3406" s="455"/>
      <c r="F3406" s="95" t="str">
        <f>OP</f>
        <v>TANJUNG PALAS TENGAH</v>
      </c>
      <c r="G3406" s="85" t="s">
        <v>428</v>
      </c>
      <c r="H3406" s="87" t="e">
        <f>H3405*F3406</f>
        <v>#REF!</v>
      </c>
      <c r="I3406" s="85" t="s">
        <v>428</v>
      </c>
      <c r="J3406" s="87" t="e">
        <f>J3405*F3406</f>
        <v>#REF!</v>
      </c>
      <c r="K3406" s="85" t="s">
        <v>428</v>
      </c>
      <c r="L3406" s="87" t="e">
        <f>L3405*F3406</f>
        <v>#REF!</v>
      </c>
    </row>
    <row r="3407" spans="2:12" ht="12" customHeight="1" x14ac:dyDescent="0.35">
      <c r="B3407" s="84" t="s">
        <v>10</v>
      </c>
      <c r="C3407" s="103" t="s">
        <v>429</v>
      </c>
      <c r="D3407" s="104"/>
      <c r="E3407" s="104"/>
      <c r="F3407" s="104"/>
      <c r="G3407" s="105"/>
      <c r="H3407" s="96" t="e">
        <f>H3405+H3406</f>
        <v>#REF!</v>
      </c>
      <c r="I3407" s="97"/>
      <c r="J3407" s="96" t="e">
        <f>J3405+J3406</f>
        <v>#REF!</v>
      </c>
      <c r="K3407" s="97"/>
      <c r="L3407" s="96" t="e">
        <f>L3405+L3406</f>
        <v>#REF!</v>
      </c>
    </row>
    <row r="3408" spans="2:12" ht="14" customHeight="1" x14ac:dyDescent="0.35"/>
    <row r="3409" spans="1:12" ht="37" customHeight="1" x14ac:dyDescent="0.35">
      <c r="B3409" s="76" t="s">
        <v>848</v>
      </c>
      <c r="C3409" s="458" t="s">
        <v>849</v>
      </c>
      <c r="D3409" s="459"/>
      <c r="E3409" s="459"/>
      <c r="F3409" s="459"/>
      <c r="G3409" s="456"/>
      <c r="H3409" s="457"/>
      <c r="I3409" s="455" t="s">
        <v>3</v>
      </c>
      <c r="J3409" s="455"/>
      <c r="K3409" s="455" t="s">
        <v>4</v>
      </c>
      <c r="L3409" s="455"/>
    </row>
    <row r="3410" spans="1:12" ht="12" customHeight="1" x14ac:dyDescent="0.35">
      <c r="B3410" s="451" t="s">
        <v>409</v>
      </c>
      <c r="C3410" s="451" t="s">
        <v>410</v>
      </c>
      <c r="D3410" s="452" t="s">
        <v>411</v>
      </c>
      <c r="E3410" s="451" t="s">
        <v>412</v>
      </c>
      <c r="F3410" s="451" t="s">
        <v>413</v>
      </c>
      <c r="G3410" s="77" t="s">
        <v>414</v>
      </c>
      <c r="H3410" s="77" t="s">
        <v>415</v>
      </c>
      <c r="I3410" s="78" t="s">
        <v>414</v>
      </c>
      <c r="J3410" s="79" t="s">
        <v>415</v>
      </c>
      <c r="K3410" s="79" t="s">
        <v>414</v>
      </c>
      <c r="L3410" s="79" t="s">
        <v>415</v>
      </c>
    </row>
    <row r="3411" spans="1:12" ht="12" customHeight="1" x14ac:dyDescent="0.35">
      <c r="B3411" s="451"/>
      <c r="C3411" s="451"/>
      <c r="D3411" s="453"/>
      <c r="E3411" s="451"/>
      <c r="F3411" s="451"/>
      <c r="G3411" s="77" t="s">
        <v>17</v>
      </c>
      <c r="H3411" s="77" t="s">
        <v>416</v>
      </c>
      <c r="I3411" s="78" t="s">
        <v>17</v>
      </c>
      <c r="J3411" s="79" t="s">
        <v>416</v>
      </c>
      <c r="K3411" s="79" t="s">
        <v>17</v>
      </c>
      <c r="L3411" s="79" t="s">
        <v>416</v>
      </c>
    </row>
    <row r="3412" spans="1:12" ht="12" customHeight="1" x14ac:dyDescent="0.35">
      <c r="B3412" s="451"/>
      <c r="C3412" s="451"/>
      <c r="D3412" s="454"/>
      <c r="E3412" s="451"/>
      <c r="F3412" s="451"/>
      <c r="G3412" s="106"/>
      <c r="H3412" s="77" t="s">
        <v>17</v>
      </c>
      <c r="I3412" s="94"/>
      <c r="J3412" s="79" t="s">
        <v>17</v>
      </c>
      <c r="K3412" s="85"/>
      <c r="L3412" s="79" t="s">
        <v>17</v>
      </c>
    </row>
    <row r="3413" spans="1:12" ht="12" customHeight="1" x14ac:dyDescent="0.35">
      <c r="B3413" s="80" t="s">
        <v>5</v>
      </c>
      <c r="C3413" s="81" t="s">
        <v>417</v>
      </c>
      <c r="D3413" s="82"/>
      <c r="E3413" s="82"/>
      <c r="F3413" s="82"/>
      <c r="G3413" s="82"/>
      <c r="H3413" s="82"/>
      <c r="I3413" s="83"/>
      <c r="J3413" s="83"/>
      <c r="K3413" s="83"/>
      <c r="L3413" s="83"/>
    </row>
    <row r="3414" spans="1:12" ht="12" customHeight="1" x14ac:dyDescent="0.35">
      <c r="A3414" s="134">
        <v>10130000</v>
      </c>
      <c r="B3414" s="84"/>
      <c r="C3414" s="85" t="str">
        <f>VLOOKUP(A3414,'DAFTAR HARGA'!A:D,3,FALSE)</f>
        <v>OH</v>
      </c>
      <c r="D3414" s="84" t="s">
        <v>418</v>
      </c>
      <c r="E3414" s="84">
        <f>VLOOKUP(A3414,'DAFTAR HARGA'!A:D,4,FALSE)</f>
        <v>115000</v>
      </c>
      <c r="F3414" s="128">
        <v>0.06</v>
      </c>
      <c r="G3414" s="87" t="e">
        <f>VLOOKUP(A3414,'DAFTAR HARGA'!A:D,5,FALSE)</f>
        <v>#REF!</v>
      </c>
      <c r="H3414" s="87" t="e">
        <f>F3414*G3414</f>
        <v>#REF!</v>
      </c>
      <c r="I3414" s="87">
        <v>91500</v>
      </c>
      <c r="J3414" s="87">
        <f>F3414*I3414</f>
        <v>5490</v>
      </c>
      <c r="K3414" s="87">
        <v>91500</v>
      </c>
      <c r="L3414" s="87">
        <f>F3414*K3414</f>
        <v>5490</v>
      </c>
    </row>
    <row r="3415" spans="1:12" ht="12" customHeight="1" x14ac:dyDescent="0.35">
      <c r="A3415" s="134">
        <v>10110000</v>
      </c>
      <c r="B3415" s="84"/>
      <c r="C3415" s="85" t="str">
        <f>VLOOKUP(A3415,'DAFTAR HARGA'!A:D,3,FALSE)</f>
        <v>OH</v>
      </c>
      <c r="D3415" s="84" t="s">
        <v>418</v>
      </c>
      <c r="E3415" s="84">
        <f>VLOOKUP(A3415,'DAFTAR HARGA'!A:D,4,FALSE)</f>
        <v>150000</v>
      </c>
      <c r="F3415" s="128">
        <f>F3414/10</f>
        <v>6.0000000000000001E-3</v>
      </c>
      <c r="G3415" s="87" t="e">
        <f>VLOOKUP(A3415,'DAFTAR HARGA'!A:D,5,FALSE)</f>
        <v>#REF!</v>
      </c>
      <c r="H3415" s="87" t="e">
        <f>F3415*G3415</f>
        <v>#REF!</v>
      </c>
      <c r="I3415" s="87">
        <v>92500</v>
      </c>
      <c r="J3415" s="87">
        <f>F3415*I3415</f>
        <v>555</v>
      </c>
      <c r="K3415" s="87">
        <v>92500</v>
      </c>
      <c r="L3415" s="87">
        <f>F3415*K3415</f>
        <v>555</v>
      </c>
    </row>
    <row r="3416" spans="1:12" ht="12" customHeight="1" x14ac:dyDescent="0.35">
      <c r="B3416" s="84"/>
      <c r="C3416" s="85"/>
      <c r="D3416" s="84"/>
      <c r="E3416" s="84"/>
      <c r="F3416" s="86"/>
      <c r="G3416" s="87"/>
      <c r="H3416" s="87"/>
      <c r="I3416" s="87"/>
      <c r="J3416" s="87"/>
      <c r="K3416" s="87"/>
      <c r="L3416" s="87"/>
    </row>
    <row r="3417" spans="1:12" ht="12" customHeight="1" x14ac:dyDescent="0.35">
      <c r="B3417" s="84"/>
      <c r="C3417" s="88"/>
      <c r="D3417" s="79"/>
      <c r="E3417" s="79"/>
      <c r="F3417" s="89" t="s">
        <v>421</v>
      </c>
      <c r="G3417" s="101"/>
      <c r="H3417" s="87" t="e">
        <f>SUM(H3414:H3416)</f>
        <v>#REF!</v>
      </c>
      <c r="I3417" s="101"/>
      <c r="J3417" s="87">
        <f>SUM(J3415:J3416)</f>
        <v>555</v>
      </c>
      <c r="K3417" s="101"/>
      <c r="L3417" s="87">
        <f>SUM(L3415:L3416)</f>
        <v>555</v>
      </c>
    </row>
    <row r="3418" spans="1:12" ht="12" customHeight="1" x14ac:dyDescent="0.35">
      <c r="B3418" s="84" t="s">
        <v>6</v>
      </c>
      <c r="C3418" s="88" t="s">
        <v>422</v>
      </c>
      <c r="D3418" s="79"/>
      <c r="E3418" s="79"/>
      <c r="F3418" s="90"/>
      <c r="G3418" s="84"/>
      <c r="H3418" s="87"/>
      <c r="I3418" s="84"/>
      <c r="J3418" s="87"/>
      <c r="K3418" s="84"/>
      <c r="L3418" s="87"/>
    </row>
    <row r="3419" spans="1:12" x14ac:dyDescent="0.35">
      <c r="B3419" s="84"/>
      <c r="C3419" s="85"/>
      <c r="D3419" s="84"/>
      <c r="E3419" s="84"/>
      <c r="F3419" s="128"/>
      <c r="G3419" s="87"/>
      <c r="H3419" s="87">
        <f>F3419*G3419</f>
        <v>0</v>
      </c>
      <c r="I3419" s="87"/>
      <c r="J3419" s="87"/>
      <c r="K3419" s="87"/>
      <c r="L3419" s="87"/>
    </row>
    <row r="3420" spans="1:12" x14ac:dyDescent="0.35">
      <c r="B3420" s="84"/>
      <c r="C3420" s="85"/>
      <c r="D3420" s="84"/>
      <c r="E3420" s="84"/>
      <c r="F3420" s="128"/>
      <c r="G3420" s="87"/>
      <c r="H3420" s="87">
        <f>F3420*G3420</f>
        <v>0</v>
      </c>
      <c r="I3420" s="87"/>
      <c r="J3420" s="87"/>
      <c r="K3420" s="87"/>
      <c r="L3420" s="87"/>
    </row>
    <row r="3421" spans="1:12" x14ac:dyDescent="0.35">
      <c r="B3421" s="84"/>
      <c r="C3421" s="85"/>
      <c r="D3421" s="84"/>
      <c r="E3421" s="84"/>
      <c r="F3421" s="128"/>
      <c r="G3421" s="87"/>
      <c r="H3421" s="87">
        <f>F3421*G3421</f>
        <v>0</v>
      </c>
      <c r="I3421" s="87"/>
      <c r="J3421" s="87"/>
      <c r="K3421" s="87"/>
      <c r="L3421" s="87"/>
    </row>
    <row r="3422" spans="1:12" ht="12" customHeight="1" x14ac:dyDescent="0.35">
      <c r="B3422" s="84"/>
      <c r="C3422" s="88"/>
      <c r="D3422" s="79"/>
      <c r="E3422" s="79"/>
      <c r="F3422" s="129" t="s">
        <v>423</v>
      </c>
      <c r="G3422" s="129"/>
      <c r="H3422" s="87">
        <f>SUM(H3419:H3421)</f>
        <v>0</v>
      </c>
      <c r="I3422" s="101"/>
      <c r="J3422" s="87" t="e">
        <f>SUM(#REF!)</f>
        <v>#REF!</v>
      </c>
      <c r="K3422" s="101"/>
      <c r="L3422" s="87" t="e">
        <f>SUM(#REF!)</f>
        <v>#REF!</v>
      </c>
    </row>
    <row r="3423" spans="1:12" ht="12" customHeight="1" x14ac:dyDescent="0.35">
      <c r="B3423" s="84" t="s">
        <v>7</v>
      </c>
      <c r="C3423" s="88" t="s">
        <v>424</v>
      </c>
      <c r="D3423" s="79"/>
      <c r="E3423" s="79"/>
      <c r="F3423" s="90"/>
      <c r="G3423" s="84"/>
      <c r="H3423" s="87"/>
      <c r="I3423" s="84"/>
      <c r="J3423" s="87"/>
      <c r="K3423" s="84"/>
      <c r="L3423" s="87"/>
    </row>
    <row r="3424" spans="1:12" ht="12" customHeight="1" x14ac:dyDescent="0.35">
      <c r="B3424" s="84"/>
      <c r="C3424" s="85"/>
      <c r="D3424" s="84"/>
      <c r="E3424" s="84"/>
      <c r="F3424" s="128"/>
      <c r="G3424" s="87"/>
      <c r="H3424" s="87">
        <f>F3424*G3424</f>
        <v>0</v>
      </c>
      <c r="I3424" s="87"/>
      <c r="J3424" s="87">
        <f>H3424*I3424</f>
        <v>0</v>
      </c>
      <c r="K3424" s="87"/>
      <c r="L3424" s="87">
        <f>J3424*K3424</f>
        <v>0</v>
      </c>
    </row>
    <row r="3425" spans="1:12" ht="12" customHeight="1" x14ac:dyDescent="0.35">
      <c r="B3425" s="84"/>
      <c r="C3425" s="85"/>
      <c r="D3425" s="84"/>
      <c r="E3425" s="84"/>
      <c r="F3425" s="128"/>
      <c r="G3425" s="87"/>
      <c r="H3425" s="87">
        <f>F3425*G3425</f>
        <v>0</v>
      </c>
      <c r="I3425" s="87"/>
      <c r="J3425" s="87"/>
      <c r="K3425" s="87"/>
      <c r="L3425" s="87"/>
    </row>
    <row r="3426" spans="1:12" ht="12" customHeight="1" x14ac:dyDescent="0.35">
      <c r="B3426" s="84"/>
      <c r="C3426" s="85"/>
      <c r="D3426" s="84"/>
      <c r="E3426" s="84"/>
      <c r="F3426" s="128"/>
      <c r="G3426" s="87"/>
      <c r="H3426" s="87">
        <f>F3426*G3426</f>
        <v>0</v>
      </c>
      <c r="I3426" s="87"/>
      <c r="J3426" s="87"/>
      <c r="K3426" s="87"/>
      <c r="L3426" s="87"/>
    </row>
    <row r="3427" spans="1:12" ht="12" customHeight="1" x14ac:dyDescent="0.35">
      <c r="B3427" s="84"/>
      <c r="C3427" s="88"/>
      <c r="D3427" s="79"/>
      <c r="E3427" s="79"/>
      <c r="F3427" s="89" t="s">
        <v>425</v>
      </c>
      <c r="G3427" s="101"/>
      <c r="H3427" s="87">
        <f>SUM(H3424:H3426)</f>
        <v>0</v>
      </c>
      <c r="I3427" s="101"/>
      <c r="J3427" s="87">
        <f>SUM(J3424)</f>
        <v>0</v>
      </c>
      <c r="K3427" s="101"/>
      <c r="L3427" s="87">
        <f>SUM(L3424)</f>
        <v>0</v>
      </c>
    </row>
    <row r="3428" spans="1:12" ht="12" customHeight="1" x14ac:dyDescent="0.35">
      <c r="B3428" s="84" t="s">
        <v>8</v>
      </c>
      <c r="C3428" s="103" t="s">
        <v>426</v>
      </c>
      <c r="D3428" s="104"/>
      <c r="E3428" s="104"/>
      <c r="F3428" s="104"/>
      <c r="G3428" s="105"/>
      <c r="H3428" s="87" t="e">
        <f>H3417+H3422+H3427</f>
        <v>#REF!</v>
      </c>
      <c r="I3428" s="105"/>
      <c r="J3428" s="87" t="e">
        <f>J3417+J3422+J3427</f>
        <v>#REF!</v>
      </c>
      <c r="K3428" s="105"/>
      <c r="L3428" s="87" t="e">
        <f>L3417+L3422+L3427</f>
        <v>#REF!</v>
      </c>
    </row>
    <row r="3429" spans="1:12" ht="12" customHeight="1" x14ac:dyDescent="0.35">
      <c r="B3429" s="84" t="s">
        <v>9</v>
      </c>
      <c r="C3429" s="455" t="s">
        <v>427</v>
      </c>
      <c r="D3429" s="455"/>
      <c r="E3429" s="455"/>
      <c r="F3429" s="95" t="str">
        <f>OP</f>
        <v>TANJUNG PALAS TENGAH</v>
      </c>
      <c r="G3429" s="85" t="s">
        <v>428</v>
      </c>
      <c r="H3429" s="87" t="e">
        <f>H3428*F3429</f>
        <v>#REF!</v>
      </c>
      <c r="I3429" s="85" t="s">
        <v>428</v>
      </c>
      <c r="J3429" s="87" t="e">
        <f>J3428*F3429</f>
        <v>#REF!</v>
      </c>
      <c r="K3429" s="85" t="s">
        <v>428</v>
      </c>
      <c r="L3429" s="87" t="e">
        <f>L3428*F3429</f>
        <v>#REF!</v>
      </c>
    </row>
    <row r="3430" spans="1:12" ht="12" customHeight="1" x14ac:dyDescent="0.35">
      <c r="B3430" s="84" t="s">
        <v>10</v>
      </c>
      <c r="C3430" s="103" t="s">
        <v>429</v>
      </c>
      <c r="D3430" s="104"/>
      <c r="E3430" s="104"/>
      <c r="F3430" s="104"/>
      <c r="G3430" s="105"/>
      <c r="H3430" s="96" t="e">
        <f>H3428+H3429</f>
        <v>#REF!</v>
      </c>
      <c r="I3430" s="97"/>
      <c r="J3430" s="96" t="e">
        <f>J3428+J3429</f>
        <v>#REF!</v>
      </c>
      <c r="K3430" s="97"/>
      <c r="L3430" s="96" t="e">
        <f>L3428+L3429</f>
        <v>#REF!</v>
      </c>
    </row>
    <row r="3431" spans="1:12" ht="14" customHeight="1" x14ac:dyDescent="0.35"/>
    <row r="3432" spans="1:12" ht="37" customHeight="1" x14ac:dyDescent="0.35">
      <c r="B3432" s="76" t="s">
        <v>850</v>
      </c>
      <c r="C3432" s="458" t="s">
        <v>851</v>
      </c>
      <c r="D3432" s="459"/>
      <c r="E3432" s="459"/>
      <c r="F3432" s="459"/>
      <c r="G3432" s="456"/>
      <c r="H3432" s="457"/>
      <c r="I3432" s="455" t="s">
        <v>3</v>
      </c>
      <c r="J3432" s="455"/>
      <c r="K3432" s="455" t="s">
        <v>4</v>
      </c>
      <c r="L3432" s="455"/>
    </row>
    <row r="3433" spans="1:12" ht="12" customHeight="1" x14ac:dyDescent="0.35">
      <c r="B3433" s="451" t="s">
        <v>409</v>
      </c>
      <c r="C3433" s="451" t="s">
        <v>410</v>
      </c>
      <c r="D3433" s="452" t="s">
        <v>411</v>
      </c>
      <c r="E3433" s="451" t="s">
        <v>412</v>
      </c>
      <c r="F3433" s="451" t="s">
        <v>413</v>
      </c>
      <c r="G3433" s="77" t="s">
        <v>414</v>
      </c>
      <c r="H3433" s="77" t="s">
        <v>415</v>
      </c>
      <c r="I3433" s="78" t="s">
        <v>414</v>
      </c>
      <c r="J3433" s="79" t="s">
        <v>415</v>
      </c>
      <c r="K3433" s="79" t="s">
        <v>414</v>
      </c>
      <c r="L3433" s="79" t="s">
        <v>415</v>
      </c>
    </row>
    <row r="3434" spans="1:12" ht="12" customHeight="1" x14ac:dyDescent="0.35">
      <c r="B3434" s="451"/>
      <c r="C3434" s="451"/>
      <c r="D3434" s="453"/>
      <c r="E3434" s="451"/>
      <c r="F3434" s="451"/>
      <c r="G3434" s="77" t="s">
        <v>17</v>
      </c>
      <c r="H3434" s="77" t="s">
        <v>416</v>
      </c>
      <c r="I3434" s="78" t="s">
        <v>17</v>
      </c>
      <c r="J3434" s="79" t="s">
        <v>416</v>
      </c>
      <c r="K3434" s="79" t="s">
        <v>17</v>
      </c>
      <c r="L3434" s="79" t="s">
        <v>416</v>
      </c>
    </row>
    <row r="3435" spans="1:12" ht="12" customHeight="1" x14ac:dyDescent="0.35">
      <c r="B3435" s="451"/>
      <c r="C3435" s="451"/>
      <c r="D3435" s="454"/>
      <c r="E3435" s="451"/>
      <c r="F3435" s="451"/>
      <c r="G3435" s="106"/>
      <c r="H3435" s="77" t="s">
        <v>17</v>
      </c>
      <c r="I3435" s="94"/>
      <c r="J3435" s="79" t="s">
        <v>17</v>
      </c>
      <c r="K3435" s="85"/>
      <c r="L3435" s="79" t="s">
        <v>17</v>
      </c>
    </row>
    <row r="3436" spans="1:12" ht="12" customHeight="1" x14ac:dyDescent="0.35">
      <c r="B3436" s="80" t="s">
        <v>5</v>
      </c>
      <c r="C3436" s="81" t="s">
        <v>417</v>
      </c>
      <c r="D3436" s="82"/>
      <c r="E3436" s="82"/>
      <c r="F3436" s="82"/>
      <c r="G3436" s="82"/>
      <c r="H3436" s="82"/>
      <c r="I3436" s="83"/>
      <c r="J3436" s="83"/>
      <c r="K3436" s="83"/>
      <c r="L3436" s="83"/>
    </row>
    <row r="3437" spans="1:12" ht="12" customHeight="1" x14ac:dyDescent="0.35">
      <c r="A3437" s="134">
        <v>10130000</v>
      </c>
      <c r="B3437" s="84"/>
      <c r="C3437" s="85" t="str">
        <f>VLOOKUP(A3437,'DAFTAR HARGA'!A:D,3,FALSE)</f>
        <v>OH</v>
      </c>
      <c r="D3437" s="84" t="s">
        <v>418</v>
      </c>
      <c r="E3437" s="84">
        <f>VLOOKUP(A3437,'DAFTAR HARGA'!A:D,4,FALSE)</f>
        <v>115000</v>
      </c>
      <c r="F3437" s="128">
        <v>0.18</v>
      </c>
      <c r="G3437" s="87" t="e">
        <f>VLOOKUP(A3437,'DAFTAR HARGA'!A:D,5,FALSE)</f>
        <v>#REF!</v>
      </c>
      <c r="H3437" s="87" t="e">
        <f>F3437*G3437</f>
        <v>#REF!</v>
      </c>
      <c r="I3437" s="87">
        <v>91500</v>
      </c>
      <c r="J3437" s="87">
        <f>F3437*I3437</f>
        <v>16470</v>
      </c>
      <c r="K3437" s="87">
        <v>91500</v>
      </c>
      <c r="L3437" s="87">
        <f>F3437*K3437</f>
        <v>16470</v>
      </c>
    </row>
    <row r="3438" spans="1:12" ht="12" customHeight="1" x14ac:dyDescent="0.35">
      <c r="A3438" s="134">
        <v>10110000</v>
      </c>
      <c r="B3438" s="84"/>
      <c r="C3438" s="85" t="str">
        <f>VLOOKUP(A3438,'DAFTAR HARGA'!A:D,3,FALSE)</f>
        <v>OH</v>
      </c>
      <c r="D3438" s="84" t="s">
        <v>418</v>
      </c>
      <c r="E3438" s="84">
        <f>VLOOKUP(A3438,'DAFTAR HARGA'!A:D,4,FALSE)</f>
        <v>150000</v>
      </c>
      <c r="F3438" s="128">
        <f>F3437/10</f>
        <v>1.7999999999999999E-2</v>
      </c>
      <c r="G3438" s="87" t="e">
        <f>VLOOKUP(A3438,'DAFTAR HARGA'!A:D,5,FALSE)</f>
        <v>#REF!</v>
      </c>
      <c r="H3438" s="87" t="e">
        <f>F3438*G3438</f>
        <v>#REF!</v>
      </c>
      <c r="I3438" s="87">
        <v>92500</v>
      </c>
      <c r="J3438" s="87">
        <f>F3438*I3438</f>
        <v>1664.9999999999998</v>
      </c>
      <c r="K3438" s="87">
        <v>92500</v>
      </c>
      <c r="L3438" s="87">
        <f>F3438*K3438</f>
        <v>1664.9999999999998</v>
      </c>
    </row>
    <row r="3439" spans="1:12" ht="12" customHeight="1" x14ac:dyDescent="0.35">
      <c r="B3439" s="84"/>
      <c r="C3439" s="85"/>
      <c r="D3439" s="84"/>
      <c r="E3439" s="84"/>
      <c r="F3439" s="86"/>
      <c r="G3439" s="87"/>
      <c r="H3439" s="87"/>
      <c r="I3439" s="87"/>
      <c r="J3439" s="87"/>
      <c r="K3439" s="87"/>
      <c r="L3439" s="87"/>
    </row>
    <row r="3440" spans="1:12" ht="12" customHeight="1" x14ac:dyDescent="0.35">
      <c r="B3440" s="84"/>
      <c r="C3440" s="88"/>
      <c r="D3440" s="79"/>
      <c r="E3440" s="79"/>
      <c r="F3440" s="89" t="s">
        <v>421</v>
      </c>
      <c r="G3440" s="101"/>
      <c r="H3440" s="87" t="e">
        <f>SUM(H3437:H3439)</f>
        <v>#REF!</v>
      </c>
      <c r="I3440" s="101"/>
      <c r="J3440" s="87">
        <f>SUM(J3438:J3439)</f>
        <v>1664.9999999999998</v>
      </c>
      <c r="K3440" s="101"/>
      <c r="L3440" s="87">
        <f>SUM(L3438:L3439)</f>
        <v>1664.9999999999998</v>
      </c>
    </row>
    <row r="3441" spans="1:12" ht="12" customHeight="1" x14ac:dyDescent="0.35">
      <c r="B3441" s="84" t="s">
        <v>6</v>
      </c>
      <c r="C3441" s="88" t="s">
        <v>422</v>
      </c>
      <c r="D3441" s="79"/>
      <c r="E3441" s="79"/>
      <c r="F3441" s="90"/>
      <c r="G3441" s="84"/>
      <c r="H3441" s="87"/>
      <c r="I3441" s="84"/>
      <c r="J3441" s="87"/>
      <c r="K3441" s="84"/>
      <c r="L3441" s="87"/>
    </row>
    <row r="3442" spans="1:12" x14ac:dyDescent="0.35">
      <c r="B3442" s="84"/>
      <c r="C3442" s="85"/>
      <c r="D3442" s="84"/>
      <c r="E3442" s="84"/>
      <c r="F3442" s="128"/>
      <c r="G3442" s="87"/>
      <c r="H3442" s="87">
        <f>F3442*G3442</f>
        <v>0</v>
      </c>
      <c r="I3442" s="87"/>
      <c r="J3442" s="87"/>
      <c r="K3442" s="87"/>
      <c r="L3442" s="87"/>
    </row>
    <row r="3443" spans="1:12" x14ac:dyDescent="0.35">
      <c r="B3443" s="84"/>
      <c r="C3443" s="85"/>
      <c r="D3443" s="84"/>
      <c r="E3443" s="84"/>
      <c r="F3443" s="128"/>
      <c r="G3443" s="87"/>
      <c r="H3443" s="87">
        <f>F3443*G3443</f>
        <v>0</v>
      </c>
      <c r="I3443" s="87"/>
      <c r="J3443" s="87"/>
      <c r="K3443" s="87"/>
      <c r="L3443" s="87"/>
    </row>
    <row r="3444" spans="1:12" x14ac:dyDescent="0.35">
      <c r="B3444" s="84"/>
      <c r="C3444" s="85"/>
      <c r="D3444" s="84"/>
      <c r="E3444" s="84"/>
      <c r="F3444" s="128"/>
      <c r="G3444" s="87"/>
      <c r="H3444" s="87">
        <f>F3444*G3444</f>
        <v>0</v>
      </c>
      <c r="I3444" s="87"/>
      <c r="J3444" s="87"/>
      <c r="K3444" s="87"/>
      <c r="L3444" s="87"/>
    </row>
    <row r="3445" spans="1:12" ht="12" customHeight="1" x14ac:dyDescent="0.35">
      <c r="B3445" s="84"/>
      <c r="C3445" s="88"/>
      <c r="D3445" s="79"/>
      <c r="E3445" s="79"/>
      <c r="F3445" s="129" t="s">
        <v>423</v>
      </c>
      <c r="G3445" s="129"/>
      <c r="H3445" s="87">
        <f>SUM(H3442:H3444)</f>
        <v>0</v>
      </c>
      <c r="I3445" s="101"/>
      <c r="J3445" s="87" t="e">
        <f>SUM(#REF!)</f>
        <v>#REF!</v>
      </c>
      <c r="K3445" s="101"/>
      <c r="L3445" s="87" t="e">
        <f>SUM(#REF!)</f>
        <v>#REF!</v>
      </c>
    </row>
    <row r="3446" spans="1:12" ht="12" customHeight="1" x14ac:dyDescent="0.35">
      <c r="B3446" s="84" t="s">
        <v>7</v>
      </c>
      <c r="C3446" s="88" t="s">
        <v>424</v>
      </c>
      <c r="D3446" s="79"/>
      <c r="E3446" s="79"/>
      <c r="F3446" s="90"/>
      <c r="G3446" s="84"/>
      <c r="H3446" s="87"/>
      <c r="I3446" s="84"/>
      <c r="J3446" s="87"/>
      <c r="K3446" s="84"/>
      <c r="L3446" s="87"/>
    </row>
    <row r="3447" spans="1:12" ht="12" customHeight="1" x14ac:dyDescent="0.35">
      <c r="A3447" s="134">
        <v>31210000</v>
      </c>
      <c r="B3447" s="84"/>
      <c r="C3447" s="85" t="str">
        <f>VLOOKUP(A3447,'DAFTAR HARGA'!A:D,3,FALSE)</f>
        <v>hari</v>
      </c>
      <c r="D3447" s="84" t="s">
        <v>418</v>
      </c>
      <c r="E3447" s="84">
        <f>VLOOKUP(A3447,'DAFTAR HARGA'!A:D,4,FALSE)</f>
        <v>250000</v>
      </c>
      <c r="F3447" s="128">
        <v>0.06</v>
      </c>
      <c r="G3447" s="87" t="e">
        <f>VLOOKUP(A3447,'DAFTAR HARGA'!A:D,5,FALSE)</f>
        <v>#REF!</v>
      </c>
      <c r="H3447" s="87" t="e">
        <f>F3447*G3447</f>
        <v>#REF!</v>
      </c>
      <c r="I3447" s="87"/>
      <c r="J3447" s="87" t="e">
        <f>H3447*I3447</f>
        <v>#REF!</v>
      </c>
      <c r="K3447" s="87"/>
      <c r="L3447" s="87" t="e">
        <f>J3447*K3447</f>
        <v>#REF!</v>
      </c>
    </row>
    <row r="3448" spans="1:12" ht="12" customHeight="1" x14ac:dyDescent="0.35">
      <c r="B3448" s="84"/>
      <c r="C3448" s="85"/>
      <c r="D3448" s="84"/>
      <c r="E3448" s="84"/>
      <c r="F3448" s="128"/>
      <c r="G3448" s="87"/>
      <c r="H3448" s="87">
        <f>F3448*G3448</f>
        <v>0</v>
      </c>
      <c r="I3448" s="87"/>
      <c r="J3448" s="87"/>
      <c r="K3448" s="87"/>
      <c r="L3448" s="87"/>
    </row>
    <row r="3449" spans="1:12" ht="12" customHeight="1" x14ac:dyDescent="0.35">
      <c r="B3449" s="84"/>
      <c r="C3449" s="85"/>
      <c r="D3449" s="84"/>
      <c r="E3449" s="84"/>
      <c r="F3449" s="128"/>
      <c r="G3449" s="87"/>
      <c r="H3449" s="87">
        <f>F3449*G3449</f>
        <v>0</v>
      </c>
      <c r="I3449" s="87"/>
      <c r="J3449" s="87"/>
      <c r="K3449" s="87"/>
      <c r="L3449" s="87"/>
    </row>
    <row r="3450" spans="1:12" ht="12" customHeight="1" x14ac:dyDescent="0.35">
      <c r="B3450" s="84"/>
      <c r="C3450" s="88"/>
      <c r="D3450" s="79"/>
      <c r="E3450" s="79"/>
      <c r="F3450" s="89" t="s">
        <v>425</v>
      </c>
      <c r="G3450" s="101"/>
      <c r="H3450" s="87" t="e">
        <f>SUM(H3447:H3449)</f>
        <v>#REF!</v>
      </c>
      <c r="I3450" s="101"/>
      <c r="J3450" s="87" t="e">
        <f>SUM(J3447)</f>
        <v>#REF!</v>
      </c>
      <c r="K3450" s="101"/>
      <c r="L3450" s="87" t="e">
        <f>SUM(L3447)</f>
        <v>#REF!</v>
      </c>
    </row>
    <row r="3451" spans="1:12" ht="12" customHeight="1" x14ac:dyDescent="0.35">
      <c r="B3451" s="84" t="s">
        <v>8</v>
      </c>
      <c r="C3451" s="103" t="s">
        <v>426</v>
      </c>
      <c r="D3451" s="104"/>
      <c r="E3451" s="104"/>
      <c r="F3451" s="104"/>
      <c r="G3451" s="105"/>
      <c r="H3451" s="87" t="e">
        <f>H3440+H3445+H3450</f>
        <v>#REF!</v>
      </c>
      <c r="I3451" s="105"/>
      <c r="J3451" s="87" t="e">
        <f>J3440+J3445+J3450</f>
        <v>#REF!</v>
      </c>
      <c r="K3451" s="105"/>
      <c r="L3451" s="87" t="e">
        <f>L3440+L3445+L3450</f>
        <v>#REF!</v>
      </c>
    </row>
    <row r="3452" spans="1:12" ht="12" customHeight="1" x14ac:dyDescent="0.35">
      <c r="B3452" s="84" t="s">
        <v>9</v>
      </c>
      <c r="C3452" s="455" t="s">
        <v>427</v>
      </c>
      <c r="D3452" s="455"/>
      <c r="E3452" s="455"/>
      <c r="F3452" s="95" t="str">
        <f>OP</f>
        <v>TANJUNG PALAS TENGAH</v>
      </c>
      <c r="G3452" s="85" t="s">
        <v>428</v>
      </c>
      <c r="H3452" s="87" t="e">
        <f>H3451*F3452</f>
        <v>#REF!</v>
      </c>
      <c r="I3452" s="85" t="s">
        <v>428</v>
      </c>
      <c r="J3452" s="87" t="e">
        <f>J3451*F3452</f>
        <v>#REF!</v>
      </c>
      <c r="K3452" s="85" t="s">
        <v>428</v>
      </c>
      <c r="L3452" s="87" t="e">
        <f>L3451*F3452</f>
        <v>#REF!</v>
      </c>
    </row>
    <row r="3453" spans="1:12" ht="12" customHeight="1" x14ac:dyDescent="0.35">
      <c r="B3453" s="84" t="s">
        <v>10</v>
      </c>
      <c r="C3453" s="103" t="s">
        <v>429</v>
      </c>
      <c r="D3453" s="104"/>
      <c r="E3453" s="104"/>
      <c r="F3453" s="104"/>
      <c r="G3453" s="105"/>
      <c r="H3453" s="96" t="e">
        <f>H3451+H3452</f>
        <v>#REF!</v>
      </c>
      <c r="I3453" s="97"/>
      <c r="J3453" s="96" t="e">
        <f>J3451+J3452</f>
        <v>#REF!</v>
      </c>
      <c r="K3453" s="97"/>
      <c r="L3453" s="96" t="e">
        <f>L3451+L3452</f>
        <v>#REF!</v>
      </c>
    </row>
    <row r="3454" spans="1:12" ht="14" customHeight="1" x14ac:dyDescent="0.35"/>
    <row r="3455" spans="1:12" ht="37" customHeight="1" x14ac:dyDescent="0.35">
      <c r="B3455" s="76" t="s">
        <v>852</v>
      </c>
      <c r="C3455" s="458" t="s">
        <v>853</v>
      </c>
      <c r="D3455" s="459"/>
      <c r="E3455" s="459"/>
      <c r="F3455" s="459"/>
      <c r="G3455" s="456"/>
      <c r="H3455" s="457"/>
      <c r="I3455" s="455" t="s">
        <v>3</v>
      </c>
      <c r="J3455" s="455"/>
      <c r="K3455" s="455" t="s">
        <v>4</v>
      </c>
      <c r="L3455" s="455"/>
    </row>
    <row r="3456" spans="1:12" ht="12" customHeight="1" x14ac:dyDescent="0.35">
      <c r="B3456" s="451" t="s">
        <v>409</v>
      </c>
      <c r="C3456" s="451" t="s">
        <v>410</v>
      </c>
      <c r="D3456" s="452" t="s">
        <v>411</v>
      </c>
      <c r="E3456" s="451" t="s">
        <v>412</v>
      </c>
      <c r="F3456" s="451" t="s">
        <v>413</v>
      </c>
      <c r="G3456" s="77" t="s">
        <v>414</v>
      </c>
      <c r="H3456" s="77" t="s">
        <v>415</v>
      </c>
      <c r="I3456" s="78" t="s">
        <v>414</v>
      </c>
      <c r="J3456" s="79" t="s">
        <v>415</v>
      </c>
      <c r="K3456" s="79" t="s">
        <v>414</v>
      </c>
      <c r="L3456" s="79" t="s">
        <v>415</v>
      </c>
    </row>
    <row r="3457" spans="1:12" ht="12" customHeight="1" x14ac:dyDescent="0.35">
      <c r="B3457" s="451"/>
      <c r="C3457" s="451"/>
      <c r="D3457" s="453"/>
      <c r="E3457" s="451"/>
      <c r="F3457" s="451"/>
      <c r="G3457" s="77" t="s">
        <v>17</v>
      </c>
      <c r="H3457" s="77" t="s">
        <v>416</v>
      </c>
      <c r="I3457" s="78" t="s">
        <v>17</v>
      </c>
      <c r="J3457" s="79" t="s">
        <v>416</v>
      </c>
      <c r="K3457" s="79" t="s">
        <v>17</v>
      </c>
      <c r="L3457" s="79" t="s">
        <v>416</v>
      </c>
    </row>
    <row r="3458" spans="1:12" ht="12" customHeight="1" x14ac:dyDescent="0.35">
      <c r="B3458" s="451"/>
      <c r="C3458" s="451"/>
      <c r="D3458" s="454"/>
      <c r="E3458" s="451"/>
      <c r="F3458" s="451"/>
      <c r="G3458" s="106"/>
      <c r="H3458" s="77" t="s">
        <v>17</v>
      </c>
      <c r="I3458" s="94"/>
      <c r="J3458" s="79" t="s">
        <v>17</v>
      </c>
      <c r="K3458" s="85"/>
      <c r="L3458" s="79" t="s">
        <v>17</v>
      </c>
    </row>
    <row r="3459" spans="1:12" ht="12" customHeight="1" x14ac:dyDescent="0.35">
      <c r="B3459" s="80" t="s">
        <v>5</v>
      </c>
      <c r="C3459" s="81" t="s">
        <v>417</v>
      </c>
      <c r="D3459" s="82"/>
      <c r="E3459" s="82"/>
      <c r="F3459" s="82"/>
      <c r="G3459" s="82"/>
      <c r="H3459" s="82"/>
      <c r="I3459" s="83"/>
      <c r="J3459" s="83"/>
      <c r="K3459" s="83"/>
      <c r="L3459" s="83"/>
    </row>
    <row r="3460" spans="1:12" ht="12" customHeight="1" x14ac:dyDescent="0.35">
      <c r="A3460" s="134">
        <v>10130000</v>
      </c>
      <c r="B3460" s="84"/>
      <c r="C3460" s="85" t="str">
        <f>VLOOKUP(A3460,'DAFTAR HARGA'!A:D,3,FALSE)</f>
        <v>OH</v>
      </c>
      <c r="D3460" s="84" t="s">
        <v>418</v>
      </c>
      <c r="E3460" s="84">
        <f>VLOOKUP(A3460,'DAFTAR HARGA'!A:D,4,FALSE)</f>
        <v>115000</v>
      </c>
      <c r="F3460" s="128">
        <v>0.04</v>
      </c>
      <c r="G3460" s="87" t="e">
        <f>VLOOKUP(A3460,'DAFTAR HARGA'!A:D,5,FALSE)</f>
        <v>#REF!</v>
      </c>
      <c r="H3460" s="87" t="e">
        <f>F3460*G3460</f>
        <v>#REF!</v>
      </c>
      <c r="I3460" s="87">
        <v>91500</v>
      </c>
      <c r="J3460" s="87">
        <f>F3460*I3460</f>
        <v>3660</v>
      </c>
      <c r="K3460" s="87">
        <v>91500</v>
      </c>
      <c r="L3460" s="87">
        <f>F3460*K3460</f>
        <v>3660</v>
      </c>
    </row>
    <row r="3461" spans="1:12" ht="12" customHeight="1" x14ac:dyDescent="0.35">
      <c r="A3461" s="134">
        <v>10110000</v>
      </c>
      <c r="B3461" s="84"/>
      <c r="C3461" s="85" t="str">
        <f>VLOOKUP(A3461,'DAFTAR HARGA'!A:D,3,FALSE)</f>
        <v>OH</v>
      </c>
      <c r="D3461" s="84" t="s">
        <v>418</v>
      </c>
      <c r="E3461" s="84">
        <f>VLOOKUP(A3461,'DAFTAR HARGA'!A:D,4,FALSE)</f>
        <v>150000</v>
      </c>
      <c r="F3461" s="128">
        <f>F3460/10</f>
        <v>4.0000000000000001E-3</v>
      </c>
      <c r="G3461" s="87" t="e">
        <f>VLOOKUP(A3461,'DAFTAR HARGA'!A:D,5,FALSE)</f>
        <v>#REF!</v>
      </c>
      <c r="H3461" s="87" t="e">
        <f>F3461*G3461</f>
        <v>#REF!</v>
      </c>
      <c r="I3461" s="87">
        <v>92500</v>
      </c>
      <c r="J3461" s="87">
        <f>F3461*I3461</f>
        <v>370</v>
      </c>
      <c r="K3461" s="87">
        <v>92500</v>
      </c>
      <c r="L3461" s="87">
        <f>F3461*K3461</f>
        <v>370</v>
      </c>
    </row>
    <row r="3462" spans="1:12" ht="12" customHeight="1" x14ac:dyDescent="0.35">
      <c r="B3462" s="84"/>
      <c r="C3462" s="85"/>
      <c r="D3462" s="84"/>
      <c r="E3462" s="84"/>
      <c r="F3462" s="86"/>
      <c r="G3462" s="87"/>
      <c r="H3462" s="87"/>
      <c r="I3462" s="87"/>
      <c r="J3462" s="87"/>
      <c r="K3462" s="87"/>
      <c r="L3462" s="87"/>
    </row>
    <row r="3463" spans="1:12" ht="12" customHeight="1" x14ac:dyDescent="0.35">
      <c r="B3463" s="84"/>
      <c r="C3463" s="88"/>
      <c r="D3463" s="79"/>
      <c r="E3463" s="79"/>
      <c r="F3463" s="89" t="s">
        <v>421</v>
      </c>
      <c r="G3463" s="101"/>
      <c r="H3463" s="87" t="e">
        <f>SUM(H3460:H3462)</f>
        <v>#REF!</v>
      </c>
      <c r="I3463" s="101"/>
      <c r="J3463" s="87">
        <f>SUM(J3461:J3462)</f>
        <v>370</v>
      </c>
      <c r="K3463" s="101"/>
      <c r="L3463" s="87">
        <f>SUM(L3461:L3462)</f>
        <v>370</v>
      </c>
    </row>
    <row r="3464" spans="1:12" ht="12" customHeight="1" x14ac:dyDescent="0.35">
      <c r="B3464" s="84" t="s">
        <v>6</v>
      </c>
      <c r="C3464" s="88" t="s">
        <v>422</v>
      </c>
      <c r="D3464" s="79"/>
      <c r="E3464" s="79"/>
      <c r="F3464" s="90"/>
      <c r="G3464" s="84"/>
      <c r="H3464" s="87"/>
      <c r="I3464" s="84"/>
      <c r="J3464" s="87"/>
      <c r="K3464" s="84"/>
      <c r="L3464" s="87"/>
    </row>
    <row r="3465" spans="1:12" x14ac:dyDescent="0.35">
      <c r="A3465" s="134">
        <v>24510000</v>
      </c>
      <c r="B3465" s="84"/>
      <c r="C3465" s="85" t="str">
        <f>VLOOKUP(A3465,'DAFTAR HARGA'!A:D,3,FALSE)</f>
        <v>buah</v>
      </c>
      <c r="D3465" s="84" t="s">
        <v>418</v>
      </c>
      <c r="E3465" s="84">
        <f>VLOOKUP(A3465,'DAFTAR HARGA'!A:D,4,FALSE)</f>
        <v>7500</v>
      </c>
      <c r="F3465" s="128">
        <v>1</v>
      </c>
      <c r="G3465" s="87" t="e">
        <f>VLOOKUP(A3465,'DAFTAR HARGA'!A:D,5,FALSE)</f>
        <v>#REF!</v>
      </c>
      <c r="H3465" s="87" t="e">
        <f>F3465*G3465</f>
        <v>#REF!</v>
      </c>
      <c r="I3465" s="87"/>
      <c r="J3465" s="87"/>
      <c r="K3465" s="87"/>
      <c r="L3465" s="87"/>
    </row>
    <row r="3466" spans="1:12" x14ac:dyDescent="0.35">
      <c r="A3466" s="134">
        <v>24510020</v>
      </c>
      <c r="B3466" s="84"/>
      <c r="C3466" s="85" t="str">
        <f>VLOOKUP(A3466,'DAFTAR HARGA'!A:D,3,FALSE)</f>
        <v>roll</v>
      </c>
      <c r="D3466" s="84" t="s">
        <v>418</v>
      </c>
      <c r="E3466" s="84">
        <f>VLOOKUP(A3466,'DAFTAR HARGA'!A:D,4,FALSE)</f>
        <v>25000</v>
      </c>
      <c r="F3466" s="128">
        <f>2/50</f>
        <v>0.04</v>
      </c>
      <c r="G3466" s="87" t="e">
        <f>VLOOKUP(A3466,'DAFTAR HARGA'!A:D,5,FALSE)</f>
        <v>#REF!</v>
      </c>
      <c r="H3466" s="87" t="e">
        <f>F3466*G3466</f>
        <v>#REF!</v>
      </c>
      <c r="I3466" s="87"/>
      <c r="J3466" s="87"/>
      <c r="K3466" s="87"/>
      <c r="L3466" s="87"/>
    </row>
    <row r="3467" spans="1:12" x14ac:dyDescent="0.35">
      <c r="A3467" s="134">
        <v>211100113</v>
      </c>
      <c r="B3467" s="84"/>
      <c r="C3467" s="85" t="str">
        <f>VLOOKUP(A3467,'DAFTAR HARGA'!A:D,3,FALSE)</f>
        <v>m³</v>
      </c>
      <c r="D3467" s="84" t="s">
        <v>418</v>
      </c>
      <c r="E3467" s="84">
        <f>VLOOKUP(A3467,'DAFTAR HARGA'!A:D,4,FALSE)</f>
        <v>217500</v>
      </c>
      <c r="F3467" s="128">
        <v>2.1999999999999999E-2</v>
      </c>
      <c r="G3467" s="87" t="e">
        <f>VLOOKUP(A3467,'DAFTAR HARGA'!A:D,5,FALSE)</f>
        <v>#REF!</v>
      </c>
      <c r="H3467" s="87" t="e">
        <f>F3467*G3467</f>
        <v>#REF!</v>
      </c>
      <c r="I3467" s="87"/>
      <c r="J3467" s="87"/>
      <c r="K3467" s="87"/>
      <c r="L3467" s="87"/>
    </row>
    <row r="3468" spans="1:12" ht="12" customHeight="1" x14ac:dyDescent="0.35">
      <c r="B3468" s="84"/>
      <c r="C3468" s="88"/>
      <c r="D3468" s="79"/>
      <c r="E3468" s="79"/>
      <c r="F3468" s="129" t="s">
        <v>423</v>
      </c>
      <c r="G3468" s="129"/>
      <c r="H3468" s="87" t="e">
        <f>SUM(H3465:H3467)</f>
        <v>#REF!</v>
      </c>
      <c r="I3468" s="101"/>
      <c r="J3468" s="87" t="e">
        <f>SUM(#REF!)</f>
        <v>#REF!</v>
      </c>
      <c r="K3468" s="101"/>
      <c r="L3468" s="87" t="e">
        <f>SUM(#REF!)</f>
        <v>#REF!</v>
      </c>
    </row>
    <row r="3469" spans="1:12" ht="12" customHeight="1" x14ac:dyDescent="0.35">
      <c r="B3469" s="84" t="s">
        <v>7</v>
      </c>
      <c r="C3469" s="88" t="s">
        <v>424</v>
      </c>
      <c r="D3469" s="79"/>
      <c r="E3469" s="79"/>
      <c r="F3469" s="90"/>
      <c r="G3469" s="84"/>
      <c r="H3469" s="87"/>
      <c r="I3469" s="84"/>
      <c r="J3469" s="87"/>
      <c r="K3469" s="84"/>
      <c r="L3469" s="87"/>
    </row>
    <row r="3470" spans="1:12" ht="12" customHeight="1" x14ac:dyDescent="0.35">
      <c r="A3470" s="134">
        <v>31210000</v>
      </c>
      <c r="B3470" s="84"/>
      <c r="C3470" s="85" t="str">
        <f>VLOOKUP(A3470,'DAFTAR HARGA'!A:D,3,FALSE)</f>
        <v>hari</v>
      </c>
      <c r="D3470" s="84" t="s">
        <v>418</v>
      </c>
      <c r="E3470" s="84">
        <f>VLOOKUP(A3470,'DAFTAR HARGA'!A:D,4,FALSE)</f>
        <v>250000</v>
      </c>
      <c r="F3470" s="128">
        <v>0.06</v>
      </c>
      <c r="G3470" s="87" t="e">
        <f>VLOOKUP(A3470,'DAFTAR HARGA'!A:D,5,FALSE)</f>
        <v>#REF!</v>
      </c>
      <c r="H3470" s="87" t="e">
        <f>F3470*G3470</f>
        <v>#REF!</v>
      </c>
      <c r="I3470" s="87"/>
      <c r="J3470" s="87" t="e">
        <f>H3470*I3470</f>
        <v>#REF!</v>
      </c>
      <c r="K3470" s="87"/>
      <c r="L3470" s="87" t="e">
        <f>J3470*K3470</f>
        <v>#REF!</v>
      </c>
    </row>
    <row r="3471" spans="1:12" ht="12" customHeight="1" x14ac:dyDescent="0.35">
      <c r="B3471" s="84"/>
      <c r="C3471" s="85"/>
      <c r="D3471" s="84"/>
      <c r="E3471" s="84"/>
      <c r="F3471" s="128"/>
      <c r="G3471" s="87"/>
      <c r="H3471" s="87">
        <f>F3471*G3471</f>
        <v>0</v>
      </c>
      <c r="I3471" s="87"/>
      <c r="J3471" s="87"/>
      <c r="K3471" s="87"/>
      <c r="L3471" s="87"/>
    </row>
    <row r="3472" spans="1:12" ht="12" customHeight="1" x14ac:dyDescent="0.35">
      <c r="B3472" s="84"/>
      <c r="C3472" s="85"/>
      <c r="D3472" s="84"/>
      <c r="E3472" s="84"/>
      <c r="F3472" s="128"/>
      <c r="G3472" s="87"/>
      <c r="H3472" s="87">
        <f>F3472*G3472</f>
        <v>0</v>
      </c>
      <c r="I3472" s="87"/>
      <c r="J3472" s="87"/>
      <c r="K3472" s="87"/>
      <c r="L3472" s="87"/>
    </row>
    <row r="3473" spans="1:12" ht="12" customHeight="1" x14ac:dyDescent="0.35">
      <c r="B3473" s="84"/>
      <c r="C3473" s="88"/>
      <c r="D3473" s="79"/>
      <c r="E3473" s="79"/>
      <c r="F3473" s="89" t="s">
        <v>425</v>
      </c>
      <c r="G3473" s="101"/>
      <c r="H3473" s="87" t="e">
        <f>SUM(H3470:H3472)</f>
        <v>#REF!</v>
      </c>
      <c r="I3473" s="101"/>
      <c r="J3473" s="87" t="e">
        <f>SUM(J3470)</f>
        <v>#REF!</v>
      </c>
      <c r="K3473" s="101"/>
      <c r="L3473" s="87" t="e">
        <f>SUM(L3470)</f>
        <v>#REF!</v>
      </c>
    </row>
    <row r="3474" spans="1:12" ht="12" customHeight="1" x14ac:dyDescent="0.35">
      <c r="B3474" s="84" t="s">
        <v>8</v>
      </c>
      <c r="C3474" s="103" t="s">
        <v>426</v>
      </c>
      <c r="D3474" s="104"/>
      <c r="E3474" s="104"/>
      <c r="F3474" s="104"/>
      <c r="G3474" s="105"/>
      <c r="H3474" s="87" t="e">
        <f>H3463+H3468+H3473</f>
        <v>#REF!</v>
      </c>
      <c r="I3474" s="105"/>
      <c r="J3474" s="87" t="e">
        <f>J3463+J3468+J3473</f>
        <v>#REF!</v>
      </c>
      <c r="K3474" s="105"/>
      <c r="L3474" s="87" t="e">
        <f>L3463+L3468+L3473</f>
        <v>#REF!</v>
      </c>
    </row>
    <row r="3475" spans="1:12" ht="12" customHeight="1" x14ac:dyDescent="0.35">
      <c r="B3475" s="84" t="s">
        <v>9</v>
      </c>
      <c r="C3475" s="455" t="s">
        <v>427</v>
      </c>
      <c r="D3475" s="455"/>
      <c r="E3475" s="455"/>
      <c r="F3475" s="95" t="str">
        <f>OP</f>
        <v>TANJUNG PALAS TENGAH</v>
      </c>
      <c r="G3475" s="85" t="s">
        <v>428</v>
      </c>
      <c r="H3475" s="87" t="e">
        <f>H3474*F3475</f>
        <v>#REF!</v>
      </c>
      <c r="I3475" s="85" t="s">
        <v>428</v>
      </c>
      <c r="J3475" s="87" t="e">
        <f>J3474*F3475</f>
        <v>#REF!</v>
      </c>
      <c r="K3475" s="85" t="s">
        <v>428</v>
      </c>
      <c r="L3475" s="87" t="e">
        <f>L3474*F3475</f>
        <v>#REF!</v>
      </c>
    </row>
    <row r="3476" spans="1:12" ht="12" customHeight="1" x14ac:dyDescent="0.35">
      <c r="B3476" s="84" t="s">
        <v>10</v>
      </c>
      <c r="C3476" s="103" t="s">
        <v>429</v>
      </c>
      <c r="D3476" s="104"/>
      <c r="E3476" s="104"/>
      <c r="F3476" s="104"/>
      <c r="G3476" s="105"/>
      <c r="H3476" s="96" t="e">
        <f>H3474+H3475</f>
        <v>#REF!</v>
      </c>
      <c r="I3476" s="97"/>
      <c r="J3476" s="96" t="e">
        <f>J3474+J3475</f>
        <v>#REF!</v>
      </c>
      <c r="K3476" s="97"/>
      <c r="L3476" s="96" t="e">
        <f>L3474+L3475</f>
        <v>#REF!</v>
      </c>
    </row>
    <row r="3477" spans="1:12" ht="14" customHeight="1" x14ac:dyDescent="0.35"/>
    <row r="3478" spans="1:12" ht="37" customHeight="1" x14ac:dyDescent="0.35">
      <c r="B3478" s="76" t="s">
        <v>856</v>
      </c>
      <c r="C3478" s="458" t="s">
        <v>857</v>
      </c>
      <c r="D3478" s="459"/>
      <c r="E3478" s="459"/>
      <c r="F3478" s="459"/>
      <c r="G3478" s="456"/>
      <c r="H3478" s="457"/>
      <c r="I3478" s="455" t="s">
        <v>3</v>
      </c>
      <c r="J3478" s="455"/>
      <c r="K3478" s="455" t="s">
        <v>4</v>
      </c>
      <c r="L3478" s="455"/>
    </row>
    <row r="3479" spans="1:12" ht="12" customHeight="1" x14ac:dyDescent="0.35">
      <c r="B3479" s="451" t="s">
        <v>409</v>
      </c>
      <c r="C3479" s="451" t="s">
        <v>410</v>
      </c>
      <c r="D3479" s="452" t="s">
        <v>411</v>
      </c>
      <c r="E3479" s="451" t="s">
        <v>412</v>
      </c>
      <c r="F3479" s="451" t="s">
        <v>413</v>
      </c>
      <c r="G3479" s="77" t="s">
        <v>414</v>
      </c>
      <c r="H3479" s="77" t="s">
        <v>415</v>
      </c>
      <c r="I3479" s="78" t="s">
        <v>414</v>
      </c>
      <c r="J3479" s="79" t="s">
        <v>415</v>
      </c>
      <c r="K3479" s="79" t="s">
        <v>414</v>
      </c>
      <c r="L3479" s="79" t="s">
        <v>415</v>
      </c>
    </row>
    <row r="3480" spans="1:12" ht="12" customHeight="1" x14ac:dyDescent="0.35">
      <c r="B3480" s="451"/>
      <c r="C3480" s="451"/>
      <c r="D3480" s="453"/>
      <c r="E3480" s="451"/>
      <c r="F3480" s="451"/>
      <c r="G3480" s="77" t="s">
        <v>17</v>
      </c>
      <c r="H3480" s="77" t="s">
        <v>416</v>
      </c>
      <c r="I3480" s="78" t="s">
        <v>17</v>
      </c>
      <c r="J3480" s="79" t="s">
        <v>416</v>
      </c>
      <c r="K3480" s="79" t="s">
        <v>17</v>
      </c>
      <c r="L3480" s="79" t="s">
        <v>416</v>
      </c>
    </row>
    <row r="3481" spans="1:12" ht="12" customHeight="1" x14ac:dyDescent="0.35">
      <c r="B3481" s="451"/>
      <c r="C3481" s="451"/>
      <c r="D3481" s="454"/>
      <c r="E3481" s="451"/>
      <c r="F3481" s="451"/>
      <c r="G3481" s="106"/>
      <c r="H3481" s="77" t="s">
        <v>17</v>
      </c>
      <c r="I3481" s="94"/>
      <c r="J3481" s="79" t="s">
        <v>17</v>
      </c>
      <c r="K3481" s="85"/>
      <c r="L3481" s="79" t="s">
        <v>17</v>
      </c>
    </row>
    <row r="3482" spans="1:12" ht="12" customHeight="1" x14ac:dyDescent="0.35">
      <c r="B3482" s="80" t="s">
        <v>5</v>
      </c>
      <c r="C3482" s="81" t="s">
        <v>417</v>
      </c>
      <c r="D3482" s="82"/>
      <c r="E3482" s="82"/>
      <c r="F3482" s="82"/>
      <c r="G3482" s="82"/>
      <c r="H3482" s="82"/>
      <c r="I3482" s="83"/>
      <c r="J3482" s="83"/>
      <c r="K3482" s="83"/>
      <c r="L3482" s="83"/>
    </row>
    <row r="3483" spans="1:12" ht="12" customHeight="1" x14ac:dyDescent="0.35">
      <c r="A3483" s="134">
        <v>10130000</v>
      </c>
      <c r="B3483" s="84"/>
      <c r="C3483" s="85" t="str">
        <f>VLOOKUP(A3483,'DAFTAR HARGA'!A:D,3,FALSE)</f>
        <v>OH</v>
      </c>
      <c r="D3483" s="84" t="s">
        <v>418</v>
      </c>
      <c r="E3483" s="84">
        <f>VLOOKUP(A3483,'DAFTAR HARGA'!A:D,4,FALSE)</f>
        <v>115000</v>
      </c>
      <c r="F3483" s="128">
        <v>0.1</v>
      </c>
      <c r="G3483" s="87" t="e">
        <f>VLOOKUP(A3483,'DAFTAR HARGA'!A:D,5,FALSE)</f>
        <v>#REF!</v>
      </c>
      <c r="H3483" s="87" t="e">
        <f>F3483*G3483</f>
        <v>#REF!</v>
      </c>
      <c r="I3483" s="87">
        <v>91500</v>
      </c>
      <c r="J3483" s="87">
        <f>F3483*I3483</f>
        <v>9150</v>
      </c>
      <c r="K3483" s="87">
        <v>91500</v>
      </c>
      <c r="L3483" s="87">
        <f>F3483*K3483</f>
        <v>9150</v>
      </c>
    </row>
    <row r="3484" spans="1:12" ht="12" customHeight="1" x14ac:dyDescent="0.35">
      <c r="A3484" s="134">
        <v>10142000</v>
      </c>
      <c r="B3484" s="84"/>
      <c r="C3484" s="85" t="str">
        <f>VLOOKUP(A3484,'DAFTAR HARGA'!A:D,3,FALSE)</f>
        <v>OH</v>
      </c>
      <c r="D3484" s="84" t="s">
        <v>418</v>
      </c>
      <c r="E3484" s="84">
        <f>VLOOKUP(A3484,'DAFTAR HARGA'!A:D,4,FALSE)</f>
        <v>236600</v>
      </c>
      <c r="F3484" s="128">
        <v>0.05</v>
      </c>
      <c r="G3484" s="87" t="e">
        <f>VLOOKUP(A3484,'DAFTAR HARGA'!A:D,5,FALSE)</f>
        <v>#REF!</v>
      </c>
      <c r="H3484" s="87" t="e">
        <f>F3484*G3484</f>
        <v>#REF!</v>
      </c>
      <c r="I3484" s="87"/>
      <c r="J3484" s="87"/>
      <c r="K3484" s="87"/>
      <c r="L3484" s="87"/>
    </row>
    <row r="3485" spans="1:12" ht="12" customHeight="1" x14ac:dyDescent="0.35">
      <c r="A3485" s="134">
        <v>10120000</v>
      </c>
      <c r="B3485" s="84"/>
      <c r="C3485" s="85" t="str">
        <f>VLOOKUP(A3485,'DAFTAR HARGA'!A:D,3,FALSE)</f>
        <v>OH</v>
      </c>
      <c r="D3485" s="84" t="s">
        <v>418</v>
      </c>
      <c r="E3485" s="84">
        <f>VLOOKUP(A3485,'DAFTAR HARGA'!A:D,4,FALSE)</f>
        <v>130000</v>
      </c>
      <c r="F3485" s="128">
        <f>F3484/10</f>
        <v>5.0000000000000001E-3</v>
      </c>
      <c r="G3485" s="87" t="e">
        <f>VLOOKUP(A3485,'DAFTAR HARGA'!A:D,5,FALSE)</f>
        <v>#REF!</v>
      </c>
      <c r="H3485" s="87"/>
      <c r="I3485" s="87"/>
      <c r="J3485" s="87"/>
      <c r="K3485" s="87"/>
      <c r="L3485" s="87"/>
    </row>
    <row r="3486" spans="1:12" ht="12" customHeight="1" x14ac:dyDescent="0.35">
      <c r="A3486" s="134">
        <v>10110000</v>
      </c>
      <c r="B3486" s="84"/>
      <c r="C3486" s="85" t="str">
        <f>VLOOKUP(A3486,'DAFTAR HARGA'!A:D,3,FALSE)</f>
        <v>OH</v>
      </c>
      <c r="D3486" s="84" t="s">
        <v>418</v>
      </c>
      <c r="E3486" s="84">
        <f>VLOOKUP(A3486,'DAFTAR HARGA'!A:D,4,FALSE)</f>
        <v>150000</v>
      </c>
      <c r="F3486" s="128">
        <f>F3483/10</f>
        <v>0.01</v>
      </c>
      <c r="G3486" s="87" t="e">
        <f>VLOOKUP(A3486,'DAFTAR HARGA'!A:D,5,FALSE)</f>
        <v>#REF!</v>
      </c>
      <c r="H3486" s="87" t="e">
        <f>F3486*G3486</f>
        <v>#REF!</v>
      </c>
      <c r="I3486" s="87">
        <v>92500</v>
      </c>
      <c r="J3486" s="87">
        <f>F3486*I3486</f>
        <v>925</v>
      </c>
      <c r="K3486" s="87">
        <v>92500</v>
      </c>
      <c r="L3486" s="87">
        <f>F3486*K3486</f>
        <v>925</v>
      </c>
    </row>
    <row r="3487" spans="1:12" ht="12" customHeight="1" x14ac:dyDescent="0.35">
      <c r="B3487" s="84"/>
      <c r="C3487" s="85"/>
      <c r="D3487" s="84"/>
      <c r="E3487" s="84"/>
      <c r="F3487" s="86"/>
      <c r="G3487" s="87"/>
      <c r="H3487" s="87"/>
      <c r="I3487" s="87"/>
      <c r="J3487" s="87"/>
      <c r="K3487" s="87"/>
      <c r="L3487" s="87"/>
    </row>
    <row r="3488" spans="1:12" ht="12" customHeight="1" x14ac:dyDescent="0.35">
      <c r="B3488" s="84"/>
      <c r="C3488" s="88"/>
      <c r="D3488" s="79"/>
      <c r="E3488" s="79"/>
      <c r="F3488" s="89" t="s">
        <v>421</v>
      </c>
      <c r="G3488" s="101"/>
      <c r="H3488" s="87" t="e">
        <f>SUM(H3483:H3487)</f>
        <v>#REF!</v>
      </c>
      <c r="I3488" s="101"/>
      <c r="J3488" s="87">
        <f>SUM(J3486:J3487)</f>
        <v>925</v>
      </c>
      <c r="K3488" s="101"/>
      <c r="L3488" s="87">
        <f>SUM(L3486:L3487)</f>
        <v>925</v>
      </c>
    </row>
    <row r="3489" spans="1:12" ht="12" customHeight="1" x14ac:dyDescent="0.35">
      <c r="B3489" s="84" t="s">
        <v>6</v>
      </c>
      <c r="C3489" s="88" t="s">
        <v>422</v>
      </c>
      <c r="D3489" s="79"/>
      <c r="E3489" s="79"/>
      <c r="F3489" s="90"/>
      <c r="G3489" s="84"/>
      <c r="H3489" s="87"/>
      <c r="I3489" s="84"/>
      <c r="J3489" s="87"/>
      <c r="K3489" s="84"/>
      <c r="L3489" s="87"/>
    </row>
    <row r="3490" spans="1:12" x14ac:dyDescent="0.35">
      <c r="A3490" s="134">
        <v>21401200</v>
      </c>
      <c r="B3490" s="84"/>
      <c r="C3490" s="85" t="str">
        <f>VLOOKUP(A3490,'DAFTAR HARGA'!A:D,3,FALSE)</f>
        <v>m³</v>
      </c>
      <c r="D3490" s="84" t="s">
        <v>418</v>
      </c>
      <c r="E3490" s="84">
        <f>VLOOKUP(A3490,'DAFTAR HARGA'!A:D,4,FALSE)</f>
        <v>1900000</v>
      </c>
      <c r="F3490" s="128">
        <v>3.6400000000000002E-2</v>
      </c>
      <c r="G3490" s="87" t="e">
        <f>VLOOKUP(A3490,'DAFTAR HARGA'!A:D,5,FALSE)</f>
        <v>#REF!</v>
      </c>
      <c r="H3490" s="87" t="e">
        <f>F3490*G3490</f>
        <v>#REF!</v>
      </c>
      <c r="I3490" s="87"/>
      <c r="J3490" s="87"/>
      <c r="K3490" s="87"/>
      <c r="L3490" s="87"/>
    </row>
    <row r="3491" spans="1:12" x14ac:dyDescent="0.35">
      <c r="A3491" s="134">
        <v>21911005</v>
      </c>
      <c r="B3491" s="84"/>
      <c r="C3491" s="85" t="str">
        <f>VLOOKUP(A3491,'DAFTAR HARGA'!A:D,3,FALSE)</f>
        <v>kg</v>
      </c>
      <c r="D3491" s="84" t="s">
        <v>418</v>
      </c>
      <c r="E3491" s="84">
        <f>VLOOKUP(A3491,'DAFTAR HARGA'!A:D,4,FALSE)</f>
        <v>21200</v>
      </c>
      <c r="F3491" s="128">
        <v>0.32500000000000001</v>
      </c>
      <c r="G3491" s="87" t="e">
        <f>VLOOKUP(A3491,'DAFTAR HARGA'!A:D,5,FALSE)</f>
        <v>#REF!</v>
      </c>
      <c r="H3491" s="87" t="e">
        <f>F3491*G3491</f>
        <v>#REF!</v>
      </c>
      <c r="I3491" s="87"/>
      <c r="J3491" s="87"/>
      <c r="K3491" s="87"/>
      <c r="L3491" s="87"/>
    </row>
    <row r="3492" spans="1:12" x14ac:dyDescent="0.35">
      <c r="B3492" s="84"/>
      <c r="C3492" s="85"/>
      <c r="D3492" s="84"/>
      <c r="E3492" s="84"/>
      <c r="F3492" s="128"/>
      <c r="G3492" s="87"/>
      <c r="H3492" s="87">
        <f>F3492*G3492</f>
        <v>0</v>
      </c>
      <c r="I3492" s="87"/>
      <c r="J3492" s="87"/>
      <c r="K3492" s="87"/>
      <c r="L3492" s="87"/>
    </row>
    <row r="3493" spans="1:12" ht="12" customHeight="1" x14ac:dyDescent="0.35">
      <c r="B3493" s="84"/>
      <c r="C3493" s="88"/>
      <c r="D3493" s="79"/>
      <c r="E3493" s="79"/>
      <c r="F3493" s="129" t="s">
        <v>423</v>
      </c>
      <c r="G3493" s="129"/>
      <c r="H3493" s="87" t="e">
        <f>SUM(H3490:H3492)</f>
        <v>#REF!</v>
      </c>
      <c r="I3493" s="101"/>
      <c r="J3493" s="87" t="e">
        <f>SUM(#REF!)</f>
        <v>#REF!</v>
      </c>
      <c r="K3493" s="101"/>
      <c r="L3493" s="87" t="e">
        <f>SUM(#REF!)</f>
        <v>#REF!</v>
      </c>
    </row>
    <row r="3494" spans="1:12" ht="12" customHeight="1" x14ac:dyDescent="0.35">
      <c r="B3494" s="84" t="s">
        <v>7</v>
      </c>
      <c r="C3494" s="88" t="s">
        <v>424</v>
      </c>
      <c r="D3494" s="79"/>
      <c r="E3494" s="79"/>
      <c r="F3494" s="90"/>
      <c r="G3494" s="84"/>
      <c r="H3494" s="87"/>
      <c r="I3494" s="84"/>
      <c r="J3494" s="87"/>
      <c r="K3494" s="84"/>
      <c r="L3494" s="87"/>
    </row>
    <row r="3495" spans="1:12" ht="12" customHeight="1" x14ac:dyDescent="0.35">
      <c r="B3495" s="84"/>
      <c r="C3495" s="85"/>
      <c r="D3495" s="84"/>
      <c r="E3495" s="84"/>
      <c r="F3495" s="128"/>
      <c r="G3495" s="87"/>
      <c r="H3495" s="87">
        <f>F3495*G3495</f>
        <v>0</v>
      </c>
      <c r="I3495" s="87"/>
      <c r="J3495" s="87">
        <f>H3495*I3495</f>
        <v>0</v>
      </c>
      <c r="K3495" s="87"/>
      <c r="L3495" s="87">
        <f>J3495*K3495</f>
        <v>0</v>
      </c>
    </row>
    <row r="3496" spans="1:12" ht="12" customHeight="1" x14ac:dyDescent="0.35">
      <c r="B3496" s="84"/>
      <c r="C3496" s="85"/>
      <c r="D3496" s="84"/>
      <c r="E3496" s="84"/>
      <c r="F3496" s="128"/>
      <c r="G3496" s="87"/>
      <c r="H3496" s="87">
        <f>F3496*G3496</f>
        <v>0</v>
      </c>
      <c r="I3496" s="87"/>
      <c r="J3496" s="87"/>
      <c r="K3496" s="87"/>
      <c r="L3496" s="87"/>
    </row>
    <row r="3497" spans="1:12" ht="12" customHeight="1" x14ac:dyDescent="0.35">
      <c r="B3497" s="84"/>
      <c r="C3497" s="85"/>
      <c r="D3497" s="84"/>
      <c r="E3497" s="84"/>
      <c r="F3497" s="128"/>
      <c r="G3497" s="87"/>
      <c r="H3497" s="87">
        <f>F3497*G3497</f>
        <v>0</v>
      </c>
      <c r="I3497" s="87"/>
      <c r="J3497" s="87"/>
      <c r="K3497" s="87"/>
      <c r="L3497" s="87"/>
    </row>
    <row r="3498" spans="1:12" ht="12" customHeight="1" x14ac:dyDescent="0.35">
      <c r="B3498" s="84"/>
      <c r="C3498" s="88"/>
      <c r="D3498" s="79"/>
      <c r="E3498" s="79"/>
      <c r="F3498" s="89" t="s">
        <v>425</v>
      </c>
      <c r="G3498" s="101"/>
      <c r="H3498" s="87">
        <f>SUM(H3495:H3497)</f>
        <v>0</v>
      </c>
      <c r="I3498" s="101"/>
      <c r="J3498" s="87">
        <f>SUM(J3495)</f>
        <v>0</v>
      </c>
      <c r="K3498" s="101"/>
      <c r="L3498" s="87">
        <f>SUM(L3495)</f>
        <v>0</v>
      </c>
    </row>
    <row r="3499" spans="1:12" ht="12" customHeight="1" x14ac:dyDescent="0.35">
      <c r="B3499" s="84" t="s">
        <v>8</v>
      </c>
      <c r="C3499" s="103" t="s">
        <v>426</v>
      </c>
      <c r="D3499" s="104"/>
      <c r="E3499" s="104"/>
      <c r="F3499" s="104"/>
      <c r="G3499" s="105"/>
      <c r="H3499" s="87" t="e">
        <f>H3488+H3493+H3498</f>
        <v>#REF!</v>
      </c>
      <c r="I3499" s="105"/>
      <c r="J3499" s="87" t="e">
        <f>J3488+J3493+J3498</f>
        <v>#REF!</v>
      </c>
      <c r="K3499" s="105"/>
      <c r="L3499" s="87" t="e">
        <f>L3488+L3493+L3498</f>
        <v>#REF!</v>
      </c>
    </row>
    <row r="3500" spans="1:12" ht="12" customHeight="1" x14ac:dyDescent="0.35">
      <c r="B3500" s="84" t="s">
        <v>9</v>
      </c>
      <c r="C3500" s="455" t="s">
        <v>427</v>
      </c>
      <c r="D3500" s="455"/>
      <c r="E3500" s="455"/>
      <c r="F3500" s="95" t="str">
        <f>OP</f>
        <v>TANJUNG PALAS TENGAH</v>
      </c>
      <c r="G3500" s="85" t="s">
        <v>428</v>
      </c>
      <c r="H3500" s="87" t="e">
        <f>H3499*F3500</f>
        <v>#REF!</v>
      </c>
      <c r="I3500" s="85" t="s">
        <v>428</v>
      </c>
      <c r="J3500" s="87" t="e">
        <f>J3499*F3500</f>
        <v>#REF!</v>
      </c>
      <c r="K3500" s="85" t="s">
        <v>428</v>
      </c>
      <c r="L3500" s="87" t="e">
        <f>L3499*F3500</f>
        <v>#REF!</v>
      </c>
    </row>
    <row r="3501" spans="1:12" ht="12" customHeight="1" x14ac:dyDescent="0.35">
      <c r="B3501" s="84" t="s">
        <v>10</v>
      </c>
      <c r="C3501" s="103" t="s">
        <v>429</v>
      </c>
      <c r="D3501" s="104"/>
      <c r="E3501" s="104"/>
      <c r="F3501" s="104"/>
      <c r="G3501" s="105"/>
      <c r="H3501" s="96" t="e">
        <f>H3499+H3500</f>
        <v>#REF!</v>
      </c>
      <c r="I3501" s="97"/>
      <c r="J3501" s="96" t="e">
        <f>J3499+J3500</f>
        <v>#REF!</v>
      </c>
      <c r="K3501" s="97"/>
      <c r="L3501" s="96" t="e">
        <f>L3499+L3500</f>
        <v>#REF!</v>
      </c>
    </row>
    <row r="3502" spans="1:12" x14ac:dyDescent="0.35">
      <c r="B3502" s="75" t="s">
        <v>806</v>
      </c>
    </row>
    <row r="3503" spans="1:12" x14ac:dyDescent="0.35">
      <c r="B3503" s="75" t="s">
        <v>858</v>
      </c>
    </row>
    <row r="3504" spans="1:12" ht="14" customHeight="1" x14ac:dyDescent="0.35"/>
    <row r="3505" spans="1:12" ht="37" customHeight="1" x14ac:dyDescent="0.35">
      <c r="B3505" s="76" t="s">
        <v>859</v>
      </c>
      <c r="C3505" s="458" t="s">
        <v>860</v>
      </c>
      <c r="D3505" s="459"/>
      <c r="E3505" s="459"/>
      <c r="F3505" s="459"/>
      <c r="G3505" s="456"/>
      <c r="H3505" s="457"/>
      <c r="I3505" s="455" t="s">
        <v>3</v>
      </c>
      <c r="J3505" s="455"/>
      <c r="K3505" s="455" t="s">
        <v>4</v>
      </c>
      <c r="L3505" s="455"/>
    </row>
    <row r="3506" spans="1:12" ht="12" customHeight="1" x14ac:dyDescent="0.35">
      <c r="B3506" s="451" t="s">
        <v>409</v>
      </c>
      <c r="C3506" s="451" t="s">
        <v>410</v>
      </c>
      <c r="D3506" s="452" t="s">
        <v>411</v>
      </c>
      <c r="E3506" s="451" t="s">
        <v>412</v>
      </c>
      <c r="F3506" s="451" t="s">
        <v>413</v>
      </c>
      <c r="G3506" s="77" t="s">
        <v>414</v>
      </c>
      <c r="H3506" s="77" t="s">
        <v>415</v>
      </c>
      <c r="I3506" s="78" t="s">
        <v>414</v>
      </c>
      <c r="J3506" s="79" t="s">
        <v>415</v>
      </c>
      <c r="K3506" s="79" t="s">
        <v>414</v>
      </c>
      <c r="L3506" s="79" t="s">
        <v>415</v>
      </c>
    </row>
    <row r="3507" spans="1:12" ht="12" customHeight="1" x14ac:dyDescent="0.35">
      <c r="B3507" s="451"/>
      <c r="C3507" s="451"/>
      <c r="D3507" s="453"/>
      <c r="E3507" s="451"/>
      <c r="F3507" s="451"/>
      <c r="G3507" s="77" t="s">
        <v>17</v>
      </c>
      <c r="H3507" s="77" t="s">
        <v>416</v>
      </c>
      <c r="I3507" s="78" t="s">
        <v>17</v>
      </c>
      <c r="J3507" s="79" t="s">
        <v>416</v>
      </c>
      <c r="K3507" s="79" t="s">
        <v>17</v>
      </c>
      <c r="L3507" s="79" t="s">
        <v>416</v>
      </c>
    </row>
    <row r="3508" spans="1:12" ht="12" customHeight="1" x14ac:dyDescent="0.35">
      <c r="B3508" s="451"/>
      <c r="C3508" s="451"/>
      <c r="D3508" s="454"/>
      <c r="E3508" s="451"/>
      <c r="F3508" s="451"/>
      <c r="G3508" s="106"/>
      <c r="H3508" s="77" t="s">
        <v>17</v>
      </c>
      <c r="I3508" s="94"/>
      <c r="J3508" s="79" t="s">
        <v>17</v>
      </c>
      <c r="K3508" s="85"/>
      <c r="L3508" s="79" t="s">
        <v>17</v>
      </c>
    </row>
    <row r="3509" spans="1:12" ht="12" customHeight="1" x14ac:dyDescent="0.35">
      <c r="B3509" s="80" t="s">
        <v>5</v>
      </c>
      <c r="C3509" s="81" t="s">
        <v>417</v>
      </c>
      <c r="D3509" s="82"/>
      <c r="E3509" s="82"/>
      <c r="F3509" s="82"/>
      <c r="G3509" s="82"/>
      <c r="H3509" s="82"/>
      <c r="I3509" s="83"/>
      <c r="J3509" s="83"/>
      <c r="K3509" s="83"/>
      <c r="L3509" s="83"/>
    </row>
    <row r="3510" spans="1:12" ht="12" customHeight="1" x14ac:dyDescent="0.35">
      <c r="A3510" s="134">
        <v>10130000</v>
      </c>
      <c r="B3510" s="84"/>
      <c r="C3510" s="85" t="str">
        <f>VLOOKUP(A3510,'DAFTAR HARGA'!A:D,3,FALSE)</f>
        <v>OH</v>
      </c>
      <c r="D3510" s="84" t="s">
        <v>418</v>
      </c>
      <c r="E3510" s="84">
        <f>VLOOKUP(A3510,'DAFTAR HARGA'!A:D,4,FALSE)</f>
        <v>115000</v>
      </c>
      <c r="F3510" s="128">
        <v>0.06</v>
      </c>
      <c r="G3510" s="87" t="e">
        <f>VLOOKUP(A3510,'DAFTAR HARGA'!A:D,5,FALSE)</f>
        <v>#REF!</v>
      </c>
      <c r="H3510" s="87" t="e">
        <f>F3510*G3510</f>
        <v>#REF!</v>
      </c>
      <c r="I3510" s="87">
        <v>91500</v>
      </c>
      <c r="J3510" s="87">
        <f>F3510*I3510</f>
        <v>5490</v>
      </c>
      <c r="K3510" s="87">
        <v>91500</v>
      </c>
      <c r="L3510" s="87">
        <f>F3510*K3510</f>
        <v>5490</v>
      </c>
    </row>
    <row r="3511" spans="1:12" ht="12" customHeight="1" x14ac:dyDescent="0.35">
      <c r="A3511" s="134">
        <v>10144000</v>
      </c>
      <c r="B3511" s="84"/>
      <c r="C3511" s="85" t="str">
        <f>VLOOKUP(A3511,'DAFTAR HARGA'!A:D,3,FALSE)</f>
        <v>OH</v>
      </c>
      <c r="D3511" s="84" t="s">
        <v>418</v>
      </c>
      <c r="E3511" s="84">
        <f>VLOOKUP(A3511,'DAFTAR HARGA'!A:D,4,FALSE)</f>
        <v>236600</v>
      </c>
      <c r="F3511" s="128">
        <v>0.03</v>
      </c>
      <c r="G3511" s="87" t="e">
        <f>VLOOKUP(A3511,'DAFTAR HARGA'!A:D,5,FALSE)</f>
        <v>#REF!</v>
      </c>
      <c r="H3511" s="87" t="e">
        <f>F3511*G3511</f>
        <v>#REF!</v>
      </c>
      <c r="I3511" s="87"/>
      <c r="J3511" s="87"/>
      <c r="K3511" s="87"/>
      <c r="L3511" s="87"/>
    </row>
    <row r="3512" spans="1:12" ht="12" customHeight="1" x14ac:dyDescent="0.35">
      <c r="A3512" s="134">
        <v>10110000</v>
      </c>
      <c r="B3512" s="84"/>
      <c r="C3512" s="85" t="str">
        <f>VLOOKUP(A3512,'DAFTAR HARGA'!A:D,3,FALSE)</f>
        <v>OH</v>
      </c>
      <c r="D3512" s="84" t="s">
        <v>418</v>
      </c>
      <c r="E3512" s="84">
        <f>VLOOKUP(A3512,'DAFTAR HARGA'!A:D,4,FALSE)</f>
        <v>150000</v>
      </c>
      <c r="F3512" s="128">
        <f>F3510/10</f>
        <v>6.0000000000000001E-3</v>
      </c>
      <c r="G3512" s="87" t="e">
        <f>VLOOKUP(A3512,'DAFTAR HARGA'!A:D,5,FALSE)</f>
        <v>#REF!</v>
      </c>
      <c r="H3512" s="87" t="e">
        <f>F3512*G3512</f>
        <v>#REF!</v>
      </c>
      <c r="I3512" s="87">
        <v>92500</v>
      </c>
      <c r="J3512" s="87">
        <f>F3512*I3512</f>
        <v>555</v>
      </c>
      <c r="K3512" s="87">
        <v>92500</v>
      </c>
      <c r="L3512" s="87">
        <f>F3512*K3512</f>
        <v>555</v>
      </c>
    </row>
    <row r="3513" spans="1:12" ht="12" customHeight="1" x14ac:dyDescent="0.35">
      <c r="B3513" s="84"/>
      <c r="C3513" s="85"/>
      <c r="D3513" s="84"/>
      <c r="E3513" s="84"/>
      <c r="F3513" s="86"/>
      <c r="G3513" s="87"/>
      <c r="H3513" s="87"/>
      <c r="I3513" s="87"/>
      <c r="J3513" s="87"/>
      <c r="K3513" s="87"/>
      <c r="L3513" s="87"/>
    </row>
    <row r="3514" spans="1:12" ht="12" customHeight="1" x14ac:dyDescent="0.35">
      <c r="B3514" s="84"/>
      <c r="C3514" s="88"/>
      <c r="D3514" s="79"/>
      <c r="E3514" s="79"/>
      <c r="F3514" s="89" t="s">
        <v>421</v>
      </c>
      <c r="G3514" s="101"/>
      <c r="H3514" s="87" t="e">
        <f>SUM(H3510:H3513)</f>
        <v>#REF!</v>
      </c>
      <c r="I3514" s="101"/>
      <c r="J3514" s="87">
        <f>SUM(J3512:J3513)</f>
        <v>555</v>
      </c>
      <c r="K3514" s="101"/>
      <c r="L3514" s="87">
        <f>SUM(L3512:L3513)</f>
        <v>555</v>
      </c>
    </row>
    <row r="3515" spans="1:12" ht="12" customHeight="1" x14ac:dyDescent="0.35">
      <c r="B3515" s="84" t="s">
        <v>6</v>
      </c>
      <c r="C3515" s="88" t="s">
        <v>422</v>
      </c>
      <c r="D3515" s="79"/>
      <c r="E3515" s="79"/>
      <c r="F3515" s="90"/>
      <c r="G3515" s="84"/>
      <c r="H3515" s="87"/>
      <c r="I3515" s="84"/>
      <c r="J3515" s="87"/>
      <c r="K3515" s="84"/>
      <c r="L3515" s="87"/>
    </row>
    <row r="3516" spans="1:12" x14ac:dyDescent="0.35">
      <c r="A3516" s="134">
        <v>21904003</v>
      </c>
      <c r="B3516" s="84"/>
      <c r="C3516" s="85" t="str">
        <f>VLOOKUP(A3516,'DAFTAR HARGA'!A:D,3,FALSE)</f>
        <v>kg</v>
      </c>
      <c r="D3516" s="84" t="s">
        <v>418</v>
      </c>
      <c r="E3516" s="84">
        <f>VLOOKUP(A3516,'DAFTAR HARGA'!A:D,4,FALSE)</f>
        <v>13500</v>
      </c>
      <c r="F3516" s="128">
        <v>15.382999999999999</v>
      </c>
      <c r="G3516" s="87" t="e">
        <f>VLOOKUP(A3516,'DAFTAR HARGA'!A:D,5,FALSE)</f>
        <v>#REF!</v>
      </c>
      <c r="H3516" s="87" t="e">
        <f>F3516*G3516</f>
        <v>#REF!</v>
      </c>
      <c r="I3516" s="87"/>
      <c r="J3516" s="87"/>
      <c r="K3516" s="87"/>
      <c r="L3516" s="87"/>
    </row>
    <row r="3517" spans="1:12" x14ac:dyDescent="0.35">
      <c r="A3517" s="134">
        <v>21912050</v>
      </c>
      <c r="B3517" s="84"/>
      <c r="C3517" s="85" t="str">
        <f>VLOOKUP(A3517,'DAFTAR HARGA'!A:D,3,FALSE)</f>
        <v>buah</v>
      </c>
      <c r="D3517" s="84" t="s">
        <v>418</v>
      </c>
      <c r="E3517" s="84">
        <f>VLOOKUP(A3517,'DAFTAR HARGA'!A:D,4,FALSE)</f>
        <v>300</v>
      </c>
      <c r="F3517" s="128">
        <v>8</v>
      </c>
      <c r="G3517" s="87" t="e">
        <f>VLOOKUP(A3517,'DAFTAR HARGA'!A:D,5,FALSE)</f>
        <v>#REF!</v>
      </c>
      <c r="H3517" s="87" t="e">
        <f>F3517*G3517</f>
        <v>#REF!</v>
      </c>
      <c r="I3517" s="87"/>
      <c r="J3517" s="87"/>
      <c r="K3517" s="87"/>
      <c r="L3517" s="87"/>
    </row>
    <row r="3518" spans="1:12" x14ac:dyDescent="0.35">
      <c r="B3518" s="84"/>
      <c r="C3518" s="85"/>
      <c r="D3518" s="84"/>
      <c r="E3518" s="84"/>
      <c r="F3518" s="128"/>
      <c r="G3518" s="87"/>
      <c r="H3518" s="87">
        <f>F3518*G3518</f>
        <v>0</v>
      </c>
      <c r="I3518" s="87"/>
      <c r="J3518" s="87"/>
      <c r="K3518" s="87"/>
      <c r="L3518" s="87"/>
    </row>
    <row r="3519" spans="1:12" ht="12" customHeight="1" x14ac:dyDescent="0.35">
      <c r="B3519" s="84"/>
      <c r="C3519" s="88"/>
      <c r="D3519" s="79"/>
      <c r="E3519" s="79"/>
      <c r="F3519" s="129" t="s">
        <v>423</v>
      </c>
      <c r="G3519" s="129"/>
      <c r="H3519" s="87" t="e">
        <f>SUM(H3516:H3518)</f>
        <v>#REF!</v>
      </c>
      <c r="I3519" s="101"/>
      <c r="J3519" s="87" t="e">
        <f>SUM(#REF!)</f>
        <v>#REF!</v>
      </c>
      <c r="K3519" s="101"/>
      <c r="L3519" s="87" t="e">
        <f>SUM(#REF!)</f>
        <v>#REF!</v>
      </c>
    </row>
    <row r="3520" spans="1:12" ht="12" customHeight="1" x14ac:dyDescent="0.35">
      <c r="B3520" s="84" t="s">
        <v>7</v>
      </c>
      <c r="C3520" s="88" t="s">
        <v>424</v>
      </c>
      <c r="D3520" s="79"/>
      <c r="E3520" s="79"/>
      <c r="F3520" s="90"/>
      <c r="G3520" s="84"/>
      <c r="H3520" s="87"/>
      <c r="I3520" s="84"/>
      <c r="J3520" s="87"/>
      <c r="K3520" s="84"/>
      <c r="L3520" s="87"/>
    </row>
    <row r="3521" spans="1:12" ht="12" customHeight="1" x14ac:dyDescent="0.35">
      <c r="B3521" s="84"/>
      <c r="C3521" s="85"/>
      <c r="D3521" s="84"/>
      <c r="E3521" s="84"/>
      <c r="F3521" s="128"/>
      <c r="G3521" s="87"/>
      <c r="H3521" s="87">
        <f>F3521*G3521</f>
        <v>0</v>
      </c>
      <c r="I3521" s="87"/>
      <c r="J3521" s="87">
        <f>H3521*I3521</f>
        <v>0</v>
      </c>
      <c r="K3521" s="87"/>
      <c r="L3521" s="87">
        <f>J3521*K3521</f>
        <v>0</v>
      </c>
    </row>
    <row r="3522" spans="1:12" ht="12" customHeight="1" x14ac:dyDescent="0.35">
      <c r="B3522" s="84"/>
      <c r="C3522" s="85"/>
      <c r="D3522" s="84"/>
      <c r="E3522" s="84"/>
      <c r="F3522" s="128"/>
      <c r="G3522" s="87"/>
      <c r="H3522" s="87">
        <f>F3522*G3522</f>
        <v>0</v>
      </c>
      <c r="I3522" s="87"/>
      <c r="J3522" s="87"/>
      <c r="K3522" s="87"/>
      <c r="L3522" s="87"/>
    </row>
    <row r="3523" spans="1:12" ht="12" customHeight="1" x14ac:dyDescent="0.35">
      <c r="B3523" s="84"/>
      <c r="C3523" s="85"/>
      <c r="D3523" s="84"/>
      <c r="E3523" s="84"/>
      <c r="F3523" s="128"/>
      <c r="G3523" s="87"/>
      <c r="H3523" s="87">
        <f>F3523*G3523</f>
        <v>0</v>
      </c>
      <c r="I3523" s="87"/>
      <c r="J3523" s="87"/>
      <c r="K3523" s="87"/>
      <c r="L3523" s="87"/>
    </row>
    <row r="3524" spans="1:12" ht="12" customHeight="1" x14ac:dyDescent="0.35">
      <c r="B3524" s="84"/>
      <c r="C3524" s="88"/>
      <c r="D3524" s="79"/>
      <c r="E3524" s="79"/>
      <c r="F3524" s="89" t="s">
        <v>425</v>
      </c>
      <c r="G3524" s="101"/>
      <c r="H3524" s="87">
        <f>SUM(H3521:H3523)</f>
        <v>0</v>
      </c>
      <c r="I3524" s="101"/>
      <c r="J3524" s="87">
        <f>SUM(J3521)</f>
        <v>0</v>
      </c>
      <c r="K3524" s="101"/>
      <c r="L3524" s="87">
        <f>SUM(L3521)</f>
        <v>0</v>
      </c>
    </row>
    <row r="3525" spans="1:12" ht="12" customHeight="1" x14ac:dyDescent="0.35">
      <c r="B3525" s="84" t="s">
        <v>8</v>
      </c>
      <c r="C3525" s="103" t="s">
        <v>426</v>
      </c>
      <c r="D3525" s="104"/>
      <c r="E3525" s="104"/>
      <c r="F3525" s="104"/>
      <c r="G3525" s="105"/>
      <c r="H3525" s="87" t="e">
        <f>H3514+H3519+H3524</f>
        <v>#REF!</v>
      </c>
      <c r="I3525" s="105"/>
      <c r="J3525" s="87" t="e">
        <f>J3514+J3519+J3524</f>
        <v>#REF!</v>
      </c>
      <c r="K3525" s="105"/>
      <c r="L3525" s="87" t="e">
        <f>L3514+L3519+L3524</f>
        <v>#REF!</v>
      </c>
    </row>
    <row r="3526" spans="1:12" ht="12" customHeight="1" x14ac:dyDescent="0.35">
      <c r="B3526" s="84" t="s">
        <v>9</v>
      </c>
      <c r="C3526" s="455" t="s">
        <v>427</v>
      </c>
      <c r="D3526" s="455"/>
      <c r="E3526" s="455"/>
      <c r="F3526" s="95" t="str">
        <f>OP</f>
        <v>TANJUNG PALAS TENGAH</v>
      </c>
      <c r="G3526" s="85" t="s">
        <v>428</v>
      </c>
      <c r="H3526" s="87" t="e">
        <f>H3525*F3526</f>
        <v>#REF!</v>
      </c>
      <c r="I3526" s="85" t="s">
        <v>428</v>
      </c>
      <c r="J3526" s="87" t="e">
        <f>J3525*F3526</f>
        <v>#REF!</v>
      </c>
      <c r="K3526" s="85" t="s">
        <v>428</v>
      </c>
      <c r="L3526" s="87" t="e">
        <f>L3525*F3526</f>
        <v>#REF!</v>
      </c>
    </row>
    <row r="3527" spans="1:12" ht="12" customHeight="1" x14ac:dyDescent="0.35">
      <c r="B3527" s="84" t="s">
        <v>10</v>
      </c>
      <c r="C3527" s="103" t="s">
        <v>429</v>
      </c>
      <c r="D3527" s="104"/>
      <c r="E3527" s="104"/>
      <c r="F3527" s="104"/>
      <c r="G3527" s="105"/>
      <c r="H3527" s="96" t="e">
        <f>H3525+H3526</f>
        <v>#REF!</v>
      </c>
      <c r="I3527" s="97"/>
      <c r="J3527" s="96" t="e">
        <f>J3525+J3526</f>
        <v>#REF!</v>
      </c>
      <c r="K3527" s="97"/>
      <c r="L3527" s="96" t="e">
        <f>L3525+L3526</f>
        <v>#REF!</v>
      </c>
    </row>
    <row r="3528" spans="1:12" x14ac:dyDescent="0.35">
      <c r="B3528" s="75" t="s">
        <v>806</v>
      </c>
    </row>
    <row r="3529" spans="1:12" x14ac:dyDescent="0.35">
      <c r="B3529" s="75" t="s">
        <v>858</v>
      </c>
    </row>
    <row r="3530" spans="1:12" ht="14" customHeight="1" x14ac:dyDescent="0.35"/>
    <row r="3531" spans="1:12" ht="37" customHeight="1" x14ac:dyDescent="0.35">
      <c r="B3531" s="76" t="s">
        <v>862</v>
      </c>
      <c r="C3531" s="458" t="s">
        <v>863</v>
      </c>
      <c r="D3531" s="459"/>
      <c r="E3531" s="459"/>
      <c r="F3531" s="459"/>
      <c r="G3531" s="456"/>
      <c r="H3531" s="457"/>
      <c r="I3531" s="455" t="s">
        <v>3</v>
      </c>
      <c r="J3531" s="455"/>
      <c r="K3531" s="455" t="s">
        <v>4</v>
      </c>
      <c r="L3531" s="455"/>
    </row>
    <row r="3532" spans="1:12" ht="12" customHeight="1" x14ac:dyDescent="0.35">
      <c r="B3532" s="451" t="s">
        <v>409</v>
      </c>
      <c r="C3532" s="451" t="s">
        <v>410</v>
      </c>
      <c r="D3532" s="452" t="s">
        <v>411</v>
      </c>
      <c r="E3532" s="451" t="s">
        <v>412</v>
      </c>
      <c r="F3532" s="451" t="s">
        <v>413</v>
      </c>
      <c r="G3532" s="77" t="s">
        <v>414</v>
      </c>
      <c r="H3532" s="77" t="s">
        <v>415</v>
      </c>
      <c r="I3532" s="78" t="s">
        <v>414</v>
      </c>
      <c r="J3532" s="79" t="s">
        <v>415</v>
      </c>
      <c r="K3532" s="79" t="s">
        <v>414</v>
      </c>
      <c r="L3532" s="79" t="s">
        <v>415</v>
      </c>
    </row>
    <row r="3533" spans="1:12" ht="12" customHeight="1" x14ac:dyDescent="0.35">
      <c r="B3533" s="451"/>
      <c r="C3533" s="451"/>
      <c r="D3533" s="453"/>
      <c r="E3533" s="451"/>
      <c r="F3533" s="451"/>
      <c r="G3533" s="77" t="s">
        <v>17</v>
      </c>
      <c r="H3533" s="77" t="s">
        <v>416</v>
      </c>
      <c r="I3533" s="78" t="s">
        <v>17</v>
      </c>
      <c r="J3533" s="79" t="s">
        <v>416</v>
      </c>
      <c r="K3533" s="79" t="s">
        <v>17</v>
      </c>
      <c r="L3533" s="79" t="s">
        <v>416</v>
      </c>
    </row>
    <row r="3534" spans="1:12" ht="12" customHeight="1" x14ac:dyDescent="0.35">
      <c r="B3534" s="451"/>
      <c r="C3534" s="451"/>
      <c r="D3534" s="454"/>
      <c r="E3534" s="451"/>
      <c r="F3534" s="451"/>
      <c r="G3534" s="106"/>
      <c r="H3534" s="77" t="s">
        <v>17</v>
      </c>
      <c r="I3534" s="94"/>
      <c r="J3534" s="79" t="s">
        <v>17</v>
      </c>
      <c r="K3534" s="85"/>
      <c r="L3534" s="79" t="s">
        <v>17</v>
      </c>
    </row>
    <row r="3535" spans="1:12" ht="12" customHeight="1" x14ac:dyDescent="0.35">
      <c r="B3535" s="80" t="s">
        <v>5</v>
      </c>
      <c r="C3535" s="81" t="s">
        <v>417</v>
      </c>
      <c r="D3535" s="82"/>
      <c r="E3535" s="82"/>
      <c r="F3535" s="82"/>
      <c r="G3535" s="82"/>
      <c r="H3535" s="82"/>
      <c r="I3535" s="83"/>
      <c r="J3535" s="83"/>
      <c r="K3535" s="83"/>
      <c r="L3535" s="83"/>
    </row>
    <row r="3536" spans="1:12" ht="12" customHeight="1" x14ac:dyDescent="0.35">
      <c r="A3536" s="134">
        <v>10130000</v>
      </c>
      <c r="B3536" s="84"/>
      <c r="C3536" s="85" t="str">
        <f>VLOOKUP(A3536,'DAFTAR HARGA'!A:D,3,FALSE)</f>
        <v>OH</v>
      </c>
      <c r="D3536" s="84" t="s">
        <v>418</v>
      </c>
      <c r="E3536" s="84">
        <f>VLOOKUP(A3536,'DAFTAR HARGA'!A:D,4,FALSE)</f>
        <v>115000</v>
      </c>
      <c r="F3536" s="128">
        <v>0.62</v>
      </c>
      <c r="G3536" s="87" t="e">
        <f>VLOOKUP(A3536,'DAFTAR HARGA'!A:D,5,FALSE)</f>
        <v>#REF!</v>
      </c>
      <c r="H3536" s="87" t="e">
        <f>F3536*G3536</f>
        <v>#REF!</v>
      </c>
      <c r="I3536" s="87">
        <v>91500</v>
      </c>
      <c r="J3536" s="87">
        <f>F3536*I3536</f>
        <v>56730</v>
      </c>
      <c r="K3536" s="87">
        <v>91500</v>
      </c>
      <c r="L3536" s="87">
        <f>F3536*K3536</f>
        <v>56730</v>
      </c>
    </row>
    <row r="3537" spans="1:13" ht="12" customHeight="1" x14ac:dyDescent="0.35">
      <c r="A3537" s="134">
        <v>10146000</v>
      </c>
      <c r="B3537" s="84"/>
      <c r="C3537" s="85" t="str">
        <f>VLOOKUP(A3537,'DAFTAR HARGA'!A:D,3,FALSE)</f>
        <v>OH</v>
      </c>
      <c r="D3537" s="84" t="s">
        <v>418</v>
      </c>
      <c r="E3537" s="84">
        <f>VLOOKUP(A3537,'DAFTAR HARGA'!A:D,4,FALSE)</f>
        <v>236600</v>
      </c>
      <c r="F3537" s="128">
        <v>0.31</v>
      </c>
      <c r="G3537" s="87" t="e">
        <f>VLOOKUP(A3537,'DAFTAR HARGA'!A:D,5,FALSE)</f>
        <v>#REF!</v>
      </c>
      <c r="H3537" s="87" t="e">
        <f>F3537*G3537</f>
        <v>#REF!</v>
      </c>
      <c r="I3537" s="87"/>
      <c r="J3537" s="87"/>
      <c r="K3537" s="87"/>
      <c r="L3537" s="87"/>
    </row>
    <row r="3538" spans="1:13" ht="12" customHeight="1" x14ac:dyDescent="0.35">
      <c r="A3538" s="134">
        <v>10120000</v>
      </c>
      <c r="B3538" s="84"/>
      <c r="C3538" s="85" t="str">
        <f>VLOOKUP(A3538,'DAFTAR HARGA'!A:D,3,FALSE)</f>
        <v>OH</v>
      </c>
      <c r="D3538" s="84" t="s">
        <v>418</v>
      </c>
      <c r="E3538" s="84">
        <f>VLOOKUP(A3538,'DAFTAR HARGA'!A:D,4,FALSE)</f>
        <v>130000</v>
      </c>
      <c r="F3538" s="128">
        <v>3.1E-2</v>
      </c>
      <c r="G3538" s="87" t="e">
        <f>VLOOKUP(A3538,'DAFTAR HARGA'!A:D,5,FALSE)</f>
        <v>#REF!</v>
      </c>
      <c r="H3538" s="87" t="e">
        <f>F3538*G3538</f>
        <v>#REF!</v>
      </c>
      <c r="I3538" s="87"/>
      <c r="J3538" s="87"/>
      <c r="K3538" s="87"/>
      <c r="L3538" s="87"/>
    </row>
    <row r="3539" spans="1:13" ht="12" customHeight="1" x14ac:dyDescent="0.35">
      <c r="A3539" s="134">
        <v>10110000</v>
      </c>
      <c r="B3539" s="84"/>
      <c r="C3539" s="85" t="str">
        <f>VLOOKUP(A3539,'DAFTAR HARGA'!A:D,3,FALSE)</f>
        <v>OH</v>
      </c>
      <c r="D3539" s="84" t="s">
        <v>418</v>
      </c>
      <c r="E3539" s="84">
        <f>VLOOKUP(A3539,'DAFTAR HARGA'!A:D,4,FALSE)</f>
        <v>150000</v>
      </c>
      <c r="F3539" s="128">
        <f>F3536/10</f>
        <v>6.2E-2</v>
      </c>
      <c r="G3539" s="87" t="e">
        <f>VLOOKUP(A3539,'DAFTAR HARGA'!A:D,5,FALSE)</f>
        <v>#REF!</v>
      </c>
      <c r="H3539" s="87" t="e">
        <f>F3539*G3539</f>
        <v>#REF!</v>
      </c>
      <c r="I3539" s="87">
        <v>92500</v>
      </c>
      <c r="J3539" s="87">
        <f>F3539*I3539</f>
        <v>5735</v>
      </c>
      <c r="K3539" s="87">
        <v>92500</v>
      </c>
      <c r="L3539" s="87">
        <f>F3539*K3539</f>
        <v>5735</v>
      </c>
    </row>
    <row r="3540" spans="1:13" ht="12" customHeight="1" x14ac:dyDescent="0.35">
      <c r="B3540" s="84"/>
      <c r="C3540" s="85"/>
      <c r="D3540" s="84"/>
      <c r="E3540" s="84"/>
      <c r="F3540" s="86"/>
      <c r="G3540" s="87"/>
      <c r="H3540" s="87"/>
      <c r="I3540" s="87"/>
      <c r="J3540" s="87"/>
      <c r="K3540" s="87"/>
      <c r="L3540" s="87"/>
    </row>
    <row r="3541" spans="1:13" ht="12" customHeight="1" x14ac:dyDescent="0.35">
      <c r="B3541" s="84"/>
      <c r="C3541" s="88"/>
      <c r="D3541" s="79"/>
      <c r="E3541" s="79"/>
      <c r="F3541" s="89" t="s">
        <v>421</v>
      </c>
      <c r="G3541" s="101"/>
      <c r="H3541" s="87" t="e">
        <f>SUM(H3536:H3540)</f>
        <v>#REF!</v>
      </c>
      <c r="I3541" s="101"/>
      <c r="J3541" s="87">
        <f>SUM(J3539:J3540)</f>
        <v>5735</v>
      </c>
      <c r="K3541" s="101"/>
      <c r="L3541" s="87">
        <f>SUM(L3539:L3540)</f>
        <v>5735</v>
      </c>
    </row>
    <row r="3542" spans="1:13" ht="12" customHeight="1" x14ac:dyDescent="0.35">
      <c r="B3542" s="84" t="s">
        <v>6</v>
      </c>
      <c r="C3542" s="88" t="s">
        <v>422</v>
      </c>
      <c r="D3542" s="79"/>
      <c r="E3542" s="79"/>
      <c r="F3542" s="90"/>
      <c r="G3542" s="84"/>
      <c r="H3542" s="87"/>
      <c r="I3542" s="84"/>
      <c r="J3542" s="87"/>
      <c r="K3542" s="84"/>
      <c r="L3542" s="87"/>
    </row>
    <row r="3543" spans="1:13" x14ac:dyDescent="0.35">
      <c r="A3543" s="134">
        <v>21901000</v>
      </c>
      <c r="B3543" s="84"/>
      <c r="C3543" s="85" t="str">
        <f>VLOOKUP(A3543,'DAFTAR HARGA'!A:D,3,FALSE)</f>
        <v>Kg</v>
      </c>
      <c r="D3543" s="84" t="s">
        <v>418</v>
      </c>
      <c r="E3543" s="84">
        <f>VLOOKUP(A3543,'DAFTAR HARGA'!A:D,4,FALSE)</f>
        <v>12200</v>
      </c>
      <c r="F3543" s="128">
        <v>8.82</v>
      </c>
      <c r="G3543" s="87" t="e">
        <f>VLOOKUP(A3543,'DAFTAR HARGA'!A:D,5,FALSE)</f>
        <v>#REF!</v>
      </c>
      <c r="H3543" s="87" t="e">
        <f>F3543*G3543</f>
        <v>#REF!</v>
      </c>
      <c r="I3543" s="87"/>
      <c r="J3543" s="87"/>
      <c r="K3543" s="87"/>
      <c r="L3543" s="87"/>
    </row>
    <row r="3544" spans="1:13" x14ac:dyDescent="0.35">
      <c r="A3544" s="134">
        <v>23100103</v>
      </c>
      <c r="B3544" s="84"/>
      <c r="C3544" s="85" t="str">
        <f>VLOOKUP(A3544,'DAFTAR HARGA'!A:D,3,FALSE)</f>
        <v>kg</v>
      </c>
      <c r="D3544" s="84" t="s">
        <v>418</v>
      </c>
      <c r="E3544" s="84">
        <f>VLOOKUP(A3544,'DAFTAR HARGA'!A:D,4,FALSE)</f>
        <v>35000</v>
      </c>
      <c r="F3544" s="128">
        <v>1.96</v>
      </c>
      <c r="G3544" s="87" t="e">
        <f>VLOOKUP(A3544,'DAFTAR HARGA'!A:D,5,FALSE)</f>
        <v>#REF!</v>
      </c>
      <c r="H3544" s="87" t="e">
        <f>F3544*G3544</f>
        <v>#REF!</v>
      </c>
      <c r="I3544" s="87"/>
      <c r="J3544" s="87"/>
      <c r="K3544" s="87"/>
      <c r="L3544" s="87"/>
    </row>
    <row r="3545" spans="1:13" ht="26" x14ac:dyDescent="0.35">
      <c r="A3545" s="134">
        <v>22101018</v>
      </c>
      <c r="B3545" s="84"/>
      <c r="C3545" s="85" t="str">
        <f>VLOOKUP(A3545,'DAFTAR HARGA'!A:D,3,FALSE)</f>
        <v>m3</v>
      </c>
      <c r="D3545" s="84" t="s">
        <v>418</v>
      </c>
      <c r="E3545" s="84">
        <f>VLOOKUP(A3545,'DAFTAR HARGA'!A:D,4,FALSE)</f>
        <v>810000</v>
      </c>
      <c r="F3545" s="128">
        <v>8.7999999999999995E-2</v>
      </c>
      <c r="G3545" s="87" t="e">
        <f>VLOOKUP(A3545,'DAFTAR HARGA'!A:D,5,FALSE)</f>
        <v>#REF!</v>
      </c>
      <c r="H3545" s="87" t="e">
        <f>F3545*G3545</f>
        <v>#REF!</v>
      </c>
      <c r="I3545" s="87"/>
      <c r="J3545" s="87"/>
      <c r="K3545" s="87"/>
      <c r="L3545" s="87"/>
    </row>
    <row r="3546" spans="1:13" ht="39" x14ac:dyDescent="0.35">
      <c r="A3546" s="134">
        <v>91112019</v>
      </c>
      <c r="B3546" s="84"/>
      <c r="C3546" s="85" t="str">
        <f>VLOOKUP(A3546,'DAFTAR HARGA'!A:D,3,FALSE)</f>
        <v>m3</v>
      </c>
      <c r="D3546" s="84" t="s">
        <v>418</v>
      </c>
      <c r="E3546" s="84" t="e">
        <f>VLOOKUP(A3546,'DAFTAR HARGA'!A:D,4,FALSE)</f>
        <v>#REF!</v>
      </c>
      <c r="F3546" s="128">
        <v>0.17599999999999999</v>
      </c>
      <c r="G3546" s="87" t="e">
        <f>VLOOKUP(A3546,'DAFTAR HARGA'!A:D,5,FALSE)</f>
        <v>#REF!</v>
      </c>
      <c r="H3546" s="87" t="e">
        <f>F3546*G3546</f>
        <v>#REF!</v>
      </c>
      <c r="I3546" s="87"/>
      <c r="J3546" s="87"/>
      <c r="K3546" s="87"/>
      <c r="L3546" s="87"/>
    </row>
    <row r="3547" spans="1:13" x14ac:dyDescent="0.35">
      <c r="B3547" s="84"/>
      <c r="C3547" s="85"/>
      <c r="D3547" s="84"/>
      <c r="E3547" s="84"/>
      <c r="F3547" s="128"/>
      <c r="G3547" s="87"/>
      <c r="H3547" s="87">
        <f>F3547*G3547</f>
        <v>0</v>
      </c>
      <c r="I3547" s="87"/>
      <c r="J3547" s="87"/>
      <c r="K3547" s="87"/>
      <c r="L3547" s="87"/>
    </row>
    <row r="3548" spans="1:13" ht="12" customHeight="1" x14ac:dyDescent="0.35">
      <c r="B3548" s="84"/>
      <c r="C3548" s="88"/>
      <c r="D3548" s="79"/>
      <c r="E3548" s="79"/>
      <c r="F3548" s="129" t="s">
        <v>423</v>
      </c>
      <c r="G3548" s="129"/>
      <c r="H3548" s="87" t="e">
        <f>SUM(H3543:H3547)</f>
        <v>#REF!</v>
      </c>
      <c r="I3548" s="101"/>
      <c r="J3548" s="87" t="e">
        <f>SUM(#REF!)</f>
        <v>#REF!</v>
      </c>
      <c r="K3548" s="101"/>
      <c r="L3548" s="87" t="e">
        <f>SUM(#REF!)</f>
        <v>#REF!</v>
      </c>
    </row>
    <row r="3549" spans="1:13" ht="12" customHeight="1" x14ac:dyDescent="0.35">
      <c r="B3549" s="84" t="s">
        <v>7</v>
      </c>
      <c r="C3549" s="88" t="s">
        <v>424</v>
      </c>
      <c r="D3549" s="79"/>
      <c r="E3549" s="79"/>
      <c r="F3549" s="90"/>
      <c r="G3549" s="84"/>
      <c r="H3549" s="87"/>
      <c r="I3549" s="84"/>
      <c r="J3549" s="87"/>
      <c r="K3549" s="84"/>
      <c r="L3549" s="87"/>
    </row>
    <row r="3550" spans="1:13" ht="12" customHeight="1" x14ac:dyDescent="0.35">
      <c r="B3550" s="84"/>
      <c r="C3550" s="130" t="e">
        <f>VLOOKUP(A3550,'DAFTAR HARGA'!A:D,3,FALSE)</f>
        <v>#N/A</v>
      </c>
      <c r="D3550" s="131" t="s">
        <v>418</v>
      </c>
      <c r="E3550" s="131" t="e">
        <f>VLOOKUP(A3550,'DAFTAR HARGA'!A:D,4,FALSE)</f>
        <v>#N/A</v>
      </c>
      <c r="F3550" s="132">
        <v>1</v>
      </c>
      <c r="G3550" s="133" t="e">
        <f>VLOOKUP(A3550,'DAFTAR HARGA'!A:D,5,FALSE)</f>
        <v>#N/A</v>
      </c>
      <c r="H3550" s="133"/>
      <c r="I3550" s="87"/>
      <c r="J3550" s="87">
        <f>H3550*I3550</f>
        <v>0</v>
      </c>
      <c r="K3550" s="87"/>
      <c r="L3550" s="87">
        <f>J3550*K3550</f>
        <v>0</v>
      </c>
      <c r="M3550" s="75" t="s">
        <v>872</v>
      </c>
    </row>
    <row r="3551" spans="1:13" ht="12" customHeight="1" x14ac:dyDescent="0.35">
      <c r="A3551" s="134">
        <v>31230001</v>
      </c>
      <c r="B3551" s="84"/>
      <c r="C3551" s="85" t="str">
        <f>VLOOKUP(A3551,'DAFTAR HARGA'!A:D,3,FALSE)</f>
        <v>hari</v>
      </c>
      <c r="D3551" s="84" t="s">
        <v>418</v>
      </c>
      <c r="E3551" s="84">
        <f>VLOOKUP(A3551,'DAFTAR HARGA'!A:D,4,FALSE)</f>
        <v>15000</v>
      </c>
      <c r="F3551" s="128">
        <v>0.441</v>
      </c>
      <c r="G3551" s="87" t="e">
        <f>VLOOKUP(A3551,'DAFTAR HARGA'!A:D,5,FALSE)</f>
        <v>#REF!</v>
      </c>
      <c r="H3551" s="87" t="e">
        <f>F3551*G3551</f>
        <v>#REF!</v>
      </c>
      <c r="I3551" s="87"/>
      <c r="J3551" s="87"/>
      <c r="K3551" s="87"/>
      <c r="L3551" s="87"/>
    </row>
    <row r="3552" spans="1:13" ht="12" customHeight="1" x14ac:dyDescent="0.35">
      <c r="A3552" s="134">
        <v>31220101</v>
      </c>
      <c r="B3552" s="84"/>
      <c r="C3552" s="85" t="str">
        <f>VLOOKUP(A3552,'DAFTAR HARGA'!A:D,3,FALSE)</f>
        <v>hari</v>
      </c>
      <c r="D3552" s="84" t="s">
        <v>418</v>
      </c>
      <c r="E3552" s="84">
        <f>VLOOKUP(A3552,'DAFTAR HARGA'!A:D,4,FALSE)</f>
        <v>55000</v>
      </c>
      <c r="F3552" s="128">
        <v>0.441</v>
      </c>
      <c r="G3552" s="87" t="e">
        <f>VLOOKUP(A3552,'DAFTAR HARGA'!A:D,5,FALSE)</f>
        <v>#REF!</v>
      </c>
      <c r="H3552" s="87" t="e">
        <f>F3552*G3552</f>
        <v>#REF!</v>
      </c>
      <c r="I3552" s="87"/>
      <c r="J3552" s="87"/>
      <c r="K3552" s="87"/>
      <c r="L3552" s="87"/>
    </row>
    <row r="3553" spans="1:12" ht="12" customHeight="1" x14ac:dyDescent="0.35">
      <c r="B3553" s="84"/>
      <c r="C3553" s="88"/>
      <c r="D3553" s="79"/>
      <c r="E3553" s="79"/>
      <c r="F3553" s="89" t="s">
        <v>425</v>
      </c>
      <c r="G3553" s="101"/>
      <c r="H3553" s="87" t="e">
        <f>SUM(H3550:H3552)</f>
        <v>#REF!</v>
      </c>
      <c r="I3553" s="101"/>
      <c r="J3553" s="87">
        <f>SUM(J3550)</f>
        <v>0</v>
      </c>
      <c r="K3553" s="101"/>
      <c r="L3553" s="87">
        <f>SUM(L3550)</f>
        <v>0</v>
      </c>
    </row>
    <row r="3554" spans="1:12" ht="12" customHeight="1" x14ac:dyDescent="0.35">
      <c r="B3554" s="84" t="s">
        <v>8</v>
      </c>
      <c r="C3554" s="103" t="s">
        <v>426</v>
      </c>
      <c r="D3554" s="104"/>
      <c r="E3554" s="104"/>
      <c r="F3554" s="104"/>
      <c r="G3554" s="105"/>
      <c r="H3554" s="87" t="e">
        <f>H3541+H3548+H3553</f>
        <v>#REF!</v>
      </c>
      <c r="I3554" s="105"/>
      <c r="J3554" s="87" t="e">
        <f>J3541+J3548+J3553</f>
        <v>#REF!</v>
      </c>
      <c r="K3554" s="105"/>
      <c r="L3554" s="87" t="e">
        <f>L3541+L3548+L3553</f>
        <v>#REF!</v>
      </c>
    </row>
    <row r="3555" spans="1:12" ht="12" customHeight="1" x14ac:dyDescent="0.35">
      <c r="B3555" s="84" t="s">
        <v>9</v>
      </c>
      <c r="C3555" s="455" t="s">
        <v>427</v>
      </c>
      <c r="D3555" s="455"/>
      <c r="E3555" s="455"/>
      <c r="F3555" s="95" t="str">
        <f>OP</f>
        <v>TANJUNG PALAS TENGAH</v>
      </c>
      <c r="G3555" s="85" t="s">
        <v>428</v>
      </c>
      <c r="H3555" s="87" t="e">
        <f>H3554*F3555</f>
        <v>#REF!</v>
      </c>
      <c r="I3555" s="85" t="s">
        <v>428</v>
      </c>
      <c r="J3555" s="87" t="e">
        <f>J3554*F3555</f>
        <v>#REF!</v>
      </c>
      <c r="K3555" s="85" t="s">
        <v>428</v>
      </c>
      <c r="L3555" s="87" t="e">
        <f>L3554*F3555</f>
        <v>#REF!</v>
      </c>
    </row>
    <row r="3556" spans="1:12" ht="12" customHeight="1" x14ac:dyDescent="0.35">
      <c r="B3556" s="84" t="s">
        <v>10</v>
      </c>
      <c r="C3556" s="103" t="s">
        <v>429</v>
      </c>
      <c r="D3556" s="104"/>
      <c r="E3556" s="104"/>
      <c r="F3556" s="104"/>
      <c r="G3556" s="105"/>
      <c r="H3556" s="96" t="e">
        <f>H3554+H3555</f>
        <v>#REF!</v>
      </c>
      <c r="I3556" s="97"/>
      <c r="J3556" s="96" t="e">
        <f>J3554+J3555</f>
        <v>#REF!</v>
      </c>
      <c r="K3556" s="97"/>
      <c r="L3556" s="96" t="e">
        <f>L3554+L3555</f>
        <v>#REF!</v>
      </c>
    </row>
    <row r="3557" spans="1:12" ht="14" customHeight="1" x14ac:dyDescent="0.35"/>
    <row r="3558" spans="1:12" ht="37" customHeight="1" x14ac:dyDescent="0.35">
      <c r="B3558" s="76" t="s">
        <v>867</v>
      </c>
      <c r="C3558" s="458" t="s">
        <v>868</v>
      </c>
      <c r="D3558" s="459"/>
      <c r="E3558" s="459"/>
      <c r="F3558" s="459"/>
      <c r="G3558" s="456"/>
      <c r="H3558" s="457"/>
      <c r="I3558" s="455" t="s">
        <v>3</v>
      </c>
      <c r="J3558" s="455"/>
      <c r="K3558" s="455" t="s">
        <v>4</v>
      </c>
      <c r="L3558" s="455"/>
    </row>
    <row r="3559" spans="1:12" ht="12" customHeight="1" x14ac:dyDescent="0.35">
      <c r="B3559" s="451" t="s">
        <v>409</v>
      </c>
      <c r="C3559" s="451" t="s">
        <v>410</v>
      </c>
      <c r="D3559" s="452" t="s">
        <v>411</v>
      </c>
      <c r="E3559" s="451" t="s">
        <v>412</v>
      </c>
      <c r="F3559" s="451" t="s">
        <v>413</v>
      </c>
      <c r="G3559" s="77" t="s">
        <v>414</v>
      </c>
      <c r="H3559" s="77" t="s">
        <v>415</v>
      </c>
      <c r="I3559" s="78" t="s">
        <v>414</v>
      </c>
      <c r="J3559" s="79" t="s">
        <v>415</v>
      </c>
      <c r="K3559" s="79" t="s">
        <v>414</v>
      </c>
      <c r="L3559" s="79" t="s">
        <v>415</v>
      </c>
    </row>
    <row r="3560" spans="1:12" ht="12" customHeight="1" x14ac:dyDescent="0.35">
      <c r="B3560" s="451"/>
      <c r="C3560" s="451"/>
      <c r="D3560" s="453"/>
      <c r="E3560" s="451"/>
      <c r="F3560" s="451"/>
      <c r="G3560" s="77" t="s">
        <v>17</v>
      </c>
      <c r="H3560" s="77" t="s">
        <v>416</v>
      </c>
      <c r="I3560" s="78" t="s">
        <v>17</v>
      </c>
      <c r="J3560" s="79" t="s">
        <v>416</v>
      </c>
      <c r="K3560" s="79" t="s">
        <v>17</v>
      </c>
      <c r="L3560" s="79" t="s">
        <v>416</v>
      </c>
    </row>
    <row r="3561" spans="1:12" ht="12" customHeight="1" x14ac:dyDescent="0.35">
      <c r="B3561" s="451"/>
      <c r="C3561" s="451"/>
      <c r="D3561" s="454"/>
      <c r="E3561" s="451"/>
      <c r="F3561" s="451"/>
      <c r="G3561" s="106"/>
      <c r="H3561" s="77" t="s">
        <v>17</v>
      </c>
      <c r="I3561" s="94"/>
      <c r="J3561" s="79" t="s">
        <v>17</v>
      </c>
      <c r="K3561" s="85"/>
      <c r="L3561" s="79" t="s">
        <v>17</v>
      </c>
    </row>
    <row r="3562" spans="1:12" ht="12" customHeight="1" x14ac:dyDescent="0.35">
      <c r="B3562" s="80" t="s">
        <v>5</v>
      </c>
      <c r="C3562" s="81" t="s">
        <v>417</v>
      </c>
      <c r="D3562" s="82"/>
      <c r="E3562" s="82"/>
      <c r="F3562" s="82"/>
      <c r="G3562" s="82"/>
      <c r="H3562" s="82"/>
      <c r="I3562" s="83"/>
      <c r="J3562" s="83"/>
      <c r="K3562" s="83"/>
      <c r="L3562" s="83"/>
    </row>
    <row r="3563" spans="1:12" ht="12" customHeight="1" x14ac:dyDescent="0.35">
      <c r="A3563" s="134">
        <v>10130000</v>
      </c>
      <c r="B3563" s="84"/>
      <c r="C3563" s="85" t="str">
        <f>VLOOKUP(A3563,'DAFTAR HARGA'!A:D,3,FALSE)</f>
        <v>OH</v>
      </c>
      <c r="D3563" s="84" t="s">
        <v>418</v>
      </c>
      <c r="E3563" s="84">
        <f>VLOOKUP(A3563,'DAFTAR HARGA'!A:D,4,FALSE)</f>
        <v>115000</v>
      </c>
      <c r="F3563" s="128">
        <v>15.4</v>
      </c>
      <c r="G3563" s="87" t="e">
        <f>VLOOKUP(A3563,'DAFTAR HARGA'!A:D,5,FALSE)</f>
        <v>#REF!</v>
      </c>
      <c r="H3563" s="87" t="e">
        <f>F3563*G3563</f>
        <v>#REF!</v>
      </c>
      <c r="I3563" s="87">
        <v>91500</v>
      </c>
      <c r="J3563" s="87">
        <f>F3563*I3563</f>
        <v>1409100</v>
      </c>
      <c r="K3563" s="87">
        <v>91500</v>
      </c>
      <c r="L3563" s="87">
        <f>F3563*K3563</f>
        <v>1409100</v>
      </c>
    </row>
    <row r="3564" spans="1:12" ht="12" customHeight="1" x14ac:dyDescent="0.35">
      <c r="A3564" s="134">
        <v>10146000</v>
      </c>
      <c r="B3564" s="84"/>
      <c r="C3564" s="85" t="str">
        <f>VLOOKUP(A3564,'DAFTAR HARGA'!A:D,3,FALSE)</f>
        <v>OH</v>
      </c>
      <c r="D3564" s="84" t="s">
        <v>418</v>
      </c>
      <c r="E3564" s="84">
        <f>VLOOKUP(A3564,'DAFTAR HARGA'!A:D,4,FALSE)</f>
        <v>236600</v>
      </c>
      <c r="F3564" s="128">
        <v>7.7</v>
      </c>
      <c r="G3564" s="87" t="e">
        <f>VLOOKUP(A3564,'DAFTAR HARGA'!A:D,5,FALSE)</f>
        <v>#REF!</v>
      </c>
      <c r="H3564" s="87" t="e">
        <f>F3564*G3564</f>
        <v>#REF!</v>
      </c>
      <c r="I3564" s="87"/>
      <c r="J3564" s="87"/>
      <c r="K3564" s="87"/>
      <c r="L3564" s="87"/>
    </row>
    <row r="3565" spans="1:12" ht="12" customHeight="1" x14ac:dyDescent="0.35">
      <c r="A3565" s="134">
        <v>10120000</v>
      </c>
      <c r="B3565" s="84"/>
      <c r="C3565" s="85" t="str">
        <f>VLOOKUP(A3565,'DAFTAR HARGA'!A:D,3,FALSE)</f>
        <v>OH</v>
      </c>
      <c r="D3565" s="84" t="s">
        <v>418</v>
      </c>
      <c r="E3565" s="84">
        <f>VLOOKUP(A3565,'DAFTAR HARGA'!A:D,4,FALSE)</f>
        <v>130000</v>
      </c>
      <c r="F3565" s="128">
        <v>0.77</v>
      </c>
      <c r="G3565" s="87" t="e">
        <f>VLOOKUP(A3565,'DAFTAR HARGA'!A:D,5,FALSE)</f>
        <v>#REF!</v>
      </c>
      <c r="H3565" s="87" t="e">
        <f>F3565*G3565</f>
        <v>#REF!</v>
      </c>
      <c r="I3565" s="87"/>
      <c r="J3565" s="87"/>
      <c r="K3565" s="87"/>
      <c r="L3565" s="87"/>
    </row>
    <row r="3566" spans="1:12" ht="12" customHeight="1" x14ac:dyDescent="0.35">
      <c r="A3566" s="134">
        <v>10110000</v>
      </c>
      <c r="B3566" s="84"/>
      <c r="C3566" s="85" t="str">
        <f>VLOOKUP(A3566,'DAFTAR HARGA'!A:D,3,FALSE)</f>
        <v>OH</v>
      </c>
      <c r="D3566" s="84" t="s">
        <v>418</v>
      </c>
      <c r="E3566" s="84">
        <f>VLOOKUP(A3566,'DAFTAR HARGA'!A:D,4,FALSE)</f>
        <v>150000</v>
      </c>
      <c r="F3566" s="128">
        <v>1.54</v>
      </c>
      <c r="G3566" s="87" t="e">
        <f>VLOOKUP(A3566,'DAFTAR HARGA'!A:D,5,FALSE)</f>
        <v>#REF!</v>
      </c>
      <c r="H3566" s="87" t="e">
        <f>F3566*G3566</f>
        <v>#REF!</v>
      </c>
      <c r="I3566" s="87">
        <v>92500</v>
      </c>
      <c r="J3566" s="87">
        <f>F3566*I3566</f>
        <v>142450</v>
      </c>
      <c r="K3566" s="87">
        <v>92500</v>
      </c>
      <c r="L3566" s="87">
        <f>F3566*K3566</f>
        <v>142450</v>
      </c>
    </row>
    <row r="3567" spans="1:12" ht="12" customHeight="1" x14ac:dyDescent="0.35">
      <c r="B3567" s="84"/>
      <c r="C3567" s="85"/>
      <c r="D3567" s="84"/>
      <c r="E3567" s="84"/>
      <c r="F3567" s="86"/>
      <c r="G3567" s="87"/>
      <c r="H3567" s="87"/>
      <c r="I3567" s="87"/>
      <c r="J3567" s="87"/>
      <c r="K3567" s="87"/>
      <c r="L3567" s="87"/>
    </row>
    <row r="3568" spans="1:12" ht="12" customHeight="1" x14ac:dyDescent="0.35">
      <c r="B3568" s="84"/>
      <c r="C3568" s="88"/>
      <c r="D3568" s="79"/>
      <c r="E3568" s="79"/>
      <c r="F3568" s="89" t="s">
        <v>421</v>
      </c>
      <c r="G3568" s="101"/>
      <c r="H3568" s="87" t="e">
        <f>SUM(H3563:H3567)</f>
        <v>#REF!</v>
      </c>
      <c r="I3568" s="101"/>
      <c r="J3568" s="87">
        <f>SUM(J3566:J3567)</f>
        <v>142450</v>
      </c>
      <c r="K3568" s="101"/>
      <c r="L3568" s="87">
        <f>SUM(L3566:L3567)</f>
        <v>142450</v>
      </c>
    </row>
    <row r="3569" spans="1:13" ht="12" customHeight="1" x14ac:dyDescent="0.35">
      <c r="B3569" s="84" t="s">
        <v>6</v>
      </c>
      <c r="C3569" s="88" t="s">
        <v>422</v>
      </c>
      <c r="D3569" s="79"/>
      <c r="E3569" s="79"/>
      <c r="F3569" s="90"/>
      <c r="G3569" s="84"/>
      <c r="H3569" s="87"/>
      <c r="I3569" s="84"/>
      <c r="J3569" s="87"/>
      <c r="K3569" s="84"/>
      <c r="L3569" s="87"/>
    </row>
    <row r="3570" spans="1:13" x14ac:dyDescent="0.35">
      <c r="A3570" s="134">
        <v>21901000</v>
      </c>
      <c r="B3570" s="84"/>
      <c r="C3570" s="85" t="str">
        <f>VLOOKUP(A3570,'DAFTAR HARGA'!A:D,3,FALSE)</f>
        <v>Kg</v>
      </c>
      <c r="D3570" s="84" t="s">
        <v>418</v>
      </c>
      <c r="E3570" s="84">
        <f>VLOOKUP(A3570,'DAFTAR HARGA'!A:D,4,FALSE)</f>
        <v>12200</v>
      </c>
      <c r="F3570" s="128">
        <v>1.86</v>
      </c>
      <c r="G3570" s="87" t="e">
        <f>VLOOKUP(A3570,'DAFTAR HARGA'!A:D,5,FALSE)</f>
        <v>#REF!</v>
      </c>
      <c r="H3570" s="87" t="e">
        <f>F3570*G3570</f>
        <v>#REF!</v>
      </c>
      <c r="I3570" s="87"/>
      <c r="J3570" s="87"/>
      <c r="K3570" s="87"/>
      <c r="L3570" s="87"/>
    </row>
    <row r="3571" spans="1:13" x14ac:dyDescent="0.35">
      <c r="A3571" s="134">
        <v>23100103</v>
      </c>
      <c r="B3571" s="84"/>
      <c r="C3571" s="85" t="str">
        <f>VLOOKUP(A3571,'DAFTAR HARGA'!A:D,3,FALSE)</f>
        <v>kg</v>
      </c>
      <c r="D3571" s="84" t="s">
        <v>418</v>
      </c>
      <c r="E3571" s="84">
        <f>VLOOKUP(A3571,'DAFTAR HARGA'!A:D,4,FALSE)</f>
        <v>35000</v>
      </c>
      <c r="F3571" s="128">
        <v>10.266999999999999</v>
      </c>
      <c r="G3571" s="87" t="e">
        <f>VLOOKUP(A3571,'DAFTAR HARGA'!A:D,5,FALSE)</f>
        <v>#REF!</v>
      </c>
      <c r="H3571" s="87" t="e">
        <f>F3571*G3571</f>
        <v>#REF!</v>
      </c>
      <c r="I3571" s="87"/>
      <c r="J3571" s="87"/>
      <c r="K3571" s="87"/>
      <c r="L3571" s="87"/>
    </row>
    <row r="3572" spans="1:13" ht="26" x14ac:dyDescent="0.35">
      <c r="A3572" s="134">
        <v>22101018</v>
      </c>
      <c r="B3572" s="84"/>
      <c r="C3572" s="85" t="str">
        <f>VLOOKUP(A3572,'DAFTAR HARGA'!A:D,3,FALSE)</f>
        <v>m3</v>
      </c>
      <c r="D3572" s="84" t="s">
        <v>418</v>
      </c>
      <c r="E3572" s="84">
        <f>VLOOKUP(A3572,'DAFTAR HARGA'!A:D,4,FALSE)</f>
        <v>810000</v>
      </c>
      <c r="F3572" s="128">
        <v>0.31</v>
      </c>
      <c r="G3572" s="87" t="e">
        <f>VLOOKUP(A3572,'DAFTAR HARGA'!A:D,5,FALSE)</f>
        <v>#REF!</v>
      </c>
      <c r="H3572" s="87" t="e">
        <f>F3572*G3572</f>
        <v>#REF!</v>
      </c>
      <c r="I3572" s="87"/>
      <c r="J3572" s="87"/>
      <c r="K3572" s="87"/>
      <c r="L3572" s="87"/>
    </row>
    <row r="3573" spans="1:13" ht="39" x14ac:dyDescent="0.35">
      <c r="A3573" s="134">
        <v>91112019</v>
      </c>
      <c r="B3573" s="84"/>
      <c r="C3573" s="85" t="str">
        <f>VLOOKUP(A3573,'DAFTAR HARGA'!A:D,3,FALSE)</f>
        <v>m3</v>
      </c>
      <c r="D3573" s="84" t="s">
        <v>418</v>
      </c>
      <c r="E3573" s="84" t="e">
        <f>VLOOKUP(A3573,'DAFTAR HARGA'!A:D,4,FALSE)</f>
        <v>#REF!</v>
      </c>
      <c r="F3573" s="128">
        <v>0.62</v>
      </c>
      <c r="G3573" s="87" t="e">
        <f>VLOOKUP(A3573,'DAFTAR HARGA'!A:D,5,FALSE)</f>
        <v>#REF!</v>
      </c>
      <c r="H3573" s="87" t="e">
        <f>F3573*G3573</f>
        <v>#REF!</v>
      </c>
      <c r="I3573" s="87"/>
      <c r="J3573" s="87"/>
      <c r="K3573" s="87"/>
      <c r="L3573" s="87"/>
    </row>
    <row r="3574" spans="1:13" x14ac:dyDescent="0.35">
      <c r="B3574" s="84"/>
      <c r="C3574" s="85"/>
      <c r="D3574" s="84"/>
      <c r="E3574" s="84"/>
      <c r="F3574" s="128"/>
      <c r="G3574" s="87"/>
      <c r="H3574" s="87">
        <f>F3574*G3574</f>
        <v>0</v>
      </c>
      <c r="I3574" s="87"/>
      <c r="J3574" s="87"/>
      <c r="K3574" s="87"/>
      <c r="L3574" s="87"/>
    </row>
    <row r="3575" spans="1:13" ht="12" customHeight="1" x14ac:dyDescent="0.35">
      <c r="B3575" s="84"/>
      <c r="C3575" s="88"/>
      <c r="D3575" s="79"/>
      <c r="E3575" s="79"/>
      <c r="F3575" s="129" t="s">
        <v>423</v>
      </c>
      <c r="G3575" s="129"/>
      <c r="H3575" s="87" t="e">
        <f>SUM(H3570:L3574)</f>
        <v>#REF!</v>
      </c>
      <c r="I3575" s="101"/>
      <c r="J3575" s="87" t="e">
        <f>SUM(#REF!)</f>
        <v>#REF!</v>
      </c>
      <c r="K3575" s="101"/>
      <c r="L3575" s="87" t="e">
        <f>SUM(#REF!)</f>
        <v>#REF!</v>
      </c>
    </row>
    <row r="3576" spans="1:13" ht="12" customHeight="1" x14ac:dyDescent="0.35">
      <c r="B3576" s="84" t="s">
        <v>7</v>
      </c>
      <c r="C3576" s="88" t="s">
        <v>424</v>
      </c>
      <c r="D3576" s="79"/>
      <c r="E3576" s="79"/>
      <c r="F3576" s="90"/>
      <c r="G3576" s="84"/>
      <c r="H3576" s="87"/>
      <c r="I3576" s="84"/>
      <c r="J3576" s="87"/>
      <c r="K3576" s="84"/>
      <c r="L3576" s="87"/>
    </row>
    <row r="3577" spans="1:13" ht="12" customHeight="1" x14ac:dyDescent="0.35">
      <c r="B3577" s="84"/>
      <c r="C3577" s="130" t="e">
        <f>VLOOKUP(A3577,'DAFTAR HARGA'!A:D,3,FALSE)</f>
        <v>#N/A</v>
      </c>
      <c r="D3577" s="131" t="s">
        <v>418</v>
      </c>
      <c r="E3577" s="131" t="e">
        <f>VLOOKUP(A3577,'DAFTAR HARGA'!A:D,4,FALSE)</f>
        <v>#N/A</v>
      </c>
      <c r="F3577" s="132">
        <v>1</v>
      </c>
      <c r="G3577" s="133" t="e">
        <f>VLOOKUP(A3577,'DAFTAR HARGA'!A:D,5,FALSE)</f>
        <v>#N/A</v>
      </c>
      <c r="H3577" s="133"/>
      <c r="I3577" s="87"/>
      <c r="J3577" s="87">
        <f>H3577*I3577</f>
        <v>0</v>
      </c>
      <c r="K3577" s="87"/>
      <c r="L3577" s="87">
        <f>J3577*K3577</f>
        <v>0</v>
      </c>
      <c r="M3577" s="75" t="s">
        <v>872</v>
      </c>
    </row>
    <row r="3578" spans="1:13" ht="12" customHeight="1" x14ac:dyDescent="0.35">
      <c r="A3578" s="134">
        <v>31230001</v>
      </c>
      <c r="B3578" s="84"/>
      <c r="C3578" s="85" t="str">
        <f>VLOOKUP(A3578,'DAFTAR HARGA'!A:D,3,FALSE)</f>
        <v>hari</v>
      </c>
      <c r="D3578" s="84" t="s">
        <v>418</v>
      </c>
      <c r="E3578" s="84">
        <f>VLOOKUP(A3578,'DAFTAR HARGA'!A:D,4,FALSE)</f>
        <v>15000</v>
      </c>
      <c r="F3578" s="128">
        <v>2.2999999999999998</v>
      </c>
      <c r="G3578" s="87" t="e">
        <f>VLOOKUP(A3578,'DAFTAR HARGA'!A:D,5,FALSE)</f>
        <v>#REF!</v>
      </c>
      <c r="H3578" s="87" t="e">
        <f>F3578*G3578</f>
        <v>#REF!</v>
      </c>
      <c r="I3578" s="87"/>
      <c r="J3578" s="87"/>
      <c r="K3578" s="87"/>
      <c r="L3578" s="87"/>
    </row>
    <row r="3579" spans="1:13" ht="12" customHeight="1" x14ac:dyDescent="0.35">
      <c r="A3579" s="134">
        <v>31220101</v>
      </c>
      <c r="B3579" s="84"/>
      <c r="C3579" s="85" t="str">
        <f>VLOOKUP(A3579,'DAFTAR HARGA'!A:D,3,FALSE)</f>
        <v>hari</v>
      </c>
      <c r="D3579" s="84" t="s">
        <v>418</v>
      </c>
      <c r="E3579" s="84">
        <f>VLOOKUP(A3579,'DAFTAR HARGA'!A:D,4,FALSE)</f>
        <v>55000</v>
      </c>
      <c r="F3579" s="128">
        <v>2.2999999999999998</v>
      </c>
      <c r="G3579" s="87" t="e">
        <f>VLOOKUP(A3579,'DAFTAR HARGA'!A:D,5,FALSE)</f>
        <v>#REF!</v>
      </c>
      <c r="H3579" s="87" t="e">
        <f>F3579*G3579</f>
        <v>#REF!</v>
      </c>
      <c r="I3579" s="87"/>
      <c r="J3579" s="87"/>
      <c r="K3579" s="87"/>
      <c r="L3579" s="87"/>
    </row>
    <row r="3580" spans="1:13" ht="12" customHeight="1" x14ac:dyDescent="0.35">
      <c r="B3580" s="84"/>
      <c r="C3580" s="88"/>
      <c r="D3580" s="79"/>
      <c r="E3580" s="79"/>
      <c r="F3580" s="89" t="s">
        <v>425</v>
      </c>
      <c r="G3580" s="101"/>
      <c r="H3580" s="87" t="e">
        <f>SUM(H3577:H3579)</f>
        <v>#REF!</v>
      </c>
      <c r="I3580" s="101"/>
      <c r="J3580" s="87">
        <f>SUM(J3577)</f>
        <v>0</v>
      </c>
      <c r="K3580" s="101"/>
      <c r="L3580" s="87">
        <f>SUM(L3577)</f>
        <v>0</v>
      </c>
    </row>
    <row r="3581" spans="1:13" ht="12" customHeight="1" x14ac:dyDescent="0.35">
      <c r="B3581" s="84" t="s">
        <v>8</v>
      </c>
      <c r="C3581" s="103" t="s">
        <v>426</v>
      </c>
      <c r="D3581" s="104"/>
      <c r="E3581" s="104"/>
      <c r="F3581" s="104"/>
      <c r="G3581" s="105"/>
      <c r="H3581" s="87" t="e">
        <f>H3568+H3575+H3580</f>
        <v>#REF!</v>
      </c>
      <c r="I3581" s="105"/>
      <c r="J3581" s="87" t="e">
        <f>J3568+J3575+J3580</f>
        <v>#REF!</v>
      </c>
      <c r="K3581" s="105"/>
      <c r="L3581" s="87" t="e">
        <f>L3568+L3575+L3580</f>
        <v>#REF!</v>
      </c>
    </row>
    <row r="3582" spans="1:13" ht="12" customHeight="1" x14ac:dyDescent="0.35">
      <c r="B3582" s="84" t="s">
        <v>9</v>
      </c>
      <c r="C3582" s="455" t="s">
        <v>427</v>
      </c>
      <c r="D3582" s="455"/>
      <c r="E3582" s="455"/>
      <c r="F3582" s="95" t="str">
        <f>OP</f>
        <v>TANJUNG PALAS TENGAH</v>
      </c>
      <c r="G3582" s="85" t="s">
        <v>428</v>
      </c>
      <c r="H3582" s="87" t="e">
        <f>H3581*F3582</f>
        <v>#REF!</v>
      </c>
      <c r="I3582" s="85" t="s">
        <v>428</v>
      </c>
      <c r="J3582" s="87" t="e">
        <f>J3581*F3582</f>
        <v>#REF!</v>
      </c>
      <c r="K3582" s="85" t="s">
        <v>428</v>
      </c>
      <c r="L3582" s="87" t="e">
        <f>L3581*F3582</f>
        <v>#REF!</v>
      </c>
    </row>
    <row r="3583" spans="1:13" ht="12" customHeight="1" x14ac:dyDescent="0.35">
      <c r="B3583" s="84" t="s">
        <v>10</v>
      </c>
      <c r="C3583" s="103" t="s">
        <v>429</v>
      </c>
      <c r="D3583" s="104"/>
      <c r="E3583" s="104"/>
      <c r="F3583" s="104"/>
      <c r="G3583" s="105"/>
      <c r="H3583" s="96" t="e">
        <f>H3581+H3582</f>
        <v>#REF!</v>
      </c>
      <c r="I3583" s="97"/>
      <c r="J3583" s="96" t="e">
        <f>J3581+J3582</f>
        <v>#REF!</v>
      </c>
      <c r="K3583" s="97"/>
      <c r="L3583" s="96" t="e">
        <f>L3581+L3582</f>
        <v>#REF!</v>
      </c>
    </row>
    <row r="3584" spans="1:13" x14ac:dyDescent="0.35">
      <c r="B3584" s="75" t="s">
        <v>869</v>
      </c>
    </row>
    <row r="3585" spans="1:12" ht="14" customHeight="1" x14ac:dyDescent="0.35"/>
    <row r="3586" spans="1:12" ht="37" customHeight="1" x14ac:dyDescent="0.35">
      <c r="B3586" s="76" t="s">
        <v>870</v>
      </c>
      <c r="C3586" s="458" t="s">
        <v>871</v>
      </c>
      <c r="D3586" s="459"/>
      <c r="E3586" s="459"/>
      <c r="F3586" s="459"/>
      <c r="G3586" s="456"/>
      <c r="H3586" s="457"/>
      <c r="I3586" s="455" t="s">
        <v>3</v>
      </c>
      <c r="J3586" s="455"/>
      <c r="K3586" s="455" t="s">
        <v>4</v>
      </c>
      <c r="L3586" s="455"/>
    </row>
    <row r="3587" spans="1:12" ht="12" customHeight="1" x14ac:dyDescent="0.35">
      <c r="B3587" s="451" t="s">
        <v>409</v>
      </c>
      <c r="C3587" s="451" t="s">
        <v>410</v>
      </c>
      <c r="D3587" s="452" t="s">
        <v>411</v>
      </c>
      <c r="E3587" s="451" t="s">
        <v>412</v>
      </c>
      <c r="F3587" s="451" t="s">
        <v>413</v>
      </c>
      <c r="G3587" s="77" t="s">
        <v>414</v>
      </c>
      <c r="H3587" s="77" t="s">
        <v>415</v>
      </c>
      <c r="I3587" s="78" t="s">
        <v>414</v>
      </c>
      <c r="J3587" s="79" t="s">
        <v>415</v>
      </c>
      <c r="K3587" s="79" t="s">
        <v>414</v>
      </c>
      <c r="L3587" s="79" t="s">
        <v>415</v>
      </c>
    </row>
    <row r="3588" spans="1:12" ht="12" customHeight="1" x14ac:dyDescent="0.35">
      <c r="B3588" s="451"/>
      <c r="C3588" s="451"/>
      <c r="D3588" s="453"/>
      <c r="E3588" s="451"/>
      <c r="F3588" s="451"/>
      <c r="G3588" s="77" t="s">
        <v>17</v>
      </c>
      <c r="H3588" s="77" t="s">
        <v>416</v>
      </c>
      <c r="I3588" s="78" t="s">
        <v>17</v>
      </c>
      <c r="J3588" s="79" t="s">
        <v>416</v>
      </c>
      <c r="K3588" s="79" t="s">
        <v>17</v>
      </c>
      <c r="L3588" s="79" t="s">
        <v>416</v>
      </c>
    </row>
    <row r="3589" spans="1:12" ht="12" customHeight="1" x14ac:dyDescent="0.35">
      <c r="B3589" s="451"/>
      <c r="C3589" s="451"/>
      <c r="D3589" s="454"/>
      <c r="E3589" s="451"/>
      <c r="F3589" s="451"/>
      <c r="G3589" s="106"/>
      <c r="H3589" s="77" t="s">
        <v>17</v>
      </c>
      <c r="I3589" s="94"/>
      <c r="J3589" s="79" t="s">
        <v>17</v>
      </c>
      <c r="K3589" s="85"/>
      <c r="L3589" s="79" t="s">
        <v>17</v>
      </c>
    </row>
    <row r="3590" spans="1:12" ht="12" customHeight="1" x14ac:dyDescent="0.35">
      <c r="B3590" s="80" t="s">
        <v>5</v>
      </c>
      <c r="C3590" s="81" t="s">
        <v>417</v>
      </c>
      <c r="D3590" s="82"/>
      <c r="E3590" s="82"/>
      <c r="F3590" s="82"/>
      <c r="G3590" s="82"/>
      <c r="H3590" s="82"/>
      <c r="I3590" s="83"/>
      <c r="J3590" s="83"/>
      <c r="K3590" s="83"/>
      <c r="L3590" s="83"/>
    </row>
    <row r="3591" spans="1:12" ht="12" customHeight="1" x14ac:dyDescent="0.35">
      <c r="A3591" s="134">
        <v>10130000</v>
      </c>
      <c r="B3591" s="84"/>
      <c r="C3591" s="85" t="str">
        <f>VLOOKUP(A3591,'DAFTAR HARGA'!A:D,3,FALSE)</f>
        <v>OH</v>
      </c>
      <c r="D3591" s="84" t="s">
        <v>418</v>
      </c>
      <c r="E3591" s="84">
        <f>VLOOKUP(A3591,'DAFTAR HARGA'!A:D,4,FALSE)</f>
        <v>115000</v>
      </c>
      <c r="F3591" s="128">
        <v>2.94</v>
      </c>
      <c r="G3591" s="87" t="e">
        <f>VLOOKUP(A3591,'DAFTAR HARGA'!A:D,5,FALSE)</f>
        <v>#REF!</v>
      </c>
      <c r="H3591" s="87" t="e">
        <f>F3591*G3591</f>
        <v>#REF!</v>
      </c>
      <c r="I3591" s="87">
        <v>91500</v>
      </c>
      <c r="J3591" s="87">
        <f>F3591*I3591</f>
        <v>269010</v>
      </c>
      <c r="K3591" s="87">
        <v>91500</v>
      </c>
      <c r="L3591" s="87">
        <f>F3591*K3591</f>
        <v>269010</v>
      </c>
    </row>
    <row r="3592" spans="1:12" ht="12" customHeight="1" x14ac:dyDescent="0.35">
      <c r="A3592" s="134">
        <v>10146000</v>
      </c>
      <c r="B3592" s="84"/>
      <c r="C3592" s="85" t="str">
        <f>VLOOKUP(A3592,'DAFTAR HARGA'!A:D,3,FALSE)</f>
        <v>OH</v>
      </c>
      <c r="D3592" s="84" t="s">
        <v>418</v>
      </c>
      <c r="E3592" s="84">
        <f>VLOOKUP(A3592,'DAFTAR HARGA'!A:D,4,FALSE)</f>
        <v>236600</v>
      </c>
      <c r="F3592" s="128">
        <v>1.47</v>
      </c>
      <c r="G3592" s="87" t="e">
        <f>VLOOKUP(A3592,'DAFTAR HARGA'!A:D,5,FALSE)</f>
        <v>#REF!</v>
      </c>
      <c r="H3592" s="87" t="e">
        <f>F3592*G3592</f>
        <v>#REF!</v>
      </c>
      <c r="I3592" s="87"/>
      <c r="J3592" s="87"/>
      <c r="K3592" s="87"/>
      <c r="L3592" s="87"/>
    </row>
    <row r="3593" spans="1:12" ht="12" customHeight="1" x14ac:dyDescent="0.35">
      <c r="A3593" s="134">
        <v>10120000</v>
      </c>
      <c r="B3593" s="84"/>
      <c r="C3593" s="85" t="str">
        <f>VLOOKUP(A3593,'DAFTAR HARGA'!A:D,3,FALSE)</f>
        <v>OH</v>
      </c>
      <c r="D3593" s="84" t="s">
        <v>418</v>
      </c>
      <c r="E3593" s="84">
        <f>VLOOKUP(A3593,'DAFTAR HARGA'!A:D,4,FALSE)</f>
        <v>130000</v>
      </c>
      <c r="F3593" s="128">
        <v>0.14699999999999999</v>
      </c>
      <c r="G3593" s="87" t="e">
        <f>VLOOKUP(A3593,'DAFTAR HARGA'!A:D,5,FALSE)</f>
        <v>#REF!</v>
      </c>
      <c r="H3593" s="87" t="e">
        <f>F3593*G3593</f>
        <v>#REF!</v>
      </c>
      <c r="I3593" s="87"/>
      <c r="J3593" s="87"/>
      <c r="K3593" s="87"/>
      <c r="L3593" s="87"/>
    </row>
    <row r="3594" spans="1:12" ht="12" customHeight="1" x14ac:dyDescent="0.35">
      <c r="A3594" s="134">
        <v>10110000</v>
      </c>
      <c r="B3594" s="84"/>
      <c r="C3594" s="85" t="str">
        <f>VLOOKUP(A3594,'DAFTAR HARGA'!A:D,3,FALSE)</f>
        <v>OH</v>
      </c>
      <c r="D3594" s="84" t="s">
        <v>418</v>
      </c>
      <c r="E3594" s="84">
        <f>VLOOKUP(A3594,'DAFTAR HARGA'!A:D,4,FALSE)</f>
        <v>150000</v>
      </c>
      <c r="F3594" s="128">
        <v>0.29399999999999998</v>
      </c>
      <c r="G3594" s="87" t="e">
        <f>VLOOKUP(A3594,'DAFTAR HARGA'!A:D,5,FALSE)</f>
        <v>#REF!</v>
      </c>
      <c r="H3594" s="87" t="e">
        <f>F3594*G3594</f>
        <v>#REF!</v>
      </c>
      <c r="I3594" s="87">
        <v>92500</v>
      </c>
      <c r="J3594" s="87">
        <f>F3594*I3594</f>
        <v>27195</v>
      </c>
      <c r="K3594" s="87">
        <v>92500</v>
      </c>
      <c r="L3594" s="87">
        <f>F3594*K3594</f>
        <v>27195</v>
      </c>
    </row>
    <row r="3595" spans="1:12" ht="12" customHeight="1" x14ac:dyDescent="0.35">
      <c r="B3595" s="84"/>
      <c r="C3595" s="85"/>
      <c r="D3595" s="84"/>
      <c r="E3595" s="84"/>
      <c r="F3595" s="86"/>
      <c r="G3595" s="87"/>
      <c r="H3595" s="87"/>
      <c r="I3595" s="87"/>
      <c r="J3595" s="87"/>
      <c r="K3595" s="87"/>
      <c r="L3595" s="87"/>
    </row>
    <row r="3596" spans="1:12" ht="12" customHeight="1" x14ac:dyDescent="0.35">
      <c r="B3596" s="84"/>
      <c r="C3596" s="88"/>
      <c r="D3596" s="79"/>
      <c r="E3596" s="79"/>
      <c r="F3596" s="89" t="s">
        <v>421</v>
      </c>
      <c r="G3596" s="101"/>
      <c r="H3596" s="87" t="e">
        <f>SUM(H3591:H3595)</f>
        <v>#REF!</v>
      </c>
      <c r="I3596" s="101"/>
      <c r="J3596" s="87">
        <f>SUM(J3594:J3595)</f>
        <v>27195</v>
      </c>
      <c r="K3596" s="101"/>
      <c r="L3596" s="87">
        <f>SUM(L3594:L3595)</f>
        <v>27195</v>
      </c>
    </row>
    <row r="3597" spans="1:12" ht="12" customHeight="1" x14ac:dyDescent="0.35">
      <c r="B3597" s="84" t="s">
        <v>6</v>
      </c>
      <c r="C3597" s="88" t="s">
        <v>422</v>
      </c>
      <c r="D3597" s="79"/>
      <c r="E3597" s="79"/>
      <c r="F3597" s="90"/>
      <c r="G3597" s="84"/>
      <c r="H3597" s="87"/>
      <c r="I3597" s="84"/>
      <c r="J3597" s="87"/>
      <c r="K3597" s="84"/>
      <c r="L3597" s="87"/>
    </row>
    <row r="3598" spans="1:12" x14ac:dyDescent="0.35">
      <c r="A3598" s="134">
        <v>21901000</v>
      </c>
      <c r="B3598" s="84"/>
      <c r="C3598" s="85" t="str">
        <f>VLOOKUP(A3598,'DAFTAR HARGA'!A:D,3,FALSE)</f>
        <v>Kg</v>
      </c>
      <c r="D3598" s="84" t="s">
        <v>418</v>
      </c>
      <c r="E3598" s="84">
        <f>VLOOKUP(A3598,'DAFTAR HARGA'!A:D,4,FALSE)</f>
        <v>12200</v>
      </c>
      <c r="F3598" s="128">
        <v>8.82</v>
      </c>
      <c r="G3598" s="87" t="e">
        <f>VLOOKUP(A3598,'DAFTAR HARGA'!A:D,5,FALSE)</f>
        <v>#REF!</v>
      </c>
      <c r="H3598" s="87" t="e">
        <f>F3598*G3598</f>
        <v>#REF!</v>
      </c>
      <c r="I3598" s="87"/>
      <c r="J3598" s="87"/>
      <c r="K3598" s="87"/>
      <c r="L3598" s="87"/>
    </row>
    <row r="3599" spans="1:12" x14ac:dyDescent="0.35">
      <c r="A3599" s="134">
        <v>23100103</v>
      </c>
      <c r="B3599" s="84"/>
      <c r="C3599" s="85" t="str">
        <f>VLOOKUP(A3599,'DAFTAR HARGA'!A:D,3,FALSE)</f>
        <v>kg</v>
      </c>
      <c r="D3599" s="84" t="s">
        <v>418</v>
      </c>
      <c r="E3599" s="84">
        <f>VLOOKUP(A3599,'DAFTAR HARGA'!A:D,4,FALSE)</f>
        <v>35000</v>
      </c>
      <c r="F3599" s="128">
        <v>1.96</v>
      </c>
      <c r="G3599" s="87" t="e">
        <f>VLOOKUP(A3599,'DAFTAR HARGA'!A:D,5,FALSE)</f>
        <v>#REF!</v>
      </c>
      <c r="H3599" s="87" t="e">
        <f>F3599*G3599</f>
        <v>#REF!</v>
      </c>
      <c r="I3599" s="87"/>
      <c r="J3599" s="87"/>
      <c r="K3599" s="87"/>
      <c r="L3599" s="87"/>
    </row>
    <row r="3600" spans="1:12" x14ac:dyDescent="0.35">
      <c r="A3600" s="134">
        <v>22101018</v>
      </c>
      <c r="B3600" s="84"/>
      <c r="C3600" s="85" t="str">
        <f>VLOOKUP(A3600,'DAFTAR HARGA'!A:D,3,FALSE)</f>
        <v>m3</v>
      </c>
      <c r="D3600" s="84" t="s">
        <v>418</v>
      </c>
      <c r="E3600" s="84">
        <f>VLOOKUP(A3600,'DAFTAR HARGA'!A:D,4,FALSE)</f>
        <v>810000</v>
      </c>
      <c r="F3600" s="128">
        <v>8.7999999999999995E-2</v>
      </c>
      <c r="G3600" s="87" t="e">
        <f>VLOOKUP(A3600,'DAFTAR HARGA'!A:D,5,FALSE)</f>
        <v>#REF!</v>
      </c>
      <c r="H3600" s="87" t="e">
        <f>F3600*G3600</f>
        <v>#REF!</v>
      </c>
      <c r="I3600" s="87"/>
      <c r="J3600" s="87"/>
      <c r="K3600" s="87"/>
      <c r="L3600" s="87"/>
    </row>
    <row r="3601" spans="1:13" x14ac:dyDescent="0.35">
      <c r="A3601" s="134">
        <v>91112019</v>
      </c>
      <c r="B3601" s="84"/>
      <c r="C3601" s="85" t="str">
        <f>VLOOKUP(A3601,'DAFTAR HARGA'!A:D,3,FALSE)</f>
        <v>m3</v>
      </c>
      <c r="D3601" s="84" t="s">
        <v>418</v>
      </c>
      <c r="E3601" s="84" t="e">
        <f>VLOOKUP(A3601,'DAFTAR HARGA'!A:D,4,FALSE)</f>
        <v>#REF!</v>
      </c>
      <c r="F3601" s="128">
        <v>0.17599999999999999</v>
      </c>
      <c r="G3601" s="87" t="e">
        <f>VLOOKUP(A3601,'DAFTAR HARGA'!A:D,5,FALSE)</f>
        <v>#REF!</v>
      </c>
      <c r="H3601" s="87" t="e">
        <f>F3601*G3601</f>
        <v>#REF!</v>
      </c>
      <c r="I3601" s="87"/>
      <c r="J3601" s="87"/>
      <c r="K3601" s="87"/>
      <c r="L3601" s="87"/>
    </row>
    <row r="3602" spans="1:13" x14ac:dyDescent="0.35">
      <c r="B3602" s="84"/>
      <c r="C3602" s="85"/>
      <c r="D3602" s="84"/>
      <c r="E3602" s="84"/>
      <c r="F3602" s="128"/>
      <c r="G3602" s="87"/>
      <c r="H3602" s="87">
        <f>F3602*G3602</f>
        <v>0</v>
      </c>
      <c r="I3602" s="87"/>
      <c r="J3602" s="87"/>
      <c r="K3602" s="87"/>
      <c r="L3602" s="87"/>
    </row>
    <row r="3603" spans="1:13" ht="12" customHeight="1" x14ac:dyDescent="0.35">
      <c r="B3603" s="84"/>
      <c r="C3603" s="88"/>
      <c r="D3603" s="79"/>
      <c r="E3603" s="79"/>
      <c r="F3603" s="129" t="s">
        <v>423</v>
      </c>
      <c r="G3603" s="129"/>
      <c r="H3603" s="87" t="e">
        <f>SUM(H3598:H3602)</f>
        <v>#REF!</v>
      </c>
      <c r="I3603" s="101"/>
      <c r="J3603" s="87" t="e">
        <f>SUM(#REF!)</f>
        <v>#REF!</v>
      </c>
      <c r="K3603" s="101"/>
      <c r="L3603" s="87" t="e">
        <f>SUM(#REF!)</f>
        <v>#REF!</v>
      </c>
    </row>
    <row r="3604" spans="1:13" ht="12" customHeight="1" x14ac:dyDescent="0.35">
      <c r="B3604" s="84" t="s">
        <v>7</v>
      </c>
      <c r="C3604" s="88" t="s">
        <v>424</v>
      </c>
      <c r="D3604" s="79"/>
      <c r="E3604" s="79"/>
      <c r="F3604" s="90"/>
      <c r="G3604" s="84"/>
      <c r="H3604" s="87"/>
      <c r="I3604" s="84"/>
      <c r="J3604" s="87"/>
      <c r="K3604" s="84"/>
      <c r="L3604" s="87"/>
    </row>
    <row r="3605" spans="1:13" ht="12" customHeight="1" x14ac:dyDescent="0.35">
      <c r="B3605" s="84"/>
      <c r="C3605" s="130" t="e">
        <f>VLOOKUP(A3605,'DAFTAR HARGA'!A:D,3,FALSE)</f>
        <v>#N/A</v>
      </c>
      <c r="D3605" s="131" t="s">
        <v>418</v>
      </c>
      <c r="E3605" s="131" t="e">
        <f>VLOOKUP(A3605,'DAFTAR HARGA'!A:D,4,FALSE)</f>
        <v>#N/A</v>
      </c>
      <c r="F3605" s="132">
        <v>1</v>
      </c>
      <c r="G3605" s="133" t="e">
        <f>VLOOKUP(A3605,'DAFTAR HARGA'!A:D,5,FALSE)</f>
        <v>#N/A</v>
      </c>
      <c r="H3605" s="133"/>
      <c r="I3605" s="87"/>
      <c r="J3605" s="87">
        <f>H3605*I3605</f>
        <v>0</v>
      </c>
      <c r="K3605" s="87"/>
      <c r="L3605" s="87">
        <f>J3605*K3605</f>
        <v>0</v>
      </c>
      <c r="M3605" s="75" t="s">
        <v>872</v>
      </c>
    </row>
    <row r="3606" spans="1:13" ht="12" customHeight="1" x14ac:dyDescent="0.35">
      <c r="A3606" s="134">
        <v>31230001</v>
      </c>
      <c r="B3606" s="84"/>
      <c r="C3606" s="85" t="str">
        <f>VLOOKUP(A3606,'DAFTAR HARGA'!A:D,3,FALSE)</f>
        <v>hari</v>
      </c>
      <c r="D3606" s="84" t="s">
        <v>418</v>
      </c>
      <c r="E3606" s="84">
        <f>VLOOKUP(A3606,'DAFTAR HARGA'!A:D,4,FALSE)</f>
        <v>15000</v>
      </c>
      <c r="F3606" s="128">
        <v>0.441</v>
      </c>
      <c r="G3606" s="87" t="e">
        <f>VLOOKUP(A3606,'DAFTAR HARGA'!A:D,5,FALSE)</f>
        <v>#REF!</v>
      </c>
      <c r="H3606" s="87" t="e">
        <f>F3606*G3606</f>
        <v>#REF!</v>
      </c>
      <c r="I3606" s="87"/>
      <c r="J3606" s="87"/>
      <c r="K3606" s="87"/>
      <c r="L3606" s="87"/>
    </row>
    <row r="3607" spans="1:13" ht="12" customHeight="1" x14ac:dyDescent="0.35">
      <c r="A3607" s="134">
        <v>31220101</v>
      </c>
      <c r="B3607" s="84"/>
      <c r="C3607" s="85" t="str">
        <f>VLOOKUP(A3607,'DAFTAR HARGA'!A:D,3,FALSE)</f>
        <v>hari</v>
      </c>
      <c r="D3607" s="84" t="s">
        <v>418</v>
      </c>
      <c r="E3607" s="84">
        <f>VLOOKUP(A3607,'DAFTAR HARGA'!A:D,4,FALSE)</f>
        <v>55000</v>
      </c>
      <c r="F3607" s="128">
        <v>0.441</v>
      </c>
      <c r="G3607" s="87" t="e">
        <f>VLOOKUP(A3607,'DAFTAR HARGA'!A:D,5,FALSE)</f>
        <v>#REF!</v>
      </c>
      <c r="H3607" s="87" t="e">
        <f>F3607*G3607</f>
        <v>#REF!</v>
      </c>
      <c r="I3607" s="87"/>
      <c r="J3607" s="87"/>
      <c r="K3607" s="87"/>
      <c r="L3607" s="87"/>
    </row>
    <row r="3608" spans="1:13" ht="12" customHeight="1" x14ac:dyDescent="0.35">
      <c r="B3608" s="84"/>
      <c r="C3608" s="88"/>
      <c r="D3608" s="79"/>
      <c r="E3608" s="79"/>
      <c r="F3608" s="89" t="s">
        <v>425</v>
      </c>
      <c r="G3608" s="101"/>
      <c r="H3608" s="87" t="e">
        <f>SUM(H3605:H3607)</f>
        <v>#REF!</v>
      </c>
      <c r="I3608" s="101"/>
      <c r="J3608" s="87">
        <f>SUM(J3605)</f>
        <v>0</v>
      </c>
      <c r="K3608" s="101"/>
      <c r="L3608" s="87">
        <f>SUM(L3605)</f>
        <v>0</v>
      </c>
    </row>
    <row r="3609" spans="1:13" ht="12" customHeight="1" x14ac:dyDescent="0.35">
      <c r="B3609" s="84" t="s">
        <v>8</v>
      </c>
      <c r="C3609" s="103" t="s">
        <v>426</v>
      </c>
      <c r="D3609" s="104"/>
      <c r="E3609" s="104"/>
      <c r="F3609" s="104"/>
      <c r="G3609" s="105"/>
      <c r="H3609" s="87" t="e">
        <f>H3596+H3603+H3608</f>
        <v>#REF!</v>
      </c>
      <c r="I3609" s="105"/>
      <c r="J3609" s="87" t="e">
        <f>J3596+J3603+J3608</f>
        <v>#REF!</v>
      </c>
      <c r="K3609" s="105"/>
      <c r="L3609" s="87" t="e">
        <f>L3596+L3603+L3608</f>
        <v>#REF!</v>
      </c>
    </row>
    <row r="3610" spans="1:13" ht="12" customHeight="1" x14ac:dyDescent="0.35">
      <c r="B3610" s="84" t="s">
        <v>9</v>
      </c>
      <c r="C3610" s="455" t="s">
        <v>427</v>
      </c>
      <c r="D3610" s="455"/>
      <c r="E3610" s="455"/>
      <c r="F3610" s="95" t="str">
        <f>OP</f>
        <v>TANJUNG PALAS TENGAH</v>
      </c>
      <c r="G3610" s="85" t="s">
        <v>428</v>
      </c>
      <c r="H3610" s="87" t="e">
        <f>H3609*F3610</f>
        <v>#REF!</v>
      </c>
      <c r="I3610" s="85" t="s">
        <v>428</v>
      </c>
      <c r="J3610" s="87" t="e">
        <f>J3609*F3610</f>
        <v>#REF!</v>
      </c>
      <c r="K3610" s="85" t="s">
        <v>428</v>
      </c>
      <c r="L3610" s="87" t="e">
        <f>L3609*F3610</f>
        <v>#REF!</v>
      </c>
    </row>
    <row r="3611" spans="1:13" ht="12" customHeight="1" x14ac:dyDescent="0.35">
      <c r="B3611" s="84" t="s">
        <v>10</v>
      </c>
      <c r="C3611" s="103" t="s">
        <v>429</v>
      </c>
      <c r="D3611" s="104"/>
      <c r="E3611" s="104"/>
      <c r="F3611" s="104"/>
      <c r="G3611" s="105"/>
      <c r="H3611" s="96" t="e">
        <f>H3609+H3610</f>
        <v>#REF!</v>
      </c>
      <c r="I3611" s="97"/>
      <c r="J3611" s="96" t="e">
        <f>J3609+J3610</f>
        <v>#REF!</v>
      </c>
      <c r="K3611" s="97"/>
      <c r="L3611" s="96" t="e">
        <f>L3609+L3610</f>
        <v>#REF!</v>
      </c>
    </row>
    <row r="3612" spans="1:13" x14ac:dyDescent="0.35">
      <c r="B3612" s="75" t="s">
        <v>869</v>
      </c>
    </row>
    <row r="3613" spans="1:13" ht="14" customHeight="1" x14ac:dyDescent="0.35"/>
    <row r="3614" spans="1:13" ht="37" customHeight="1" x14ac:dyDescent="0.35">
      <c r="B3614" s="76" t="s">
        <v>873</v>
      </c>
      <c r="C3614" s="458" t="s">
        <v>874</v>
      </c>
      <c r="D3614" s="459"/>
      <c r="E3614" s="459"/>
      <c r="F3614" s="459"/>
      <c r="G3614" s="456"/>
      <c r="H3614" s="457"/>
      <c r="I3614" s="455" t="s">
        <v>3</v>
      </c>
      <c r="J3614" s="455"/>
      <c r="K3614" s="455" t="s">
        <v>4</v>
      </c>
      <c r="L3614" s="455"/>
    </row>
    <row r="3615" spans="1:13" ht="12" customHeight="1" x14ac:dyDescent="0.35">
      <c r="B3615" s="451" t="s">
        <v>409</v>
      </c>
      <c r="C3615" s="451" t="s">
        <v>410</v>
      </c>
      <c r="D3615" s="452" t="s">
        <v>411</v>
      </c>
      <c r="E3615" s="451" t="s">
        <v>412</v>
      </c>
      <c r="F3615" s="451" t="s">
        <v>413</v>
      </c>
      <c r="G3615" s="77" t="s">
        <v>414</v>
      </c>
      <c r="H3615" s="77" t="s">
        <v>415</v>
      </c>
      <c r="I3615" s="78" t="s">
        <v>414</v>
      </c>
      <c r="J3615" s="79" t="s">
        <v>415</v>
      </c>
      <c r="K3615" s="79" t="s">
        <v>414</v>
      </c>
      <c r="L3615" s="79" t="s">
        <v>415</v>
      </c>
    </row>
    <row r="3616" spans="1:13" ht="12" customHeight="1" x14ac:dyDescent="0.35">
      <c r="B3616" s="451"/>
      <c r="C3616" s="451"/>
      <c r="D3616" s="453"/>
      <c r="E3616" s="451"/>
      <c r="F3616" s="451"/>
      <c r="G3616" s="77" t="s">
        <v>17</v>
      </c>
      <c r="H3616" s="77" t="s">
        <v>416</v>
      </c>
      <c r="I3616" s="78" t="s">
        <v>17</v>
      </c>
      <c r="J3616" s="79" t="s">
        <v>416</v>
      </c>
      <c r="K3616" s="79" t="s">
        <v>17</v>
      </c>
      <c r="L3616" s="79" t="s">
        <v>416</v>
      </c>
    </row>
    <row r="3617" spans="1:12" ht="12" customHeight="1" x14ac:dyDescent="0.35">
      <c r="B3617" s="451"/>
      <c r="C3617" s="451"/>
      <c r="D3617" s="454"/>
      <c r="E3617" s="451"/>
      <c r="F3617" s="451"/>
      <c r="G3617" s="106"/>
      <c r="H3617" s="77" t="s">
        <v>17</v>
      </c>
      <c r="I3617" s="94"/>
      <c r="J3617" s="79" t="s">
        <v>17</v>
      </c>
      <c r="K3617" s="85"/>
      <c r="L3617" s="79" t="s">
        <v>17</v>
      </c>
    </row>
    <row r="3618" spans="1:12" ht="12" customHeight="1" x14ac:dyDescent="0.35">
      <c r="B3618" s="80" t="s">
        <v>5</v>
      </c>
      <c r="C3618" s="81" t="s">
        <v>417</v>
      </c>
      <c r="D3618" s="82"/>
      <c r="E3618" s="82"/>
      <c r="F3618" s="82"/>
      <c r="G3618" s="82"/>
      <c r="H3618" s="82"/>
      <c r="I3618" s="83"/>
      <c r="J3618" s="83"/>
      <c r="K3618" s="83"/>
      <c r="L3618" s="83"/>
    </row>
    <row r="3619" spans="1:12" ht="12" customHeight="1" x14ac:dyDescent="0.35">
      <c r="A3619" s="134">
        <v>10130000</v>
      </c>
      <c r="B3619" s="84"/>
      <c r="C3619" s="85" t="str">
        <f>VLOOKUP(A3619,'DAFTAR HARGA'!A:D,3,FALSE)</f>
        <v>OH</v>
      </c>
      <c r="D3619" s="84" t="s">
        <v>418</v>
      </c>
      <c r="E3619" s="84">
        <f>VLOOKUP(A3619,'DAFTAR HARGA'!A:D,4,FALSE)</f>
        <v>115000</v>
      </c>
      <c r="F3619" s="128">
        <v>1.7999999999999999E-2</v>
      </c>
      <c r="G3619" s="87" t="e">
        <f>VLOOKUP(A3619,'DAFTAR HARGA'!A:D,5,FALSE)</f>
        <v>#REF!</v>
      </c>
      <c r="H3619" s="87" t="e">
        <f>F3619*G3619</f>
        <v>#REF!</v>
      </c>
      <c r="I3619" s="87">
        <v>91500</v>
      </c>
      <c r="J3619" s="87">
        <f>F3619*I3619</f>
        <v>1646.9999999999998</v>
      </c>
      <c r="K3619" s="87">
        <v>91500</v>
      </c>
      <c r="L3619" s="87">
        <f>F3619*K3619</f>
        <v>1646.9999999999998</v>
      </c>
    </row>
    <row r="3620" spans="1:12" ht="12" customHeight="1" x14ac:dyDescent="0.35">
      <c r="A3620" s="134">
        <v>10121100</v>
      </c>
      <c r="B3620" s="84"/>
      <c r="C3620" s="85" t="str">
        <f>VLOOKUP(A3620,'DAFTAR HARGA'!A:D,3,FALSE)</f>
        <v>OH</v>
      </c>
      <c r="D3620" s="84" t="s">
        <v>418</v>
      </c>
      <c r="E3620" s="84">
        <f>VLOOKUP(A3620,'DAFTAR HARGA'!A:D,4,FALSE)</f>
        <v>100000</v>
      </c>
      <c r="F3620" s="128">
        <v>6.0000000000000001E-3</v>
      </c>
      <c r="G3620" s="87" t="e">
        <f>VLOOKUP(A3620,'DAFTAR HARGA'!A:D,5,FALSE)</f>
        <v>#REF!</v>
      </c>
      <c r="H3620" s="87" t="e">
        <f>F3620*G3620</f>
        <v>#REF!</v>
      </c>
      <c r="I3620" s="87"/>
      <c r="J3620" s="87"/>
      <c r="K3620" s="87"/>
      <c r="L3620" s="87"/>
    </row>
    <row r="3621" spans="1:12" ht="12" customHeight="1" x14ac:dyDescent="0.35">
      <c r="A3621" s="134">
        <v>10110000</v>
      </c>
      <c r="B3621" s="84"/>
      <c r="C3621" s="85" t="str">
        <f>VLOOKUP(A3621,'DAFTAR HARGA'!A:D,3,FALSE)</f>
        <v>OH</v>
      </c>
      <c r="D3621" s="84" t="s">
        <v>418</v>
      </c>
      <c r="E3621" s="84">
        <f>VLOOKUP(A3621,'DAFTAR HARGA'!A:D,4,FALSE)</f>
        <v>150000</v>
      </c>
      <c r="F3621" s="128">
        <v>2E-3</v>
      </c>
      <c r="G3621" s="87" t="e">
        <f>VLOOKUP(A3621,'DAFTAR HARGA'!A:D,5,FALSE)</f>
        <v>#REF!</v>
      </c>
      <c r="H3621" s="87" t="e">
        <f>F3621*G3621</f>
        <v>#REF!</v>
      </c>
      <c r="I3621" s="87">
        <v>92500</v>
      </c>
      <c r="J3621" s="87">
        <f>F3621*I3621</f>
        <v>185</v>
      </c>
      <c r="K3621" s="87">
        <v>92500</v>
      </c>
      <c r="L3621" s="87">
        <f>F3621*K3621</f>
        <v>185</v>
      </c>
    </row>
    <row r="3622" spans="1:12" ht="12" customHeight="1" x14ac:dyDescent="0.35">
      <c r="B3622" s="84"/>
      <c r="C3622" s="85"/>
      <c r="D3622" s="84"/>
      <c r="E3622" s="84"/>
      <c r="F3622" s="86"/>
      <c r="G3622" s="87"/>
      <c r="H3622" s="87"/>
      <c r="I3622" s="87"/>
      <c r="J3622" s="87"/>
      <c r="K3622" s="87"/>
      <c r="L3622" s="87"/>
    </row>
    <row r="3623" spans="1:12" ht="12" customHeight="1" x14ac:dyDescent="0.35">
      <c r="B3623" s="84"/>
      <c r="C3623" s="88"/>
      <c r="D3623" s="79"/>
      <c r="E3623" s="79"/>
      <c r="F3623" s="89" t="s">
        <v>421</v>
      </c>
      <c r="G3623" s="101"/>
      <c r="H3623" s="87" t="e">
        <f>SUM(H3619:H3622)</f>
        <v>#REF!</v>
      </c>
      <c r="I3623" s="101"/>
      <c r="J3623" s="87">
        <f>SUM(J3621:J3622)</f>
        <v>185</v>
      </c>
      <c r="K3623" s="101"/>
      <c r="L3623" s="87">
        <f>SUM(L3621:L3622)</f>
        <v>185</v>
      </c>
    </row>
    <row r="3624" spans="1:12" ht="12" customHeight="1" x14ac:dyDescent="0.35">
      <c r="B3624" s="84" t="s">
        <v>6</v>
      </c>
      <c r="C3624" s="88" t="s">
        <v>422</v>
      </c>
      <c r="D3624" s="79"/>
      <c r="E3624" s="79"/>
      <c r="F3624" s="90"/>
      <c r="G3624" s="84"/>
      <c r="H3624" s="87"/>
      <c r="I3624" s="84"/>
      <c r="J3624" s="87"/>
      <c r="K3624" s="84"/>
      <c r="L3624" s="87"/>
    </row>
    <row r="3625" spans="1:12" x14ac:dyDescent="0.35">
      <c r="A3625" s="134">
        <v>21603010</v>
      </c>
      <c r="B3625" s="84"/>
      <c r="C3625" s="85" t="str">
        <f>VLOOKUP(A3625,'DAFTAR HARGA'!A:D,3,FALSE)</f>
        <v>m2</v>
      </c>
      <c r="D3625" s="84" t="s">
        <v>418</v>
      </c>
      <c r="E3625" s="84">
        <f>VLOOKUP(A3625,'DAFTAR HARGA'!A:D,4,FALSE)</f>
        <v>17500</v>
      </c>
      <c r="F3625" s="128">
        <v>8.82</v>
      </c>
      <c r="G3625" s="87" t="e">
        <f>VLOOKUP(A3625,'DAFTAR HARGA'!A:D,5,FALSE)</f>
        <v>#REF!</v>
      </c>
      <c r="H3625" s="87" t="e">
        <f>F3625*G3625</f>
        <v>#REF!</v>
      </c>
      <c r="I3625" s="87"/>
      <c r="J3625" s="87"/>
      <c r="K3625" s="87"/>
      <c r="L3625" s="87"/>
    </row>
    <row r="3626" spans="1:12" x14ac:dyDescent="0.35">
      <c r="B3626" s="84"/>
      <c r="C3626" s="85"/>
      <c r="D3626" s="84"/>
      <c r="E3626" s="84"/>
      <c r="F3626" s="128"/>
      <c r="G3626" s="87"/>
      <c r="H3626" s="87">
        <f>F3626*G3626</f>
        <v>0</v>
      </c>
      <c r="I3626" s="87"/>
      <c r="J3626" s="87"/>
      <c r="K3626" s="87"/>
      <c r="L3626" s="87"/>
    </row>
    <row r="3627" spans="1:12" ht="12" customHeight="1" x14ac:dyDescent="0.35">
      <c r="B3627" s="84"/>
      <c r="C3627" s="88"/>
      <c r="D3627" s="79"/>
      <c r="E3627" s="79"/>
      <c r="F3627" s="129" t="s">
        <v>423</v>
      </c>
      <c r="G3627" s="129"/>
      <c r="H3627" s="87" t="e">
        <f>SUM(H3625:H3626)</f>
        <v>#REF!</v>
      </c>
      <c r="I3627" s="101"/>
      <c r="J3627" s="87" t="e">
        <f>SUM(#REF!)</f>
        <v>#REF!</v>
      </c>
      <c r="K3627" s="101"/>
      <c r="L3627" s="87" t="e">
        <f>SUM(#REF!)</f>
        <v>#REF!</v>
      </c>
    </row>
    <row r="3628" spans="1:12" ht="12" customHeight="1" x14ac:dyDescent="0.35">
      <c r="B3628" s="84" t="s">
        <v>7</v>
      </c>
      <c r="C3628" s="88" t="s">
        <v>424</v>
      </c>
      <c r="D3628" s="79"/>
      <c r="E3628" s="79"/>
      <c r="F3628" s="90"/>
      <c r="G3628" s="84"/>
      <c r="H3628" s="87"/>
      <c r="I3628" s="84"/>
      <c r="J3628" s="87"/>
      <c r="K3628" s="84"/>
      <c r="L3628" s="87"/>
    </row>
    <row r="3629" spans="1:12" ht="12" customHeight="1" x14ac:dyDescent="0.35">
      <c r="A3629" s="134">
        <v>31100009</v>
      </c>
      <c r="B3629" s="84"/>
      <c r="C3629" s="85" t="str">
        <f>VLOOKUP(A3629,'DAFTAR HARGA'!A:D,3,FALSE)</f>
        <v>jam</v>
      </c>
      <c r="D3629" s="84" t="s">
        <v>418</v>
      </c>
      <c r="E3629" s="84">
        <f>VLOOKUP(A3629,'DAFTAR HARGA'!A:D,4,FALSE)</f>
        <v>760000</v>
      </c>
      <c r="F3629" s="128">
        <f>0.006*2.2</f>
        <v>1.3200000000000002E-2</v>
      </c>
      <c r="G3629" s="87" t="e">
        <f>VLOOKUP(A3629,'DAFTAR HARGA'!A:D,5,FALSE)</f>
        <v>#REF!</v>
      </c>
      <c r="H3629" s="87" t="e">
        <f>F3629*G3629</f>
        <v>#REF!</v>
      </c>
      <c r="I3629" s="87"/>
      <c r="J3629" s="87"/>
      <c r="K3629" s="87"/>
      <c r="L3629" s="87"/>
    </row>
    <row r="3630" spans="1:12" ht="12" customHeight="1" x14ac:dyDescent="0.35">
      <c r="B3630" s="84"/>
      <c r="C3630" s="85"/>
      <c r="D3630" s="84"/>
      <c r="E3630" s="84"/>
      <c r="F3630" s="128"/>
      <c r="G3630" s="87"/>
      <c r="H3630" s="87">
        <f>F3630*G3630</f>
        <v>0</v>
      </c>
      <c r="I3630" s="87"/>
      <c r="J3630" s="87"/>
      <c r="K3630" s="87"/>
      <c r="L3630" s="87"/>
    </row>
    <row r="3631" spans="1:12" ht="12" customHeight="1" x14ac:dyDescent="0.35">
      <c r="B3631" s="84"/>
      <c r="C3631" s="88"/>
      <c r="D3631" s="79"/>
      <c r="E3631" s="79"/>
      <c r="F3631" s="89" t="s">
        <v>425</v>
      </c>
      <c r="G3631" s="101"/>
      <c r="H3631" s="87" t="e">
        <f>SUM(H3629:H3630)</f>
        <v>#REF!</v>
      </c>
      <c r="I3631" s="101"/>
      <c r="J3631" s="87" t="e">
        <f>SUM(#REF!)</f>
        <v>#REF!</v>
      </c>
      <c r="K3631" s="101"/>
      <c r="L3631" s="87" t="e">
        <f>SUM(#REF!)</f>
        <v>#REF!</v>
      </c>
    </row>
    <row r="3632" spans="1:12" ht="12" customHeight="1" x14ac:dyDescent="0.35">
      <c r="B3632" s="84" t="s">
        <v>8</v>
      </c>
      <c r="C3632" s="103" t="s">
        <v>426</v>
      </c>
      <c r="D3632" s="104"/>
      <c r="E3632" s="104"/>
      <c r="F3632" s="104"/>
      <c r="G3632" s="105"/>
      <c r="H3632" s="87" t="e">
        <f>H3623+H3627+H3631</f>
        <v>#REF!</v>
      </c>
      <c r="I3632" s="105"/>
      <c r="J3632" s="87" t="e">
        <f>J3623+J3627+J3631</f>
        <v>#REF!</v>
      </c>
      <c r="K3632" s="105"/>
      <c r="L3632" s="87" t="e">
        <f>L3623+L3627+L3631</f>
        <v>#REF!</v>
      </c>
    </row>
    <row r="3633" spans="1:12" ht="12" customHeight="1" x14ac:dyDescent="0.35">
      <c r="B3633" s="84" t="s">
        <v>9</v>
      </c>
      <c r="C3633" s="455" t="s">
        <v>427</v>
      </c>
      <c r="D3633" s="455"/>
      <c r="E3633" s="455"/>
      <c r="F3633" s="95" t="str">
        <f>OP</f>
        <v>TANJUNG PALAS TENGAH</v>
      </c>
      <c r="G3633" s="85" t="s">
        <v>428</v>
      </c>
      <c r="H3633" s="87" t="e">
        <f>H3632*F3633</f>
        <v>#REF!</v>
      </c>
      <c r="I3633" s="85" t="s">
        <v>428</v>
      </c>
      <c r="J3633" s="87" t="e">
        <f>J3632*F3633</f>
        <v>#REF!</v>
      </c>
      <c r="K3633" s="85" t="s">
        <v>428</v>
      </c>
      <c r="L3633" s="87" t="e">
        <f>L3632*F3633</f>
        <v>#REF!</v>
      </c>
    </row>
    <row r="3634" spans="1:12" ht="12" customHeight="1" x14ac:dyDescent="0.35">
      <c r="B3634" s="84" t="s">
        <v>10</v>
      </c>
      <c r="C3634" s="103" t="s">
        <v>429</v>
      </c>
      <c r="D3634" s="104"/>
      <c r="E3634" s="104"/>
      <c r="F3634" s="104"/>
      <c r="G3634" s="105"/>
      <c r="H3634" s="96" t="e">
        <f>H3632+H3633</f>
        <v>#REF!</v>
      </c>
      <c r="I3634" s="97"/>
      <c r="J3634" s="96" t="e">
        <f>J3632+J3633</f>
        <v>#REF!</v>
      </c>
      <c r="K3634" s="97"/>
      <c r="L3634" s="96" t="e">
        <f>L3632+L3633</f>
        <v>#REF!</v>
      </c>
    </row>
    <row r="3635" spans="1:12" ht="14" customHeight="1" x14ac:dyDescent="0.35"/>
    <row r="3636" spans="1:12" ht="37" customHeight="1" x14ac:dyDescent="0.35">
      <c r="B3636" s="76" t="s">
        <v>877</v>
      </c>
      <c r="C3636" s="458" t="s">
        <v>878</v>
      </c>
      <c r="D3636" s="459"/>
      <c r="E3636" s="459"/>
      <c r="F3636" s="459"/>
      <c r="G3636" s="456"/>
      <c r="H3636" s="457"/>
      <c r="I3636" s="455" t="s">
        <v>3</v>
      </c>
      <c r="J3636" s="455"/>
      <c r="K3636" s="455" t="s">
        <v>4</v>
      </c>
      <c r="L3636" s="455"/>
    </row>
    <row r="3637" spans="1:12" ht="12" customHeight="1" x14ac:dyDescent="0.35">
      <c r="B3637" s="451" t="s">
        <v>409</v>
      </c>
      <c r="C3637" s="451" t="s">
        <v>410</v>
      </c>
      <c r="D3637" s="452" t="s">
        <v>411</v>
      </c>
      <c r="E3637" s="451" t="s">
        <v>412</v>
      </c>
      <c r="F3637" s="451" t="s">
        <v>413</v>
      </c>
      <c r="G3637" s="77" t="s">
        <v>414</v>
      </c>
      <c r="H3637" s="77" t="s">
        <v>415</v>
      </c>
      <c r="I3637" s="78" t="s">
        <v>414</v>
      </c>
      <c r="J3637" s="79" t="s">
        <v>415</v>
      </c>
      <c r="K3637" s="79" t="s">
        <v>414</v>
      </c>
      <c r="L3637" s="79" t="s">
        <v>415</v>
      </c>
    </row>
    <row r="3638" spans="1:12" ht="12" customHeight="1" x14ac:dyDescent="0.35">
      <c r="B3638" s="451"/>
      <c r="C3638" s="451"/>
      <c r="D3638" s="453"/>
      <c r="E3638" s="451"/>
      <c r="F3638" s="451"/>
      <c r="G3638" s="77" t="s">
        <v>17</v>
      </c>
      <c r="H3638" s="77" t="s">
        <v>416</v>
      </c>
      <c r="I3638" s="78" t="s">
        <v>17</v>
      </c>
      <c r="J3638" s="79" t="s">
        <v>416</v>
      </c>
      <c r="K3638" s="79" t="s">
        <v>17</v>
      </c>
      <c r="L3638" s="79" t="s">
        <v>416</v>
      </c>
    </row>
    <row r="3639" spans="1:12" ht="12" customHeight="1" x14ac:dyDescent="0.35">
      <c r="B3639" s="451"/>
      <c r="C3639" s="451"/>
      <c r="D3639" s="454"/>
      <c r="E3639" s="451"/>
      <c r="F3639" s="451"/>
      <c r="G3639" s="106"/>
      <c r="H3639" s="77" t="s">
        <v>17</v>
      </c>
      <c r="I3639" s="94"/>
      <c r="J3639" s="79" t="s">
        <v>17</v>
      </c>
      <c r="K3639" s="85"/>
      <c r="L3639" s="79" t="s">
        <v>17</v>
      </c>
    </row>
    <row r="3640" spans="1:12" ht="12" customHeight="1" x14ac:dyDescent="0.35">
      <c r="B3640" s="80" t="s">
        <v>5</v>
      </c>
      <c r="C3640" s="81" t="s">
        <v>417</v>
      </c>
      <c r="D3640" s="82"/>
      <c r="E3640" s="82"/>
      <c r="F3640" s="82"/>
      <c r="G3640" s="82"/>
      <c r="H3640" s="82"/>
      <c r="I3640" s="83"/>
      <c r="J3640" s="83"/>
      <c r="K3640" s="83"/>
      <c r="L3640" s="83"/>
    </row>
    <row r="3641" spans="1:12" ht="12" customHeight="1" x14ac:dyDescent="0.35">
      <c r="A3641" s="134">
        <v>10130000</v>
      </c>
      <c r="B3641" s="84"/>
      <c r="C3641" s="85" t="str">
        <f>VLOOKUP(A3641,'DAFTAR HARGA'!A:D,3,FALSE)</f>
        <v>OH</v>
      </c>
      <c r="D3641" s="84" t="s">
        <v>418</v>
      </c>
      <c r="E3641" s="84">
        <f>VLOOKUP(A3641,'DAFTAR HARGA'!A:D,4,FALSE)</f>
        <v>115000</v>
      </c>
      <c r="F3641" s="128">
        <v>0.2</v>
      </c>
      <c r="G3641" s="87" t="e">
        <f>VLOOKUP(A3641,'DAFTAR HARGA'!A:D,5,FALSE)</f>
        <v>#REF!</v>
      </c>
      <c r="H3641" s="87" t="e">
        <f>F3641*G3641</f>
        <v>#REF!</v>
      </c>
      <c r="I3641" s="87">
        <v>91500</v>
      </c>
      <c r="J3641" s="87">
        <f>F3641*I3641</f>
        <v>18300</v>
      </c>
      <c r="K3641" s="87">
        <v>91500</v>
      </c>
      <c r="L3641" s="87">
        <f>F3641*K3641</f>
        <v>18300</v>
      </c>
    </row>
    <row r="3642" spans="1:12" ht="12" customHeight="1" x14ac:dyDescent="0.35">
      <c r="A3642" s="134">
        <v>10144000</v>
      </c>
      <c r="B3642" s="84"/>
      <c r="C3642" s="85" t="str">
        <f>VLOOKUP(A3642,'DAFTAR HARGA'!A:D,3,FALSE)</f>
        <v>OH</v>
      </c>
      <c r="D3642" s="84" t="s">
        <v>418</v>
      </c>
      <c r="E3642" s="84">
        <f>VLOOKUP(A3642,'DAFTAR HARGA'!A:D,4,FALSE)</f>
        <v>236600</v>
      </c>
      <c r="F3642" s="128">
        <v>0.1</v>
      </c>
      <c r="G3642" s="87" t="e">
        <f>VLOOKUP(A3642,'DAFTAR HARGA'!A:D,5,FALSE)</f>
        <v>#REF!</v>
      </c>
      <c r="H3642" s="87" t="e">
        <f>F3642*G3642</f>
        <v>#REF!</v>
      </c>
      <c r="I3642" s="87"/>
      <c r="J3642" s="87"/>
      <c r="K3642" s="87"/>
      <c r="L3642" s="87"/>
    </row>
    <row r="3643" spans="1:12" ht="12" customHeight="1" x14ac:dyDescent="0.35">
      <c r="A3643" s="134">
        <v>10121100</v>
      </c>
      <c r="B3643" s="84"/>
      <c r="C3643" s="85" t="str">
        <f>VLOOKUP(A3643,'DAFTAR HARGA'!A:D,3,FALSE)</f>
        <v>OH</v>
      </c>
      <c r="D3643" s="84" t="s">
        <v>418</v>
      </c>
      <c r="E3643" s="84">
        <f>VLOOKUP(A3643,'DAFTAR HARGA'!A:D,4,FALSE)</f>
        <v>100000</v>
      </c>
      <c r="F3643" s="128">
        <v>0.1</v>
      </c>
      <c r="G3643" s="87" t="e">
        <f>VLOOKUP(A3643,'DAFTAR HARGA'!A:D,5,FALSE)</f>
        <v>#REF!</v>
      </c>
      <c r="H3643" s="87" t="e">
        <f>F3643*G3643</f>
        <v>#REF!</v>
      </c>
      <c r="I3643" s="87"/>
      <c r="J3643" s="87"/>
      <c r="K3643" s="87"/>
      <c r="L3643" s="87"/>
    </row>
    <row r="3644" spans="1:12" ht="12" customHeight="1" x14ac:dyDescent="0.35">
      <c r="A3644" s="134">
        <v>10110000</v>
      </c>
      <c r="B3644" s="84"/>
      <c r="C3644" s="85" t="str">
        <f>VLOOKUP(A3644,'DAFTAR HARGA'!A:D,3,FALSE)</f>
        <v>OH</v>
      </c>
      <c r="D3644" s="84" t="s">
        <v>418</v>
      </c>
      <c r="E3644" s="84">
        <f>VLOOKUP(A3644,'DAFTAR HARGA'!A:D,4,FALSE)</f>
        <v>150000</v>
      </c>
      <c r="F3644" s="128">
        <v>0.02</v>
      </c>
      <c r="G3644" s="87" t="e">
        <f>VLOOKUP(A3644,'DAFTAR HARGA'!A:D,5,FALSE)</f>
        <v>#REF!</v>
      </c>
      <c r="H3644" s="87" t="e">
        <f>F3644*G3644</f>
        <v>#REF!</v>
      </c>
      <c r="I3644" s="87">
        <v>92500</v>
      </c>
      <c r="J3644" s="87">
        <f>F3644*I3644</f>
        <v>1850</v>
      </c>
      <c r="K3644" s="87">
        <v>92500</v>
      </c>
      <c r="L3644" s="87">
        <f>F3644*K3644</f>
        <v>1850</v>
      </c>
    </row>
    <row r="3645" spans="1:12" ht="12" customHeight="1" x14ac:dyDescent="0.35">
      <c r="B3645" s="84"/>
      <c r="C3645" s="85"/>
      <c r="D3645" s="84"/>
      <c r="E3645" s="84"/>
      <c r="F3645" s="86"/>
      <c r="G3645" s="87"/>
      <c r="H3645" s="87"/>
      <c r="I3645" s="87"/>
      <c r="J3645" s="87"/>
      <c r="K3645" s="87"/>
      <c r="L3645" s="87"/>
    </row>
    <row r="3646" spans="1:12" ht="12" customHeight="1" x14ac:dyDescent="0.35">
      <c r="B3646" s="84"/>
      <c r="C3646" s="88"/>
      <c r="D3646" s="79"/>
      <c r="E3646" s="79"/>
      <c r="F3646" s="89" t="s">
        <v>421</v>
      </c>
      <c r="G3646" s="101"/>
      <c r="H3646" s="87" t="e">
        <f>SUM(H3641:H3645)</f>
        <v>#REF!</v>
      </c>
      <c r="I3646" s="101"/>
      <c r="J3646" s="87">
        <f>SUM(J3644:J3645)</f>
        <v>1850</v>
      </c>
      <c r="K3646" s="101"/>
      <c r="L3646" s="87">
        <f>SUM(L3644:L3645)</f>
        <v>1850</v>
      </c>
    </row>
    <row r="3647" spans="1:12" ht="12" customHeight="1" x14ac:dyDescent="0.35">
      <c r="B3647" s="84" t="s">
        <v>6</v>
      </c>
      <c r="C3647" s="88" t="s">
        <v>422</v>
      </c>
      <c r="D3647" s="79"/>
      <c r="E3647" s="79"/>
      <c r="F3647" s="90"/>
      <c r="G3647" s="84"/>
      <c r="H3647" s="87"/>
      <c r="I3647" s="84"/>
      <c r="J3647" s="87"/>
      <c r="K3647" s="84"/>
      <c r="L3647" s="87"/>
    </row>
    <row r="3648" spans="1:12" x14ac:dyDescent="0.35">
      <c r="A3648" s="134">
        <v>21501007</v>
      </c>
      <c r="B3648" s="84"/>
      <c r="C3648" s="85" t="str">
        <f>VLOOKUP(A3648,'DAFTAR HARGA'!A:D,3,FALSE)</f>
        <v>lbr</v>
      </c>
      <c r="D3648" s="84" t="s">
        <v>418</v>
      </c>
      <c r="E3648" s="84">
        <f>VLOOKUP(A3648,'DAFTAR HARGA'!A:D,4,FALSE)</f>
        <v>34000</v>
      </c>
      <c r="F3648" s="128">
        <v>1.2</v>
      </c>
      <c r="G3648" s="87" t="e">
        <f>VLOOKUP(A3648,'DAFTAR HARGA'!A:D,5,FALSE)</f>
        <v>#REF!</v>
      </c>
      <c r="H3648" s="87" t="e">
        <f>F3648*G3648</f>
        <v>#REF!</v>
      </c>
      <c r="I3648" s="87"/>
      <c r="J3648" s="87"/>
      <c r="K3648" s="87"/>
      <c r="L3648" s="87"/>
    </row>
    <row r="3649" spans="1:12" x14ac:dyDescent="0.35">
      <c r="A3649" s="134">
        <v>21904003</v>
      </c>
      <c r="B3649" s="84"/>
      <c r="C3649" s="85" t="str">
        <f>VLOOKUP(A3649,'DAFTAR HARGA'!A:D,3,FALSE)</f>
        <v>kg</v>
      </c>
      <c r="D3649" s="84" t="s">
        <v>418</v>
      </c>
      <c r="E3649" s="84">
        <f>VLOOKUP(A3649,'DAFTAR HARGA'!A:D,4,FALSE)</f>
        <v>13500</v>
      </c>
      <c r="F3649" s="128">
        <v>13.5</v>
      </c>
      <c r="G3649" s="87" t="e">
        <f>VLOOKUP(A3649,'DAFTAR HARGA'!A:D,5,FALSE)</f>
        <v>#REF!</v>
      </c>
      <c r="H3649" s="87" t="e">
        <f>F3649*G3649</f>
        <v>#REF!</v>
      </c>
      <c r="I3649" s="87"/>
      <c r="J3649" s="87"/>
      <c r="K3649" s="87"/>
      <c r="L3649" s="87"/>
    </row>
    <row r="3650" spans="1:12" x14ac:dyDescent="0.35">
      <c r="A3650" s="134" t="s">
        <v>879</v>
      </c>
      <c r="B3650" s="84"/>
      <c r="C3650" s="85" t="str">
        <f>VLOOKUP(A3650,'DAFTAR HARGA'!A:D,3,FALSE)</f>
        <v>Kg</v>
      </c>
      <c r="D3650" s="84" t="s">
        <v>418</v>
      </c>
      <c r="E3650" s="84">
        <f>VLOOKUP(A3650,'DAFTAR HARGA'!A:D,4,FALSE)</f>
        <v>20500</v>
      </c>
      <c r="F3650" s="128">
        <v>0.3</v>
      </c>
      <c r="G3650" s="87" t="e">
        <f>VLOOKUP(A3650,'DAFTAR HARGA'!A:D,5,FALSE)</f>
        <v>#REF!</v>
      </c>
      <c r="H3650" s="87" t="e">
        <f>F3650*G3650</f>
        <v>#REF!</v>
      </c>
      <c r="I3650" s="87"/>
      <c r="J3650" s="87"/>
      <c r="K3650" s="87"/>
      <c r="L3650" s="87"/>
    </row>
    <row r="3651" spans="1:12" x14ac:dyDescent="0.35">
      <c r="A3651" s="134">
        <v>91111025</v>
      </c>
      <c r="B3651" s="84"/>
      <c r="C3651" s="85" t="str">
        <f>VLOOKUP(A3651,'DAFTAR HARGA'!A:D,3,FALSE)</f>
        <v>m3</v>
      </c>
      <c r="D3651" s="84" t="s">
        <v>418</v>
      </c>
      <c r="E3651" s="84" t="e">
        <f>VLOOKUP(A3651,'DAFTAR HARGA'!A:D,4,FALSE)</f>
        <v>#REF!</v>
      </c>
      <c r="F3651" s="128">
        <v>0.15</v>
      </c>
      <c r="G3651" s="87" t="e">
        <f>VLOOKUP(A3651,'DAFTAR HARGA'!A:D,5,FALSE)</f>
        <v>#REF!</v>
      </c>
      <c r="H3651" s="87" t="e">
        <f>F3651*G3651</f>
        <v>#REF!</v>
      </c>
      <c r="I3651" s="87"/>
      <c r="J3651" s="87"/>
      <c r="K3651" s="87"/>
      <c r="L3651" s="87"/>
    </row>
    <row r="3652" spans="1:12" x14ac:dyDescent="0.35">
      <c r="B3652" s="84"/>
      <c r="C3652" s="85"/>
      <c r="D3652" s="84"/>
      <c r="E3652" s="84"/>
      <c r="F3652" s="128"/>
      <c r="G3652" s="87"/>
      <c r="H3652" s="87"/>
      <c r="I3652" s="87"/>
      <c r="J3652" s="87"/>
      <c r="K3652" s="87"/>
      <c r="L3652" s="87"/>
    </row>
    <row r="3653" spans="1:12" x14ac:dyDescent="0.35">
      <c r="B3653" s="84"/>
      <c r="C3653" s="85"/>
      <c r="D3653" s="84"/>
      <c r="E3653" s="84"/>
      <c r="F3653" s="128"/>
      <c r="G3653" s="87"/>
      <c r="H3653" s="87">
        <f>F3653*G3653</f>
        <v>0</v>
      </c>
      <c r="I3653" s="87"/>
      <c r="J3653" s="87"/>
      <c r="K3653" s="87"/>
      <c r="L3653" s="87"/>
    </row>
    <row r="3654" spans="1:12" ht="12" customHeight="1" x14ac:dyDescent="0.35">
      <c r="B3654" s="84"/>
      <c r="C3654" s="88"/>
      <c r="D3654" s="79"/>
      <c r="E3654" s="79"/>
      <c r="F3654" s="129" t="s">
        <v>423</v>
      </c>
      <c r="G3654" s="129"/>
      <c r="H3654" s="87" t="e">
        <f>SUM(H3648:H3653)</f>
        <v>#REF!</v>
      </c>
      <c r="I3654" s="101"/>
      <c r="J3654" s="87" t="e">
        <f>SUM(#REF!)</f>
        <v>#REF!</v>
      </c>
      <c r="K3654" s="101"/>
      <c r="L3654" s="87" t="e">
        <f>SUM(#REF!)</f>
        <v>#REF!</v>
      </c>
    </row>
    <row r="3655" spans="1:12" ht="12" customHeight="1" x14ac:dyDescent="0.35">
      <c r="B3655" s="84" t="s">
        <v>7</v>
      </c>
      <c r="C3655" s="88" t="s">
        <v>424</v>
      </c>
      <c r="D3655" s="79"/>
      <c r="E3655" s="79"/>
      <c r="F3655" s="90"/>
      <c r="G3655" s="84"/>
      <c r="H3655" s="87"/>
      <c r="I3655" s="84"/>
      <c r="J3655" s="87"/>
      <c r="K3655" s="84"/>
      <c r="L3655" s="87"/>
    </row>
    <row r="3656" spans="1:12" ht="12" customHeight="1" x14ac:dyDescent="0.35">
      <c r="B3656" s="84"/>
      <c r="C3656" s="85"/>
      <c r="D3656" s="84"/>
      <c r="E3656" s="84"/>
      <c r="F3656" s="128"/>
      <c r="G3656" s="87"/>
      <c r="H3656" s="87">
        <f>F3656*G3656</f>
        <v>0</v>
      </c>
      <c r="I3656" s="87"/>
      <c r="J3656" s="87"/>
      <c r="K3656" s="87"/>
      <c r="L3656" s="87"/>
    </row>
    <row r="3657" spans="1:12" ht="12" customHeight="1" x14ac:dyDescent="0.35">
      <c r="B3657" s="84"/>
      <c r="C3657" s="85"/>
      <c r="D3657" s="84"/>
      <c r="E3657" s="84"/>
      <c r="F3657" s="128"/>
      <c r="G3657" s="87"/>
      <c r="H3657" s="87">
        <f>F3657*G3657</f>
        <v>0</v>
      </c>
      <c r="I3657" s="87"/>
      <c r="J3657" s="87"/>
      <c r="K3657" s="87"/>
      <c r="L3657" s="87"/>
    </row>
    <row r="3658" spans="1:12" ht="12" customHeight="1" x14ac:dyDescent="0.35">
      <c r="B3658" s="84"/>
      <c r="C3658" s="88"/>
      <c r="D3658" s="79"/>
      <c r="E3658" s="79"/>
      <c r="F3658" s="89" t="s">
        <v>425</v>
      </c>
      <c r="G3658" s="101"/>
      <c r="H3658" s="87">
        <f>SUM(H3656:H3657)</f>
        <v>0</v>
      </c>
      <c r="I3658" s="101"/>
      <c r="J3658" s="87" t="e">
        <f>SUM(#REF!)</f>
        <v>#REF!</v>
      </c>
      <c r="K3658" s="101"/>
      <c r="L3658" s="87" t="e">
        <f>SUM(#REF!)</f>
        <v>#REF!</v>
      </c>
    </row>
    <row r="3659" spans="1:12" ht="12" customHeight="1" x14ac:dyDescent="0.35">
      <c r="B3659" s="84" t="s">
        <v>8</v>
      </c>
      <c r="C3659" s="103" t="s">
        <v>426</v>
      </c>
      <c r="D3659" s="104"/>
      <c r="E3659" s="104"/>
      <c r="F3659" s="104"/>
      <c r="G3659" s="105"/>
      <c r="H3659" s="87" t="e">
        <f>H3646+H3654+H3658</f>
        <v>#REF!</v>
      </c>
      <c r="I3659" s="105"/>
      <c r="J3659" s="87" t="e">
        <f>J3646+J3654+J3658</f>
        <v>#REF!</v>
      </c>
      <c r="K3659" s="105"/>
      <c r="L3659" s="87" t="e">
        <f>L3646+L3654+L3658</f>
        <v>#REF!</v>
      </c>
    </row>
    <row r="3660" spans="1:12" ht="12" customHeight="1" x14ac:dyDescent="0.35">
      <c r="B3660" s="84" t="s">
        <v>9</v>
      </c>
      <c r="C3660" s="455" t="s">
        <v>427</v>
      </c>
      <c r="D3660" s="455"/>
      <c r="E3660" s="455"/>
      <c r="F3660" s="95" t="str">
        <f>OP</f>
        <v>TANJUNG PALAS TENGAH</v>
      </c>
      <c r="G3660" s="85" t="s">
        <v>428</v>
      </c>
      <c r="H3660" s="87" t="e">
        <f>H3659*F3660</f>
        <v>#REF!</v>
      </c>
      <c r="I3660" s="85" t="s">
        <v>428</v>
      </c>
      <c r="J3660" s="87" t="e">
        <f>J3659*F3660</f>
        <v>#REF!</v>
      </c>
      <c r="K3660" s="85" t="s">
        <v>428</v>
      </c>
      <c r="L3660" s="87" t="e">
        <f>L3659*F3660</f>
        <v>#REF!</v>
      </c>
    </row>
    <row r="3661" spans="1:12" ht="12" customHeight="1" x14ac:dyDescent="0.35">
      <c r="B3661" s="84" t="s">
        <v>10</v>
      </c>
      <c r="C3661" s="103" t="s">
        <v>429</v>
      </c>
      <c r="D3661" s="104"/>
      <c r="E3661" s="104"/>
      <c r="F3661" s="104"/>
      <c r="G3661" s="105"/>
      <c r="H3661" s="96" t="e">
        <f>H3659+H3660</f>
        <v>#REF!</v>
      </c>
      <c r="I3661" s="97"/>
      <c r="J3661" s="96" t="e">
        <f>J3659+J3660</f>
        <v>#REF!</v>
      </c>
      <c r="K3661" s="97"/>
      <c r="L3661" s="96" t="e">
        <f>L3659+L3660</f>
        <v>#REF!</v>
      </c>
    </row>
    <row r="3662" spans="1:12" ht="14" customHeight="1" x14ac:dyDescent="0.35"/>
    <row r="3663" spans="1:12" ht="37" customHeight="1" x14ac:dyDescent="0.35">
      <c r="B3663" s="76" t="s">
        <v>881</v>
      </c>
      <c r="C3663" s="458" t="s">
        <v>882</v>
      </c>
      <c r="D3663" s="459"/>
      <c r="E3663" s="459"/>
      <c r="F3663" s="459"/>
      <c r="G3663" s="456"/>
      <c r="H3663" s="457"/>
      <c r="I3663" s="455" t="s">
        <v>3</v>
      </c>
      <c r="J3663" s="455"/>
      <c r="K3663" s="455" t="s">
        <v>4</v>
      </c>
      <c r="L3663" s="455"/>
    </row>
    <row r="3664" spans="1:12" ht="12" customHeight="1" x14ac:dyDescent="0.35">
      <c r="B3664" s="451" t="s">
        <v>409</v>
      </c>
      <c r="C3664" s="451" t="s">
        <v>410</v>
      </c>
      <c r="D3664" s="452" t="s">
        <v>411</v>
      </c>
      <c r="E3664" s="451" t="s">
        <v>412</v>
      </c>
      <c r="F3664" s="451" t="s">
        <v>413</v>
      </c>
      <c r="G3664" s="77" t="s">
        <v>414</v>
      </c>
      <c r="H3664" s="77" t="s">
        <v>415</v>
      </c>
      <c r="I3664" s="78" t="s">
        <v>414</v>
      </c>
      <c r="J3664" s="79" t="s">
        <v>415</v>
      </c>
      <c r="K3664" s="79" t="s">
        <v>414</v>
      </c>
      <c r="L3664" s="79" t="s">
        <v>415</v>
      </c>
    </row>
    <row r="3665" spans="1:12" ht="12" customHeight="1" x14ac:dyDescent="0.35">
      <c r="B3665" s="451"/>
      <c r="C3665" s="451"/>
      <c r="D3665" s="453"/>
      <c r="E3665" s="451"/>
      <c r="F3665" s="451"/>
      <c r="G3665" s="77" t="s">
        <v>17</v>
      </c>
      <c r="H3665" s="77" t="s">
        <v>416</v>
      </c>
      <c r="I3665" s="78" t="s">
        <v>17</v>
      </c>
      <c r="J3665" s="79" t="s">
        <v>416</v>
      </c>
      <c r="K3665" s="79" t="s">
        <v>17</v>
      </c>
      <c r="L3665" s="79" t="s">
        <v>416</v>
      </c>
    </row>
    <row r="3666" spans="1:12" ht="12" customHeight="1" x14ac:dyDescent="0.35">
      <c r="B3666" s="451"/>
      <c r="C3666" s="451"/>
      <c r="D3666" s="454"/>
      <c r="E3666" s="451"/>
      <c r="F3666" s="451"/>
      <c r="G3666" s="106"/>
      <c r="H3666" s="77" t="s">
        <v>17</v>
      </c>
      <c r="I3666" s="94"/>
      <c r="J3666" s="79" t="s">
        <v>17</v>
      </c>
      <c r="K3666" s="85"/>
      <c r="L3666" s="79" t="s">
        <v>17</v>
      </c>
    </row>
    <row r="3667" spans="1:12" ht="12" customHeight="1" x14ac:dyDescent="0.35">
      <c r="B3667" s="80" t="s">
        <v>5</v>
      </c>
      <c r="C3667" s="81" t="s">
        <v>417</v>
      </c>
      <c r="D3667" s="82"/>
      <c r="E3667" s="82"/>
      <c r="F3667" s="82"/>
      <c r="G3667" s="82"/>
      <c r="H3667" s="82"/>
      <c r="I3667" s="83"/>
      <c r="J3667" s="83"/>
      <c r="K3667" s="83"/>
      <c r="L3667" s="83"/>
    </row>
    <row r="3668" spans="1:12" ht="12" customHeight="1" x14ac:dyDescent="0.35">
      <c r="A3668" s="134">
        <v>10130000</v>
      </c>
      <c r="B3668" s="84"/>
      <c r="C3668" s="85" t="str">
        <f>VLOOKUP(A3668,'DAFTAR HARGA'!A:D,3,FALSE)</f>
        <v>OH</v>
      </c>
      <c r="D3668" s="84" t="s">
        <v>418</v>
      </c>
      <c r="E3668" s="84">
        <f>VLOOKUP(A3668,'DAFTAR HARGA'!A:D,4,FALSE)</f>
        <v>115000</v>
      </c>
      <c r="F3668" s="128">
        <v>0.18</v>
      </c>
      <c r="G3668" s="87" t="e">
        <f>VLOOKUP(A3668,'DAFTAR HARGA'!A:D,5,FALSE)</f>
        <v>#REF!</v>
      </c>
      <c r="H3668" s="87" t="e">
        <f>F3668*G3668</f>
        <v>#REF!</v>
      </c>
      <c r="I3668" s="87">
        <v>91500</v>
      </c>
      <c r="J3668" s="87">
        <f>F3668*I3668</f>
        <v>16470</v>
      </c>
      <c r="K3668" s="87">
        <v>91500</v>
      </c>
      <c r="L3668" s="87">
        <f>F3668*K3668</f>
        <v>16470</v>
      </c>
    </row>
    <row r="3669" spans="1:12" ht="12" customHeight="1" x14ac:dyDescent="0.35">
      <c r="A3669" s="134">
        <v>10144000</v>
      </c>
      <c r="B3669" s="84"/>
      <c r="C3669" s="85" t="str">
        <f>VLOOKUP(A3669,'DAFTAR HARGA'!A:D,3,FALSE)</f>
        <v>OH</v>
      </c>
      <c r="D3669" s="84" t="s">
        <v>418</v>
      </c>
      <c r="E3669" s="84">
        <f>VLOOKUP(A3669,'DAFTAR HARGA'!A:D,4,FALSE)</f>
        <v>236600</v>
      </c>
      <c r="F3669" s="128">
        <v>0.1</v>
      </c>
      <c r="G3669" s="87" t="e">
        <f>VLOOKUP(A3669,'DAFTAR HARGA'!A:D,5,FALSE)</f>
        <v>#REF!</v>
      </c>
      <c r="H3669" s="87" t="e">
        <f>F3669*G3669</f>
        <v>#REF!</v>
      </c>
      <c r="I3669" s="87"/>
      <c r="J3669" s="87"/>
      <c r="K3669" s="87"/>
      <c r="L3669" s="87"/>
    </row>
    <row r="3670" spans="1:12" ht="12" customHeight="1" x14ac:dyDescent="0.35">
      <c r="A3670" s="134">
        <v>10121100</v>
      </c>
      <c r="B3670" s="84"/>
      <c r="C3670" s="85" t="str">
        <f>VLOOKUP(A3670,'DAFTAR HARGA'!A:D,3,FALSE)</f>
        <v>OH</v>
      </c>
      <c r="D3670" s="84" t="s">
        <v>418</v>
      </c>
      <c r="E3670" s="84">
        <f>VLOOKUP(A3670,'DAFTAR HARGA'!A:D,4,FALSE)</f>
        <v>100000</v>
      </c>
      <c r="F3670" s="128">
        <v>0.08</v>
      </c>
      <c r="G3670" s="87" t="e">
        <f>VLOOKUP(A3670,'DAFTAR HARGA'!A:D,5,FALSE)</f>
        <v>#REF!</v>
      </c>
      <c r="H3670" s="87" t="e">
        <f>F3670*G3670</f>
        <v>#REF!</v>
      </c>
      <c r="I3670" s="87"/>
      <c r="J3670" s="87"/>
      <c r="K3670" s="87"/>
      <c r="L3670" s="87"/>
    </row>
    <row r="3671" spans="1:12" ht="12" customHeight="1" x14ac:dyDescent="0.35">
      <c r="A3671" s="134">
        <v>10110000</v>
      </c>
      <c r="B3671" s="84"/>
      <c r="C3671" s="85" t="str">
        <f>VLOOKUP(A3671,'DAFTAR HARGA'!A:D,3,FALSE)</f>
        <v>OH</v>
      </c>
      <c r="D3671" s="84" t="s">
        <v>418</v>
      </c>
      <c r="E3671" s="84">
        <f>VLOOKUP(A3671,'DAFTAR HARGA'!A:D,4,FALSE)</f>
        <v>150000</v>
      </c>
      <c r="F3671" s="128">
        <v>1.7999999999999999E-2</v>
      </c>
      <c r="G3671" s="87" t="e">
        <f>VLOOKUP(A3671,'DAFTAR HARGA'!A:D,5,FALSE)</f>
        <v>#REF!</v>
      </c>
      <c r="H3671" s="87" t="e">
        <f>F3671*G3671</f>
        <v>#REF!</v>
      </c>
      <c r="I3671" s="87">
        <v>92500</v>
      </c>
      <c r="J3671" s="87">
        <f>F3671*I3671</f>
        <v>1664.9999999999998</v>
      </c>
      <c r="K3671" s="87">
        <v>92500</v>
      </c>
      <c r="L3671" s="87">
        <f>F3671*K3671</f>
        <v>1664.9999999999998</v>
      </c>
    </row>
    <row r="3672" spans="1:12" ht="12" customHeight="1" x14ac:dyDescent="0.35">
      <c r="B3672" s="84"/>
      <c r="C3672" s="85"/>
      <c r="D3672" s="84"/>
      <c r="E3672" s="84"/>
      <c r="F3672" s="86"/>
      <c r="G3672" s="87"/>
      <c r="H3672" s="87"/>
      <c r="I3672" s="87"/>
      <c r="J3672" s="87"/>
      <c r="K3672" s="87"/>
      <c r="L3672" s="87"/>
    </row>
    <row r="3673" spans="1:12" ht="12" customHeight="1" x14ac:dyDescent="0.35">
      <c r="B3673" s="84"/>
      <c r="C3673" s="88"/>
      <c r="D3673" s="79"/>
      <c r="E3673" s="79"/>
      <c r="F3673" s="89" t="s">
        <v>421</v>
      </c>
      <c r="G3673" s="101"/>
      <c r="H3673" s="87" t="e">
        <f>SUM(H3668:H3672)</f>
        <v>#REF!</v>
      </c>
      <c r="I3673" s="101"/>
      <c r="J3673" s="87">
        <f>SUM(J3671:J3672)</f>
        <v>1664.9999999999998</v>
      </c>
      <c r="K3673" s="101"/>
      <c r="L3673" s="87">
        <f>SUM(L3671:L3672)</f>
        <v>1664.9999999999998</v>
      </c>
    </row>
    <row r="3674" spans="1:12" ht="12" customHeight="1" x14ac:dyDescent="0.35">
      <c r="B3674" s="84" t="s">
        <v>6</v>
      </c>
      <c r="C3674" s="88" t="s">
        <v>422</v>
      </c>
      <c r="D3674" s="79"/>
      <c r="E3674" s="79"/>
      <c r="F3674" s="90"/>
      <c r="G3674" s="84"/>
      <c r="H3674" s="87"/>
      <c r="I3674" s="84"/>
      <c r="J3674" s="87"/>
      <c r="K3674" s="84"/>
      <c r="L3674" s="87"/>
    </row>
    <row r="3675" spans="1:12" x14ac:dyDescent="0.35">
      <c r="A3675" s="134">
        <v>21501007</v>
      </c>
      <c r="B3675" s="84"/>
      <c r="C3675" s="85" t="str">
        <f>VLOOKUP(A3675,'DAFTAR HARGA'!A:D,3,FALSE)</f>
        <v>lbr</v>
      </c>
      <c r="D3675" s="84" t="s">
        <v>418</v>
      </c>
      <c r="E3675" s="84">
        <f>VLOOKUP(A3675,'DAFTAR HARGA'!A:D,4,FALSE)</f>
        <v>34000</v>
      </c>
      <c r="F3675" s="128">
        <v>1.2</v>
      </c>
      <c r="G3675" s="87" t="e">
        <f>VLOOKUP(A3675,'DAFTAR HARGA'!A:D,5,FALSE)</f>
        <v>#REF!</v>
      </c>
      <c r="H3675" s="87" t="e">
        <f>F3675*G3675</f>
        <v>#REF!</v>
      </c>
      <c r="I3675" s="87"/>
      <c r="J3675" s="87"/>
      <c r="K3675" s="87"/>
      <c r="L3675" s="87"/>
    </row>
    <row r="3676" spans="1:12" x14ac:dyDescent="0.35">
      <c r="A3676" s="134">
        <v>21401200</v>
      </c>
      <c r="B3676" s="84"/>
      <c r="C3676" s="85" t="str">
        <f>VLOOKUP(A3676,'DAFTAR HARGA'!A:D,3,FALSE)</f>
        <v>m³</v>
      </c>
      <c r="D3676" s="84" t="s">
        <v>418</v>
      </c>
      <c r="E3676" s="84">
        <f>VLOOKUP(A3676,'DAFTAR HARGA'!A:D,4,FALSE)</f>
        <v>1900000</v>
      </c>
      <c r="F3676" s="128">
        <v>3.5000000000000003E-2</v>
      </c>
      <c r="G3676" s="87" t="e">
        <f>VLOOKUP(A3676,'DAFTAR HARGA'!A:D,5,FALSE)</f>
        <v>#REF!</v>
      </c>
      <c r="H3676" s="87" t="e">
        <f>F3676*G3676</f>
        <v>#REF!</v>
      </c>
      <c r="I3676" s="87"/>
      <c r="J3676" s="87"/>
      <c r="K3676" s="87"/>
      <c r="L3676" s="87"/>
    </row>
    <row r="3677" spans="1:12" x14ac:dyDescent="0.35">
      <c r="A3677" s="134">
        <v>21911024</v>
      </c>
      <c r="B3677" s="84"/>
      <c r="C3677" s="85" t="str">
        <f>VLOOKUP(A3677,'DAFTAR HARGA'!A:D,3,FALSE)</f>
        <v>kg</v>
      </c>
      <c r="D3677" s="84" t="s">
        <v>418</v>
      </c>
      <c r="E3677" s="84">
        <f>VLOOKUP(A3677,'DAFTAR HARGA'!A:D,4,FALSE)</f>
        <v>18500</v>
      </c>
      <c r="F3677" s="128">
        <v>0.3</v>
      </c>
      <c r="G3677" s="87" t="e">
        <f>VLOOKUP(A3677,'DAFTAR HARGA'!A:D,5,FALSE)</f>
        <v>#REF!</v>
      </c>
      <c r="H3677" s="87" t="e">
        <f>F3677*G3677</f>
        <v>#REF!</v>
      </c>
      <c r="I3677" s="87"/>
      <c r="J3677" s="87"/>
      <c r="K3677" s="87"/>
      <c r="L3677" s="87"/>
    </row>
    <row r="3678" spans="1:12" x14ac:dyDescent="0.35">
      <c r="A3678" s="134">
        <v>21911033</v>
      </c>
      <c r="B3678" s="84"/>
      <c r="C3678" s="85" t="str">
        <f>VLOOKUP(A3678,'DAFTAR HARGA'!A:D,3,FALSE)</f>
        <v>kg</v>
      </c>
      <c r="D3678" s="84" t="s">
        <v>418</v>
      </c>
      <c r="E3678" s="84">
        <f>VLOOKUP(A3678,'DAFTAR HARGA'!A:D,4,FALSE)</f>
        <v>18500</v>
      </c>
      <c r="F3678" s="128">
        <v>0.12</v>
      </c>
      <c r="G3678" s="87" t="e">
        <f>VLOOKUP(A3678,'DAFTAR HARGA'!A:D,5,FALSE)</f>
        <v>#REF!</v>
      </c>
      <c r="H3678" s="87" t="e">
        <f>F3678*G3678</f>
        <v>#REF!</v>
      </c>
      <c r="I3678" s="87"/>
      <c r="J3678" s="87"/>
      <c r="K3678" s="87"/>
      <c r="L3678" s="87"/>
    </row>
    <row r="3679" spans="1:12" x14ac:dyDescent="0.35">
      <c r="A3679" s="134">
        <v>91111025</v>
      </c>
      <c r="B3679" s="84"/>
      <c r="C3679" s="85" t="str">
        <f>VLOOKUP(A3679,'DAFTAR HARGA'!A:D,3,FALSE)</f>
        <v>m3</v>
      </c>
      <c r="D3679" s="84" t="s">
        <v>418</v>
      </c>
      <c r="E3679" s="84" t="e">
        <f>VLOOKUP(A3679,'DAFTAR HARGA'!A:D,4,FALSE)</f>
        <v>#REF!</v>
      </c>
      <c r="F3679" s="128">
        <v>0.15</v>
      </c>
      <c r="G3679" s="87" t="e">
        <f>VLOOKUP(A3679,'DAFTAR HARGA'!A:D,5,FALSE)</f>
        <v>#REF!</v>
      </c>
      <c r="H3679" s="87" t="e">
        <f>F3679*G3679</f>
        <v>#REF!</v>
      </c>
      <c r="I3679" s="87"/>
      <c r="J3679" s="87"/>
      <c r="K3679" s="87"/>
      <c r="L3679" s="87"/>
    </row>
    <row r="3680" spans="1:12" x14ac:dyDescent="0.35">
      <c r="B3680" s="84"/>
      <c r="C3680" s="85"/>
      <c r="D3680" s="84"/>
      <c r="E3680" s="84"/>
      <c r="F3680" s="128"/>
      <c r="G3680" s="87"/>
      <c r="H3680" s="87"/>
      <c r="I3680" s="87"/>
      <c r="J3680" s="87"/>
      <c r="K3680" s="87"/>
      <c r="L3680" s="87"/>
    </row>
    <row r="3681" spans="2:12" x14ac:dyDescent="0.35">
      <c r="B3681" s="84"/>
      <c r="C3681" s="85"/>
      <c r="D3681" s="84"/>
      <c r="E3681" s="84"/>
      <c r="F3681" s="128"/>
      <c r="G3681" s="87"/>
      <c r="H3681" s="87">
        <f>F3681*G3681</f>
        <v>0</v>
      </c>
      <c r="I3681" s="87"/>
      <c r="J3681" s="87"/>
      <c r="K3681" s="87"/>
      <c r="L3681" s="87"/>
    </row>
    <row r="3682" spans="2:12" ht="12" customHeight="1" x14ac:dyDescent="0.35">
      <c r="B3682" s="84"/>
      <c r="C3682" s="88"/>
      <c r="D3682" s="79"/>
      <c r="E3682" s="79"/>
      <c r="F3682" s="129" t="s">
        <v>423</v>
      </c>
      <c r="G3682" s="129"/>
      <c r="H3682" s="87" t="e">
        <f>SUM(H3675:H3681)</f>
        <v>#REF!</v>
      </c>
      <c r="I3682" s="101"/>
      <c r="J3682" s="87" t="e">
        <f>SUM(#REF!)</f>
        <v>#REF!</v>
      </c>
      <c r="K3682" s="101"/>
      <c r="L3682" s="87" t="e">
        <f>SUM(#REF!)</f>
        <v>#REF!</v>
      </c>
    </row>
    <row r="3683" spans="2:12" ht="12" customHeight="1" x14ac:dyDescent="0.35">
      <c r="B3683" s="84" t="s">
        <v>7</v>
      </c>
      <c r="C3683" s="88" t="s">
        <v>424</v>
      </c>
      <c r="D3683" s="79"/>
      <c r="E3683" s="79"/>
      <c r="F3683" s="90"/>
      <c r="G3683" s="84"/>
      <c r="H3683" s="87"/>
      <c r="I3683" s="84"/>
      <c r="J3683" s="87"/>
      <c r="K3683" s="84"/>
      <c r="L3683" s="87"/>
    </row>
    <row r="3684" spans="2:12" ht="12" customHeight="1" x14ac:dyDescent="0.35">
      <c r="B3684" s="84"/>
      <c r="C3684" s="85"/>
      <c r="D3684" s="84"/>
      <c r="E3684" s="84"/>
      <c r="F3684" s="128"/>
      <c r="G3684" s="87"/>
      <c r="H3684" s="87">
        <f>F3684*G3684</f>
        <v>0</v>
      </c>
      <c r="I3684" s="87"/>
      <c r="J3684" s="87"/>
      <c r="K3684" s="87"/>
      <c r="L3684" s="87"/>
    </row>
    <row r="3685" spans="2:12" ht="12" customHeight="1" x14ac:dyDescent="0.35">
      <c r="B3685" s="84"/>
      <c r="C3685" s="85"/>
      <c r="D3685" s="84"/>
      <c r="E3685" s="84"/>
      <c r="F3685" s="128"/>
      <c r="G3685" s="87"/>
      <c r="H3685" s="87">
        <f>F3685*G3685</f>
        <v>0</v>
      </c>
      <c r="I3685" s="87"/>
      <c r="J3685" s="87"/>
      <c r="K3685" s="87"/>
      <c r="L3685" s="87"/>
    </row>
    <row r="3686" spans="2:12" ht="12" customHeight="1" x14ac:dyDescent="0.35">
      <c r="B3686" s="84"/>
      <c r="C3686" s="88"/>
      <c r="D3686" s="79"/>
      <c r="E3686" s="79"/>
      <c r="F3686" s="89" t="s">
        <v>425</v>
      </c>
      <c r="G3686" s="101"/>
      <c r="H3686" s="87">
        <f>SUM(H3684:H3685)</f>
        <v>0</v>
      </c>
      <c r="I3686" s="101"/>
      <c r="J3686" s="87" t="e">
        <f>SUM(#REF!)</f>
        <v>#REF!</v>
      </c>
      <c r="K3686" s="101"/>
      <c r="L3686" s="87" t="e">
        <f>SUM(#REF!)</f>
        <v>#REF!</v>
      </c>
    </row>
    <row r="3687" spans="2:12" ht="12" customHeight="1" x14ac:dyDescent="0.35">
      <c r="B3687" s="84" t="s">
        <v>8</v>
      </c>
      <c r="C3687" s="103" t="s">
        <v>426</v>
      </c>
      <c r="D3687" s="104"/>
      <c r="E3687" s="104"/>
      <c r="F3687" s="104"/>
      <c r="G3687" s="105"/>
      <c r="H3687" s="87" t="e">
        <f>H3673+H3682+H3686</f>
        <v>#REF!</v>
      </c>
      <c r="I3687" s="105"/>
      <c r="J3687" s="87" t="e">
        <f>J3673+J3682+J3686</f>
        <v>#REF!</v>
      </c>
      <c r="K3687" s="105"/>
      <c r="L3687" s="87" t="e">
        <f>L3673+L3682+L3686</f>
        <v>#REF!</v>
      </c>
    </row>
    <row r="3688" spans="2:12" ht="12" customHeight="1" x14ac:dyDescent="0.35">
      <c r="B3688" s="84" t="s">
        <v>9</v>
      </c>
      <c r="C3688" s="455" t="s">
        <v>427</v>
      </c>
      <c r="D3688" s="455"/>
      <c r="E3688" s="455"/>
      <c r="F3688" s="95" t="str">
        <f>OP</f>
        <v>TANJUNG PALAS TENGAH</v>
      </c>
      <c r="G3688" s="85" t="s">
        <v>428</v>
      </c>
      <c r="H3688" s="87" t="e">
        <f>H3687*F3688</f>
        <v>#REF!</v>
      </c>
      <c r="I3688" s="85" t="s">
        <v>428</v>
      </c>
      <c r="J3688" s="87" t="e">
        <f>J3687*F3688</f>
        <v>#REF!</v>
      </c>
      <c r="K3688" s="85" t="s">
        <v>428</v>
      </c>
      <c r="L3688" s="87" t="e">
        <f>L3687*F3688</f>
        <v>#REF!</v>
      </c>
    </row>
    <row r="3689" spans="2:12" ht="12" customHeight="1" x14ac:dyDescent="0.35">
      <c r="B3689" s="84" t="s">
        <v>10</v>
      </c>
      <c r="C3689" s="103" t="s">
        <v>429</v>
      </c>
      <c r="D3689" s="104"/>
      <c r="E3689" s="104"/>
      <c r="F3689" s="104"/>
      <c r="G3689" s="105"/>
      <c r="H3689" s="96" t="e">
        <f>H3687+H3688</f>
        <v>#REF!</v>
      </c>
      <c r="I3689" s="97"/>
      <c r="J3689" s="96" t="e">
        <f>J3687+J3688</f>
        <v>#REF!</v>
      </c>
      <c r="K3689" s="97"/>
      <c r="L3689" s="96" t="e">
        <f>L3687+L3688</f>
        <v>#REF!</v>
      </c>
    </row>
    <row r="3690" spans="2:12" ht="14" customHeight="1" x14ac:dyDescent="0.35"/>
    <row r="3691" spans="2:12" ht="37" customHeight="1" x14ac:dyDescent="0.35">
      <c r="B3691" s="76" t="s">
        <v>884</v>
      </c>
      <c r="C3691" s="458" t="s">
        <v>885</v>
      </c>
      <c r="D3691" s="459"/>
      <c r="E3691" s="459"/>
      <c r="F3691" s="459"/>
      <c r="G3691" s="456"/>
      <c r="H3691" s="457"/>
      <c r="I3691" s="455" t="s">
        <v>3</v>
      </c>
      <c r="J3691" s="455"/>
      <c r="K3691" s="455" t="s">
        <v>4</v>
      </c>
      <c r="L3691" s="455"/>
    </row>
    <row r="3692" spans="2:12" ht="12" customHeight="1" x14ac:dyDescent="0.35">
      <c r="B3692" s="451" t="s">
        <v>409</v>
      </c>
      <c r="C3692" s="451" t="s">
        <v>410</v>
      </c>
      <c r="D3692" s="452" t="s">
        <v>411</v>
      </c>
      <c r="E3692" s="451" t="s">
        <v>412</v>
      </c>
      <c r="F3692" s="451" t="s">
        <v>413</v>
      </c>
      <c r="G3692" s="77" t="s">
        <v>414</v>
      </c>
      <c r="H3692" s="77" t="s">
        <v>415</v>
      </c>
      <c r="I3692" s="78" t="s">
        <v>414</v>
      </c>
      <c r="J3692" s="79" t="s">
        <v>415</v>
      </c>
      <c r="K3692" s="79" t="s">
        <v>414</v>
      </c>
      <c r="L3692" s="79" t="s">
        <v>415</v>
      </c>
    </row>
    <row r="3693" spans="2:12" ht="12" customHeight="1" x14ac:dyDescent="0.35">
      <c r="B3693" s="451"/>
      <c r="C3693" s="451"/>
      <c r="D3693" s="453"/>
      <c r="E3693" s="451"/>
      <c r="F3693" s="451"/>
      <c r="G3693" s="77" t="s">
        <v>17</v>
      </c>
      <c r="H3693" s="77" t="s">
        <v>416</v>
      </c>
      <c r="I3693" s="78" t="s">
        <v>17</v>
      </c>
      <c r="J3693" s="79" t="s">
        <v>416</v>
      </c>
      <c r="K3693" s="79" t="s">
        <v>17</v>
      </c>
      <c r="L3693" s="79" t="s">
        <v>416</v>
      </c>
    </row>
    <row r="3694" spans="2:12" ht="12" customHeight="1" x14ac:dyDescent="0.35">
      <c r="B3694" s="451"/>
      <c r="C3694" s="451"/>
      <c r="D3694" s="454"/>
      <c r="E3694" s="451"/>
      <c r="F3694" s="451"/>
      <c r="G3694" s="106"/>
      <c r="H3694" s="77" t="s">
        <v>17</v>
      </c>
      <c r="I3694" s="94"/>
      <c r="J3694" s="79" t="s">
        <v>17</v>
      </c>
      <c r="K3694" s="85"/>
      <c r="L3694" s="79" t="s">
        <v>17</v>
      </c>
    </row>
    <row r="3695" spans="2:12" ht="12" customHeight="1" x14ac:dyDescent="0.35">
      <c r="B3695" s="80" t="s">
        <v>5</v>
      </c>
      <c r="C3695" s="81" t="s">
        <v>417</v>
      </c>
      <c r="D3695" s="82"/>
      <c r="E3695" s="82"/>
      <c r="F3695" s="82"/>
      <c r="G3695" s="82"/>
      <c r="H3695" s="82"/>
      <c r="I3695" s="83"/>
      <c r="J3695" s="83"/>
      <c r="K3695" s="83"/>
      <c r="L3695" s="83"/>
    </row>
    <row r="3696" spans="2:12" ht="12" customHeight="1" x14ac:dyDescent="0.35">
      <c r="B3696" s="84"/>
      <c r="C3696" s="85" t="s">
        <v>886</v>
      </c>
      <c r="D3696" s="84" t="s">
        <v>418</v>
      </c>
      <c r="E3696" s="84" t="s">
        <v>888</v>
      </c>
      <c r="F3696" s="128"/>
      <c r="G3696" s="87"/>
      <c r="H3696" s="87">
        <f>F3696*G3696</f>
        <v>0</v>
      </c>
      <c r="I3696" s="87">
        <v>91500</v>
      </c>
      <c r="J3696" s="87">
        <f>F3696*I3696</f>
        <v>0</v>
      </c>
      <c r="K3696" s="87">
        <v>91500</v>
      </c>
      <c r="L3696" s="87">
        <f>F3696*K3696</f>
        <v>0</v>
      </c>
    </row>
    <row r="3697" spans="2:12" ht="12" customHeight="1" x14ac:dyDescent="0.35">
      <c r="B3697" s="84"/>
      <c r="C3697" s="85" t="s">
        <v>887</v>
      </c>
      <c r="D3697" s="84" t="s">
        <v>418</v>
      </c>
      <c r="E3697" s="84" t="s">
        <v>888</v>
      </c>
      <c r="F3697" s="128"/>
      <c r="G3697" s="87"/>
      <c r="H3697" s="87">
        <f>F3697*G3697</f>
        <v>0</v>
      </c>
      <c r="I3697" s="87"/>
      <c r="J3697" s="87"/>
      <c r="K3697" s="87"/>
      <c r="L3697" s="87"/>
    </row>
    <row r="3698" spans="2:12" ht="12" customHeight="1" x14ac:dyDescent="0.35">
      <c r="B3698" s="84"/>
      <c r="C3698" s="85"/>
      <c r="D3698" s="84"/>
      <c r="E3698" s="84"/>
      <c r="F3698" s="86"/>
      <c r="G3698" s="87"/>
      <c r="H3698" s="87"/>
      <c r="I3698" s="87"/>
      <c r="J3698" s="87"/>
      <c r="K3698" s="87"/>
      <c r="L3698" s="87"/>
    </row>
    <row r="3699" spans="2:12" ht="12" customHeight="1" x14ac:dyDescent="0.35">
      <c r="B3699" s="84"/>
      <c r="C3699" s="88"/>
      <c r="D3699" s="79"/>
      <c r="E3699" s="79"/>
      <c r="F3699" s="89" t="s">
        <v>421</v>
      </c>
      <c r="G3699" s="101"/>
      <c r="H3699" s="87">
        <f>SUM(H3696:H3698)</f>
        <v>0</v>
      </c>
      <c r="I3699" s="101"/>
      <c r="J3699" s="87">
        <f>SUM(J3698:J3698)</f>
        <v>0</v>
      </c>
      <c r="K3699" s="101"/>
      <c r="L3699" s="87">
        <f>SUM(L3698:L3698)</f>
        <v>0</v>
      </c>
    </row>
    <row r="3700" spans="2:12" ht="12" customHeight="1" x14ac:dyDescent="0.35">
      <c r="B3700" s="84" t="s">
        <v>6</v>
      </c>
      <c r="C3700" s="88" t="s">
        <v>889</v>
      </c>
      <c r="D3700" s="79"/>
      <c r="E3700" s="79"/>
      <c r="F3700" s="90"/>
      <c r="G3700" s="84"/>
      <c r="H3700" s="87"/>
      <c r="I3700" s="84"/>
      <c r="J3700" s="87"/>
      <c r="K3700" s="84"/>
      <c r="L3700" s="87"/>
    </row>
    <row r="3701" spans="2:12" x14ac:dyDescent="0.35">
      <c r="B3701" s="84"/>
      <c r="C3701" s="85" t="s">
        <v>890</v>
      </c>
      <c r="D3701" s="84" t="s">
        <v>418</v>
      </c>
      <c r="E3701" s="84" t="s">
        <v>713</v>
      </c>
      <c r="F3701" s="128">
        <v>12</v>
      </c>
      <c r="G3701" s="87"/>
      <c r="H3701" s="87">
        <f>F3701*G3701</f>
        <v>0</v>
      </c>
      <c r="I3701" s="87"/>
      <c r="J3701" s="87"/>
      <c r="K3701" s="87"/>
      <c r="L3701" s="87"/>
    </row>
    <row r="3702" spans="2:12" x14ac:dyDescent="0.35">
      <c r="B3702" s="84"/>
      <c r="C3702" s="85" t="s">
        <v>891</v>
      </c>
      <c r="D3702" s="84" t="s">
        <v>418</v>
      </c>
      <c r="E3702" s="84" t="s">
        <v>713</v>
      </c>
      <c r="F3702" s="128">
        <v>9</v>
      </c>
      <c r="G3702" s="87"/>
      <c r="H3702" s="87">
        <f>F3702*G3702</f>
        <v>0</v>
      </c>
      <c r="I3702" s="87"/>
      <c r="J3702" s="87"/>
      <c r="K3702" s="87"/>
      <c r="L3702" s="87"/>
    </row>
    <row r="3703" spans="2:12" x14ac:dyDescent="0.35">
      <c r="B3703" s="84"/>
      <c r="C3703" s="85" t="s">
        <v>892</v>
      </c>
      <c r="D3703" s="84" t="s">
        <v>418</v>
      </c>
      <c r="E3703" s="84" t="s">
        <v>713</v>
      </c>
      <c r="F3703" s="128">
        <v>20</v>
      </c>
      <c r="G3703" s="87"/>
      <c r="H3703" s="87">
        <f>F3703*G3703</f>
        <v>0</v>
      </c>
      <c r="I3703" s="87"/>
      <c r="J3703" s="87"/>
      <c r="K3703" s="87"/>
      <c r="L3703" s="87"/>
    </row>
    <row r="3704" spans="2:12" x14ac:dyDescent="0.35">
      <c r="B3704" s="84"/>
      <c r="C3704" s="85" t="s">
        <v>893</v>
      </c>
      <c r="D3704" s="84" t="s">
        <v>418</v>
      </c>
      <c r="E3704" s="84" t="s">
        <v>713</v>
      </c>
      <c r="F3704" s="128">
        <v>12</v>
      </c>
      <c r="G3704" s="87"/>
      <c r="H3704" s="87">
        <f>F3704*G3704</f>
        <v>0</v>
      </c>
      <c r="I3704" s="87"/>
      <c r="J3704" s="87"/>
      <c r="K3704" s="87"/>
      <c r="L3704" s="87"/>
    </row>
    <row r="3705" spans="2:12" x14ac:dyDescent="0.35">
      <c r="B3705" s="84"/>
      <c r="C3705" s="85" t="s">
        <v>894</v>
      </c>
      <c r="D3705" s="84" t="s">
        <v>418</v>
      </c>
      <c r="E3705" s="84" t="s">
        <v>713</v>
      </c>
      <c r="F3705" s="128">
        <v>9</v>
      </c>
      <c r="G3705" s="87"/>
      <c r="H3705" s="87">
        <f>F3705*G3705</f>
        <v>0</v>
      </c>
      <c r="I3705" s="87"/>
      <c r="J3705" s="87"/>
      <c r="K3705" s="87"/>
      <c r="L3705" s="87"/>
    </row>
    <row r="3706" spans="2:12" x14ac:dyDescent="0.35">
      <c r="B3706" s="84"/>
      <c r="C3706" s="85" t="s">
        <v>895</v>
      </c>
      <c r="D3706" s="84"/>
      <c r="E3706" s="84" t="s">
        <v>713</v>
      </c>
      <c r="F3706" s="128">
        <v>12</v>
      </c>
      <c r="G3706" s="87"/>
      <c r="H3706" s="87"/>
      <c r="I3706" s="87"/>
      <c r="J3706" s="87"/>
      <c r="K3706" s="87"/>
      <c r="L3706" s="87"/>
    </row>
    <row r="3707" spans="2:12" x14ac:dyDescent="0.35">
      <c r="B3707" s="84"/>
      <c r="C3707" s="85"/>
      <c r="D3707" s="84"/>
      <c r="E3707" s="84"/>
      <c r="F3707" s="128"/>
      <c r="G3707" s="87"/>
      <c r="H3707" s="87">
        <f>F3707*G3707</f>
        <v>0</v>
      </c>
      <c r="I3707" s="87"/>
      <c r="J3707" s="87"/>
      <c r="K3707" s="87"/>
      <c r="L3707" s="87"/>
    </row>
    <row r="3708" spans="2:12" ht="12" customHeight="1" x14ac:dyDescent="0.35">
      <c r="B3708" s="84"/>
      <c r="C3708" s="88"/>
      <c r="D3708" s="79"/>
      <c r="E3708" s="79"/>
      <c r="F3708" s="129" t="s">
        <v>423</v>
      </c>
      <c r="G3708" s="129"/>
      <c r="H3708" s="87">
        <f>SUM(H3701:H3707)</f>
        <v>0</v>
      </c>
      <c r="I3708" s="101"/>
      <c r="J3708" s="87" t="e">
        <f>SUM(#REF!)</f>
        <v>#REF!</v>
      </c>
      <c r="K3708" s="101"/>
      <c r="L3708" s="87" t="e">
        <f>SUM(#REF!)</f>
        <v>#REF!</v>
      </c>
    </row>
    <row r="3709" spans="2:12" ht="12" customHeight="1" x14ac:dyDescent="0.35">
      <c r="B3709" s="84" t="s">
        <v>7</v>
      </c>
      <c r="C3709" s="88" t="s">
        <v>424</v>
      </c>
      <c r="D3709" s="79"/>
      <c r="E3709" s="79"/>
      <c r="F3709" s="90"/>
      <c r="G3709" s="84"/>
      <c r="H3709" s="87"/>
      <c r="I3709" s="84"/>
      <c r="J3709" s="87"/>
      <c r="K3709" s="84"/>
      <c r="L3709" s="87"/>
    </row>
    <row r="3710" spans="2:12" ht="12" customHeight="1" x14ac:dyDescent="0.35">
      <c r="B3710" s="84"/>
      <c r="C3710" s="85" t="s">
        <v>896</v>
      </c>
      <c r="D3710" s="84"/>
      <c r="E3710" s="84" t="s">
        <v>897</v>
      </c>
      <c r="F3710" s="128">
        <v>1</v>
      </c>
      <c r="G3710" s="87"/>
      <c r="H3710" s="87">
        <f>F3710*G3710</f>
        <v>0</v>
      </c>
      <c r="I3710" s="87"/>
      <c r="J3710" s="87"/>
      <c r="K3710" s="87"/>
      <c r="L3710" s="87"/>
    </row>
    <row r="3711" spans="2:12" ht="12" customHeight="1" x14ac:dyDescent="0.35">
      <c r="B3711" s="84"/>
      <c r="C3711" s="85"/>
      <c r="D3711" s="84"/>
      <c r="E3711" s="84"/>
      <c r="F3711" s="128"/>
      <c r="G3711" s="87"/>
      <c r="H3711" s="87">
        <f>F3711*G3711</f>
        <v>0</v>
      </c>
      <c r="I3711" s="87"/>
      <c r="J3711" s="87"/>
      <c r="K3711" s="87"/>
      <c r="L3711" s="87"/>
    </row>
    <row r="3712" spans="2:12" ht="12" customHeight="1" x14ac:dyDescent="0.35">
      <c r="B3712" s="84"/>
      <c r="C3712" s="88"/>
      <c r="D3712" s="79"/>
      <c r="E3712" s="79"/>
      <c r="F3712" s="89" t="s">
        <v>425</v>
      </c>
      <c r="G3712" s="101"/>
      <c r="H3712" s="87">
        <f>SUM(H3710:H3711)</f>
        <v>0</v>
      </c>
      <c r="I3712" s="101"/>
      <c r="J3712" s="87" t="e">
        <f>SUM(#REF!)</f>
        <v>#REF!</v>
      </c>
      <c r="K3712" s="101"/>
      <c r="L3712" s="87" t="e">
        <f>SUM(#REF!)</f>
        <v>#REF!</v>
      </c>
    </row>
    <row r="3713" spans="2:12" ht="12" customHeight="1" x14ac:dyDescent="0.35">
      <c r="B3713" s="84" t="s">
        <v>8</v>
      </c>
      <c r="C3713" s="103" t="s">
        <v>426</v>
      </c>
      <c r="D3713" s="104"/>
      <c r="E3713" s="104"/>
      <c r="F3713" s="104"/>
      <c r="G3713" s="105"/>
      <c r="H3713" s="87">
        <f>H3699+H3708+H3712</f>
        <v>0</v>
      </c>
      <c r="I3713" s="105"/>
      <c r="J3713" s="87" t="e">
        <f>J3699+J3708+J3712</f>
        <v>#REF!</v>
      </c>
      <c r="K3713" s="105"/>
      <c r="L3713" s="87" t="e">
        <f>L3699+L3708+L3712</f>
        <v>#REF!</v>
      </c>
    </row>
    <row r="3714" spans="2:12" ht="12" customHeight="1" x14ac:dyDescent="0.35">
      <c r="B3714" s="84" t="s">
        <v>9</v>
      </c>
      <c r="C3714" s="455" t="s">
        <v>427</v>
      </c>
      <c r="D3714" s="455"/>
      <c r="E3714" s="455"/>
      <c r="F3714" s="95">
        <v>0</v>
      </c>
      <c r="G3714" s="85" t="s">
        <v>428</v>
      </c>
      <c r="H3714" s="87">
        <f>H3713*F3714</f>
        <v>0</v>
      </c>
      <c r="I3714" s="85" t="s">
        <v>428</v>
      </c>
      <c r="J3714" s="87" t="e">
        <f>J3713*F3714</f>
        <v>#REF!</v>
      </c>
      <c r="K3714" s="85" t="s">
        <v>428</v>
      </c>
      <c r="L3714" s="87" t="e">
        <f>L3713*F3714</f>
        <v>#REF!</v>
      </c>
    </row>
    <row r="3715" spans="2:12" ht="12" customHeight="1" x14ac:dyDescent="0.35">
      <c r="B3715" s="84" t="s">
        <v>10</v>
      </c>
      <c r="C3715" s="103" t="s">
        <v>429</v>
      </c>
      <c r="D3715" s="104"/>
      <c r="E3715" s="104"/>
      <c r="F3715" s="104"/>
      <c r="G3715" s="105"/>
      <c r="H3715" s="96">
        <f>H3713+H3714</f>
        <v>0</v>
      </c>
      <c r="I3715" s="97"/>
      <c r="J3715" s="96" t="e">
        <f>J3713+J3714</f>
        <v>#REF!</v>
      </c>
      <c r="K3715" s="97"/>
      <c r="L3715" s="96" t="e">
        <f>L3713+L3714</f>
        <v>#REF!</v>
      </c>
    </row>
    <row r="3716" spans="2:12" ht="14" customHeight="1" x14ac:dyDescent="0.35"/>
    <row r="3717" spans="2:12" ht="37" customHeight="1" x14ac:dyDescent="0.35">
      <c r="B3717" s="76" t="s">
        <v>898</v>
      </c>
      <c r="C3717" s="458" t="s">
        <v>899</v>
      </c>
      <c r="D3717" s="459"/>
      <c r="E3717" s="459"/>
      <c r="F3717" s="459"/>
      <c r="G3717" s="456"/>
      <c r="H3717" s="457"/>
      <c r="I3717" s="455" t="s">
        <v>3</v>
      </c>
      <c r="J3717" s="455"/>
      <c r="K3717" s="455" t="s">
        <v>4</v>
      </c>
      <c r="L3717" s="455"/>
    </row>
    <row r="3718" spans="2:12" ht="12" customHeight="1" x14ac:dyDescent="0.35">
      <c r="B3718" s="451" t="s">
        <v>409</v>
      </c>
      <c r="C3718" s="451" t="s">
        <v>410</v>
      </c>
      <c r="D3718" s="452" t="s">
        <v>411</v>
      </c>
      <c r="E3718" s="451" t="s">
        <v>412</v>
      </c>
      <c r="F3718" s="451" t="s">
        <v>413</v>
      </c>
      <c r="G3718" s="77" t="s">
        <v>414</v>
      </c>
      <c r="H3718" s="77" t="s">
        <v>415</v>
      </c>
      <c r="I3718" s="78" t="s">
        <v>414</v>
      </c>
      <c r="J3718" s="79" t="s">
        <v>415</v>
      </c>
      <c r="K3718" s="79" t="s">
        <v>414</v>
      </c>
      <c r="L3718" s="79" t="s">
        <v>415</v>
      </c>
    </row>
    <row r="3719" spans="2:12" ht="12" customHeight="1" x14ac:dyDescent="0.35">
      <c r="B3719" s="451"/>
      <c r="C3719" s="451"/>
      <c r="D3719" s="453"/>
      <c r="E3719" s="451"/>
      <c r="F3719" s="451"/>
      <c r="G3719" s="77" t="s">
        <v>17</v>
      </c>
      <c r="H3719" s="77" t="s">
        <v>416</v>
      </c>
      <c r="I3719" s="78" t="s">
        <v>17</v>
      </c>
      <c r="J3719" s="79" t="s">
        <v>416</v>
      </c>
      <c r="K3719" s="79" t="s">
        <v>17</v>
      </c>
      <c r="L3719" s="79" t="s">
        <v>416</v>
      </c>
    </row>
    <row r="3720" spans="2:12" ht="12" customHeight="1" x14ac:dyDescent="0.35">
      <c r="B3720" s="451"/>
      <c r="C3720" s="451"/>
      <c r="D3720" s="454"/>
      <c r="E3720" s="451"/>
      <c r="F3720" s="451"/>
      <c r="G3720" s="106"/>
      <c r="H3720" s="77" t="s">
        <v>17</v>
      </c>
      <c r="I3720" s="94"/>
      <c r="J3720" s="79" t="s">
        <v>17</v>
      </c>
      <c r="K3720" s="85"/>
      <c r="L3720" s="79" t="s">
        <v>17</v>
      </c>
    </row>
    <row r="3721" spans="2:12" ht="12" customHeight="1" x14ac:dyDescent="0.35">
      <c r="B3721" s="80" t="s">
        <v>5</v>
      </c>
      <c r="C3721" s="81" t="s">
        <v>417</v>
      </c>
      <c r="D3721" s="82"/>
      <c r="E3721" s="82"/>
      <c r="F3721" s="82"/>
      <c r="G3721" s="82"/>
      <c r="H3721" s="82"/>
      <c r="I3721" s="83"/>
      <c r="J3721" s="83"/>
      <c r="K3721" s="83"/>
      <c r="L3721" s="83"/>
    </row>
    <row r="3722" spans="2:12" ht="12" customHeight="1" x14ac:dyDescent="0.35">
      <c r="B3722" s="84"/>
      <c r="C3722" s="85"/>
      <c r="D3722" s="84"/>
      <c r="E3722" s="84"/>
      <c r="F3722" s="128"/>
      <c r="G3722" s="87"/>
      <c r="H3722" s="87">
        <f>F3722*G3722</f>
        <v>0</v>
      </c>
      <c r="I3722" s="87">
        <v>91500</v>
      </c>
      <c r="J3722" s="87">
        <f>F3722*I3722</f>
        <v>0</v>
      </c>
      <c r="K3722" s="87">
        <v>91500</v>
      </c>
      <c r="L3722" s="87">
        <f>F3722*K3722</f>
        <v>0</v>
      </c>
    </row>
    <row r="3723" spans="2:12" ht="12" customHeight="1" x14ac:dyDescent="0.35">
      <c r="B3723" s="84"/>
      <c r="C3723" s="85"/>
      <c r="D3723" s="84"/>
      <c r="E3723" s="84"/>
      <c r="F3723" s="128"/>
      <c r="G3723" s="87"/>
      <c r="H3723" s="87">
        <f>F3723*G3723</f>
        <v>0</v>
      </c>
      <c r="I3723" s="87"/>
      <c r="J3723" s="87"/>
      <c r="K3723" s="87"/>
      <c r="L3723" s="87"/>
    </row>
    <row r="3724" spans="2:12" ht="12" customHeight="1" x14ac:dyDescent="0.35">
      <c r="B3724" s="84"/>
      <c r="C3724" s="85"/>
      <c r="D3724" s="84"/>
      <c r="E3724" s="84"/>
      <c r="F3724" s="86"/>
      <c r="G3724" s="87"/>
      <c r="H3724" s="87"/>
      <c r="I3724" s="87"/>
      <c r="J3724" s="87"/>
      <c r="K3724" s="87"/>
      <c r="L3724" s="87"/>
    </row>
    <row r="3725" spans="2:12" ht="12" customHeight="1" x14ac:dyDescent="0.35">
      <c r="B3725" s="84"/>
      <c r="C3725" s="88"/>
      <c r="D3725" s="79"/>
      <c r="E3725" s="79"/>
      <c r="F3725" s="89" t="s">
        <v>421</v>
      </c>
      <c r="G3725" s="101"/>
      <c r="H3725" s="87">
        <f>SUM(H3722:H3724)</f>
        <v>0</v>
      </c>
      <c r="I3725" s="101"/>
      <c r="J3725" s="87">
        <f>SUM(J3724:J3724)</f>
        <v>0</v>
      </c>
      <c r="K3725" s="101"/>
      <c r="L3725" s="87">
        <f>SUM(L3724:L3724)</f>
        <v>0</v>
      </c>
    </row>
    <row r="3726" spans="2:12" ht="12" customHeight="1" x14ac:dyDescent="0.35">
      <c r="B3726" s="84" t="s">
        <v>6</v>
      </c>
      <c r="C3726" s="88" t="s">
        <v>422</v>
      </c>
      <c r="D3726" s="79"/>
      <c r="E3726" s="79"/>
      <c r="F3726" s="90"/>
      <c r="G3726" s="84"/>
      <c r="H3726" s="87"/>
      <c r="I3726" s="84"/>
      <c r="J3726" s="87"/>
      <c r="K3726" s="84"/>
      <c r="L3726" s="87"/>
    </row>
    <row r="3727" spans="2:12" x14ac:dyDescent="0.35">
      <c r="B3727" s="84"/>
      <c r="C3727" s="85" t="s">
        <v>900</v>
      </c>
      <c r="D3727" s="84" t="s">
        <v>418</v>
      </c>
      <c r="E3727" s="84" t="s">
        <v>897</v>
      </c>
      <c r="F3727" s="128"/>
      <c r="G3727" s="87"/>
      <c r="H3727" s="87">
        <f>F3727*G3727</f>
        <v>0</v>
      </c>
      <c r="I3727" s="87"/>
      <c r="J3727" s="87"/>
      <c r="K3727" s="87"/>
      <c r="L3727" s="87"/>
    </row>
    <row r="3728" spans="2:12" x14ac:dyDescent="0.35">
      <c r="B3728" s="84"/>
      <c r="C3728" s="85" t="s">
        <v>901</v>
      </c>
      <c r="D3728" s="84" t="s">
        <v>418</v>
      </c>
      <c r="E3728" s="84" t="s">
        <v>897</v>
      </c>
      <c r="F3728" s="128"/>
      <c r="G3728" s="87"/>
      <c r="H3728" s="87">
        <f>F3728*G3728</f>
        <v>0</v>
      </c>
      <c r="I3728" s="87"/>
      <c r="J3728" s="87"/>
      <c r="K3728" s="87"/>
      <c r="L3728" s="87"/>
    </row>
    <row r="3729" spans="2:12" ht="26" x14ac:dyDescent="0.35">
      <c r="B3729" s="84"/>
      <c r="C3729" s="85" t="s">
        <v>902</v>
      </c>
      <c r="D3729" s="84" t="s">
        <v>418</v>
      </c>
      <c r="E3729" s="84" t="s">
        <v>897</v>
      </c>
      <c r="F3729" s="128"/>
      <c r="G3729" s="87"/>
      <c r="H3729" s="87">
        <f>F3729*G3729</f>
        <v>0</v>
      </c>
      <c r="I3729" s="87"/>
      <c r="J3729" s="87"/>
      <c r="K3729" s="87"/>
      <c r="L3729" s="87"/>
    </row>
    <row r="3730" spans="2:12" x14ac:dyDescent="0.35">
      <c r="B3730" s="84"/>
      <c r="C3730" s="85" t="s">
        <v>903</v>
      </c>
      <c r="D3730" s="84" t="s">
        <v>418</v>
      </c>
      <c r="E3730" s="84" t="s">
        <v>897</v>
      </c>
      <c r="F3730" s="128"/>
      <c r="G3730" s="87"/>
      <c r="H3730" s="87">
        <f>F3730*G3730</f>
        <v>0</v>
      </c>
      <c r="I3730" s="87"/>
      <c r="J3730" s="87"/>
      <c r="K3730" s="87"/>
      <c r="L3730" s="87"/>
    </row>
    <row r="3731" spans="2:12" x14ac:dyDescent="0.35">
      <c r="B3731" s="84"/>
      <c r="C3731" s="85"/>
      <c r="D3731" s="84"/>
      <c r="E3731" s="84"/>
      <c r="F3731" s="128"/>
      <c r="G3731" s="87"/>
      <c r="H3731" s="87">
        <f>F3731*G3731</f>
        <v>0</v>
      </c>
      <c r="I3731" s="87"/>
      <c r="J3731" s="87"/>
      <c r="K3731" s="87"/>
      <c r="L3731" s="87"/>
    </row>
    <row r="3732" spans="2:12" ht="12" customHeight="1" x14ac:dyDescent="0.35">
      <c r="B3732" s="84"/>
      <c r="C3732" s="88"/>
      <c r="D3732" s="79"/>
      <c r="E3732" s="79"/>
      <c r="F3732" s="129" t="s">
        <v>423</v>
      </c>
      <c r="G3732" s="129"/>
      <c r="H3732" s="87">
        <f>SUM(H3727:H3731)</f>
        <v>0</v>
      </c>
      <c r="I3732" s="101"/>
      <c r="J3732" s="87" t="e">
        <f>SUM(#REF!)</f>
        <v>#REF!</v>
      </c>
      <c r="K3732" s="101"/>
      <c r="L3732" s="87" t="e">
        <f>SUM(#REF!)</f>
        <v>#REF!</v>
      </c>
    </row>
    <row r="3733" spans="2:12" ht="12" customHeight="1" x14ac:dyDescent="0.35">
      <c r="B3733" s="84" t="s">
        <v>7</v>
      </c>
      <c r="C3733" s="88" t="s">
        <v>424</v>
      </c>
      <c r="D3733" s="79"/>
      <c r="E3733" s="79"/>
      <c r="F3733" s="90"/>
      <c r="G3733" s="84"/>
      <c r="H3733" s="87"/>
      <c r="I3733" s="84"/>
      <c r="J3733" s="87"/>
      <c r="K3733" s="84"/>
      <c r="L3733" s="87"/>
    </row>
    <row r="3734" spans="2:12" ht="12" customHeight="1" x14ac:dyDescent="0.35">
      <c r="B3734" s="84"/>
      <c r="C3734" s="85" t="s">
        <v>904</v>
      </c>
      <c r="D3734" s="84"/>
      <c r="E3734" s="84" t="s">
        <v>905</v>
      </c>
      <c r="F3734" s="128">
        <v>2</v>
      </c>
      <c r="G3734" s="87"/>
      <c r="H3734" s="87">
        <f>F3734*G3734</f>
        <v>0</v>
      </c>
      <c r="I3734" s="87"/>
      <c r="J3734" s="87"/>
      <c r="K3734" s="87"/>
      <c r="L3734" s="87"/>
    </row>
    <row r="3735" spans="2:12" ht="12" customHeight="1" x14ac:dyDescent="0.35">
      <c r="B3735" s="84"/>
      <c r="C3735" s="85"/>
      <c r="D3735" s="84"/>
      <c r="E3735" s="84"/>
      <c r="F3735" s="128"/>
      <c r="G3735" s="87"/>
      <c r="H3735" s="87">
        <f>F3735*G3735</f>
        <v>0</v>
      </c>
      <c r="I3735" s="87"/>
      <c r="J3735" s="87"/>
      <c r="K3735" s="87"/>
      <c r="L3735" s="87"/>
    </row>
    <row r="3736" spans="2:12" ht="12" customHeight="1" x14ac:dyDescent="0.35">
      <c r="B3736" s="84"/>
      <c r="C3736" s="88"/>
      <c r="D3736" s="79"/>
      <c r="E3736" s="79"/>
      <c r="F3736" s="89" t="s">
        <v>425</v>
      </c>
      <c r="G3736" s="101"/>
      <c r="H3736" s="87">
        <f>SUM(H3734:H3735)</f>
        <v>0</v>
      </c>
      <c r="I3736" s="101"/>
      <c r="J3736" s="87" t="e">
        <f>SUM(#REF!)</f>
        <v>#REF!</v>
      </c>
      <c r="K3736" s="101"/>
      <c r="L3736" s="87" t="e">
        <f>SUM(#REF!)</f>
        <v>#REF!</v>
      </c>
    </row>
    <row r="3737" spans="2:12" ht="12" customHeight="1" x14ac:dyDescent="0.35">
      <c r="B3737" s="84" t="s">
        <v>8</v>
      </c>
      <c r="C3737" s="103" t="s">
        <v>426</v>
      </c>
      <c r="D3737" s="104"/>
      <c r="E3737" s="104"/>
      <c r="F3737" s="104"/>
      <c r="G3737" s="105"/>
      <c r="H3737" s="87">
        <f>H3725+H3732+H3736</f>
        <v>0</v>
      </c>
      <c r="I3737" s="105"/>
      <c r="J3737" s="87" t="e">
        <f>J3725+J3732+J3736</f>
        <v>#REF!</v>
      </c>
      <c r="K3737" s="105"/>
      <c r="L3737" s="87" t="e">
        <f>L3725+L3732+L3736</f>
        <v>#REF!</v>
      </c>
    </row>
    <row r="3738" spans="2:12" ht="12" customHeight="1" x14ac:dyDescent="0.35">
      <c r="B3738" s="84" t="s">
        <v>9</v>
      </c>
      <c r="C3738" s="455" t="s">
        <v>427</v>
      </c>
      <c r="D3738" s="455"/>
      <c r="E3738" s="455"/>
      <c r="F3738" s="95">
        <v>0</v>
      </c>
      <c r="G3738" s="85" t="s">
        <v>428</v>
      </c>
      <c r="H3738" s="87">
        <f>H3737*F3738</f>
        <v>0</v>
      </c>
      <c r="I3738" s="85" t="s">
        <v>428</v>
      </c>
      <c r="J3738" s="87" t="e">
        <f>J3737*F3738</f>
        <v>#REF!</v>
      </c>
      <c r="K3738" s="85" t="s">
        <v>428</v>
      </c>
      <c r="L3738" s="87" t="e">
        <f>L3737*F3738</f>
        <v>#REF!</v>
      </c>
    </row>
    <row r="3739" spans="2:12" ht="12" customHeight="1" x14ac:dyDescent="0.35">
      <c r="B3739" s="84" t="s">
        <v>10</v>
      </c>
      <c r="C3739" s="103" t="s">
        <v>429</v>
      </c>
      <c r="D3739" s="104"/>
      <c r="E3739" s="104"/>
      <c r="F3739" s="104"/>
      <c r="G3739" s="105"/>
      <c r="H3739" s="96">
        <f>H3737+H3738</f>
        <v>0</v>
      </c>
      <c r="I3739" s="97"/>
      <c r="J3739" s="96" t="e">
        <f>J3737+J3738</f>
        <v>#REF!</v>
      </c>
      <c r="K3739" s="97"/>
      <c r="L3739" s="96" t="e">
        <f>L3737+L3738</f>
        <v>#REF!</v>
      </c>
    </row>
    <row r="3740" spans="2:12" ht="14" customHeight="1" x14ac:dyDescent="0.35"/>
    <row r="3741" spans="2:12" ht="37" customHeight="1" x14ac:dyDescent="0.35">
      <c r="B3741" s="76" t="s">
        <v>906</v>
      </c>
      <c r="C3741" s="458" t="s">
        <v>908</v>
      </c>
      <c r="D3741" s="459"/>
      <c r="E3741" s="459"/>
      <c r="F3741" s="459"/>
      <c r="G3741" s="456"/>
      <c r="H3741" s="457"/>
      <c r="I3741" s="455" t="s">
        <v>3</v>
      </c>
      <c r="J3741" s="455"/>
      <c r="K3741" s="455" t="s">
        <v>4</v>
      </c>
      <c r="L3741" s="455"/>
    </row>
    <row r="3742" spans="2:12" ht="12" customHeight="1" x14ac:dyDescent="0.35">
      <c r="B3742" s="451" t="s">
        <v>409</v>
      </c>
      <c r="C3742" s="451" t="s">
        <v>410</v>
      </c>
      <c r="D3742" s="452" t="s">
        <v>411</v>
      </c>
      <c r="E3742" s="451" t="s">
        <v>412</v>
      </c>
      <c r="F3742" s="451" t="s">
        <v>413</v>
      </c>
      <c r="G3742" s="77" t="s">
        <v>414</v>
      </c>
      <c r="H3742" s="77" t="s">
        <v>415</v>
      </c>
      <c r="I3742" s="78" t="s">
        <v>414</v>
      </c>
      <c r="J3742" s="79" t="s">
        <v>415</v>
      </c>
      <c r="K3742" s="79" t="s">
        <v>414</v>
      </c>
      <c r="L3742" s="79" t="s">
        <v>415</v>
      </c>
    </row>
    <row r="3743" spans="2:12" ht="12" customHeight="1" x14ac:dyDescent="0.35">
      <c r="B3743" s="451"/>
      <c r="C3743" s="451"/>
      <c r="D3743" s="453"/>
      <c r="E3743" s="451"/>
      <c r="F3743" s="451"/>
      <c r="G3743" s="77" t="s">
        <v>17</v>
      </c>
      <c r="H3743" s="77" t="s">
        <v>416</v>
      </c>
      <c r="I3743" s="78" t="s">
        <v>17</v>
      </c>
      <c r="J3743" s="79" t="s">
        <v>416</v>
      </c>
      <c r="K3743" s="79" t="s">
        <v>17</v>
      </c>
      <c r="L3743" s="79" t="s">
        <v>416</v>
      </c>
    </row>
    <row r="3744" spans="2:12" ht="12" customHeight="1" x14ac:dyDescent="0.35">
      <c r="B3744" s="451"/>
      <c r="C3744" s="451"/>
      <c r="D3744" s="454"/>
      <c r="E3744" s="451"/>
      <c r="F3744" s="451"/>
      <c r="G3744" s="106"/>
      <c r="H3744" s="77" t="s">
        <v>17</v>
      </c>
      <c r="I3744" s="94"/>
      <c r="J3744" s="79" t="s">
        <v>17</v>
      </c>
      <c r="K3744" s="85"/>
      <c r="L3744" s="79" t="s">
        <v>17</v>
      </c>
    </row>
    <row r="3745" spans="1:12" ht="12" customHeight="1" x14ac:dyDescent="0.35">
      <c r="B3745" s="80" t="s">
        <v>5</v>
      </c>
      <c r="C3745" s="81" t="s">
        <v>417</v>
      </c>
      <c r="D3745" s="82"/>
      <c r="E3745" s="82"/>
      <c r="F3745" s="82"/>
      <c r="G3745" s="82"/>
      <c r="H3745" s="82"/>
      <c r="I3745" s="83"/>
      <c r="J3745" s="83"/>
      <c r="K3745" s="83"/>
      <c r="L3745" s="83"/>
    </row>
    <row r="3746" spans="1:12" ht="12" customHeight="1" x14ac:dyDescent="0.35">
      <c r="A3746" s="134">
        <v>10130000</v>
      </c>
      <c r="B3746" s="84"/>
      <c r="C3746" s="85" t="str">
        <f>VLOOKUP(A3746,'DAFTAR HARGA'!A:D,3,FALSE)</f>
        <v>OH</v>
      </c>
      <c r="D3746" s="84" t="s">
        <v>418</v>
      </c>
      <c r="E3746" s="84">
        <f>VLOOKUP(A3746,'DAFTAR HARGA'!A:D,4,FALSE)</f>
        <v>115000</v>
      </c>
      <c r="F3746" s="128">
        <v>0.03</v>
      </c>
      <c r="G3746" s="87" t="e">
        <f>VLOOKUP(A3746,'DAFTAR HARGA'!A:D,5,FALSE)</f>
        <v>#REF!</v>
      </c>
      <c r="H3746" s="87" t="e">
        <f>F3746*G3746</f>
        <v>#REF!</v>
      </c>
      <c r="I3746" s="87">
        <v>91500</v>
      </c>
      <c r="J3746" s="87">
        <f>F3746*I3746</f>
        <v>2745</v>
      </c>
      <c r="K3746" s="87">
        <v>91500</v>
      </c>
      <c r="L3746" s="87">
        <f>F3746*K3746</f>
        <v>2745</v>
      </c>
    </row>
    <row r="3747" spans="1:12" ht="12" customHeight="1" x14ac:dyDescent="0.35">
      <c r="A3747" s="134">
        <v>10110000</v>
      </c>
      <c r="B3747" s="84"/>
      <c r="C3747" s="85" t="str">
        <f>VLOOKUP(A3747,'DAFTAR HARGA'!A:D,3,FALSE)</f>
        <v>OH</v>
      </c>
      <c r="D3747" s="84" t="s">
        <v>418</v>
      </c>
      <c r="E3747" s="84">
        <f>VLOOKUP(A3747,'DAFTAR HARGA'!A:D,4,FALSE)</f>
        <v>150000</v>
      </c>
      <c r="F3747" s="128">
        <v>3.0000000000000001E-3</v>
      </c>
      <c r="G3747" s="87" t="e">
        <f>VLOOKUP(A3747,'DAFTAR HARGA'!A:D,5,FALSE)</f>
        <v>#REF!</v>
      </c>
      <c r="H3747" s="87" t="e">
        <f>F3747*G3747</f>
        <v>#REF!</v>
      </c>
      <c r="I3747" s="87"/>
      <c r="J3747" s="87"/>
      <c r="K3747" s="87"/>
      <c r="L3747" s="87"/>
    </row>
    <row r="3748" spans="1:12" ht="12" customHeight="1" x14ac:dyDescent="0.35">
      <c r="B3748" s="84"/>
      <c r="C3748" s="85"/>
      <c r="D3748" s="84"/>
      <c r="E3748" s="84"/>
      <c r="F3748" s="86"/>
      <c r="G3748" s="87"/>
      <c r="H3748" s="87"/>
      <c r="I3748" s="87"/>
      <c r="J3748" s="87"/>
      <c r="K3748" s="87"/>
      <c r="L3748" s="87"/>
    </row>
    <row r="3749" spans="1:12" ht="12" customHeight="1" x14ac:dyDescent="0.35">
      <c r="B3749" s="84"/>
      <c r="C3749" s="88"/>
      <c r="D3749" s="79"/>
      <c r="E3749" s="79"/>
      <c r="F3749" s="89" t="s">
        <v>421</v>
      </c>
      <c r="G3749" s="101"/>
      <c r="H3749" s="87" t="e">
        <f>SUM(H3746:H3748)</f>
        <v>#REF!</v>
      </c>
      <c r="I3749" s="101"/>
      <c r="J3749" s="87">
        <f>SUM(J3748:J3748)</f>
        <v>0</v>
      </c>
      <c r="K3749" s="101"/>
      <c r="L3749" s="87">
        <f>SUM(L3748:L3748)</f>
        <v>0</v>
      </c>
    </row>
    <row r="3750" spans="1:12" ht="12" customHeight="1" x14ac:dyDescent="0.35">
      <c r="B3750" s="84" t="s">
        <v>6</v>
      </c>
      <c r="C3750" s="88" t="s">
        <v>422</v>
      </c>
      <c r="D3750" s="79"/>
      <c r="E3750" s="79"/>
      <c r="F3750" s="90"/>
      <c r="G3750" s="84"/>
      <c r="H3750" s="87"/>
      <c r="I3750" s="84"/>
      <c r="J3750" s="87"/>
      <c r="K3750" s="84"/>
      <c r="L3750" s="87"/>
    </row>
    <row r="3751" spans="1:12" x14ac:dyDescent="0.35">
      <c r="B3751" s="84"/>
      <c r="C3751" s="85"/>
      <c r="D3751" s="84"/>
      <c r="E3751" s="84"/>
      <c r="F3751" s="128"/>
      <c r="G3751" s="87"/>
      <c r="H3751" s="87">
        <f>F3751*G3751</f>
        <v>0</v>
      </c>
      <c r="I3751" s="87"/>
      <c r="J3751" s="87"/>
      <c r="K3751" s="87"/>
      <c r="L3751" s="87"/>
    </row>
    <row r="3752" spans="1:12" ht="12" customHeight="1" x14ac:dyDescent="0.35">
      <c r="B3752" s="84"/>
      <c r="C3752" s="88"/>
      <c r="D3752" s="79"/>
      <c r="E3752" s="79"/>
      <c r="F3752" s="129" t="s">
        <v>423</v>
      </c>
      <c r="G3752" s="129"/>
      <c r="H3752" s="87">
        <f>SUM(H3751:H3751)</f>
        <v>0</v>
      </c>
      <c r="I3752" s="101"/>
      <c r="J3752" s="87" t="e">
        <f>SUM(#REF!)</f>
        <v>#REF!</v>
      </c>
      <c r="K3752" s="101"/>
      <c r="L3752" s="87" t="e">
        <f>SUM(#REF!)</f>
        <v>#REF!</v>
      </c>
    </row>
    <row r="3753" spans="1:12" ht="12" customHeight="1" x14ac:dyDescent="0.35">
      <c r="B3753" s="84" t="s">
        <v>7</v>
      </c>
      <c r="C3753" s="88" t="s">
        <v>424</v>
      </c>
      <c r="D3753" s="79"/>
      <c r="E3753" s="79"/>
      <c r="F3753" s="90"/>
      <c r="G3753" s="84"/>
      <c r="H3753" s="87"/>
      <c r="I3753" s="84"/>
      <c r="J3753" s="87"/>
      <c r="K3753" s="84"/>
      <c r="L3753" s="87"/>
    </row>
    <row r="3754" spans="1:12" ht="12" customHeight="1" x14ac:dyDescent="0.35">
      <c r="B3754" s="84"/>
      <c r="C3754" s="85"/>
      <c r="D3754" s="84"/>
      <c r="E3754" s="84"/>
      <c r="F3754" s="128"/>
      <c r="G3754" s="87"/>
      <c r="H3754" s="87">
        <f>F3754*G3754</f>
        <v>0</v>
      </c>
      <c r="I3754" s="87"/>
      <c r="J3754" s="87"/>
      <c r="K3754" s="87"/>
      <c r="L3754" s="87"/>
    </row>
    <row r="3755" spans="1:12" ht="12" customHeight="1" x14ac:dyDescent="0.35">
      <c r="B3755" s="84"/>
      <c r="C3755" s="85"/>
      <c r="D3755" s="84"/>
      <c r="E3755" s="84"/>
      <c r="F3755" s="128"/>
      <c r="G3755" s="87"/>
      <c r="H3755" s="87">
        <f>F3755*G3755</f>
        <v>0</v>
      </c>
      <c r="I3755" s="87"/>
      <c r="J3755" s="87"/>
      <c r="K3755" s="87"/>
      <c r="L3755" s="87"/>
    </row>
    <row r="3756" spans="1:12" ht="12" customHeight="1" x14ac:dyDescent="0.35">
      <c r="B3756" s="84"/>
      <c r="C3756" s="88"/>
      <c r="D3756" s="79"/>
      <c r="E3756" s="79"/>
      <c r="F3756" s="89" t="s">
        <v>425</v>
      </c>
      <c r="G3756" s="101"/>
      <c r="H3756" s="87">
        <f>SUM(H3754:H3755)</f>
        <v>0</v>
      </c>
      <c r="I3756" s="101"/>
      <c r="J3756" s="87" t="e">
        <f>SUM(#REF!)</f>
        <v>#REF!</v>
      </c>
      <c r="K3756" s="101"/>
      <c r="L3756" s="87" t="e">
        <f>SUM(#REF!)</f>
        <v>#REF!</v>
      </c>
    </row>
    <row r="3757" spans="1:12" ht="12" customHeight="1" x14ac:dyDescent="0.35">
      <c r="B3757" s="84" t="s">
        <v>8</v>
      </c>
      <c r="C3757" s="103" t="s">
        <v>426</v>
      </c>
      <c r="D3757" s="104"/>
      <c r="E3757" s="104"/>
      <c r="F3757" s="104"/>
      <c r="G3757" s="105"/>
      <c r="H3757" s="87" t="e">
        <f>H3749+H3752+H3756</f>
        <v>#REF!</v>
      </c>
      <c r="I3757" s="105"/>
      <c r="J3757" s="87" t="e">
        <f>J3749+J3752+J3756</f>
        <v>#REF!</v>
      </c>
      <c r="K3757" s="105"/>
      <c r="L3757" s="87" t="e">
        <f>L3749+L3752+L3756</f>
        <v>#REF!</v>
      </c>
    </row>
    <row r="3758" spans="1:12" ht="12" customHeight="1" x14ac:dyDescent="0.35">
      <c r="B3758" s="84" t="s">
        <v>9</v>
      </c>
      <c r="C3758" s="455" t="s">
        <v>427</v>
      </c>
      <c r="D3758" s="455"/>
      <c r="E3758" s="455"/>
      <c r="F3758" s="95">
        <v>0</v>
      </c>
      <c r="G3758" s="85" t="s">
        <v>428</v>
      </c>
      <c r="H3758" s="87" t="e">
        <f>H3757*F3758</f>
        <v>#REF!</v>
      </c>
      <c r="I3758" s="85" t="s">
        <v>428</v>
      </c>
      <c r="J3758" s="87" t="e">
        <f>J3757*F3758</f>
        <v>#REF!</v>
      </c>
      <c r="K3758" s="85" t="s">
        <v>428</v>
      </c>
      <c r="L3758" s="87" t="e">
        <f>L3757*F3758</f>
        <v>#REF!</v>
      </c>
    </row>
    <row r="3759" spans="1:12" ht="12" customHeight="1" x14ac:dyDescent="0.35">
      <c r="B3759" s="84" t="s">
        <v>10</v>
      </c>
      <c r="C3759" s="103" t="s">
        <v>429</v>
      </c>
      <c r="D3759" s="104"/>
      <c r="E3759" s="104"/>
      <c r="F3759" s="104"/>
      <c r="G3759" s="105"/>
      <c r="H3759" s="96" t="e">
        <f>H3757+H3758</f>
        <v>#REF!</v>
      </c>
      <c r="I3759" s="97"/>
      <c r="J3759" s="96" t="e">
        <f>J3757+J3758</f>
        <v>#REF!</v>
      </c>
      <c r="K3759" s="97"/>
      <c r="L3759" s="96" t="e">
        <f>L3757+L3758</f>
        <v>#REF!</v>
      </c>
    </row>
    <row r="3760" spans="1:12" ht="14" customHeight="1" x14ac:dyDescent="0.35"/>
    <row r="3761" spans="1:12" ht="37" customHeight="1" x14ac:dyDescent="0.35">
      <c r="B3761" s="76" t="s">
        <v>907</v>
      </c>
      <c r="C3761" s="458" t="s">
        <v>910</v>
      </c>
      <c r="D3761" s="459"/>
      <c r="E3761" s="459"/>
      <c r="F3761" s="459"/>
      <c r="G3761" s="456"/>
      <c r="H3761" s="457"/>
      <c r="I3761" s="455" t="s">
        <v>3</v>
      </c>
      <c r="J3761" s="455"/>
      <c r="K3761" s="455" t="s">
        <v>4</v>
      </c>
      <c r="L3761" s="455"/>
    </row>
    <row r="3762" spans="1:12" ht="12" customHeight="1" x14ac:dyDescent="0.35">
      <c r="B3762" s="451" t="s">
        <v>409</v>
      </c>
      <c r="C3762" s="451" t="s">
        <v>410</v>
      </c>
      <c r="D3762" s="452" t="s">
        <v>411</v>
      </c>
      <c r="E3762" s="451" t="s">
        <v>412</v>
      </c>
      <c r="F3762" s="451" t="s">
        <v>413</v>
      </c>
      <c r="G3762" s="77" t="s">
        <v>414</v>
      </c>
      <c r="H3762" s="77" t="s">
        <v>415</v>
      </c>
      <c r="I3762" s="78" t="s">
        <v>414</v>
      </c>
      <c r="J3762" s="79" t="s">
        <v>415</v>
      </c>
      <c r="K3762" s="79" t="s">
        <v>414</v>
      </c>
      <c r="L3762" s="79" t="s">
        <v>415</v>
      </c>
    </row>
    <row r="3763" spans="1:12" ht="12" customHeight="1" x14ac:dyDescent="0.35">
      <c r="B3763" s="451"/>
      <c r="C3763" s="451"/>
      <c r="D3763" s="453"/>
      <c r="E3763" s="451"/>
      <c r="F3763" s="451"/>
      <c r="G3763" s="77" t="s">
        <v>17</v>
      </c>
      <c r="H3763" s="77" t="s">
        <v>416</v>
      </c>
      <c r="I3763" s="78" t="s">
        <v>17</v>
      </c>
      <c r="J3763" s="79" t="s">
        <v>416</v>
      </c>
      <c r="K3763" s="79" t="s">
        <v>17</v>
      </c>
      <c r="L3763" s="79" t="s">
        <v>416</v>
      </c>
    </row>
    <row r="3764" spans="1:12" ht="12" customHeight="1" x14ac:dyDescent="0.35">
      <c r="B3764" s="451"/>
      <c r="C3764" s="451"/>
      <c r="D3764" s="454"/>
      <c r="E3764" s="451"/>
      <c r="F3764" s="451"/>
      <c r="G3764" s="106"/>
      <c r="H3764" s="77" t="s">
        <v>17</v>
      </c>
      <c r="I3764" s="94"/>
      <c r="J3764" s="79" t="s">
        <v>17</v>
      </c>
      <c r="K3764" s="85"/>
      <c r="L3764" s="79" t="s">
        <v>17</v>
      </c>
    </row>
    <row r="3765" spans="1:12" ht="12" customHeight="1" x14ac:dyDescent="0.35">
      <c r="B3765" s="80" t="s">
        <v>5</v>
      </c>
      <c r="C3765" s="81" t="s">
        <v>417</v>
      </c>
      <c r="D3765" s="82"/>
      <c r="E3765" s="82"/>
      <c r="F3765" s="82"/>
      <c r="G3765" s="82"/>
      <c r="H3765" s="82"/>
      <c r="I3765" s="83"/>
      <c r="J3765" s="83"/>
      <c r="K3765" s="83"/>
      <c r="L3765" s="83"/>
    </row>
    <row r="3766" spans="1:12" ht="12" customHeight="1" x14ac:dyDescent="0.35">
      <c r="A3766" s="134">
        <v>10130000</v>
      </c>
      <c r="B3766" s="84"/>
      <c r="C3766" s="85" t="str">
        <f>VLOOKUP(A3766,'DAFTAR HARGA'!A:D,3,FALSE)</f>
        <v>OH</v>
      </c>
      <c r="D3766" s="84" t="s">
        <v>418</v>
      </c>
      <c r="E3766" s="84">
        <f>VLOOKUP(A3766,'DAFTAR HARGA'!A:D,4,FALSE)</f>
        <v>115000</v>
      </c>
      <c r="F3766" s="128">
        <v>0.5</v>
      </c>
      <c r="G3766" s="87" t="e">
        <f>VLOOKUP(A3766,'DAFTAR HARGA'!A:D,5,FALSE)</f>
        <v>#REF!</v>
      </c>
      <c r="H3766" s="87" t="e">
        <f>F3766*G3766</f>
        <v>#REF!</v>
      </c>
      <c r="I3766" s="87">
        <v>91500</v>
      </c>
      <c r="J3766" s="87">
        <f>F3766*I3766</f>
        <v>45750</v>
      </c>
      <c r="K3766" s="87">
        <v>91500</v>
      </c>
      <c r="L3766" s="87">
        <f>F3766*K3766</f>
        <v>45750</v>
      </c>
    </row>
    <row r="3767" spans="1:12" ht="12" customHeight="1" x14ac:dyDescent="0.35">
      <c r="A3767" s="134">
        <v>10110000</v>
      </c>
      <c r="B3767" s="84"/>
      <c r="C3767" s="85" t="str">
        <f>VLOOKUP(A3767,'DAFTAR HARGA'!A:D,3,FALSE)</f>
        <v>OH</v>
      </c>
      <c r="D3767" s="84" t="s">
        <v>418</v>
      </c>
      <c r="E3767" s="84">
        <f>VLOOKUP(A3767,'DAFTAR HARGA'!A:D,4,FALSE)</f>
        <v>150000</v>
      </c>
      <c r="F3767" s="128">
        <v>0.05</v>
      </c>
      <c r="G3767" s="87" t="e">
        <f>VLOOKUP(A3767,'DAFTAR HARGA'!A:D,5,FALSE)</f>
        <v>#REF!</v>
      </c>
      <c r="H3767" s="87" t="e">
        <f>F3767*G3767</f>
        <v>#REF!</v>
      </c>
      <c r="I3767" s="87"/>
      <c r="J3767" s="87"/>
      <c r="K3767" s="87"/>
      <c r="L3767" s="87"/>
    </row>
    <row r="3768" spans="1:12" ht="12" customHeight="1" x14ac:dyDescent="0.35">
      <c r="B3768" s="84"/>
      <c r="C3768" s="85"/>
      <c r="D3768" s="84"/>
      <c r="E3768" s="84"/>
      <c r="F3768" s="86"/>
      <c r="G3768" s="87"/>
      <c r="H3768" s="87"/>
      <c r="I3768" s="87"/>
      <c r="J3768" s="87"/>
      <c r="K3768" s="87"/>
      <c r="L3768" s="87"/>
    </row>
    <row r="3769" spans="1:12" ht="12" customHeight="1" x14ac:dyDescent="0.35">
      <c r="B3769" s="84"/>
      <c r="C3769" s="88"/>
      <c r="D3769" s="79"/>
      <c r="E3769" s="79"/>
      <c r="F3769" s="89" t="s">
        <v>421</v>
      </c>
      <c r="G3769" s="101"/>
      <c r="H3769" s="87" t="e">
        <f>SUM(H3766:H3768)</f>
        <v>#REF!</v>
      </c>
      <c r="I3769" s="101"/>
      <c r="J3769" s="87">
        <f>SUM(J3768:J3768)</f>
        <v>0</v>
      </c>
      <c r="K3769" s="101"/>
      <c r="L3769" s="87">
        <f>SUM(L3768:L3768)</f>
        <v>0</v>
      </c>
    </row>
    <row r="3770" spans="1:12" ht="12" customHeight="1" x14ac:dyDescent="0.35">
      <c r="B3770" s="84" t="s">
        <v>6</v>
      </c>
      <c r="C3770" s="88" t="s">
        <v>422</v>
      </c>
      <c r="D3770" s="79"/>
      <c r="E3770" s="79"/>
      <c r="F3770" s="90"/>
      <c r="G3770" s="84"/>
      <c r="H3770" s="87"/>
      <c r="I3770" s="84"/>
      <c r="J3770" s="87"/>
      <c r="K3770" s="84"/>
      <c r="L3770" s="87"/>
    </row>
    <row r="3771" spans="1:12" x14ac:dyDescent="0.35">
      <c r="B3771" s="84"/>
      <c r="C3771" s="85"/>
      <c r="D3771" s="84"/>
      <c r="E3771" s="84"/>
      <c r="F3771" s="128"/>
      <c r="G3771" s="87"/>
      <c r="H3771" s="87">
        <f>F3771*G3771</f>
        <v>0</v>
      </c>
      <c r="I3771" s="87"/>
      <c r="J3771" s="87"/>
      <c r="K3771" s="87"/>
      <c r="L3771" s="87"/>
    </row>
    <row r="3772" spans="1:12" ht="12" customHeight="1" x14ac:dyDescent="0.35">
      <c r="B3772" s="84"/>
      <c r="C3772" s="88"/>
      <c r="D3772" s="79"/>
      <c r="E3772" s="79"/>
      <c r="F3772" s="129" t="s">
        <v>423</v>
      </c>
      <c r="G3772" s="129"/>
      <c r="H3772" s="87">
        <f>SUM(H3771:H3771)</f>
        <v>0</v>
      </c>
      <c r="I3772" s="101"/>
      <c r="J3772" s="87" t="e">
        <f>SUM(#REF!)</f>
        <v>#REF!</v>
      </c>
      <c r="K3772" s="101"/>
      <c r="L3772" s="87" t="e">
        <f>SUM(#REF!)</f>
        <v>#REF!</v>
      </c>
    </row>
    <row r="3773" spans="1:12" ht="12" customHeight="1" x14ac:dyDescent="0.35">
      <c r="B3773" s="84" t="s">
        <v>7</v>
      </c>
      <c r="C3773" s="88" t="s">
        <v>424</v>
      </c>
      <c r="D3773" s="79"/>
      <c r="E3773" s="79"/>
      <c r="F3773" s="90"/>
      <c r="G3773" s="84"/>
      <c r="H3773" s="87"/>
      <c r="I3773" s="84"/>
      <c r="J3773" s="87"/>
      <c r="K3773" s="84"/>
      <c r="L3773" s="87"/>
    </row>
    <row r="3774" spans="1:12" ht="12" customHeight="1" x14ac:dyDescent="0.35">
      <c r="B3774" s="84"/>
      <c r="C3774" s="85"/>
      <c r="D3774" s="84"/>
      <c r="E3774" s="84"/>
      <c r="F3774" s="128"/>
      <c r="G3774" s="87"/>
      <c r="H3774" s="87">
        <f>F3774*G3774</f>
        <v>0</v>
      </c>
      <c r="I3774" s="87"/>
      <c r="J3774" s="87"/>
      <c r="K3774" s="87"/>
      <c r="L3774" s="87"/>
    </row>
    <row r="3775" spans="1:12" ht="12" customHeight="1" x14ac:dyDescent="0.35">
      <c r="B3775" s="84"/>
      <c r="C3775" s="85"/>
      <c r="D3775" s="84"/>
      <c r="E3775" s="84"/>
      <c r="F3775" s="128"/>
      <c r="G3775" s="87"/>
      <c r="H3775" s="87">
        <f>F3775*G3775</f>
        <v>0</v>
      </c>
      <c r="I3775" s="87"/>
      <c r="J3775" s="87"/>
      <c r="K3775" s="87"/>
      <c r="L3775" s="87"/>
    </row>
    <row r="3776" spans="1:12" ht="12" customHeight="1" x14ac:dyDescent="0.35">
      <c r="B3776" s="84"/>
      <c r="C3776" s="88"/>
      <c r="D3776" s="79"/>
      <c r="E3776" s="79"/>
      <c r="F3776" s="89" t="s">
        <v>425</v>
      </c>
      <c r="G3776" s="101"/>
      <c r="H3776" s="87">
        <f>SUM(H3774:H3775)</f>
        <v>0</v>
      </c>
      <c r="I3776" s="101"/>
      <c r="J3776" s="87" t="e">
        <f>SUM(#REF!)</f>
        <v>#REF!</v>
      </c>
      <c r="K3776" s="101"/>
      <c r="L3776" s="87" t="e">
        <f>SUM(#REF!)</f>
        <v>#REF!</v>
      </c>
    </row>
    <row r="3777" spans="1:12" ht="12" customHeight="1" x14ac:dyDescent="0.35">
      <c r="B3777" s="84" t="s">
        <v>8</v>
      </c>
      <c r="C3777" s="103" t="s">
        <v>426</v>
      </c>
      <c r="D3777" s="104"/>
      <c r="E3777" s="104"/>
      <c r="F3777" s="104"/>
      <c r="G3777" s="105"/>
      <c r="H3777" s="87" t="e">
        <f>H3769+H3772+H3776</f>
        <v>#REF!</v>
      </c>
      <c r="I3777" s="105"/>
      <c r="J3777" s="87" t="e">
        <f>J3769+J3772+J3776</f>
        <v>#REF!</v>
      </c>
      <c r="K3777" s="105"/>
      <c r="L3777" s="87" t="e">
        <f>L3769+L3772+L3776</f>
        <v>#REF!</v>
      </c>
    </row>
    <row r="3778" spans="1:12" ht="12" customHeight="1" x14ac:dyDescent="0.35">
      <c r="B3778" s="84" t="s">
        <v>9</v>
      </c>
      <c r="C3778" s="455" t="s">
        <v>427</v>
      </c>
      <c r="D3778" s="455"/>
      <c r="E3778" s="455"/>
      <c r="F3778" s="95">
        <v>0</v>
      </c>
      <c r="G3778" s="85" t="s">
        <v>428</v>
      </c>
      <c r="H3778" s="87" t="e">
        <f>H3777*F3778</f>
        <v>#REF!</v>
      </c>
      <c r="I3778" s="85" t="s">
        <v>428</v>
      </c>
      <c r="J3778" s="87" t="e">
        <f>J3777*F3778</f>
        <v>#REF!</v>
      </c>
      <c r="K3778" s="85" t="s">
        <v>428</v>
      </c>
      <c r="L3778" s="87" t="e">
        <f>L3777*F3778</f>
        <v>#REF!</v>
      </c>
    </row>
    <row r="3779" spans="1:12" ht="12" customHeight="1" x14ac:dyDescent="0.35">
      <c r="B3779" s="84" t="s">
        <v>10</v>
      </c>
      <c r="C3779" s="103" t="s">
        <v>429</v>
      </c>
      <c r="D3779" s="104"/>
      <c r="E3779" s="104"/>
      <c r="F3779" s="104"/>
      <c r="G3779" s="105"/>
      <c r="H3779" s="96" t="e">
        <f>H3777+H3778</f>
        <v>#REF!</v>
      </c>
      <c r="I3779" s="97"/>
      <c r="J3779" s="96" t="e">
        <f>J3777+J3778</f>
        <v>#REF!</v>
      </c>
      <c r="K3779" s="97"/>
      <c r="L3779" s="96" t="e">
        <f>L3777+L3778</f>
        <v>#REF!</v>
      </c>
    </row>
    <row r="3780" spans="1:12" ht="14" customHeight="1" x14ac:dyDescent="0.35"/>
    <row r="3781" spans="1:12" ht="37" customHeight="1" x14ac:dyDescent="0.35">
      <c r="B3781" s="76" t="s">
        <v>909</v>
      </c>
      <c r="C3781" s="458" t="s">
        <v>911</v>
      </c>
      <c r="D3781" s="459"/>
      <c r="E3781" s="459"/>
      <c r="F3781" s="459"/>
      <c r="G3781" s="456"/>
      <c r="H3781" s="457"/>
      <c r="I3781" s="455" t="s">
        <v>3</v>
      </c>
      <c r="J3781" s="455"/>
      <c r="K3781" s="455" t="s">
        <v>4</v>
      </c>
      <c r="L3781" s="455"/>
    </row>
    <row r="3782" spans="1:12" ht="12" customHeight="1" x14ac:dyDescent="0.35">
      <c r="B3782" s="451" t="s">
        <v>409</v>
      </c>
      <c r="C3782" s="451" t="s">
        <v>410</v>
      </c>
      <c r="D3782" s="452" t="s">
        <v>411</v>
      </c>
      <c r="E3782" s="451" t="s">
        <v>412</v>
      </c>
      <c r="F3782" s="451" t="s">
        <v>413</v>
      </c>
      <c r="G3782" s="77" t="s">
        <v>414</v>
      </c>
      <c r="H3782" s="77" t="s">
        <v>415</v>
      </c>
      <c r="I3782" s="78" t="s">
        <v>414</v>
      </c>
      <c r="J3782" s="79" t="s">
        <v>415</v>
      </c>
      <c r="K3782" s="79" t="s">
        <v>414</v>
      </c>
      <c r="L3782" s="79" t="s">
        <v>415</v>
      </c>
    </row>
    <row r="3783" spans="1:12" ht="12" customHeight="1" x14ac:dyDescent="0.35">
      <c r="B3783" s="451"/>
      <c r="C3783" s="451"/>
      <c r="D3783" s="453"/>
      <c r="E3783" s="451"/>
      <c r="F3783" s="451"/>
      <c r="G3783" s="77" t="s">
        <v>17</v>
      </c>
      <c r="H3783" s="77" t="s">
        <v>416</v>
      </c>
      <c r="I3783" s="78" t="s">
        <v>17</v>
      </c>
      <c r="J3783" s="79" t="s">
        <v>416</v>
      </c>
      <c r="K3783" s="79" t="s">
        <v>17</v>
      </c>
      <c r="L3783" s="79" t="s">
        <v>416</v>
      </c>
    </row>
    <row r="3784" spans="1:12" ht="12" customHeight="1" x14ac:dyDescent="0.35">
      <c r="B3784" s="451"/>
      <c r="C3784" s="451"/>
      <c r="D3784" s="454"/>
      <c r="E3784" s="451"/>
      <c r="F3784" s="451"/>
      <c r="G3784" s="106"/>
      <c r="H3784" s="77" t="s">
        <v>17</v>
      </c>
      <c r="I3784" s="94"/>
      <c r="J3784" s="79" t="s">
        <v>17</v>
      </c>
      <c r="K3784" s="85"/>
      <c r="L3784" s="79" t="s">
        <v>17</v>
      </c>
    </row>
    <row r="3785" spans="1:12" ht="12" customHeight="1" x14ac:dyDescent="0.35">
      <c r="B3785" s="80" t="s">
        <v>5</v>
      </c>
      <c r="C3785" s="81" t="s">
        <v>417</v>
      </c>
      <c r="D3785" s="82"/>
      <c r="E3785" s="82"/>
      <c r="F3785" s="82"/>
      <c r="G3785" s="82"/>
      <c r="H3785" s="82"/>
      <c r="I3785" s="83"/>
      <c r="J3785" s="83"/>
      <c r="K3785" s="83"/>
      <c r="L3785" s="83"/>
    </row>
    <row r="3786" spans="1:12" ht="12" customHeight="1" x14ac:dyDescent="0.35">
      <c r="A3786" s="134">
        <v>10130000</v>
      </c>
      <c r="B3786" s="84"/>
      <c r="C3786" s="85" t="str">
        <f>VLOOKUP(A3786,'DAFTAR HARGA'!A:D,3,FALSE)</f>
        <v>OH</v>
      </c>
      <c r="D3786" s="84" t="s">
        <v>418</v>
      </c>
      <c r="E3786" s="84">
        <f>VLOOKUP(A3786,'DAFTAR HARGA'!A:D,4,FALSE)</f>
        <v>115000</v>
      </c>
      <c r="F3786" s="128">
        <v>0.1</v>
      </c>
      <c r="G3786" s="87" t="e">
        <f>VLOOKUP(A3786,'DAFTAR HARGA'!A:D,5,FALSE)</f>
        <v>#REF!</v>
      </c>
      <c r="H3786" s="87" t="e">
        <f>F3786*G3786</f>
        <v>#REF!</v>
      </c>
      <c r="I3786" s="87">
        <v>91500</v>
      </c>
      <c r="J3786" s="87">
        <f>F3786*I3786</f>
        <v>9150</v>
      </c>
      <c r="K3786" s="87">
        <v>91500</v>
      </c>
      <c r="L3786" s="87">
        <f>F3786*K3786</f>
        <v>9150</v>
      </c>
    </row>
    <row r="3787" spans="1:12" ht="12" customHeight="1" x14ac:dyDescent="0.35">
      <c r="A3787" s="134">
        <v>10110000</v>
      </c>
      <c r="B3787" s="84"/>
      <c r="C3787" s="85" t="str">
        <f>VLOOKUP(A3787,'DAFTAR HARGA'!A:D,3,FALSE)</f>
        <v>OH</v>
      </c>
      <c r="D3787" s="84" t="s">
        <v>418</v>
      </c>
      <c r="E3787" s="84">
        <f>VLOOKUP(A3787,'DAFTAR HARGA'!A:D,4,FALSE)</f>
        <v>150000</v>
      </c>
      <c r="F3787" s="128">
        <v>0.01</v>
      </c>
      <c r="G3787" s="87" t="e">
        <f>VLOOKUP(A3787,'DAFTAR HARGA'!A:D,5,FALSE)</f>
        <v>#REF!</v>
      </c>
      <c r="H3787" s="87" t="e">
        <f>F3787*G3787</f>
        <v>#REF!</v>
      </c>
      <c r="I3787" s="87"/>
      <c r="J3787" s="87"/>
      <c r="K3787" s="87"/>
      <c r="L3787" s="87"/>
    </row>
    <row r="3788" spans="1:12" ht="12" customHeight="1" x14ac:dyDescent="0.35">
      <c r="B3788" s="84"/>
      <c r="C3788" s="85"/>
      <c r="D3788" s="84"/>
      <c r="E3788" s="84"/>
      <c r="F3788" s="86"/>
      <c r="G3788" s="87"/>
      <c r="H3788" s="87"/>
      <c r="I3788" s="87"/>
      <c r="J3788" s="87"/>
      <c r="K3788" s="87"/>
      <c r="L3788" s="87"/>
    </row>
    <row r="3789" spans="1:12" ht="12" customHeight="1" x14ac:dyDescent="0.35">
      <c r="B3789" s="84"/>
      <c r="C3789" s="88"/>
      <c r="D3789" s="79"/>
      <c r="E3789" s="79"/>
      <c r="F3789" s="89" t="s">
        <v>421</v>
      </c>
      <c r="G3789" s="101"/>
      <c r="H3789" s="87" t="e">
        <f>SUM(H3786:H3788)</f>
        <v>#REF!</v>
      </c>
      <c r="I3789" s="101"/>
      <c r="J3789" s="87">
        <f>SUM(J3788:J3788)</f>
        <v>0</v>
      </c>
      <c r="K3789" s="101"/>
      <c r="L3789" s="87">
        <f>SUM(L3788:L3788)</f>
        <v>0</v>
      </c>
    </row>
    <row r="3790" spans="1:12" ht="12" customHeight="1" x14ac:dyDescent="0.35">
      <c r="B3790" s="84" t="s">
        <v>6</v>
      </c>
      <c r="C3790" s="88" t="s">
        <v>422</v>
      </c>
      <c r="D3790" s="79"/>
      <c r="E3790" s="79"/>
      <c r="F3790" s="90"/>
      <c r="G3790" s="84"/>
      <c r="H3790" s="87"/>
      <c r="I3790" s="84"/>
      <c r="J3790" s="87"/>
      <c r="K3790" s="84"/>
      <c r="L3790" s="87"/>
    </row>
    <row r="3791" spans="1:12" x14ac:dyDescent="0.35">
      <c r="B3791" s="84"/>
      <c r="C3791" s="85"/>
      <c r="D3791" s="84"/>
      <c r="E3791" s="84"/>
      <c r="F3791" s="128"/>
      <c r="G3791" s="87"/>
      <c r="H3791" s="87">
        <f>F3791*G3791</f>
        <v>0</v>
      </c>
      <c r="I3791" s="87"/>
      <c r="J3791" s="87"/>
      <c r="K3791" s="87"/>
      <c r="L3791" s="87"/>
    </row>
    <row r="3792" spans="1:12" ht="12" customHeight="1" x14ac:dyDescent="0.35">
      <c r="B3792" s="84"/>
      <c r="C3792" s="88"/>
      <c r="D3792" s="79"/>
      <c r="E3792" s="79"/>
      <c r="F3792" s="129" t="s">
        <v>423</v>
      </c>
      <c r="G3792" s="129"/>
      <c r="H3792" s="87">
        <f>SUM(H3791:H3791)</f>
        <v>0</v>
      </c>
      <c r="I3792" s="101"/>
      <c r="J3792" s="87" t="e">
        <f>SUM(#REF!)</f>
        <v>#REF!</v>
      </c>
      <c r="K3792" s="101"/>
      <c r="L3792" s="87" t="e">
        <f>SUM(#REF!)</f>
        <v>#REF!</v>
      </c>
    </row>
    <row r="3793" spans="1:12" ht="12" customHeight="1" x14ac:dyDescent="0.35">
      <c r="B3793" s="84" t="s">
        <v>7</v>
      </c>
      <c r="C3793" s="88" t="s">
        <v>424</v>
      </c>
      <c r="D3793" s="79"/>
      <c r="E3793" s="79"/>
      <c r="F3793" s="90"/>
      <c r="G3793" s="84"/>
      <c r="H3793" s="87"/>
      <c r="I3793" s="84"/>
      <c r="J3793" s="87"/>
      <c r="K3793" s="84"/>
      <c r="L3793" s="87"/>
    </row>
    <row r="3794" spans="1:12" ht="12" customHeight="1" x14ac:dyDescent="0.35">
      <c r="A3794" s="134">
        <v>31100008</v>
      </c>
      <c r="B3794" s="84"/>
      <c r="C3794" s="85" t="str">
        <f>VLOOKUP(A3794,'DAFTAR HARGA'!A:D,3,FALSE)</f>
        <v>jam</v>
      </c>
      <c r="D3794" s="84" t="s">
        <v>418</v>
      </c>
      <c r="E3794" s="84">
        <f>VLOOKUP(A3794,'DAFTAR HARGA'!A:D,4,FALSE)</f>
        <v>449000</v>
      </c>
      <c r="F3794" s="128">
        <v>2.5000000000000001E-2</v>
      </c>
      <c r="G3794" s="87" t="e">
        <f>VLOOKUP(A3794,'DAFTAR HARGA'!A:D,5,FALSE)</f>
        <v>#REF!</v>
      </c>
      <c r="H3794" s="87" t="e">
        <f>F3794*G3794</f>
        <v>#REF!</v>
      </c>
      <c r="I3794" s="87"/>
      <c r="J3794" s="87"/>
      <c r="K3794" s="87"/>
      <c r="L3794" s="87"/>
    </row>
    <row r="3795" spans="1:12" ht="12" customHeight="1" x14ac:dyDescent="0.35">
      <c r="A3795" s="134">
        <v>31110029</v>
      </c>
      <c r="B3795" s="84"/>
      <c r="C3795" s="85" t="str">
        <f>VLOOKUP(A3795,'DAFTAR HARGA'!A:D,3,FALSE)</f>
        <v>jam</v>
      </c>
      <c r="D3795" s="84" t="s">
        <v>418</v>
      </c>
      <c r="E3795" s="84">
        <f>VLOOKUP(A3795,'DAFTAR HARGA'!A:D,4,FALSE)</f>
        <v>200000</v>
      </c>
      <c r="F3795" s="128">
        <v>2.5000000000000001E-2</v>
      </c>
      <c r="G3795" s="87" t="e">
        <f>VLOOKUP(A3795,'DAFTAR HARGA'!A:D,5,FALSE)</f>
        <v>#REF!</v>
      </c>
      <c r="H3795" s="87" t="e">
        <f>F3795*G3795</f>
        <v>#REF!</v>
      </c>
      <c r="I3795" s="87"/>
      <c r="J3795" s="87"/>
      <c r="K3795" s="87"/>
      <c r="L3795" s="87"/>
    </row>
    <row r="3796" spans="1:12" ht="12" customHeight="1" x14ac:dyDescent="0.35">
      <c r="B3796" s="84"/>
      <c r="C3796" s="85"/>
      <c r="D3796" s="84"/>
      <c r="E3796" s="84"/>
      <c r="F3796" s="128"/>
      <c r="G3796" s="87"/>
      <c r="H3796" s="87">
        <f>F3796*G3796</f>
        <v>0</v>
      </c>
      <c r="I3796" s="87"/>
      <c r="J3796" s="87"/>
      <c r="K3796" s="87"/>
      <c r="L3796" s="87"/>
    </row>
    <row r="3797" spans="1:12" ht="12" customHeight="1" x14ac:dyDescent="0.35">
      <c r="B3797" s="84"/>
      <c r="C3797" s="88"/>
      <c r="D3797" s="79"/>
      <c r="E3797" s="79"/>
      <c r="F3797" s="89" t="s">
        <v>425</v>
      </c>
      <c r="G3797" s="101"/>
      <c r="H3797" s="87" t="e">
        <f>SUM(H3794:H3796)</f>
        <v>#REF!</v>
      </c>
      <c r="I3797" s="101"/>
      <c r="J3797" s="87" t="e">
        <f>SUM(#REF!)</f>
        <v>#REF!</v>
      </c>
      <c r="K3797" s="101"/>
      <c r="L3797" s="87" t="e">
        <f>SUM(#REF!)</f>
        <v>#REF!</v>
      </c>
    </row>
    <row r="3798" spans="1:12" ht="12" customHeight="1" x14ac:dyDescent="0.35">
      <c r="B3798" s="84" t="s">
        <v>8</v>
      </c>
      <c r="C3798" s="103" t="s">
        <v>426</v>
      </c>
      <c r="D3798" s="104"/>
      <c r="E3798" s="104"/>
      <c r="F3798" s="104"/>
      <c r="G3798" s="105"/>
      <c r="H3798" s="87" t="e">
        <f>H3789+H3792+H3797</f>
        <v>#REF!</v>
      </c>
      <c r="I3798" s="105"/>
      <c r="J3798" s="87" t="e">
        <f>J3789+J3792+J3797</f>
        <v>#REF!</v>
      </c>
      <c r="K3798" s="105"/>
      <c r="L3798" s="87" t="e">
        <f>L3789+L3792+L3797</f>
        <v>#REF!</v>
      </c>
    </row>
    <row r="3799" spans="1:12" ht="12" customHeight="1" x14ac:dyDescent="0.35">
      <c r="B3799" s="84" t="s">
        <v>9</v>
      </c>
      <c r="C3799" s="455" t="s">
        <v>427</v>
      </c>
      <c r="D3799" s="455"/>
      <c r="E3799" s="455"/>
      <c r="F3799" s="95">
        <v>0</v>
      </c>
      <c r="G3799" s="85" t="s">
        <v>428</v>
      </c>
      <c r="H3799" s="87" t="e">
        <f>H3798*F3799</f>
        <v>#REF!</v>
      </c>
      <c r="I3799" s="85" t="s">
        <v>428</v>
      </c>
      <c r="J3799" s="87" t="e">
        <f>J3798*F3799</f>
        <v>#REF!</v>
      </c>
      <c r="K3799" s="85" t="s">
        <v>428</v>
      </c>
      <c r="L3799" s="87" t="e">
        <f>L3798*F3799</f>
        <v>#REF!</v>
      </c>
    </row>
    <row r="3800" spans="1:12" ht="12" customHeight="1" x14ac:dyDescent="0.35">
      <c r="B3800" s="84" t="s">
        <v>10</v>
      </c>
      <c r="C3800" s="103" t="s">
        <v>429</v>
      </c>
      <c r="D3800" s="104"/>
      <c r="E3800" s="104"/>
      <c r="F3800" s="104"/>
      <c r="G3800" s="105"/>
      <c r="H3800" s="96" t="e">
        <f>H3798+H3799</f>
        <v>#REF!</v>
      </c>
      <c r="I3800" s="97"/>
      <c r="J3800" s="96" t="e">
        <f>J3798+J3799</f>
        <v>#REF!</v>
      </c>
      <c r="K3800" s="97"/>
      <c r="L3800" s="96" t="e">
        <f>L3798+L3799</f>
        <v>#REF!</v>
      </c>
    </row>
    <row r="3801" spans="1:12" ht="14" customHeight="1" x14ac:dyDescent="0.35"/>
    <row r="3802" spans="1:12" ht="37" customHeight="1" x14ac:dyDescent="0.35">
      <c r="B3802" s="76" t="s">
        <v>912</v>
      </c>
      <c r="C3802" s="458" t="s">
        <v>913</v>
      </c>
      <c r="D3802" s="459"/>
      <c r="E3802" s="459"/>
      <c r="F3802" s="459"/>
      <c r="G3802" s="456"/>
      <c r="H3802" s="457"/>
      <c r="I3802" s="455" t="s">
        <v>3</v>
      </c>
      <c r="J3802" s="455"/>
      <c r="K3802" s="455" t="s">
        <v>4</v>
      </c>
      <c r="L3802" s="455"/>
    </row>
    <row r="3803" spans="1:12" ht="12" customHeight="1" x14ac:dyDescent="0.35">
      <c r="B3803" s="451" t="s">
        <v>409</v>
      </c>
      <c r="C3803" s="451" t="s">
        <v>410</v>
      </c>
      <c r="D3803" s="452" t="s">
        <v>411</v>
      </c>
      <c r="E3803" s="451" t="s">
        <v>412</v>
      </c>
      <c r="F3803" s="451" t="s">
        <v>413</v>
      </c>
      <c r="G3803" s="77" t="s">
        <v>414</v>
      </c>
      <c r="H3803" s="77" t="s">
        <v>415</v>
      </c>
      <c r="I3803" s="78" t="s">
        <v>414</v>
      </c>
      <c r="J3803" s="79" t="s">
        <v>415</v>
      </c>
      <c r="K3803" s="79" t="s">
        <v>414</v>
      </c>
      <c r="L3803" s="79" t="s">
        <v>415</v>
      </c>
    </row>
    <row r="3804" spans="1:12" ht="12" customHeight="1" x14ac:dyDescent="0.35">
      <c r="B3804" s="451"/>
      <c r="C3804" s="451"/>
      <c r="D3804" s="453"/>
      <c r="E3804" s="451"/>
      <c r="F3804" s="451"/>
      <c r="G3804" s="77" t="s">
        <v>17</v>
      </c>
      <c r="H3804" s="77" t="s">
        <v>416</v>
      </c>
      <c r="I3804" s="78" t="s">
        <v>17</v>
      </c>
      <c r="J3804" s="79" t="s">
        <v>416</v>
      </c>
      <c r="K3804" s="79" t="s">
        <v>17</v>
      </c>
      <c r="L3804" s="79" t="s">
        <v>416</v>
      </c>
    </row>
    <row r="3805" spans="1:12" ht="12" customHeight="1" x14ac:dyDescent="0.35">
      <c r="B3805" s="451"/>
      <c r="C3805" s="451"/>
      <c r="D3805" s="454"/>
      <c r="E3805" s="451"/>
      <c r="F3805" s="451"/>
      <c r="G3805" s="106"/>
      <c r="H3805" s="77" t="s">
        <v>17</v>
      </c>
      <c r="I3805" s="94"/>
      <c r="J3805" s="79" t="s">
        <v>17</v>
      </c>
      <c r="K3805" s="85"/>
      <c r="L3805" s="79" t="s">
        <v>17</v>
      </c>
    </row>
    <row r="3806" spans="1:12" ht="12" customHeight="1" x14ac:dyDescent="0.35">
      <c r="B3806" s="80" t="s">
        <v>5</v>
      </c>
      <c r="C3806" s="81" t="s">
        <v>417</v>
      </c>
      <c r="D3806" s="82"/>
      <c r="E3806" s="82"/>
      <c r="F3806" s="82"/>
      <c r="G3806" s="82"/>
      <c r="H3806" s="82"/>
      <c r="I3806" s="83"/>
      <c r="J3806" s="83"/>
      <c r="K3806" s="83"/>
      <c r="L3806" s="83"/>
    </row>
    <row r="3807" spans="1:12" ht="12" customHeight="1" x14ac:dyDescent="0.35">
      <c r="A3807" s="134">
        <v>10121100</v>
      </c>
      <c r="B3807" s="84"/>
      <c r="C3807" s="85" t="str">
        <f>VLOOKUP(A3807,'DAFTAR HARGA'!A:D,3,FALSE)</f>
        <v>OH</v>
      </c>
      <c r="D3807" s="84" t="s">
        <v>418</v>
      </c>
      <c r="E3807" s="84">
        <f>VLOOKUP(A3807,'DAFTAR HARGA'!A:D,4,FALSE)</f>
        <v>100000</v>
      </c>
      <c r="F3807" s="128">
        <v>0.02</v>
      </c>
      <c r="G3807" s="87" t="e">
        <f>VLOOKUP(A3807,'DAFTAR HARGA'!A:D,5,FALSE)</f>
        <v>#REF!</v>
      </c>
      <c r="H3807" s="87" t="e">
        <f>F3807*G3807</f>
        <v>#REF!</v>
      </c>
      <c r="I3807" s="87">
        <v>91500</v>
      </c>
      <c r="J3807" s="87">
        <f>F3807*I3807</f>
        <v>1830</v>
      </c>
      <c r="K3807" s="87">
        <v>91500</v>
      </c>
      <c r="L3807" s="87">
        <f>F3807*K3807</f>
        <v>1830</v>
      </c>
    </row>
    <row r="3808" spans="1:12" ht="12" customHeight="1" x14ac:dyDescent="0.35">
      <c r="A3808" s="134">
        <v>10120000</v>
      </c>
      <c r="B3808" s="84"/>
      <c r="C3808" s="85" t="str">
        <f>VLOOKUP(A3808,'DAFTAR HARGA'!A:D,3,FALSE)</f>
        <v>OH</v>
      </c>
      <c r="D3808" s="84" t="s">
        <v>418</v>
      </c>
      <c r="E3808" s="84">
        <f>VLOOKUP(A3808,'DAFTAR HARGA'!A:D,4,FALSE)</f>
        <v>130000</v>
      </c>
      <c r="F3808" s="128">
        <v>0.01</v>
      </c>
      <c r="G3808" s="87" t="e">
        <f>VLOOKUP(A3808,'DAFTAR HARGA'!A:D,5,FALSE)</f>
        <v>#REF!</v>
      </c>
      <c r="H3808" s="87" t="e">
        <f>F3808*G3808</f>
        <v>#REF!</v>
      </c>
      <c r="I3808" s="87"/>
      <c r="J3808" s="87"/>
      <c r="K3808" s="87"/>
      <c r="L3808" s="87"/>
    </row>
    <row r="3809" spans="1:12" ht="12" customHeight="1" x14ac:dyDescent="0.35">
      <c r="A3809" s="134">
        <v>10110000</v>
      </c>
      <c r="B3809" s="84"/>
      <c r="C3809" s="85" t="str">
        <f>VLOOKUP(A3809,'DAFTAR HARGA'!A:D,3,FALSE)</f>
        <v>OH</v>
      </c>
      <c r="D3809" s="84" t="s">
        <v>418</v>
      </c>
      <c r="E3809" s="84">
        <f>VLOOKUP(A3809,'DAFTAR HARGA'!A:D,4,FALSE)</f>
        <v>150000</v>
      </c>
      <c r="F3809" s="128">
        <v>1E-3</v>
      </c>
      <c r="G3809" s="87" t="e">
        <f>VLOOKUP(A3809,'DAFTAR HARGA'!A:D,5,FALSE)</f>
        <v>#REF!</v>
      </c>
      <c r="H3809" s="87" t="e">
        <f>F3809*G3809</f>
        <v>#REF!</v>
      </c>
      <c r="I3809" s="87"/>
      <c r="J3809" s="87"/>
      <c r="K3809" s="87"/>
      <c r="L3809" s="87"/>
    </row>
    <row r="3810" spans="1:12" ht="12" customHeight="1" x14ac:dyDescent="0.35">
      <c r="B3810" s="84"/>
      <c r="C3810" s="88"/>
      <c r="D3810" s="79"/>
      <c r="E3810" s="79"/>
      <c r="F3810" s="89"/>
      <c r="G3810" s="101"/>
      <c r="H3810" s="87" t="e">
        <f>SUM(H3807:H3809)</f>
        <v>#REF!</v>
      </c>
      <c r="I3810" s="101"/>
      <c r="J3810" s="87">
        <f>SUM(J3809:J3809)</f>
        <v>0</v>
      </c>
      <c r="K3810" s="101"/>
      <c r="L3810" s="87">
        <f>SUM(L3809:L3809)</f>
        <v>0</v>
      </c>
    </row>
    <row r="3811" spans="1:12" ht="12" customHeight="1" x14ac:dyDescent="0.35">
      <c r="B3811" s="84" t="s">
        <v>6</v>
      </c>
      <c r="C3811" s="88" t="s">
        <v>422</v>
      </c>
      <c r="D3811" s="79"/>
      <c r="E3811" s="79"/>
      <c r="F3811" s="90"/>
      <c r="G3811" s="84"/>
      <c r="H3811" s="87"/>
      <c r="I3811" s="84"/>
      <c r="J3811" s="87"/>
      <c r="K3811" s="84"/>
      <c r="L3811" s="87"/>
    </row>
    <row r="3812" spans="1:12" x14ac:dyDescent="0.35">
      <c r="A3812" s="134">
        <v>21902002</v>
      </c>
      <c r="B3812" s="84"/>
      <c r="C3812" s="130" t="str">
        <f>VLOOKUP(A3812,'DAFTAR HARGA'!A:D,3,FALSE)</f>
        <v>Kg</v>
      </c>
      <c r="D3812" s="131" t="s">
        <v>418</v>
      </c>
      <c r="E3812" s="131">
        <f>VLOOKUP(A3812,'DAFTAR HARGA'!A:D,4,FALSE)</f>
        <v>16600</v>
      </c>
      <c r="F3812" s="132">
        <v>1.1000000000000001</v>
      </c>
      <c r="G3812" s="133" t="e">
        <f>VLOOKUP(A3812,'DAFTAR HARGA'!A:D,5,FALSE)</f>
        <v>#REF!</v>
      </c>
      <c r="H3812" s="133" t="e">
        <f>F3812*G3812</f>
        <v>#REF!</v>
      </c>
      <c r="I3812" s="87"/>
      <c r="J3812" s="87"/>
      <c r="K3812" s="87"/>
      <c r="L3812" s="87"/>
    </row>
    <row r="3813" spans="1:12" x14ac:dyDescent="0.35">
      <c r="B3813" s="84"/>
      <c r="C3813" s="85"/>
      <c r="D3813" s="84"/>
      <c r="E3813" s="84"/>
      <c r="F3813" s="128"/>
      <c r="G3813" s="87"/>
      <c r="H3813" s="87"/>
      <c r="I3813" s="87"/>
      <c r="J3813" s="87"/>
      <c r="K3813" s="87"/>
      <c r="L3813" s="87"/>
    </row>
    <row r="3814" spans="1:12" ht="12" customHeight="1" x14ac:dyDescent="0.35">
      <c r="B3814" s="84"/>
      <c r="C3814" s="88"/>
      <c r="D3814" s="79"/>
      <c r="E3814" s="79"/>
      <c r="F3814" s="129" t="s">
        <v>423</v>
      </c>
      <c r="G3814" s="129"/>
      <c r="H3814" s="87" t="e">
        <f>SUM(H3812:H3812)</f>
        <v>#REF!</v>
      </c>
      <c r="I3814" s="101"/>
      <c r="J3814" s="87" t="e">
        <f>SUM(#REF!)</f>
        <v>#REF!</v>
      </c>
      <c r="K3814" s="101"/>
      <c r="L3814" s="87" t="e">
        <f>SUM(#REF!)</f>
        <v>#REF!</v>
      </c>
    </row>
    <row r="3815" spans="1:12" ht="12" customHeight="1" x14ac:dyDescent="0.35">
      <c r="B3815" s="84" t="s">
        <v>7</v>
      </c>
      <c r="C3815" s="88" t="s">
        <v>424</v>
      </c>
      <c r="D3815" s="79"/>
      <c r="E3815" s="79"/>
      <c r="F3815" s="90"/>
      <c r="G3815" s="84"/>
      <c r="H3815" s="87"/>
      <c r="I3815" s="84"/>
      <c r="J3815" s="87"/>
      <c r="K3815" s="84"/>
      <c r="L3815" s="87"/>
    </row>
    <row r="3816" spans="1:12" ht="12" customHeight="1" x14ac:dyDescent="0.35">
      <c r="A3816" s="134">
        <v>31220101</v>
      </c>
      <c r="B3816" s="84"/>
      <c r="C3816" s="85" t="str">
        <f>VLOOKUP(A3816,'DAFTAR HARGA'!A:D,3,FALSE)</f>
        <v>hari</v>
      </c>
      <c r="D3816" s="84" t="s">
        <v>418</v>
      </c>
      <c r="E3816" s="84">
        <f>VLOOKUP(A3816,'DAFTAR HARGA'!A:D,4,FALSE)</f>
        <v>55000</v>
      </c>
      <c r="F3816" s="128"/>
      <c r="G3816" s="87" t="e">
        <f>VLOOKUP(A3816,'DAFTAR HARGA'!A:D,5,FALSE)</f>
        <v>#REF!</v>
      </c>
      <c r="H3816" s="87" t="e">
        <f>F3816*G3816</f>
        <v>#REF!</v>
      </c>
      <c r="I3816" s="87"/>
      <c r="J3816" s="87"/>
      <c r="K3816" s="87"/>
      <c r="L3816" s="87"/>
    </row>
    <row r="3817" spans="1:12" ht="12" customHeight="1" x14ac:dyDescent="0.35">
      <c r="A3817" s="134">
        <v>31220105</v>
      </c>
      <c r="B3817" s="84"/>
      <c r="C3817" s="85" t="str">
        <f>VLOOKUP(A3817,'DAFTAR HARGA'!A:D,3,FALSE)</f>
        <v>hari</v>
      </c>
      <c r="D3817" s="84" t="s">
        <v>418</v>
      </c>
      <c r="E3817" s="84">
        <f>VLOOKUP(A3817,'DAFTAR HARGA'!A:D,4,FALSE)</f>
        <v>50000</v>
      </c>
      <c r="F3817" s="128"/>
      <c r="G3817" s="87" t="e">
        <f>VLOOKUP(A3817,'DAFTAR HARGA'!A:D,5,FALSE)</f>
        <v>#REF!</v>
      </c>
      <c r="H3817" s="87" t="e">
        <f>F3817*G3817</f>
        <v>#REF!</v>
      </c>
      <c r="I3817" s="87"/>
      <c r="J3817" s="87"/>
      <c r="K3817" s="87"/>
      <c r="L3817" s="87"/>
    </row>
    <row r="3818" spans="1:12" ht="12" customHeight="1" x14ac:dyDescent="0.35">
      <c r="A3818" s="134">
        <v>31220110</v>
      </c>
      <c r="B3818" s="84"/>
      <c r="C3818" s="85" t="str">
        <f>VLOOKUP(A3818,'DAFTAR HARGA'!A:D,3,FALSE)</f>
        <v>hari</v>
      </c>
      <c r="D3818" s="84" t="s">
        <v>418</v>
      </c>
      <c r="E3818" s="84">
        <f>VLOOKUP(A3818,'DAFTAR HARGA'!A:D,4,FALSE)</f>
        <v>50000</v>
      </c>
      <c r="F3818" s="128"/>
      <c r="G3818" s="87" t="e">
        <f>VLOOKUP(A3818,'DAFTAR HARGA'!A:D,5,FALSE)</f>
        <v>#REF!</v>
      </c>
      <c r="H3818" s="87" t="e">
        <f t="shared" ref="H3818:H3819" si="8">F3818*G3818</f>
        <v>#REF!</v>
      </c>
      <c r="I3818" s="87"/>
      <c r="J3818" s="87"/>
      <c r="K3818" s="87"/>
      <c r="L3818" s="87"/>
    </row>
    <row r="3819" spans="1:12" ht="12" customHeight="1" x14ac:dyDescent="0.35">
      <c r="A3819" s="134" t="s">
        <v>916</v>
      </c>
      <c r="B3819" s="84"/>
      <c r="C3819" s="85" t="str">
        <f>VLOOKUP(A3819,'DAFTAR HARGA'!A:D,3,FALSE)</f>
        <v>jam</v>
      </c>
      <c r="D3819" s="84" t="s">
        <v>418</v>
      </c>
      <c r="E3819" s="84">
        <f>VLOOKUP(A3819,'DAFTAR HARGA'!A:D,4,FALSE)</f>
        <v>68750</v>
      </c>
      <c r="F3819" s="128"/>
      <c r="G3819" s="87" t="e">
        <f>VLOOKUP(A3819,'DAFTAR HARGA'!A:D,5,FALSE)</f>
        <v>#REF!</v>
      </c>
      <c r="H3819" s="87" t="e">
        <f t="shared" si="8"/>
        <v>#REF!</v>
      </c>
      <c r="I3819" s="87"/>
      <c r="J3819" s="87"/>
      <c r="K3819" s="87"/>
      <c r="L3819" s="87"/>
    </row>
    <row r="3820" spans="1:12" ht="12" customHeight="1" x14ac:dyDescent="0.35">
      <c r="B3820" s="84"/>
      <c r="C3820" s="85"/>
      <c r="D3820" s="84"/>
      <c r="E3820" s="84"/>
      <c r="F3820" s="128"/>
      <c r="G3820" s="87"/>
      <c r="H3820" s="87">
        <f>F3820*G3820</f>
        <v>0</v>
      </c>
      <c r="I3820" s="87"/>
      <c r="J3820" s="87"/>
      <c r="K3820" s="87"/>
      <c r="L3820" s="87"/>
    </row>
    <row r="3821" spans="1:12" ht="12" customHeight="1" x14ac:dyDescent="0.35">
      <c r="B3821" s="84"/>
      <c r="C3821" s="88"/>
      <c r="D3821" s="79"/>
      <c r="E3821" s="79"/>
      <c r="F3821" s="89" t="s">
        <v>425</v>
      </c>
      <c r="G3821" s="101"/>
      <c r="H3821" s="87" t="e">
        <f>SUM(H3816:H3820)</f>
        <v>#REF!</v>
      </c>
      <c r="I3821" s="101"/>
      <c r="J3821" s="87" t="e">
        <f>SUM(#REF!)</f>
        <v>#REF!</v>
      </c>
      <c r="K3821" s="101"/>
      <c r="L3821" s="87" t="e">
        <f>SUM(#REF!)</f>
        <v>#REF!</v>
      </c>
    </row>
    <row r="3822" spans="1:12" ht="12" customHeight="1" x14ac:dyDescent="0.35">
      <c r="B3822" s="84" t="s">
        <v>8</v>
      </c>
      <c r="C3822" s="103" t="s">
        <v>426</v>
      </c>
      <c r="D3822" s="104"/>
      <c r="E3822" s="104"/>
      <c r="F3822" s="104"/>
      <c r="G3822" s="105"/>
      <c r="H3822" s="87" t="e">
        <f>H3810+H3814+H3821</f>
        <v>#REF!</v>
      </c>
      <c r="I3822" s="105"/>
      <c r="J3822" s="87" t="e">
        <f>J3810+J3814+J3821</f>
        <v>#REF!</v>
      </c>
      <c r="K3822" s="105"/>
      <c r="L3822" s="87" t="e">
        <f>L3810+L3814+L3821</f>
        <v>#REF!</v>
      </c>
    </row>
    <row r="3823" spans="1:12" ht="12" customHeight="1" x14ac:dyDescent="0.35">
      <c r="B3823" s="84" t="s">
        <v>9</v>
      </c>
      <c r="C3823" s="455" t="s">
        <v>427</v>
      </c>
      <c r="D3823" s="455"/>
      <c r="E3823" s="455"/>
      <c r="F3823" s="95">
        <v>0</v>
      </c>
      <c r="G3823" s="85" t="s">
        <v>428</v>
      </c>
      <c r="H3823" s="87" t="e">
        <f>H3822*F3823</f>
        <v>#REF!</v>
      </c>
      <c r="I3823" s="85" t="s">
        <v>428</v>
      </c>
      <c r="J3823" s="87" t="e">
        <f>J3822*F3823</f>
        <v>#REF!</v>
      </c>
      <c r="K3823" s="85" t="s">
        <v>428</v>
      </c>
      <c r="L3823" s="87" t="e">
        <f>L3822*F3823</f>
        <v>#REF!</v>
      </c>
    </row>
    <row r="3824" spans="1:12" ht="12" customHeight="1" x14ac:dyDescent="0.35">
      <c r="B3824" s="84" t="s">
        <v>10</v>
      </c>
      <c r="C3824" s="103" t="s">
        <v>429</v>
      </c>
      <c r="D3824" s="104"/>
      <c r="E3824" s="104"/>
      <c r="F3824" s="104"/>
      <c r="G3824" s="105"/>
      <c r="H3824" s="96" t="e">
        <f>H3822+H3823</f>
        <v>#REF!</v>
      </c>
      <c r="I3824" s="97"/>
      <c r="J3824" s="96" t="e">
        <f>J3822+J3823</f>
        <v>#REF!</v>
      </c>
      <c r="K3824" s="97"/>
      <c r="L3824" s="96" t="e">
        <f>L3822+L3823</f>
        <v>#REF!</v>
      </c>
    </row>
    <row r="3825" spans="1:12" ht="12" customHeight="1" x14ac:dyDescent="0.35">
      <c r="B3825" s="75" t="s">
        <v>919</v>
      </c>
      <c r="H3825" s="125"/>
      <c r="I3825" s="126"/>
      <c r="J3825" s="125"/>
      <c r="K3825" s="126"/>
      <c r="L3825" s="125"/>
    </row>
    <row r="3826" spans="1:12" ht="14" customHeight="1" x14ac:dyDescent="0.35"/>
    <row r="3827" spans="1:12" ht="37" customHeight="1" x14ac:dyDescent="0.35">
      <c r="B3827" s="76" t="s">
        <v>917</v>
      </c>
      <c r="C3827" s="458" t="s">
        <v>918</v>
      </c>
      <c r="D3827" s="459"/>
      <c r="E3827" s="459"/>
      <c r="F3827" s="459"/>
      <c r="G3827" s="456"/>
      <c r="H3827" s="457"/>
      <c r="I3827" s="455" t="s">
        <v>3</v>
      </c>
      <c r="J3827" s="455"/>
      <c r="K3827" s="455" t="s">
        <v>4</v>
      </c>
      <c r="L3827" s="455"/>
    </row>
    <row r="3828" spans="1:12" ht="12" customHeight="1" x14ac:dyDescent="0.35">
      <c r="B3828" s="451" t="s">
        <v>409</v>
      </c>
      <c r="C3828" s="451" t="s">
        <v>410</v>
      </c>
      <c r="D3828" s="452" t="s">
        <v>411</v>
      </c>
      <c r="E3828" s="451" t="s">
        <v>412</v>
      </c>
      <c r="F3828" s="451" t="s">
        <v>413</v>
      </c>
      <c r="G3828" s="77" t="s">
        <v>414</v>
      </c>
      <c r="H3828" s="77" t="s">
        <v>415</v>
      </c>
      <c r="I3828" s="78" t="s">
        <v>414</v>
      </c>
      <c r="J3828" s="79" t="s">
        <v>415</v>
      </c>
      <c r="K3828" s="79" t="s">
        <v>414</v>
      </c>
      <c r="L3828" s="79" t="s">
        <v>415</v>
      </c>
    </row>
    <row r="3829" spans="1:12" ht="12" customHeight="1" x14ac:dyDescent="0.35">
      <c r="B3829" s="451"/>
      <c r="C3829" s="451"/>
      <c r="D3829" s="453"/>
      <c r="E3829" s="451"/>
      <c r="F3829" s="451"/>
      <c r="G3829" s="77" t="s">
        <v>17</v>
      </c>
      <c r="H3829" s="77" t="s">
        <v>416</v>
      </c>
      <c r="I3829" s="78" t="s">
        <v>17</v>
      </c>
      <c r="J3829" s="79" t="s">
        <v>416</v>
      </c>
      <c r="K3829" s="79" t="s">
        <v>17</v>
      </c>
      <c r="L3829" s="79" t="s">
        <v>416</v>
      </c>
    </row>
    <row r="3830" spans="1:12" ht="12" customHeight="1" x14ac:dyDescent="0.35">
      <c r="B3830" s="451"/>
      <c r="C3830" s="451"/>
      <c r="D3830" s="454"/>
      <c r="E3830" s="451"/>
      <c r="F3830" s="451"/>
      <c r="G3830" s="106"/>
      <c r="H3830" s="77" t="s">
        <v>17</v>
      </c>
      <c r="I3830" s="94"/>
      <c r="J3830" s="79" t="s">
        <v>17</v>
      </c>
      <c r="K3830" s="85"/>
      <c r="L3830" s="79" t="s">
        <v>17</v>
      </c>
    </row>
    <row r="3831" spans="1:12" ht="12" customHeight="1" x14ac:dyDescent="0.35">
      <c r="B3831" s="80" t="s">
        <v>5</v>
      </c>
      <c r="C3831" s="81" t="s">
        <v>417</v>
      </c>
      <c r="D3831" s="82"/>
      <c r="E3831" s="82"/>
      <c r="F3831" s="82"/>
      <c r="G3831" s="82"/>
      <c r="H3831" s="82"/>
      <c r="I3831" s="83"/>
      <c r="J3831" s="83"/>
      <c r="K3831" s="83"/>
      <c r="L3831" s="83"/>
    </row>
    <row r="3832" spans="1:12" ht="12" customHeight="1" x14ac:dyDescent="0.35">
      <c r="A3832" s="134">
        <v>10130000</v>
      </c>
      <c r="B3832" s="84"/>
      <c r="C3832" s="85" t="str">
        <f>VLOOKUP(A3832,'DAFTAR HARGA'!A:D,3,FALSE)</f>
        <v>OH</v>
      </c>
      <c r="D3832" s="84" t="s">
        <v>418</v>
      </c>
      <c r="E3832" s="84">
        <f>VLOOKUP(A3832,'DAFTAR HARGA'!A:D,4,FALSE)</f>
        <v>115000</v>
      </c>
      <c r="F3832" s="128">
        <v>0.15459999999999999</v>
      </c>
      <c r="G3832" s="87" t="e">
        <f>VLOOKUP(A3832,'DAFTAR HARGA'!A:D,5,FALSE)</f>
        <v>#REF!</v>
      </c>
      <c r="H3832" s="87" t="e">
        <f>F3832*G3832</f>
        <v>#REF!</v>
      </c>
      <c r="I3832" s="87">
        <v>91500</v>
      </c>
      <c r="J3832" s="87">
        <f>F3832*I3832</f>
        <v>14145.9</v>
      </c>
      <c r="K3832" s="87">
        <v>91500</v>
      </c>
      <c r="L3832" s="87">
        <f>F3832*K3832</f>
        <v>14145.9</v>
      </c>
    </row>
    <row r="3833" spans="1:12" ht="12" customHeight="1" x14ac:dyDescent="0.35">
      <c r="A3833" s="134">
        <v>10121100</v>
      </c>
      <c r="B3833" s="84"/>
      <c r="C3833" s="85" t="str">
        <f>VLOOKUP(A3833,'DAFTAR HARGA'!A:D,3,FALSE)</f>
        <v>OH</v>
      </c>
      <c r="D3833" s="84" t="s">
        <v>418</v>
      </c>
      <c r="E3833" s="84">
        <f>VLOOKUP(A3833,'DAFTAR HARGA'!A:D,4,FALSE)</f>
        <v>100000</v>
      </c>
      <c r="F3833" s="128">
        <v>7.7299999999999994E-2</v>
      </c>
      <c r="G3833" s="87" t="e">
        <f>VLOOKUP(A3833,'DAFTAR HARGA'!A:D,5,FALSE)</f>
        <v>#REF!</v>
      </c>
      <c r="H3833" s="87" t="e">
        <f>F3833*G3833</f>
        <v>#REF!</v>
      </c>
      <c r="I3833" s="87"/>
      <c r="J3833" s="87"/>
      <c r="K3833" s="87"/>
      <c r="L3833" s="87"/>
    </row>
    <row r="3834" spans="1:12" ht="12" customHeight="1" x14ac:dyDescent="0.35">
      <c r="A3834" s="134">
        <v>10110000</v>
      </c>
      <c r="B3834" s="84"/>
      <c r="C3834" s="85" t="str">
        <f>VLOOKUP(A3834,'DAFTAR HARGA'!A:D,3,FALSE)</f>
        <v>OH</v>
      </c>
      <c r="D3834" s="84" t="s">
        <v>418</v>
      </c>
      <c r="E3834" s="84">
        <f>VLOOKUP(A3834,'DAFTAR HARGA'!A:D,4,FALSE)</f>
        <v>150000</v>
      </c>
      <c r="F3834" s="128">
        <v>1.55E-2</v>
      </c>
      <c r="G3834" s="87" t="e">
        <f>VLOOKUP(A3834,'DAFTAR HARGA'!A:D,5,FALSE)</f>
        <v>#REF!</v>
      </c>
      <c r="H3834" s="87" t="e">
        <f>F3834*G3834</f>
        <v>#REF!</v>
      </c>
      <c r="I3834" s="87"/>
      <c r="J3834" s="87"/>
      <c r="K3834" s="87"/>
      <c r="L3834" s="87"/>
    </row>
    <row r="3835" spans="1:12" ht="12" customHeight="1" x14ac:dyDescent="0.35">
      <c r="B3835" s="84"/>
      <c r="C3835" s="88"/>
      <c r="D3835" s="79"/>
      <c r="E3835" s="79"/>
      <c r="F3835" s="89"/>
      <c r="G3835" s="101"/>
      <c r="H3835" s="87" t="e">
        <f>SUM(H3832:H3834)</f>
        <v>#REF!</v>
      </c>
      <c r="I3835" s="101"/>
      <c r="J3835" s="87">
        <f>SUM(J3834:J3834)</f>
        <v>0</v>
      </c>
      <c r="K3835" s="101"/>
      <c r="L3835" s="87">
        <f>SUM(L3834:L3834)</f>
        <v>0</v>
      </c>
    </row>
    <row r="3836" spans="1:12" ht="12" customHeight="1" x14ac:dyDescent="0.35">
      <c r="B3836" s="84" t="s">
        <v>6</v>
      </c>
      <c r="C3836" s="88" t="s">
        <v>422</v>
      </c>
      <c r="D3836" s="79"/>
      <c r="E3836" s="79"/>
      <c r="F3836" s="90"/>
      <c r="G3836" s="84"/>
      <c r="H3836" s="87"/>
      <c r="I3836" s="84"/>
      <c r="J3836" s="87"/>
      <c r="K3836" s="84"/>
      <c r="L3836" s="87"/>
    </row>
    <row r="3837" spans="1:12" x14ac:dyDescent="0.35">
      <c r="A3837" s="134">
        <v>22310009</v>
      </c>
      <c r="B3837" s="84"/>
      <c r="C3837" s="85" t="str">
        <f>VLOOKUP(A3837,'DAFTAR HARGA'!A:D,3,FALSE)</f>
        <v>buah</v>
      </c>
      <c r="D3837" s="84" t="s">
        <v>418</v>
      </c>
      <c r="E3837" s="84">
        <f>VLOOKUP(A3837,'DAFTAR HARGA'!A:D,4,FALSE)</f>
        <v>548000</v>
      </c>
      <c r="F3837" s="128">
        <v>1</v>
      </c>
      <c r="G3837" s="87" t="e">
        <f>VLOOKUP(A3837,'DAFTAR HARGA'!A:D,5,FALSE)</f>
        <v>#REF!</v>
      </c>
      <c r="H3837" s="87" t="e">
        <f>F3837*G3837</f>
        <v>#REF!</v>
      </c>
      <c r="I3837" s="87"/>
      <c r="J3837" s="87"/>
      <c r="K3837" s="87"/>
      <c r="L3837" s="87"/>
    </row>
    <row r="3838" spans="1:12" x14ac:dyDescent="0.35">
      <c r="A3838" s="134">
        <v>91114013</v>
      </c>
      <c r="B3838" s="84"/>
      <c r="C3838" s="85" t="str">
        <f>VLOOKUP(A3838,'DAFTAR HARGA'!A:D,3,FALSE)</f>
        <v>m2</v>
      </c>
      <c r="D3838" s="84" t="s">
        <v>418</v>
      </c>
      <c r="E3838" s="84" t="e">
        <f>VLOOKUP(A3838,'DAFTAR HARGA'!A:D,4,FALSE)</f>
        <v>#REF!</v>
      </c>
      <c r="F3838" s="128">
        <v>0.24</v>
      </c>
      <c r="G3838" s="87" t="e">
        <f>VLOOKUP(A3838,'DAFTAR HARGA'!A:D,5,FALSE)</f>
        <v>#REF!</v>
      </c>
      <c r="H3838" s="87" t="e">
        <f>F3838*G3838</f>
        <v>#REF!</v>
      </c>
      <c r="I3838" s="87"/>
      <c r="J3838" s="87"/>
      <c r="K3838" s="87"/>
      <c r="L3838" s="87"/>
    </row>
    <row r="3839" spans="1:12" ht="36" customHeight="1" x14ac:dyDescent="0.35">
      <c r="A3839" s="134">
        <v>91121040</v>
      </c>
      <c r="B3839" s="84"/>
      <c r="C3839" s="85" t="str">
        <f>VLOOKUP(A3839,'DAFTAR HARGA'!A:D,3,FALSE)</f>
        <v>m3</v>
      </c>
      <c r="D3839" s="84" t="s">
        <v>418</v>
      </c>
      <c r="E3839" s="84" t="e">
        <f>VLOOKUP(A3839,'DAFTAR HARGA'!A:D,4,FALSE)</f>
        <v>#REF!</v>
      </c>
      <c r="F3839" s="128">
        <v>4.4999999999999998E-2</v>
      </c>
      <c r="G3839" s="87" t="e">
        <f>VLOOKUP(A3839,'DAFTAR HARGA'!A:D,5,FALSE)</f>
        <v>#REF!</v>
      </c>
      <c r="H3839" s="87" t="e">
        <f>F3839*G3839</f>
        <v>#REF!</v>
      </c>
      <c r="I3839" s="87"/>
      <c r="J3839" s="87"/>
      <c r="K3839" s="87"/>
      <c r="L3839" s="87"/>
    </row>
    <row r="3840" spans="1:12" x14ac:dyDescent="0.35">
      <c r="A3840" s="134">
        <v>91121010</v>
      </c>
      <c r="B3840" s="84"/>
      <c r="C3840" s="85" t="str">
        <f>VLOOKUP(A3840,'DAFTAR HARGA'!A:D,3,FALSE)</f>
        <v>m3</v>
      </c>
      <c r="D3840" s="84" t="s">
        <v>418</v>
      </c>
      <c r="E3840" s="84" t="e">
        <f>VLOOKUP(A3840,'DAFTAR HARGA'!A:D,4,FALSE)</f>
        <v>#REF!</v>
      </c>
      <c r="F3840" s="128">
        <v>0.04</v>
      </c>
      <c r="G3840" s="87" t="e">
        <f>VLOOKUP(A3840,'DAFTAR HARGA'!A:D,5,FALSE)</f>
        <v>#REF!</v>
      </c>
      <c r="H3840" s="87" t="e">
        <f>F3840*G3840</f>
        <v>#REF!</v>
      </c>
      <c r="I3840" s="87"/>
      <c r="J3840" s="87"/>
      <c r="K3840" s="87"/>
      <c r="L3840" s="87"/>
    </row>
    <row r="3841" spans="1:12" x14ac:dyDescent="0.35">
      <c r="A3841" s="134">
        <v>211100112</v>
      </c>
      <c r="B3841" s="84"/>
      <c r="C3841" s="85" t="str">
        <f>VLOOKUP(A3841,'DAFTAR HARGA'!A:D,3,FALSE)</f>
        <v>m3</v>
      </c>
      <c r="D3841" s="84" t="s">
        <v>418</v>
      </c>
      <c r="E3841" s="84">
        <f>VLOOKUP(A3841,'DAFTAR HARGA'!A:D,4,FALSE)</f>
        <v>190200</v>
      </c>
      <c r="F3841" s="128">
        <v>0.02</v>
      </c>
      <c r="G3841" s="87" t="e">
        <f>VLOOKUP(A3841,'DAFTAR HARGA'!A:D,5,FALSE)</f>
        <v>#REF!</v>
      </c>
      <c r="H3841" s="87" t="e">
        <f>F3841*G3841</f>
        <v>#REF!</v>
      </c>
      <c r="I3841" s="87"/>
      <c r="J3841" s="87"/>
      <c r="K3841" s="87"/>
      <c r="L3841" s="87"/>
    </row>
    <row r="3842" spans="1:12" x14ac:dyDescent="0.35">
      <c r="B3842" s="84"/>
      <c r="C3842" s="85"/>
      <c r="D3842" s="84"/>
      <c r="E3842" s="84"/>
      <c r="F3842" s="128"/>
      <c r="G3842" s="87"/>
      <c r="H3842" s="87"/>
      <c r="I3842" s="87"/>
      <c r="J3842" s="87"/>
      <c r="K3842" s="87"/>
      <c r="L3842" s="87"/>
    </row>
    <row r="3843" spans="1:12" ht="12" customHeight="1" x14ac:dyDescent="0.35">
      <c r="B3843" s="84"/>
      <c r="C3843" s="88"/>
      <c r="D3843" s="79"/>
      <c r="E3843" s="79"/>
      <c r="F3843" s="129" t="s">
        <v>423</v>
      </c>
      <c r="G3843" s="129"/>
      <c r="H3843" s="87" t="e">
        <f>SUM(H3837:H3842)</f>
        <v>#REF!</v>
      </c>
      <c r="I3843" s="101"/>
      <c r="J3843" s="87" t="e">
        <f>SUM(#REF!)</f>
        <v>#REF!</v>
      </c>
      <c r="K3843" s="101"/>
      <c r="L3843" s="87" t="e">
        <f>SUM(#REF!)</f>
        <v>#REF!</v>
      </c>
    </row>
    <row r="3844" spans="1:12" ht="12" customHeight="1" x14ac:dyDescent="0.35">
      <c r="B3844" s="84" t="s">
        <v>7</v>
      </c>
      <c r="C3844" s="88" t="s">
        <v>424</v>
      </c>
      <c r="D3844" s="79"/>
      <c r="E3844" s="79"/>
      <c r="F3844" s="90"/>
      <c r="G3844" s="84"/>
      <c r="H3844" s="87"/>
      <c r="I3844" s="84"/>
      <c r="J3844" s="87"/>
      <c r="K3844" s="84"/>
      <c r="L3844" s="87"/>
    </row>
    <row r="3845" spans="1:12" ht="12" customHeight="1" x14ac:dyDescent="0.35">
      <c r="A3845" s="134">
        <v>31100018</v>
      </c>
      <c r="B3845" s="84"/>
      <c r="C3845" s="85" t="str">
        <f>VLOOKUP(A3845,'DAFTAR HARGA'!A:D,3,FALSE)</f>
        <v>jam</v>
      </c>
      <c r="D3845" s="84" t="s">
        <v>418</v>
      </c>
      <c r="E3845" s="84">
        <f>VLOOKUP(A3845,'DAFTAR HARGA'!A:D,4,FALSE)</f>
        <v>513000</v>
      </c>
      <c r="F3845" s="128">
        <v>2.1700000000000001E-2</v>
      </c>
      <c r="G3845" s="87" t="e">
        <f>VLOOKUP(A3845,'DAFTAR HARGA'!A:D,5,FALSE)</f>
        <v>#REF!</v>
      </c>
      <c r="H3845" s="87" t="e">
        <f>F3845*G3845</f>
        <v>#REF!</v>
      </c>
      <c r="I3845" s="87"/>
      <c r="J3845" s="87"/>
      <c r="K3845" s="87"/>
      <c r="L3845" s="87"/>
    </row>
    <row r="3846" spans="1:12" ht="12" customHeight="1" x14ac:dyDescent="0.35">
      <c r="A3846" s="134">
        <v>31100008</v>
      </c>
      <c r="B3846" s="84"/>
      <c r="C3846" s="85" t="str">
        <f>VLOOKUP(A3846,'DAFTAR HARGA'!A:D,3,FALSE)</f>
        <v>jam</v>
      </c>
      <c r="D3846" s="84" t="s">
        <v>418</v>
      </c>
      <c r="E3846" s="84">
        <f>VLOOKUP(A3846,'DAFTAR HARGA'!A:D,4,FALSE)</f>
        <v>449000</v>
      </c>
      <c r="F3846" s="128">
        <f>0.0773*2</f>
        <v>0.15459999999999999</v>
      </c>
      <c r="G3846" s="87" t="e">
        <f>VLOOKUP(A3846,'DAFTAR HARGA'!A:D,5,FALSE)</f>
        <v>#REF!</v>
      </c>
      <c r="H3846" s="87" t="e">
        <f>F3846*G3846</f>
        <v>#REF!</v>
      </c>
      <c r="I3846" s="87"/>
      <c r="J3846" s="87"/>
      <c r="K3846" s="87"/>
      <c r="L3846" s="87"/>
    </row>
    <row r="3847" spans="1:12" ht="12" customHeight="1" x14ac:dyDescent="0.35">
      <c r="B3847" s="84"/>
      <c r="C3847" s="85"/>
      <c r="D3847" s="84"/>
      <c r="E3847" s="84"/>
      <c r="F3847" s="128"/>
      <c r="G3847" s="87"/>
      <c r="H3847" s="87">
        <f>F3847*G3847</f>
        <v>0</v>
      </c>
      <c r="I3847" s="87"/>
      <c r="J3847" s="87"/>
      <c r="K3847" s="87"/>
      <c r="L3847" s="87"/>
    </row>
    <row r="3848" spans="1:12" ht="12" customHeight="1" x14ac:dyDescent="0.35">
      <c r="B3848" s="84"/>
      <c r="C3848" s="88"/>
      <c r="D3848" s="79"/>
      <c r="E3848" s="79"/>
      <c r="F3848" s="89" t="s">
        <v>425</v>
      </c>
      <c r="G3848" s="101"/>
      <c r="H3848" s="87" t="e">
        <f>SUM(H3845:H3847)</f>
        <v>#REF!</v>
      </c>
      <c r="I3848" s="101"/>
      <c r="J3848" s="87" t="e">
        <f>SUM(#REF!)</f>
        <v>#REF!</v>
      </c>
      <c r="K3848" s="101"/>
      <c r="L3848" s="87" t="e">
        <f>SUM(#REF!)</f>
        <v>#REF!</v>
      </c>
    </row>
    <row r="3849" spans="1:12" ht="12" customHeight="1" x14ac:dyDescent="0.35">
      <c r="B3849" s="84" t="s">
        <v>8</v>
      </c>
      <c r="C3849" s="103" t="s">
        <v>426</v>
      </c>
      <c r="D3849" s="104"/>
      <c r="E3849" s="104"/>
      <c r="F3849" s="104"/>
      <c r="G3849" s="105"/>
      <c r="H3849" s="87" t="e">
        <f>H3835+H3843+H3848</f>
        <v>#REF!</v>
      </c>
      <c r="I3849" s="105"/>
      <c r="J3849" s="87" t="e">
        <f>J3835+J3843+J3848</f>
        <v>#REF!</v>
      </c>
      <c r="K3849" s="105"/>
      <c r="L3849" s="87" t="e">
        <f>L3835+L3843+L3848</f>
        <v>#REF!</v>
      </c>
    </row>
    <row r="3850" spans="1:12" ht="12" customHeight="1" x14ac:dyDescent="0.35">
      <c r="B3850" s="84" t="s">
        <v>9</v>
      </c>
      <c r="C3850" s="455" t="s">
        <v>427</v>
      </c>
      <c r="D3850" s="455"/>
      <c r="E3850" s="455"/>
      <c r="F3850" s="95">
        <v>0</v>
      </c>
      <c r="G3850" s="85" t="s">
        <v>428</v>
      </c>
      <c r="H3850" s="87" t="e">
        <f>H3849*F3850</f>
        <v>#REF!</v>
      </c>
      <c r="I3850" s="85" t="s">
        <v>428</v>
      </c>
      <c r="J3850" s="87" t="e">
        <f>J3849*F3850</f>
        <v>#REF!</v>
      </c>
      <c r="K3850" s="85" t="s">
        <v>428</v>
      </c>
      <c r="L3850" s="87" t="e">
        <f>L3849*F3850</f>
        <v>#REF!</v>
      </c>
    </row>
    <row r="3851" spans="1:12" ht="12" customHeight="1" x14ac:dyDescent="0.35">
      <c r="B3851" s="84" t="s">
        <v>10</v>
      </c>
      <c r="C3851" s="103" t="s">
        <v>429</v>
      </c>
      <c r="D3851" s="104"/>
      <c r="E3851" s="104"/>
      <c r="F3851" s="104"/>
      <c r="G3851" s="105"/>
      <c r="H3851" s="96" t="e">
        <f>H3849+H3850</f>
        <v>#REF!</v>
      </c>
      <c r="I3851" s="97"/>
      <c r="J3851" s="96" t="e">
        <f>J3849+J3850</f>
        <v>#REF!</v>
      </c>
      <c r="K3851" s="97"/>
      <c r="L3851" s="96" t="e">
        <f>L3849+L3850</f>
        <v>#REF!</v>
      </c>
    </row>
    <row r="3852" spans="1:12" x14ac:dyDescent="0.35">
      <c r="B3852" s="84" t="s">
        <v>11</v>
      </c>
      <c r="C3852" s="103" t="s">
        <v>959</v>
      </c>
      <c r="D3852" s="104"/>
      <c r="E3852" s="104"/>
      <c r="F3852" s="104"/>
      <c r="G3852" s="105"/>
      <c r="H3852" s="96" t="e">
        <f>H3851/1.2</f>
        <v>#REF!</v>
      </c>
    </row>
    <row r="3853" spans="1:12" ht="14" customHeight="1" x14ac:dyDescent="0.35"/>
    <row r="3854" spans="1:12" ht="37" customHeight="1" x14ac:dyDescent="0.35">
      <c r="B3854" s="76" t="s">
        <v>960</v>
      </c>
      <c r="C3854" s="458" t="s">
        <v>969</v>
      </c>
      <c r="D3854" s="459"/>
      <c r="E3854" s="459"/>
      <c r="F3854" s="459"/>
      <c r="G3854" s="456"/>
      <c r="H3854" s="457"/>
      <c r="I3854" s="455" t="s">
        <v>3</v>
      </c>
      <c r="J3854" s="455"/>
      <c r="K3854" s="455" t="s">
        <v>4</v>
      </c>
      <c r="L3854" s="455"/>
    </row>
    <row r="3855" spans="1:12" ht="12" customHeight="1" x14ac:dyDescent="0.35">
      <c r="B3855" s="451" t="s">
        <v>409</v>
      </c>
      <c r="C3855" s="451" t="s">
        <v>410</v>
      </c>
      <c r="D3855" s="452" t="s">
        <v>411</v>
      </c>
      <c r="E3855" s="451" t="s">
        <v>412</v>
      </c>
      <c r="F3855" s="451" t="s">
        <v>413</v>
      </c>
      <c r="G3855" s="77" t="s">
        <v>414</v>
      </c>
      <c r="H3855" s="77" t="s">
        <v>415</v>
      </c>
      <c r="I3855" s="78" t="s">
        <v>414</v>
      </c>
      <c r="J3855" s="79" t="s">
        <v>415</v>
      </c>
      <c r="K3855" s="79" t="s">
        <v>414</v>
      </c>
      <c r="L3855" s="79" t="s">
        <v>415</v>
      </c>
    </row>
    <row r="3856" spans="1:12" ht="12" customHeight="1" x14ac:dyDescent="0.35">
      <c r="B3856" s="451"/>
      <c r="C3856" s="451"/>
      <c r="D3856" s="453"/>
      <c r="E3856" s="451"/>
      <c r="F3856" s="451"/>
      <c r="G3856" s="77" t="s">
        <v>17</v>
      </c>
      <c r="H3856" s="77" t="s">
        <v>416</v>
      </c>
      <c r="I3856" s="78" t="s">
        <v>17</v>
      </c>
      <c r="J3856" s="79" t="s">
        <v>416</v>
      </c>
      <c r="K3856" s="79" t="s">
        <v>17</v>
      </c>
      <c r="L3856" s="79" t="s">
        <v>416</v>
      </c>
    </row>
    <row r="3857" spans="1:12" ht="12" customHeight="1" x14ac:dyDescent="0.35">
      <c r="B3857" s="451"/>
      <c r="C3857" s="451"/>
      <c r="D3857" s="454"/>
      <c r="E3857" s="451"/>
      <c r="F3857" s="451"/>
      <c r="G3857" s="106"/>
      <c r="H3857" s="77" t="s">
        <v>17</v>
      </c>
      <c r="I3857" s="94"/>
      <c r="J3857" s="79" t="s">
        <v>17</v>
      </c>
      <c r="K3857" s="85"/>
      <c r="L3857" s="79" t="s">
        <v>17</v>
      </c>
    </row>
    <row r="3858" spans="1:12" ht="12" customHeight="1" x14ac:dyDescent="0.35">
      <c r="B3858" s="80" t="s">
        <v>5</v>
      </c>
      <c r="C3858" s="81" t="s">
        <v>417</v>
      </c>
      <c r="D3858" s="82"/>
      <c r="E3858" s="82"/>
      <c r="F3858" s="82"/>
      <c r="G3858" s="82"/>
      <c r="H3858" s="82"/>
      <c r="I3858" s="83"/>
      <c r="J3858" s="83"/>
      <c r="K3858" s="83"/>
      <c r="L3858" s="83"/>
    </row>
    <row r="3859" spans="1:12" ht="12" customHeight="1" x14ac:dyDescent="0.35">
      <c r="A3859" s="134">
        <v>10130000</v>
      </c>
      <c r="B3859" s="84"/>
      <c r="C3859" s="85" t="str">
        <f>VLOOKUP(A3859,'DAFTAR HARGA'!A:D,3,FALSE)</f>
        <v>OH</v>
      </c>
      <c r="D3859" s="84" t="s">
        <v>418</v>
      </c>
      <c r="E3859" s="84">
        <f>VLOOKUP(A3859,'DAFTAR HARGA'!A:D,4,FALSE)</f>
        <v>115000</v>
      </c>
      <c r="F3859" s="128">
        <v>0.5</v>
      </c>
      <c r="G3859" s="87" t="e">
        <f>VLOOKUP(A3859,'DAFTAR HARGA'!A:D,5,FALSE)</f>
        <v>#REF!</v>
      </c>
      <c r="H3859" s="87" t="e">
        <f>F3859*G3859</f>
        <v>#REF!</v>
      </c>
      <c r="I3859" s="87">
        <v>91500</v>
      </c>
      <c r="J3859" s="87">
        <f>F3859*I3859</f>
        <v>45750</v>
      </c>
      <c r="K3859" s="87">
        <v>91500</v>
      </c>
      <c r="L3859" s="87">
        <f>F3859*K3859</f>
        <v>45750</v>
      </c>
    </row>
    <row r="3860" spans="1:12" ht="12" customHeight="1" x14ac:dyDescent="0.35">
      <c r="A3860" s="134">
        <v>10121100</v>
      </c>
      <c r="B3860" s="84"/>
      <c r="C3860" s="85" t="str">
        <f>VLOOKUP(A3860,'DAFTAR HARGA'!A:D,3,FALSE)</f>
        <v>OH</v>
      </c>
      <c r="D3860" s="84" t="s">
        <v>418</v>
      </c>
      <c r="E3860" s="84">
        <f>VLOOKUP(A3860,'DAFTAR HARGA'!A:D,4,FALSE)</f>
        <v>100000</v>
      </c>
      <c r="F3860" s="128">
        <v>0.16800000000000001</v>
      </c>
      <c r="G3860" s="87" t="e">
        <f>VLOOKUP(A3860,'DAFTAR HARGA'!A:D,5,FALSE)</f>
        <v>#REF!</v>
      </c>
      <c r="H3860" s="87" t="e">
        <f>F3860*G3860</f>
        <v>#REF!</v>
      </c>
      <c r="I3860" s="87"/>
      <c r="J3860" s="87"/>
      <c r="K3860" s="87"/>
      <c r="L3860" s="87"/>
    </row>
    <row r="3861" spans="1:12" ht="12" customHeight="1" x14ac:dyDescent="0.35">
      <c r="A3861" s="134">
        <v>10110000</v>
      </c>
      <c r="B3861" s="84"/>
      <c r="C3861" s="85" t="str">
        <f>VLOOKUP(A3861,'DAFTAR HARGA'!A:D,3,FALSE)</f>
        <v>OH</v>
      </c>
      <c r="D3861" s="84" t="s">
        <v>418</v>
      </c>
      <c r="E3861" s="84">
        <f>VLOOKUP(A3861,'DAFTAR HARGA'!A:D,4,FALSE)</f>
        <v>150000</v>
      </c>
      <c r="F3861" s="128">
        <v>5.04E-2</v>
      </c>
      <c r="G3861" s="87" t="e">
        <f>VLOOKUP(A3861,'DAFTAR HARGA'!A:D,5,FALSE)</f>
        <v>#REF!</v>
      </c>
      <c r="H3861" s="87" t="e">
        <f>F3861*G3861</f>
        <v>#REF!</v>
      </c>
      <c r="I3861" s="87"/>
      <c r="J3861" s="87"/>
      <c r="K3861" s="87"/>
      <c r="L3861" s="87"/>
    </row>
    <row r="3862" spans="1:12" ht="12" customHeight="1" x14ac:dyDescent="0.35">
      <c r="B3862" s="84"/>
      <c r="C3862" s="88"/>
      <c r="D3862" s="79"/>
      <c r="E3862" s="79"/>
      <c r="F3862" s="89"/>
      <c r="G3862" s="101"/>
      <c r="H3862" s="87" t="e">
        <f>SUM(H3859:H3861)</f>
        <v>#REF!</v>
      </c>
      <c r="I3862" s="101"/>
      <c r="J3862" s="87">
        <f>SUM(J3861:J3861)</f>
        <v>0</v>
      </c>
      <c r="K3862" s="101"/>
      <c r="L3862" s="87">
        <f>SUM(L3861:L3861)</f>
        <v>0</v>
      </c>
    </row>
    <row r="3863" spans="1:12" ht="12" customHeight="1" x14ac:dyDescent="0.35">
      <c r="B3863" s="84" t="s">
        <v>6</v>
      </c>
      <c r="C3863" s="88" t="s">
        <v>422</v>
      </c>
      <c r="D3863" s="79"/>
      <c r="E3863" s="79"/>
      <c r="F3863" s="90"/>
      <c r="G3863" s="84"/>
      <c r="H3863" s="87"/>
      <c r="I3863" s="84"/>
      <c r="J3863" s="87"/>
      <c r="K3863" s="84"/>
      <c r="L3863" s="87"/>
    </row>
    <row r="3864" spans="1:12" x14ac:dyDescent="0.35">
      <c r="A3864" s="134">
        <v>22310034</v>
      </c>
      <c r="B3864" s="84"/>
      <c r="C3864" s="85" t="str">
        <f>VLOOKUP(A3864,'DAFTAR HARGA'!A:D,3,FALSE)</f>
        <v>buah</v>
      </c>
      <c r="D3864" s="84" t="s">
        <v>418</v>
      </c>
      <c r="E3864" s="84">
        <f>VLOOKUP(A3864,'DAFTAR HARGA'!A:D,4,FALSE)</f>
        <v>1300000</v>
      </c>
      <c r="F3864" s="128">
        <v>1</v>
      </c>
      <c r="G3864" s="87" t="e">
        <f>VLOOKUP(A3864,'DAFTAR HARGA'!A:D,5,FALSE)</f>
        <v>#REF!</v>
      </c>
      <c r="H3864" s="87" t="e">
        <f>F3864*G3864</f>
        <v>#REF!</v>
      </c>
      <c r="I3864" s="87"/>
      <c r="J3864" s="87"/>
      <c r="K3864" s="87"/>
      <c r="L3864" s="87"/>
    </row>
    <row r="3865" spans="1:12" x14ac:dyDescent="0.35">
      <c r="A3865" s="134">
        <v>91114013</v>
      </c>
      <c r="B3865" s="84"/>
      <c r="C3865" s="85" t="str">
        <f>VLOOKUP(A3865,'DAFTAR HARGA'!A:D,3,FALSE)</f>
        <v>m2</v>
      </c>
      <c r="D3865" s="84" t="s">
        <v>418</v>
      </c>
      <c r="E3865" s="84" t="e">
        <f>VLOOKUP(A3865,'DAFTAR HARGA'!A:D,4,FALSE)</f>
        <v>#REF!</v>
      </c>
      <c r="F3865" s="128">
        <v>0.45</v>
      </c>
      <c r="G3865" s="87" t="e">
        <f>VLOOKUP(A3865,'DAFTAR HARGA'!A:D,5,FALSE)</f>
        <v>#REF!</v>
      </c>
      <c r="H3865" s="87" t="e">
        <f>F3865*G3865</f>
        <v>#REF!</v>
      </c>
      <c r="I3865" s="87"/>
      <c r="J3865" s="87"/>
      <c r="K3865" s="87"/>
      <c r="L3865" s="87"/>
    </row>
    <row r="3866" spans="1:12" ht="36" customHeight="1" x14ac:dyDescent="0.35">
      <c r="A3866" s="134">
        <v>91121040</v>
      </c>
      <c r="B3866" s="84"/>
      <c r="C3866" s="85" t="str">
        <f>VLOOKUP(A3866,'DAFTAR HARGA'!A:D,3,FALSE)</f>
        <v>m3</v>
      </c>
      <c r="D3866" s="84" t="s">
        <v>418</v>
      </c>
      <c r="E3866" s="84" t="e">
        <f>VLOOKUP(A3866,'DAFTAR HARGA'!A:D,4,FALSE)</f>
        <v>#REF!</v>
      </c>
      <c r="F3866" s="128">
        <v>1.7999999999999999E-2</v>
      </c>
      <c r="G3866" s="87" t="e">
        <f>VLOOKUP(A3866,'DAFTAR HARGA'!A:D,5,FALSE)</f>
        <v>#REF!</v>
      </c>
      <c r="H3866" s="87" t="e">
        <f>F3866*G3866</f>
        <v>#REF!</v>
      </c>
      <c r="I3866" s="87"/>
      <c r="J3866" s="87"/>
      <c r="K3866" s="87"/>
      <c r="L3866" s="87"/>
    </row>
    <row r="3867" spans="1:12" x14ac:dyDescent="0.35">
      <c r="A3867" s="134">
        <v>91121010</v>
      </c>
      <c r="B3867" s="84"/>
      <c r="C3867" s="85" t="str">
        <f>VLOOKUP(A3867,'DAFTAR HARGA'!A:D,3,FALSE)</f>
        <v>m3</v>
      </c>
      <c r="D3867" s="84" t="s">
        <v>418</v>
      </c>
      <c r="E3867" s="84" t="e">
        <f>VLOOKUP(A3867,'DAFTAR HARGA'!A:D,4,FALSE)</f>
        <v>#REF!</v>
      </c>
      <c r="F3867" s="128">
        <v>0.1</v>
      </c>
      <c r="G3867" s="87" t="e">
        <f>VLOOKUP(A3867,'DAFTAR HARGA'!A:D,5,FALSE)</f>
        <v>#REF!</v>
      </c>
      <c r="H3867" s="87" t="e">
        <f>F3867*G3867</f>
        <v>#REF!</v>
      </c>
      <c r="I3867" s="87"/>
      <c r="J3867" s="87"/>
      <c r="K3867" s="87"/>
      <c r="L3867" s="87"/>
    </row>
    <row r="3868" spans="1:12" x14ac:dyDescent="0.35">
      <c r="A3868" s="134">
        <v>211100112</v>
      </c>
      <c r="B3868" s="84"/>
      <c r="C3868" s="85" t="str">
        <f>VLOOKUP(A3868,'DAFTAR HARGA'!A:D,3,FALSE)</f>
        <v>m3</v>
      </c>
      <c r="D3868" s="84" t="s">
        <v>418</v>
      </c>
      <c r="E3868" s="84">
        <f>VLOOKUP(A3868,'DAFTAR HARGA'!A:D,4,FALSE)</f>
        <v>190200</v>
      </c>
      <c r="F3868" s="128">
        <v>0.05</v>
      </c>
      <c r="G3868" s="87" t="e">
        <f>VLOOKUP(A3868,'DAFTAR HARGA'!A:D,5,FALSE)</f>
        <v>#REF!</v>
      </c>
      <c r="H3868" s="87" t="e">
        <f>F3868*G3868</f>
        <v>#REF!</v>
      </c>
      <c r="I3868" s="87"/>
      <c r="J3868" s="87"/>
      <c r="K3868" s="87"/>
      <c r="L3868" s="87"/>
    </row>
    <row r="3869" spans="1:12" x14ac:dyDescent="0.35">
      <c r="B3869" s="84"/>
      <c r="C3869" s="85"/>
      <c r="D3869" s="84"/>
      <c r="E3869" s="84"/>
      <c r="F3869" s="128"/>
      <c r="G3869" s="87"/>
      <c r="H3869" s="87"/>
      <c r="I3869" s="87"/>
      <c r="J3869" s="87"/>
      <c r="K3869" s="87"/>
      <c r="L3869" s="87"/>
    </row>
    <row r="3870" spans="1:12" ht="12" customHeight="1" x14ac:dyDescent="0.35">
      <c r="B3870" s="84"/>
      <c r="C3870" s="88"/>
      <c r="D3870" s="79"/>
      <c r="E3870" s="79"/>
      <c r="F3870" s="129" t="s">
        <v>423</v>
      </c>
      <c r="G3870" s="129"/>
      <c r="H3870" s="87" t="e">
        <f>SUM(H3864:H3869)</f>
        <v>#REF!</v>
      </c>
      <c r="I3870" s="101"/>
      <c r="J3870" s="87" t="e">
        <f>SUM(#REF!)</f>
        <v>#REF!</v>
      </c>
      <c r="K3870" s="101"/>
      <c r="L3870" s="87" t="e">
        <f>SUM(#REF!)</f>
        <v>#REF!</v>
      </c>
    </row>
    <row r="3871" spans="1:12" ht="12" customHeight="1" x14ac:dyDescent="0.35">
      <c r="B3871" s="84" t="s">
        <v>7</v>
      </c>
      <c r="C3871" s="88" t="s">
        <v>424</v>
      </c>
      <c r="D3871" s="79"/>
      <c r="E3871" s="79"/>
      <c r="F3871" s="90"/>
      <c r="G3871" s="84"/>
      <c r="H3871" s="87"/>
      <c r="I3871" s="84"/>
      <c r="J3871" s="87"/>
      <c r="K3871" s="84"/>
      <c r="L3871" s="87"/>
    </row>
    <row r="3872" spans="1:12" ht="12" customHeight="1" x14ac:dyDescent="0.35">
      <c r="A3872" s="134">
        <v>31100018</v>
      </c>
      <c r="B3872" s="84"/>
      <c r="C3872" s="85" t="str">
        <f>VLOOKUP(A3872,'DAFTAR HARGA'!A:D,3,FALSE)</f>
        <v>jam</v>
      </c>
      <c r="D3872" s="84" t="s">
        <v>418</v>
      </c>
      <c r="E3872" s="84">
        <f>VLOOKUP(A3872,'DAFTAR HARGA'!A:D,4,FALSE)</f>
        <v>513000</v>
      </c>
      <c r="F3872" s="128">
        <v>8.6999999999999994E-3</v>
      </c>
      <c r="G3872" s="87" t="e">
        <f>VLOOKUP(A3872,'DAFTAR HARGA'!A:D,5,FALSE)</f>
        <v>#REF!</v>
      </c>
      <c r="H3872" s="87" t="e">
        <f>F3872*G3872</f>
        <v>#REF!</v>
      </c>
      <c r="I3872" s="87"/>
      <c r="J3872" s="87"/>
      <c r="K3872" s="87"/>
      <c r="L3872" s="87"/>
    </row>
    <row r="3873" spans="1:12" ht="12" customHeight="1" x14ac:dyDescent="0.35">
      <c r="A3873" s="134">
        <v>31100008</v>
      </c>
      <c r="B3873" s="84"/>
      <c r="C3873" s="85" t="str">
        <f>VLOOKUP(A3873,'DAFTAR HARGA'!A:D,3,FALSE)</f>
        <v>jam</v>
      </c>
      <c r="D3873" s="84" t="s">
        <v>418</v>
      </c>
      <c r="E3873" s="84">
        <f>VLOOKUP(A3873,'DAFTAR HARGA'!A:D,4,FALSE)</f>
        <v>449000</v>
      </c>
      <c r="F3873" s="128">
        <f>0.168*2</f>
        <v>0.33600000000000002</v>
      </c>
      <c r="G3873" s="87" t="e">
        <f>VLOOKUP(A3873,'DAFTAR HARGA'!A:D,5,FALSE)</f>
        <v>#REF!</v>
      </c>
      <c r="H3873" s="87" t="e">
        <f>F3873*G3873</f>
        <v>#REF!</v>
      </c>
      <c r="I3873" s="87"/>
      <c r="J3873" s="87"/>
      <c r="K3873" s="87"/>
      <c r="L3873" s="87"/>
    </row>
    <row r="3874" spans="1:12" ht="12" customHeight="1" x14ac:dyDescent="0.35">
      <c r="B3874" s="84"/>
      <c r="C3874" s="85"/>
      <c r="D3874" s="84"/>
      <c r="E3874" s="84"/>
      <c r="F3874" s="128"/>
      <c r="G3874" s="87"/>
      <c r="H3874" s="87">
        <f>F3874*G3874</f>
        <v>0</v>
      </c>
      <c r="I3874" s="87"/>
      <c r="J3874" s="87"/>
      <c r="K3874" s="87"/>
      <c r="L3874" s="87"/>
    </row>
    <row r="3875" spans="1:12" ht="12" customHeight="1" x14ac:dyDescent="0.35">
      <c r="B3875" s="84"/>
      <c r="C3875" s="88"/>
      <c r="D3875" s="79"/>
      <c r="E3875" s="79"/>
      <c r="F3875" s="89" t="s">
        <v>425</v>
      </c>
      <c r="G3875" s="101"/>
      <c r="H3875" s="87" t="e">
        <f>SUM(H3872:H3874)</f>
        <v>#REF!</v>
      </c>
      <c r="I3875" s="101"/>
      <c r="J3875" s="87" t="e">
        <f>SUM(#REF!)</f>
        <v>#REF!</v>
      </c>
      <c r="K3875" s="101"/>
      <c r="L3875" s="87" t="e">
        <f>SUM(#REF!)</f>
        <v>#REF!</v>
      </c>
    </row>
    <row r="3876" spans="1:12" ht="12" customHeight="1" x14ac:dyDescent="0.35">
      <c r="B3876" s="84" t="s">
        <v>8</v>
      </c>
      <c r="C3876" s="103" t="s">
        <v>426</v>
      </c>
      <c r="D3876" s="104"/>
      <c r="E3876" s="104"/>
      <c r="F3876" s="104"/>
      <c r="G3876" s="105"/>
      <c r="H3876" s="87" t="e">
        <f>H3862+H3870+H3875</f>
        <v>#REF!</v>
      </c>
      <c r="I3876" s="105"/>
      <c r="J3876" s="87" t="e">
        <f>J3862+J3870+J3875</f>
        <v>#REF!</v>
      </c>
      <c r="K3876" s="105"/>
      <c r="L3876" s="87" t="e">
        <f>L3862+L3870+L3875</f>
        <v>#REF!</v>
      </c>
    </row>
    <row r="3877" spans="1:12" ht="12" customHeight="1" x14ac:dyDescent="0.35">
      <c r="B3877" s="84" t="s">
        <v>9</v>
      </c>
      <c r="C3877" s="455" t="s">
        <v>427</v>
      </c>
      <c r="D3877" s="455"/>
      <c r="E3877" s="455"/>
      <c r="F3877" s="95">
        <v>0</v>
      </c>
      <c r="G3877" s="85" t="s">
        <v>428</v>
      </c>
      <c r="H3877" s="87" t="e">
        <f>H3876*F3877</f>
        <v>#REF!</v>
      </c>
      <c r="I3877" s="85" t="s">
        <v>428</v>
      </c>
      <c r="J3877" s="87" t="e">
        <f>J3876*F3877</f>
        <v>#REF!</v>
      </c>
      <c r="K3877" s="85" t="s">
        <v>428</v>
      </c>
      <c r="L3877" s="87" t="e">
        <f>L3876*F3877</f>
        <v>#REF!</v>
      </c>
    </row>
    <row r="3878" spans="1:12" ht="12" customHeight="1" x14ac:dyDescent="0.35">
      <c r="B3878" s="84" t="s">
        <v>10</v>
      </c>
      <c r="C3878" s="103" t="s">
        <v>429</v>
      </c>
      <c r="D3878" s="104"/>
      <c r="E3878" s="104"/>
      <c r="F3878" s="104"/>
      <c r="G3878" s="105"/>
      <c r="H3878" s="96" t="e">
        <f>H3876+H3877</f>
        <v>#REF!</v>
      </c>
      <c r="I3878" s="97"/>
      <c r="J3878" s="96" t="e">
        <f>J3876+J3877</f>
        <v>#REF!</v>
      </c>
      <c r="K3878" s="97"/>
      <c r="L3878" s="96" t="e">
        <f>L3876+L3877</f>
        <v>#REF!</v>
      </c>
    </row>
    <row r="3879" spans="1:12" x14ac:dyDescent="0.35">
      <c r="B3879" s="84" t="s">
        <v>11</v>
      </c>
      <c r="C3879" s="103" t="s">
        <v>959</v>
      </c>
      <c r="D3879" s="104"/>
      <c r="E3879" s="104"/>
      <c r="F3879" s="104"/>
      <c r="G3879" s="105"/>
      <c r="H3879" s="96" t="e">
        <f>H3878/1.2</f>
        <v>#REF!</v>
      </c>
    </row>
    <row r="3880" spans="1:12" ht="14" customHeight="1" x14ac:dyDescent="0.35"/>
    <row r="3881" spans="1:12" ht="37" customHeight="1" x14ac:dyDescent="0.35">
      <c r="B3881" s="76" t="s">
        <v>968</v>
      </c>
      <c r="C3881" s="458" t="s">
        <v>970</v>
      </c>
      <c r="D3881" s="459"/>
      <c r="E3881" s="459"/>
      <c r="F3881" s="459"/>
      <c r="G3881" s="456"/>
      <c r="H3881" s="457"/>
      <c r="I3881" s="455" t="s">
        <v>3</v>
      </c>
      <c r="J3881" s="455"/>
      <c r="K3881" s="455" t="s">
        <v>4</v>
      </c>
      <c r="L3881" s="455"/>
    </row>
    <row r="3882" spans="1:12" ht="12" customHeight="1" x14ac:dyDescent="0.35">
      <c r="B3882" s="451" t="s">
        <v>409</v>
      </c>
      <c r="C3882" s="451" t="s">
        <v>410</v>
      </c>
      <c r="D3882" s="452" t="s">
        <v>411</v>
      </c>
      <c r="E3882" s="451" t="s">
        <v>412</v>
      </c>
      <c r="F3882" s="451" t="s">
        <v>413</v>
      </c>
      <c r="G3882" s="77" t="s">
        <v>414</v>
      </c>
      <c r="H3882" s="77" t="s">
        <v>415</v>
      </c>
      <c r="I3882" s="78" t="s">
        <v>414</v>
      </c>
      <c r="J3882" s="79" t="s">
        <v>415</v>
      </c>
      <c r="K3882" s="79" t="s">
        <v>414</v>
      </c>
      <c r="L3882" s="79" t="s">
        <v>415</v>
      </c>
    </row>
    <row r="3883" spans="1:12" ht="12" customHeight="1" x14ac:dyDescent="0.35">
      <c r="B3883" s="451"/>
      <c r="C3883" s="451"/>
      <c r="D3883" s="453"/>
      <c r="E3883" s="451"/>
      <c r="F3883" s="451"/>
      <c r="G3883" s="77" t="s">
        <v>17</v>
      </c>
      <c r="H3883" s="77" t="s">
        <v>416</v>
      </c>
      <c r="I3883" s="78" t="s">
        <v>17</v>
      </c>
      <c r="J3883" s="79" t="s">
        <v>416</v>
      </c>
      <c r="K3883" s="79" t="s">
        <v>17</v>
      </c>
      <c r="L3883" s="79" t="s">
        <v>416</v>
      </c>
    </row>
    <row r="3884" spans="1:12" ht="12" customHeight="1" x14ac:dyDescent="0.35">
      <c r="B3884" s="451"/>
      <c r="C3884" s="451"/>
      <c r="D3884" s="454"/>
      <c r="E3884" s="451"/>
      <c r="F3884" s="451"/>
      <c r="G3884" s="106"/>
      <c r="H3884" s="77" t="s">
        <v>17</v>
      </c>
      <c r="I3884" s="94"/>
      <c r="J3884" s="79" t="s">
        <v>17</v>
      </c>
      <c r="K3884" s="85"/>
      <c r="L3884" s="79" t="s">
        <v>17</v>
      </c>
    </row>
    <row r="3885" spans="1:12" ht="12" customHeight="1" x14ac:dyDescent="0.35">
      <c r="B3885" s="80" t="s">
        <v>5</v>
      </c>
      <c r="C3885" s="81" t="s">
        <v>417</v>
      </c>
      <c r="D3885" s="82"/>
      <c r="E3885" s="82"/>
      <c r="F3885" s="82"/>
      <c r="G3885" s="82"/>
      <c r="H3885" s="82"/>
      <c r="I3885" s="83"/>
      <c r="J3885" s="83"/>
      <c r="K3885" s="83"/>
      <c r="L3885" s="83"/>
    </row>
    <row r="3886" spans="1:12" ht="12" customHeight="1" x14ac:dyDescent="0.35">
      <c r="A3886" s="134">
        <v>10130000</v>
      </c>
      <c r="B3886" s="84"/>
      <c r="C3886" s="85" t="str">
        <f>VLOOKUP(A3886,'DAFTAR HARGA'!A:D,3,FALSE)</f>
        <v>OH</v>
      </c>
      <c r="D3886" s="84" t="s">
        <v>418</v>
      </c>
      <c r="E3886" s="84">
        <f>VLOOKUP(A3886,'DAFTAR HARGA'!A:D,4,FALSE)</f>
        <v>115000</v>
      </c>
      <c r="F3886" s="128">
        <v>0.20080000000000001</v>
      </c>
      <c r="G3886" s="87" t="e">
        <f>VLOOKUP(A3886,'DAFTAR HARGA'!A:D,5,FALSE)</f>
        <v>#REF!</v>
      </c>
      <c r="H3886" s="87" t="e">
        <f>F3886*G3886</f>
        <v>#REF!</v>
      </c>
      <c r="I3886" s="87">
        <v>91500</v>
      </c>
      <c r="J3886" s="87">
        <f>F3886*I3886</f>
        <v>18373.2</v>
      </c>
      <c r="K3886" s="87">
        <v>91500</v>
      </c>
      <c r="L3886" s="87">
        <f>F3886*K3886</f>
        <v>18373.2</v>
      </c>
    </row>
    <row r="3887" spans="1:12" ht="12" customHeight="1" x14ac:dyDescent="0.35">
      <c r="A3887" s="134">
        <v>10121100</v>
      </c>
      <c r="B3887" s="84"/>
      <c r="C3887" s="85" t="str">
        <f>VLOOKUP(A3887,'DAFTAR HARGA'!A:D,3,FALSE)</f>
        <v>OH</v>
      </c>
      <c r="D3887" s="84" t="s">
        <v>418</v>
      </c>
      <c r="E3887" s="84">
        <f>VLOOKUP(A3887,'DAFTAR HARGA'!A:D,4,FALSE)</f>
        <v>100000</v>
      </c>
      <c r="F3887" s="128">
        <v>0.1004</v>
      </c>
      <c r="G3887" s="87" t="e">
        <f>VLOOKUP(A3887,'DAFTAR HARGA'!A:D,5,FALSE)</f>
        <v>#REF!</v>
      </c>
      <c r="H3887" s="87" t="e">
        <f>F3887*G3887</f>
        <v>#REF!</v>
      </c>
      <c r="I3887" s="87"/>
      <c r="J3887" s="87"/>
      <c r="K3887" s="87"/>
      <c r="L3887" s="87"/>
    </row>
    <row r="3888" spans="1:12" ht="12" customHeight="1" x14ac:dyDescent="0.35">
      <c r="A3888" s="134">
        <v>10110000</v>
      </c>
      <c r="B3888" s="84"/>
      <c r="C3888" s="85" t="str">
        <f>VLOOKUP(A3888,'DAFTAR HARGA'!A:D,3,FALSE)</f>
        <v>OH</v>
      </c>
      <c r="D3888" s="84" t="s">
        <v>418</v>
      </c>
      <c r="E3888" s="84">
        <f>VLOOKUP(A3888,'DAFTAR HARGA'!A:D,4,FALSE)</f>
        <v>150000</v>
      </c>
      <c r="F3888" s="128">
        <v>2.01E-2</v>
      </c>
      <c r="G3888" s="87" t="e">
        <f>VLOOKUP(A3888,'DAFTAR HARGA'!A:D,5,FALSE)</f>
        <v>#REF!</v>
      </c>
      <c r="H3888" s="87" t="e">
        <f>F3888*G3888</f>
        <v>#REF!</v>
      </c>
      <c r="I3888" s="87"/>
      <c r="J3888" s="87"/>
      <c r="K3888" s="87"/>
      <c r="L3888" s="87"/>
    </row>
    <row r="3889" spans="1:12" ht="12" customHeight="1" x14ac:dyDescent="0.35">
      <c r="B3889" s="84"/>
      <c r="C3889" s="88"/>
      <c r="D3889" s="79"/>
      <c r="E3889" s="79"/>
      <c r="F3889" s="89"/>
      <c r="G3889" s="101"/>
      <c r="H3889" s="87" t="e">
        <f>SUM(H3886:H3888)</f>
        <v>#REF!</v>
      </c>
      <c r="I3889" s="101"/>
      <c r="J3889" s="87">
        <f>SUM(J3888:J3888)</f>
        <v>0</v>
      </c>
      <c r="K3889" s="101"/>
      <c r="L3889" s="87">
        <f>SUM(L3888:L3888)</f>
        <v>0</v>
      </c>
    </row>
    <row r="3890" spans="1:12" ht="12" customHeight="1" x14ac:dyDescent="0.35">
      <c r="B3890" s="84" t="s">
        <v>6</v>
      </c>
      <c r="C3890" s="88" t="s">
        <v>422</v>
      </c>
      <c r="D3890" s="79"/>
      <c r="E3890" s="79"/>
      <c r="F3890" s="90"/>
      <c r="G3890" s="84"/>
      <c r="H3890" s="87"/>
      <c r="I3890" s="84"/>
      <c r="J3890" s="87"/>
      <c r="K3890" s="84"/>
      <c r="L3890" s="87"/>
    </row>
    <row r="3891" spans="1:12" x14ac:dyDescent="0.35">
      <c r="A3891" s="134">
        <v>22320040</v>
      </c>
      <c r="B3891" s="84"/>
      <c r="C3891" s="85" t="str">
        <f>VLOOKUP(A3891,'DAFTAR HARGA'!A:D,3,FALSE)</f>
        <v>buah</v>
      </c>
      <c r="D3891" s="84" t="s">
        <v>418</v>
      </c>
      <c r="E3891" s="84">
        <f>VLOOKUP(A3891,'DAFTAR HARGA'!A:D,4,FALSE)</f>
        <v>925000</v>
      </c>
      <c r="F3891" s="128">
        <v>1</v>
      </c>
      <c r="G3891" s="87" t="e">
        <f>VLOOKUP(A3891,'DAFTAR HARGA'!A:D,5,FALSE)</f>
        <v>#REF!</v>
      </c>
      <c r="H3891" s="87" t="e">
        <f>F3891*G3891</f>
        <v>#REF!</v>
      </c>
      <c r="I3891" s="87"/>
      <c r="J3891" s="87"/>
      <c r="K3891" s="87"/>
      <c r="L3891" s="87"/>
    </row>
    <row r="3892" spans="1:12" x14ac:dyDescent="0.35">
      <c r="A3892" s="134">
        <v>91114013</v>
      </c>
      <c r="B3892" s="84"/>
      <c r="C3892" s="85" t="str">
        <f>VLOOKUP(A3892,'DAFTAR HARGA'!A:D,3,FALSE)</f>
        <v>m2</v>
      </c>
      <c r="D3892" s="84" t="s">
        <v>418</v>
      </c>
      <c r="E3892" s="84" t="e">
        <f>VLOOKUP(A3892,'DAFTAR HARGA'!A:D,4,FALSE)</f>
        <v>#REF!</v>
      </c>
      <c r="F3892" s="128">
        <v>0.18</v>
      </c>
      <c r="G3892" s="87" t="e">
        <f>VLOOKUP(A3892,'DAFTAR HARGA'!A:D,5,FALSE)</f>
        <v>#REF!</v>
      </c>
      <c r="H3892" s="87" t="e">
        <f>F3892*G3892</f>
        <v>#REF!</v>
      </c>
      <c r="I3892" s="87"/>
      <c r="J3892" s="87"/>
      <c r="K3892" s="87"/>
      <c r="L3892" s="87"/>
    </row>
    <row r="3893" spans="1:12" ht="36" customHeight="1" x14ac:dyDescent="0.35">
      <c r="A3893" s="134">
        <v>91121040</v>
      </c>
      <c r="B3893" s="84"/>
      <c r="C3893" s="85" t="str">
        <f>VLOOKUP(A3893,'DAFTAR HARGA'!A:D,3,FALSE)</f>
        <v>m3</v>
      </c>
      <c r="D3893" s="84" t="s">
        <v>418</v>
      </c>
      <c r="E3893" s="84" t="e">
        <f>VLOOKUP(A3893,'DAFTAR HARGA'!A:D,4,FALSE)</f>
        <v>#REF!</v>
      </c>
      <c r="F3893" s="128">
        <v>0.1</v>
      </c>
      <c r="G3893" s="87" t="e">
        <f>VLOOKUP(A3893,'DAFTAR HARGA'!A:D,5,FALSE)</f>
        <v>#REF!</v>
      </c>
      <c r="H3893" s="87" t="e">
        <f>F3893*G3893</f>
        <v>#REF!</v>
      </c>
      <c r="I3893" s="87"/>
      <c r="J3893" s="87"/>
      <c r="K3893" s="87"/>
      <c r="L3893" s="87"/>
    </row>
    <row r="3894" spans="1:12" x14ac:dyDescent="0.35">
      <c r="A3894" s="134">
        <v>91121010</v>
      </c>
      <c r="B3894" s="84"/>
      <c r="C3894" s="85" t="str">
        <f>VLOOKUP(A3894,'DAFTAR HARGA'!A:D,3,FALSE)</f>
        <v>m3</v>
      </c>
      <c r="D3894" s="84" t="s">
        <v>418</v>
      </c>
      <c r="E3894" s="84" t="e">
        <f>VLOOKUP(A3894,'DAFTAR HARGA'!A:D,4,FALSE)</f>
        <v>#REF!</v>
      </c>
      <c r="F3894" s="128">
        <v>0.1</v>
      </c>
      <c r="G3894" s="87" t="e">
        <f>VLOOKUP(A3894,'DAFTAR HARGA'!A:D,5,FALSE)</f>
        <v>#REF!</v>
      </c>
      <c r="H3894" s="87" t="e">
        <f>F3894*G3894</f>
        <v>#REF!</v>
      </c>
      <c r="I3894" s="87"/>
      <c r="J3894" s="87"/>
      <c r="K3894" s="87"/>
      <c r="L3894" s="87"/>
    </row>
    <row r="3895" spans="1:12" x14ac:dyDescent="0.35">
      <c r="A3895" s="134">
        <v>211100112</v>
      </c>
      <c r="B3895" s="84"/>
      <c r="C3895" s="85" t="str">
        <f>VLOOKUP(A3895,'DAFTAR HARGA'!A:D,3,FALSE)</f>
        <v>m3</v>
      </c>
      <c r="D3895" s="84" t="s">
        <v>418</v>
      </c>
      <c r="E3895" s="84">
        <f>VLOOKUP(A3895,'DAFTAR HARGA'!A:D,4,FALSE)</f>
        <v>190200</v>
      </c>
      <c r="F3895" s="128">
        <v>2.5000000000000001E-2</v>
      </c>
      <c r="G3895" s="87" t="e">
        <f>VLOOKUP(A3895,'DAFTAR HARGA'!A:D,5,FALSE)</f>
        <v>#REF!</v>
      </c>
      <c r="H3895" s="87" t="e">
        <f>F3895*G3895</f>
        <v>#REF!</v>
      </c>
      <c r="I3895" s="87"/>
      <c r="J3895" s="87"/>
      <c r="K3895" s="87"/>
      <c r="L3895" s="87"/>
    </row>
    <row r="3896" spans="1:12" x14ac:dyDescent="0.35">
      <c r="B3896" s="84"/>
      <c r="C3896" s="85"/>
      <c r="D3896" s="84"/>
      <c r="E3896" s="84"/>
      <c r="F3896" s="128"/>
      <c r="G3896" s="87"/>
      <c r="H3896" s="87"/>
      <c r="I3896" s="87"/>
      <c r="J3896" s="87"/>
      <c r="K3896" s="87"/>
      <c r="L3896" s="87"/>
    </row>
    <row r="3897" spans="1:12" ht="12" customHeight="1" x14ac:dyDescent="0.35">
      <c r="B3897" s="84"/>
      <c r="C3897" s="88"/>
      <c r="D3897" s="79"/>
      <c r="E3897" s="79"/>
      <c r="F3897" s="129" t="s">
        <v>423</v>
      </c>
      <c r="G3897" s="129"/>
      <c r="H3897" s="87" t="e">
        <f>SUM(H3891:H3896)</f>
        <v>#REF!</v>
      </c>
      <c r="I3897" s="101"/>
      <c r="J3897" s="87" t="e">
        <f>SUM(#REF!)</f>
        <v>#REF!</v>
      </c>
      <c r="K3897" s="101"/>
      <c r="L3897" s="87" t="e">
        <f>SUM(#REF!)</f>
        <v>#REF!</v>
      </c>
    </row>
    <row r="3898" spans="1:12" ht="12" customHeight="1" x14ac:dyDescent="0.35">
      <c r="B3898" s="84" t="s">
        <v>7</v>
      </c>
      <c r="C3898" s="88" t="s">
        <v>424</v>
      </c>
      <c r="D3898" s="79"/>
      <c r="E3898" s="79"/>
      <c r="F3898" s="90"/>
      <c r="G3898" s="84"/>
      <c r="H3898" s="87"/>
      <c r="I3898" s="84"/>
      <c r="J3898" s="87"/>
      <c r="K3898" s="84"/>
      <c r="L3898" s="87"/>
    </row>
    <row r="3899" spans="1:12" ht="12" customHeight="1" x14ac:dyDescent="0.35">
      <c r="A3899" s="134">
        <v>31100018</v>
      </c>
      <c r="B3899" s="84"/>
      <c r="C3899" s="85" t="str">
        <f>VLOOKUP(A3899,'DAFTAR HARGA'!A:D,3,FALSE)</f>
        <v>jam</v>
      </c>
      <c r="D3899" s="84" t="s">
        <v>418</v>
      </c>
      <c r="E3899" s="84">
        <f>VLOOKUP(A3899,'DAFTAR HARGA'!A:D,4,FALSE)</f>
        <v>513000</v>
      </c>
      <c r="F3899" s="128">
        <v>4.82E-2</v>
      </c>
      <c r="G3899" s="87" t="e">
        <f>VLOOKUP(A3899,'DAFTAR HARGA'!A:D,5,FALSE)</f>
        <v>#REF!</v>
      </c>
      <c r="H3899" s="87" t="e">
        <f>F3899*G3899</f>
        <v>#REF!</v>
      </c>
      <c r="I3899" s="87"/>
      <c r="J3899" s="87"/>
      <c r="K3899" s="87"/>
      <c r="L3899" s="87"/>
    </row>
    <row r="3900" spans="1:12" ht="12" customHeight="1" x14ac:dyDescent="0.35">
      <c r="A3900" s="134">
        <v>31100008</v>
      </c>
      <c r="B3900" s="84"/>
      <c r="C3900" s="85" t="str">
        <f>VLOOKUP(A3900,'DAFTAR HARGA'!A:D,3,FALSE)</f>
        <v>jam</v>
      </c>
      <c r="D3900" s="84" t="s">
        <v>418</v>
      </c>
      <c r="E3900" s="84">
        <f>VLOOKUP(A3900,'DAFTAR HARGA'!A:D,4,FALSE)</f>
        <v>449000</v>
      </c>
      <c r="F3900" s="128">
        <f>0.1004*2</f>
        <v>0.20080000000000001</v>
      </c>
      <c r="G3900" s="87" t="e">
        <f>VLOOKUP(A3900,'DAFTAR HARGA'!A:D,5,FALSE)</f>
        <v>#REF!</v>
      </c>
      <c r="H3900" s="87" t="e">
        <f>F3900*G3900</f>
        <v>#REF!</v>
      </c>
      <c r="I3900" s="87"/>
      <c r="J3900" s="87"/>
      <c r="K3900" s="87"/>
      <c r="L3900" s="87"/>
    </row>
    <row r="3901" spans="1:12" ht="12" customHeight="1" x14ac:dyDescent="0.35">
      <c r="B3901" s="84"/>
      <c r="C3901" s="85"/>
      <c r="D3901" s="84"/>
      <c r="E3901" s="84"/>
      <c r="F3901" s="128"/>
      <c r="G3901" s="87"/>
      <c r="H3901" s="87">
        <f>F3901*G3901</f>
        <v>0</v>
      </c>
      <c r="I3901" s="87"/>
      <c r="J3901" s="87"/>
      <c r="K3901" s="87"/>
      <c r="L3901" s="87"/>
    </row>
    <row r="3902" spans="1:12" ht="12" customHeight="1" x14ac:dyDescent="0.35">
      <c r="B3902" s="84"/>
      <c r="C3902" s="88"/>
      <c r="D3902" s="79"/>
      <c r="E3902" s="79"/>
      <c r="F3902" s="89" t="s">
        <v>425</v>
      </c>
      <c r="G3902" s="101"/>
      <c r="H3902" s="87" t="e">
        <f>SUM(H3899:H3901)</f>
        <v>#REF!</v>
      </c>
      <c r="I3902" s="101"/>
      <c r="J3902" s="87" t="e">
        <f>SUM(#REF!)</f>
        <v>#REF!</v>
      </c>
      <c r="K3902" s="101"/>
      <c r="L3902" s="87" t="e">
        <f>SUM(#REF!)</f>
        <v>#REF!</v>
      </c>
    </row>
    <row r="3903" spans="1:12" ht="12" customHeight="1" x14ac:dyDescent="0.35">
      <c r="B3903" s="84" t="s">
        <v>8</v>
      </c>
      <c r="C3903" s="103" t="s">
        <v>426</v>
      </c>
      <c r="D3903" s="104"/>
      <c r="E3903" s="104"/>
      <c r="F3903" s="104"/>
      <c r="G3903" s="105"/>
      <c r="H3903" s="87" t="e">
        <f>H3889+H3897+H3902</f>
        <v>#REF!</v>
      </c>
      <c r="I3903" s="105"/>
      <c r="J3903" s="87" t="e">
        <f>J3889+J3897+J3902</f>
        <v>#REF!</v>
      </c>
      <c r="K3903" s="105"/>
      <c r="L3903" s="87" t="e">
        <f>L3889+L3897+L3902</f>
        <v>#REF!</v>
      </c>
    </row>
    <row r="3904" spans="1:12" ht="12" customHeight="1" x14ac:dyDescent="0.35">
      <c r="B3904" s="84" t="s">
        <v>9</v>
      </c>
      <c r="C3904" s="455" t="s">
        <v>427</v>
      </c>
      <c r="D3904" s="455"/>
      <c r="E3904" s="455"/>
      <c r="F3904" s="95">
        <v>0</v>
      </c>
      <c r="G3904" s="85" t="s">
        <v>428</v>
      </c>
      <c r="H3904" s="87" t="e">
        <f>H3903*F3904</f>
        <v>#REF!</v>
      </c>
      <c r="I3904" s="85" t="s">
        <v>428</v>
      </c>
      <c r="J3904" s="87" t="e">
        <f>J3903*F3904</f>
        <v>#REF!</v>
      </c>
      <c r="K3904" s="85" t="s">
        <v>428</v>
      </c>
      <c r="L3904" s="87" t="e">
        <f>L3903*F3904</f>
        <v>#REF!</v>
      </c>
    </row>
    <row r="3905" spans="1:12" ht="12" customHeight="1" x14ac:dyDescent="0.35">
      <c r="B3905" s="84" t="s">
        <v>10</v>
      </c>
      <c r="C3905" s="103" t="s">
        <v>429</v>
      </c>
      <c r="D3905" s="104"/>
      <c r="E3905" s="104"/>
      <c r="F3905" s="104"/>
      <c r="G3905" s="105"/>
      <c r="H3905" s="96" t="e">
        <f>H3903+H3904</f>
        <v>#REF!</v>
      </c>
      <c r="I3905" s="97"/>
      <c r="J3905" s="96" t="e">
        <f>J3903+J3904</f>
        <v>#REF!</v>
      </c>
      <c r="K3905" s="97"/>
      <c r="L3905" s="96" t="e">
        <f>L3903+L3904</f>
        <v>#REF!</v>
      </c>
    </row>
    <row r="3906" spans="1:12" ht="14" customHeight="1" x14ac:dyDescent="0.35"/>
    <row r="3907" spans="1:12" ht="37" customHeight="1" x14ac:dyDescent="0.35">
      <c r="B3907" s="76" t="s">
        <v>971</v>
      </c>
      <c r="C3907" s="458" t="s">
        <v>972</v>
      </c>
      <c r="D3907" s="459"/>
      <c r="E3907" s="459"/>
      <c r="F3907" s="459"/>
      <c r="G3907" s="456"/>
      <c r="H3907" s="457"/>
      <c r="I3907" s="455" t="s">
        <v>3</v>
      </c>
      <c r="J3907" s="455"/>
      <c r="K3907" s="455" t="s">
        <v>4</v>
      </c>
      <c r="L3907" s="455"/>
    </row>
    <row r="3908" spans="1:12" ht="12" customHeight="1" x14ac:dyDescent="0.35">
      <c r="B3908" s="451" t="s">
        <v>409</v>
      </c>
      <c r="C3908" s="451" t="s">
        <v>410</v>
      </c>
      <c r="D3908" s="452" t="s">
        <v>411</v>
      </c>
      <c r="E3908" s="451" t="s">
        <v>412</v>
      </c>
      <c r="F3908" s="451" t="s">
        <v>413</v>
      </c>
      <c r="G3908" s="77" t="s">
        <v>414</v>
      </c>
      <c r="H3908" s="77" t="s">
        <v>415</v>
      </c>
      <c r="I3908" s="78" t="s">
        <v>414</v>
      </c>
      <c r="J3908" s="79" t="s">
        <v>415</v>
      </c>
      <c r="K3908" s="79" t="s">
        <v>414</v>
      </c>
      <c r="L3908" s="79" t="s">
        <v>415</v>
      </c>
    </row>
    <row r="3909" spans="1:12" ht="12" customHeight="1" x14ac:dyDescent="0.35">
      <c r="B3909" s="451"/>
      <c r="C3909" s="451"/>
      <c r="D3909" s="453"/>
      <c r="E3909" s="451"/>
      <c r="F3909" s="451"/>
      <c r="G3909" s="77" t="s">
        <v>17</v>
      </c>
      <c r="H3909" s="77" t="s">
        <v>416</v>
      </c>
      <c r="I3909" s="78" t="s">
        <v>17</v>
      </c>
      <c r="J3909" s="79" t="s">
        <v>416</v>
      </c>
      <c r="K3909" s="79" t="s">
        <v>17</v>
      </c>
      <c r="L3909" s="79" t="s">
        <v>416</v>
      </c>
    </row>
    <row r="3910" spans="1:12" ht="12" customHeight="1" x14ac:dyDescent="0.35">
      <c r="B3910" s="451"/>
      <c r="C3910" s="451"/>
      <c r="D3910" s="454"/>
      <c r="E3910" s="451"/>
      <c r="F3910" s="451"/>
      <c r="G3910" s="106"/>
      <c r="H3910" s="77" t="s">
        <v>17</v>
      </c>
      <c r="I3910" s="94"/>
      <c r="J3910" s="79" t="s">
        <v>17</v>
      </c>
      <c r="K3910" s="85"/>
      <c r="L3910" s="79" t="s">
        <v>17</v>
      </c>
    </row>
    <row r="3911" spans="1:12" ht="12" customHeight="1" x14ac:dyDescent="0.35">
      <c r="B3911" s="80" t="s">
        <v>5</v>
      </c>
      <c r="C3911" s="81" t="s">
        <v>417</v>
      </c>
      <c r="D3911" s="82"/>
      <c r="E3911" s="82"/>
      <c r="F3911" s="82"/>
      <c r="G3911" s="82"/>
      <c r="H3911" s="82"/>
      <c r="I3911" s="83"/>
      <c r="J3911" s="83"/>
      <c r="K3911" s="83"/>
      <c r="L3911" s="83"/>
    </row>
    <row r="3912" spans="1:12" ht="12" customHeight="1" x14ac:dyDescent="0.35">
      <c r="A3912" s="134">
        <v>10130000</v>
      </c>
      <c r="B3912" s="84"/>
      <c r="C3912" s="85" t="str">
        <f>VLOOKUP(A3912,'DAFTAR HARGA'!A:D,3,FALSE)</f>
        <v>OH</v>
      </c>
      <c r="D3912" s="84" t="s">
        <v>418</v>
      </c>
      <c r="E3912" s="84">
        <f>VLOOKUP(A3912,'DAFTAR HARGA'!A:D,4,FALSE)</f>
        <v>115000</v>
      </c>
      <c r="F3912" s="128">
        <v>0.33119999999999999</v>
      </c>
      <c r="G3912" s="87" t="e">
        <f>VLOOKUP(A3912,'DAFTAR HARGA'!A:D,5,FALSE)</f>
        <v>#REF!</v>
      </c>
      <c r="H3912" s="87" t="e">
        <f>F3912*G3912</f>
        <v>#REF!</v>
      </c>
      <c r="I3912" s="87">
        <v>91500</v>
      </c>
      <c r="J3912" s="87">
        <f>F3912*I3912</f>
        <v>30304.799999999999</v>
      </c>
      <c r="K3912" s="87">
        <v>91500</v>
      </c>
      <c r="L3912" s="87">
        <f>F3912*K3912</f>
        <v>30304.799999999999</v>
      </c>
    </row>
    <row r="3913" spans="1:12" ht="12" customHeight="1" x14ac:dyDescent="0.35">
      <c r="A3913" s="134">
        <v>10121100</v>
      </c>
      <c r="B3913" s="84"/>
      <c r="C3913" s="85" t="str">
        <f>VLOOKUP(A3913,'DAFTAR HARGA'!A:D,3,FALSE)</f>
        <v>OH</v>
      </c>
      <c r="D3913" s="84" t="s">
        <v>418</v>
      </c>
      <c r="E3913" s="84">
        <f>VLOOKUP(A3913,'DAFTAR HARGA'!A:D,4,FALSE)</f>
        <v>100000</v>
      </c>
      <c r="F3913" s="128">
        <v>0.1656</v>
      </c>
      <c r="G3913" s="87" t="e">
        <f>VLOOKUP(A3913,'DAFTAR HARGA'!A:D,5,FALSE)</f>
        <v>#REF!</v>
      </c>
      <c r="H3913" s="87" t="e">
        <f>F3913*G3913</f>
        <v>#REF!</v>
      </c>
      <c r="I3913" s="87"/>
      <c r="J3913" s="87"/>
      <c r="K3913" s="87"/>
      <c r="L3913" s="87"/>
    </row>
    <row r="3914" spans="1:12" ht="12" customHeight="1" x14ac:dyDescent="0.35">
      <c r="A3914" s="134">
        <v>10110000</v>
      </c>
      <c r="B3914" s="84"/>
      <c r="C3914" s="85" t="str">
        <f>VLOOKUP(A3914,'DAFTAR HARGA'!A:D,3,FALSE)</f>
        <v>OH</v>
      </c>
      <c r="D3914" s="84" t="s">
        <v>418</v>
      </c>
      <c r="E3914" s="84">
        <f>VLOOKUP(A3914,'DAFTAR HARGA'!A:D,4,FALSE)</f>
        <v>150000</v>
      </c>
      <c r="F3914" s="128">
        <f>F3912/10</f>
        <v>3.3119999999999997E-2</v>
      </c>
      <c r="G3914" s="87" t="e">
        <f>VLOOKUP(A3914,'DAFTAR HARGA'!A:D,5,FALSE)</f>
        <v>#REF!</v>
      </c>
      <c r="H3914" s="87" t="e">
        <f>F3914*G3914</f>
        <v>#REF!</v>
      </c>
      <c r="I3914" s="87"/>
      <c r="J3914" s="87"/>
      <c r="K3914" s="87"/>
      <c r="L3914" s="87"/>
    </row>
    <row r="3915" spans="1:12" ht="12" customHeight="1" x14ac:dyDescent="0.35">
      <c r="B3915" s="84"/>
      <c r="C3915" s="88"/>
      <c r="D3915" s="79"/>
      <c r="E3915" s="79"/>
      <c r="F3915" s="89"/>
      <c r="G3915" s="101"/>
      <c r="H3915" s="87" t="e">
        <f>SUM(H3912:H3914)</f>
        <v>#REF!</v>
      </c>
      <c r="I3915" s="101"/>
      <c r="J3915" s="87">
        <f>SUM(J3914:J3914)</f>
        <v>0</v>
      </c>
      <c r="K3915" s="101"/>
      <c r="L3915" s="87">
        <f>SUM(L3914:L3914)</f>
        <v>0</v>
      </c>
    </row>
    <row r="3916" spans="1:12" ht="12" customHeight="1" x14ac:dyDescent="0.35">
      <c r="B3916" s="84" t="s">
        <v>6</v>
      </c>
      <c r="C3916" s="88" t="s">
        <v>422</v>
      </c>
      <c r="D3916" s="79"/>
      <c r="E3916" s="79"/>
      <c r="F3916" s="90"/>
      <c r="G3916" s="84"/>
      <c r="H3916" s="87"/>
      <c r="I3916" s="84"/>
      <c r="J3916" s="87"/>
      <c r="K3916" s="84"/>
      <c r="L3916" s="87"/>
    </row>
    <row r="3917" spans="1:12" x14ac:dyDescent="0.35">
      <c r="A3917" s="134">
        <v>22320060</v>
      </c>
      <c r="B3917" s="84"/>
      <c r="C3917" s="85" t="str">
        <f>VLOOKUP(A3917,'DAFTAR HARGA'!A:D,3,FALSE)</f>
        <v>buah</v>
      </c>
      <c r="D3917" s="84" t="s">
        <v>418</v>
      </c>
      <c r="E3917" s="84">
        <f>VLOOKUP(A3917,'DAFTAR HARGA'!A:D,4,FALSE)</f>
        <v>1120000</v>
      </c>
      <c r="F3917" s="128">
        <v>1</v>
      </c>
      <c r="G3917" s="87" t="e">
        <f>VLOOKUP(A3917,'DAFTAR HARGA'!A:D,5,FALSE)</f>
        <v>#REF!</v>
      </c>
      <c r="H3917" s="87" t="e">
        <f>F3917*G3917</f>
        <v>#REF!</v>
      </c>
      <c r="I3917" s="87"/>
      <c r="J3917" s="87"/>
      <c r="K3917" s="87"/>
      <c r="L3917" s="87"/>
    </row>
    <row r="3918" spans="1:12" x14ac:dyDescent="0.35">
      <c r="A3918" s="134">
        <v>91114013</v>
      </c>
      <c r="B3918" s="84"/>
      <c r="C3918" s="85" t="str">
        <f>VLOOKUP(A3918,'DAFTAR HARGA'!A:D,3,FALSE)</f>
        <v>m2</v>
      </c>
      <c r="D3918" s="84" t="s">
        <v>418</v>
      </c>
      <c r="E3918" s="84" t="e">
        <f>VLOOKUP(A3918,'DAFTAR HARGA'!A:D,4,FALSE)</f>
        <v>#REF!</v>
      </c>
      <c r="F3918" s="128">
        <v>0.27</v>
      </c>
      <c r="G3918" s="87" t="e">
        <f>VLOOKUP(A3918,'DAFTAR HARGA'!A:D,5,FALSE)</f>
        <v>#REF!</v>
      </c>
      <c r="H3918" s="87" t="e">
        <f>F3918*G3918</f>
        <v>#REF!</v>
      </c>
      <c r="I3918" s="87"/>
      <c r="J3918" s="87"/>
      <c r="K3918" s="87"/>
      <c r="L3918" s="87"/>
    </row>
    <row r="3919" spans="1:12" ht="36" customHeight="1" x14ac:dyDescent="0.35">
      <c r="A3919" s="134">
        <v>91121040</v>
      </c>
      <c r="B3919" s="84"/>
      <c r="C3919" s="85" t="str">
        <f>VLOOKUP(A3919,'DAFTAR HARGA'!A:D,3,FALSE)</f>
        <v>m3</v>
      </c>
      <c r="D3919" s="84" t="s">
        <v>418</v>
      </c>
      <c r="E3919" s="84" t="e">
        <f>VLOOKUP(A3919,'DAFTAR HARGA'!A:D,4,FALSE)</f>
        <v>#REF!</v>
      </c>
      <c r="F3919" s="128">
        <v>0.14399999999999999</v>
      </c>
      <c r="G3919" s="87" t="e">
        <f>VLOOKUP(A3919,'DAFTAR HARGA'!A:D,5,FALSE)</f>
        <v>#REF!</v>
      </c>
      <c r="H3919" s="87" t="e">
        <f>F3919*G3919</f>
        <v>#REF!</v>
      </c>
      <c r="I3919" s="87"/>
      <c r="J3919" s="87"/>
      <c r="K3919" s="87"/>
      <c r="L3919" s="87"/>
    </row>
    <row r="3920" spans="1:12" x14ac:dyDescent="0.35">
      <c r="A3920" s="134">
        <v>91121010</v>
      </c>
      <c r="B3920" s="84"/>
      <c r="C3920" s="85" t="str">
        <f>VLOOKUP(A3920,'DAFTAR HARGA'!A:D,3,FALSE)</f>
        <v>m3</v>
      </c>
      <c r="D3920" s="84" t="s">
        <v>418</v>
      </c>
      <c r="E3920" s="84" t="e">
        <f>VLOOKUP(A3920,'DAFTAR HARGA'!A:D,4,FALSE)</f>
        <v>#REF!</v>
      </c>
      <c r="F3920" s="128">
        <v>0.158</v>
      </c>
      <c r="G3920" s="87" t="e">
        <f>VLOOKUP(A3920,'DAFTAR HARGA'!A:D,5,FALSE)</f>
        <v>#REF!</v>
      </c>
      <c r="H3920" s="87" t="e">
        <f>F3920*G3920</f>
        <v>#REF!</v>
      </c>
      <c r="I3920" s="87"/>
      <c r="J3920" s="87"/>
      <c r="K3920" s="87"/>
      <c r="L3920" s="87"/>
    </row>
    <row r="3921" spans="1:12" x14ac:dyDescent="0.35">
      <c r="A3921" s="134">
        <v>211100112</v>
      </c>
      <c r="B3921" s="84"/>
      <c r="C3921" s="85" t="str">
        <f>VLOOKUP(A3921,'DAFTAR HARGA'!A:D,3,FALSE)</f>
        <v>m3</v>
      </c>
      <c r="D3921" s="84" t="s">
        <v>418</v>
      </c>
      <c r="E3921" s="84">
        <f>VLOOKUP(A3921,'DAFTAR HARGA'!A:D,4,FALSE)</f>
        <v>190200</v>
      </c>
      <c r="F3921" s="128">
        <v>5.8000000000000003E-2</v>
      </c>
      <c r="G3921" s="87" t="e">
        <f>VLOOKUP(A3921,'DAFTAR HARGA'!A:D,5,FALSE)</f>
        <v>#REF!</v>
      </c>
      <c r="H3921" s="87" t="e">
        <f>F3921*G3921</f>
        <v>#REF!</v>
      </c>
      <c r="I3921" s="87"/>
      <c r="J3921" s="87"/>
      <c r="K3921" s="87"/>
      <c r="L3921" s="87"/>
    </row>
    <row r="3922" spans="1:12" x14ac:dyDescent="0.35">
      <c r="B3922" s="84"/>
      <c r="C3922" s="85"/>
      <c r="D3922" s="84"/>
      <c r="E3922" s="84"/>
      <c r="F3922" s="128"/>
      <c r="G3922" s="87"/>
      <c r="H3922" s="87"/>
      <c r="I3922" s="87"/>
      <c r="J3922" s="87"/>
      <c r="K3922" s="87"/>
      <c r="L3922" s="87"/>
    </row>
    <row r="3923" spans="1:12" ht="12" customHeight="1" x14ac:dyDescent="0.35">
      <c r="B3923" s="84"/>
      <c r="C3923" s="88"/>
      <c r="D3923" s="79"/>
      <c r="E3923" s="79"/>
      <c r="F3923" s="129" t="s">
        <v>423</v>
      </c>
      <c r="G3923" s="129"/>
      <c r="H3923" s="87" t="e">
        <f>SUM(H3917:H3922)</f>
        <v>#REF!</v>
      </c>
      <c r="I3923" s="101"/>
      <c r="J3923" s="87" t="e">
        <f>SUM(#REF!)</f>
        <v>#REF!</v>
      </c>
      <c r="K3923" s="101"/>
      <c r="L3923" s="87" t="e">
        <f>SUM(#REF!)</f>
        <v>#REF!</v>
      </c>
    </row>
    <row r="3924" spans="1:12" ht="12" customHeight="1" x14ac:dyDescent="0.35">
      <c r="B3924" s="84" t="s">
        <v>7</v>
      </c>
      <c r="C3924" s="88" t="s">
        <v>424</v>
      </c>
      <c r="D3924" s="79"/>
      <c r="E3924" s="79"/>
      <c r="F3924" s="90"/>
      <c r="G3924" s="84"/>
      <c r="H3924" s="87"/>
      <c r="I3924" s="84"/>
      <c r="J3924" s="87"/>
      <c r="K3924" s="84"/>
      <c r="L3924" s="87"/>
    </row>
    <row r="3925" spans="1:12" ht="12" customHeight="1" x14ac:dyDescent="0.35">
      <c r="A3925" s="134">
        <v>31100018</v>
      </c>
      <c r="B3925" s="84"/>
      <c r="C3925" s="85" t="str">
        <f>VLOOKUP(A3925,'DAFTAR HARGA'!A:D,3,FALSE)</f>
        <v>jam</v>
      </c>
      <c r="D3925" s="84" t="s">
        <v>418</v>
      </c>
      <c r="E3925" s="84">
        <f>VLOOKUP(A3925,'DAFTAR HARGA'!A:D,4,FALSE)</f>
        <v>513000</v>
      </c>
      <c r="F3925" s="128">
        <v>6.9400000000000003E-2</v>
      </c>
      <c r="G3925" s="87" t="e">
        <f>VLOOKUP(A3925,'DAFTAR HARGA'!A:D,5,FALSE)</f>
        <v>#REF!</v>
      </c>
      <c r="H3925" s="87" t="e">
        <f>F3925*G3925</f>
        <v>#REF!</v>
      </c>
      <c r="I3925" s="87"/>
      <c r="J3925" s="87"/>
      <c r="K3925" s="87"/>
      <c r="L3925" s="87"/>
    </row>
    <row r="3926" spans="1:12" ht="12" customHeight="1" x14ac:dyDescent="0.35">
      <c r="A3926" s="134">
        <v>31100008</v>
      </c>
      <c r="B3926" s="84"/>
      <c r="C3926" s="85" t="str">
        <f>VLOOKUP(A3926,'DAFTAR HARGA'!A:D,3,FALSE)</f>
        <v>jam</v>
      </c>
      <c r="D3926" s="84" t="s">
        <v>418</v>
      </c>
      <c r="E3926" s="84">
        <f>VLOOKUP(A3926,'DAFTAR HARGA'!A:D,4,FALSE)</f>
        <v>449000</v>
      </c>
      <c r="F3926" s="128">
        <f>0.1656*2</f>
        <v>0.33119999999999999</v>
      </c>
      <c r="G3926" s="87" t="e">
        <f>VLOOKUP(A3926,'DAFTAR HARGA'!A:D,5,FALSE)</f>
        <v>#REF!</v>
      </c>
      <c r="H3926" s="87" t="e">
        <f>F3926*G3926</f>
        <v>#REF!</v>
      </c>
      <c r="I3926" s="87"/>
      <c r="J3926" s="87"/>
      <c r="K3926" s="87"/>
      <c r="L3926" s="87"/>
    </row>
    <row r="3927" spans="1:12" ht="12" customHeight="1" x14ac:dyDescent="0.35">
      <c r="B3927" s="84"/>
      <c r="C3927" s="85"/>
      <c r="D3927" s="84"/>
      <c r="E3927" s="84"/>
      <c r="F3927" s="128"/>
      <c r="G3927" s="87"/>
      <c r="H3927" s="87">
        <f>F3927*G3927</f>
        <v>0</v>
      </c>
      <c r="I3927" s="87"/>
      <c r="J3927" s="87"/>
      <c r="K3927" s="87"/>
      <c r="L3927" s="87"/>
    </row>
    <row r="3928" spans="1:12" ht="12" customHeight="1" x14ac:dyDescent="0.35">
      <c r="B3928" s="84"/>
      <c r="C3928" s="88"/>
      <c r="D3928" s="79"/>
      <c r="E3928" s="79"/>
      <c r="F3928" s="89" t="s">
        <v>425</v>
      </c>
      <c r="G3928" s="101"/>
      <c r="H3928" s="87" t="e">
        <f>SUM(H3925:H3927)</f>
        <v>#REF!</v>
      </c>
      <c r="I3928" s="101"/>
      <c r="J3928" s="87" t="e">
        <f>SUM(#REF!)</f>
        <v>#REF!</v>
      </c>
      <c r="K3928" s="101"/>
      <c r="L3928" s="87" t="e">
        <f>SUM(#REF!)</f>
        <v>#REF!</v>
      </c>
    </row>
    <row r="3929" spans="1:12" ht="12" customHeight="1" x14ac:dyDescent="0.35">
      <c r="B3929" s="84" t="s">
        <v>8</v>
      </c>
      <c r="C3929" s="103" t="s">
        <v>426</v>
      </c>
      <c r="D3929" s="104"/>
      <c r="E3929" s="104"/>
      <c r="F3929" s="104"/>
      <c r="G3929" s="105"/>
      <c r="H3929" s="87" t="e">
        <f>H3915+H3923+H3928</f>
        <v>#REF!</v>
      </c>
      <c r="I3929" s="105"/>
      <c r="J3929" s="87" t="e">
        <f>J3915+J3923+J3928</f>
        <v>#REF!</v>
      </c>
      <c r="K3929" s="105"/>
      <c r="L3929" s="87" t="e">
        <f>L3915+L3923+L3928</f>
        <v>#REF!</v>
      </c>
    </row>
    <row r="3930" spans="1:12" ht="12" customHeight="1" x14ac:dyDescent="0.35">
      <c r="B3930" s="84" t="s">
        <v>9</v>
      </c>
      <c r="C3930" s="455" t="s">
        <v>427</v>
      </c>
      <c r="D3930" s="455"/>
      <c r="E3930" s="455"/>
      <c r="F3930" s="95">
        <v>0</v>
      </c>
      <c r="G3930" s="85" t="s">
        <v>428</v>
      </c>
      <c r="H3930" s="87" t="e">
        <f>H3929*F3930</f>
        <v>#REF!</v>
      </c>
      <c r="I3930" s="85" t="s">
        <v>428</v>
      </c>
      <c r="J3930" s="87" t="e">
        <f>J3929*F3930</f>
        <v>#REF!</v>
      </c>
      <c r="K3930" s="85" t="s">
        <v>428</v>
      </c>
      <c r="L3930" s="87" t="e">
        <f>L3929*F3930</f>
        <v>#REF!</v>
      </c>
    </row>
    <row r="3931" spans="1:12" ht="12" customHeight="1" x14ac:dyDescent="0.35">
      <c r="B3931" s="84" t="s">
        <v>10</v>
      </c>
      <c r="C3931" s="103" t="s">
        <v>429</v>
      </c>
      <c r="D3931" s="104"/>
      <c r="E3931" s="104"/>
      <c r="F3931" s="104"/>
      <c r="G3931" s="105"/>
      <c r="H3931" s="96" t="e">
        <f>H3929+H3930</f>
        <v>#REF!</v>
      </c>
      <c r="I3931" s="97"/>
      <c r="J3931" s="96" t="e">
        <f>J3929+J3930</f>
        <v>#REF!</v>
      </c>
      <c r="K3931" s="97"/>
      <c r="L3931" s="96" t="e">
        <f>L3929+L3930</f>
        <v>#REF!</v>
      </c>
    </row>
    <row r="3932" spans="1:12" ht="14" customHeight="1" x14ac:dyDescent="0.35"/>
    <row r="3933" spans="1:12" ht="37" customHeight="1" x14ac:dyDescent="0.35">
      <c r="B3933" s="76" t="s">
        <v>973</v>
      </c>
      <c r="C3933" s="458" t="s">
        <v>974</v>
      </c>
      <c r="D3933" s="459"/>
      <c r="E3933" s="459"/>
      <c r="F3933" s="459"/>
      <c r="G3933" s="456"/>
      <c r="H3933" s="457"/>
      <c r="I3933" s="455" t="s">
        <v>3</v>
      </c>
      <c r="J3933" s="455"/>
      <c r="K3933" s="455" t="s">
        <v>4</v>
      </c>
      <c r="L3933" s="455"/>
    </row>
    <row r="3934" spans="1:12" ht="12" customHeight="1" x14ac:dyDescent="0.35">
      <c r="B3934" s="451" t="s">
        <v>409</v>
      </c>
      <c r="C3934" s="451" t="s">
        <v>410</v>
      </c>
      <c r="D3934" s="452" t="s">
        <v>411</v>
      </c>
      <c r="E3934" s="451" t="s">
        <v>412</v>
      </c>
      <c r="F3934" s="451" t="s">
        <v>413</v>
      </c>
      <c r="G3934" s="77" t="s">
        <v>414</v>
      </c>
      <c r="H3934" s="77" t="s">
        <v>415</v>
      </c>
      <c r="I3934" s="78" t="s">
        <v>414</v>
      </c>
      <c r="J3934" s="79" t="s">
        <v>415</v>
      </c>
      <c r="K3934" s="79" t="s">
        <v>414</v>
      </c>
      <c r="L3934" s="79" t="s">
        <v>415</v>
      </c>
    </row>
    <row r="3935" spans="1:12" ht="12" customHeight="1" x14ac:dyDescent="0.35">
      <c r="B3935" s="451"/>
      <c r="C3935" s="451"/>
      <c r="D3935" s="453"/>
      <c r="E3935" s="451"/>
      <c r="F3935" s="451"/>
      <c r="G3935" s="77" t="s">
        <v>17</v>
      </c>
      <c r="H3935" s="77" t="s">
        <v>416</v>
      </c>
      <c r="I3935" s="78" t="s">
        <v>17</v>
      </c>
      <c r="J3935" s="79" t="s">
        <v>416</v>
      </c>
      <c r="K3935" s="79" t="s">
        <v>17</v>
      </c>
      <c r="L3935" s="79" t="s">
        <v>416</v>
      </c>
    </row>
    <row r="3936" spans="1:12" ht="12" customHeight="1" x14ac:dyDescent="0.35">
      <c r="B3936" s="451"/>
      <c r="C3936" s="451"/>
      <c r="D3936" s="454"/>
      <c r="E3936" s="451"/>
      <c r="F3936" s="451"/>
      <c r="G3936" s="106"/>
      <c r="H3936" s="77" t="s">
        <v>17</v>
      </c>
      <c r="I3936" s="94"/>
      <c r="J3936" s="79" t="s">
        <v>17</v>
      </c>
      <c r="K3936" s="85"/>
      <c r="L3936" s="79" t="s">
        <v>17</v>
      </c>
    </row>
    <row r="3937" spans="1:12" ht="12" customHeight="1" x14ac:dyDescent="0.35">
      <c r="B3937" s="80" t="s">
        <v>5</v>
      </c>
      <c r="C3937" s="81" t="s">
        <v>417</v>
      </c>
      <c r="D3937" s="82"/>
      <c r="E3937" s="82"/>
      <c r="F3937" s="82"/>
      <c r="G3937" s="82"/>
      <c r="H3937" s="82"/>
      <c r="I3937" s="83"/>
      <c r="J3937" s="83"/>
      <c r="K3937" s="83"/>
      <c r="L3937" s="83"/>
    </row>
    <row r="3938" spans="1:12" ht="12" customHeight="1" x14ac:dyDescent="0.35">
      <c r="A3938" s="134">
        <v>10130000</v>
      </c>
      <c r="B3938" s="84"/>
      <c r="C3938" s="85" t="str">
        <f>VLOOKUP(A3938,'DAFTAR HARGA'!A:D,3,FALSE)</f>
        <v>OH</v>
      </c>
      <c r="D3938" s="84" t="s">
        <v>418</v>
      </c>
      <c r="E3938" s="84">
        <f>VLOOKUP(A3938,'DAFTAR HARGA'!A:D,4,FALSE)</f>
        <v>115000</v>
      </c>
      <c r="F3938" s="128">
        <v>0.63239999999999996</v>
      </c>
      <c r="G3938" s="87" t="e">
        <f>VLOOKUP(A3938,'DAFTAR HARGA'!A:D,5,FALSE)</f>
        <v>#REF!</v>
      </c>
      <c r="H3938" s="87" t="e">
        <f>F3938*G3938</f>
        <v>#REF!</v>
      </c>
      <c r="I3938" s="87">
        <v>91500</v>
      </c>
      <c r="J3938" s="87">
        <f>F3938*I3938</f>
        <v>57864.6</v>
      </c>
      <c r="K3938" s="87">
        <v>91500</v>
      </c>
      <c r="L3938" s="87">
        <f>F3938*K3938</f>
        <v>57864.6</v>
      </c>
    </row>
    <row r="3939" spans="1:12" ht="12" customHeight="1" x14ac:dyDescent="0.35">
      <c r="A3939" s="134">
        <v>10121100</v>
      </c>
      <c r="B3939" s="84"/>
      <c r="C3939" s="85" t="str">
        <f>VLOOKUP(A3939,'DAFTAR HARGA'!A:D,3,FALSE)</f>
        <v>OH</v>
      </c>
      <c r="D3939" s="84" t="s">
        <v>418</v>
      </c>
      <c r="E3939" s="84">
        <f>VLOOKUP(A3939,'DAFTAR HARGA'!A:D,4,FALSE)</f>
        <v>100000</v>
      </c>
      <c r="F3939" s="128">
        <v>0.21079999999999999</v>
      </c>
      <c r="G3939" s="87" t="e">
        <f>VLOOKUP(A3939,'DAFTAR HARGA'!A:D,5,FALSE)</f>
        <v>#REF!</v>
      </c>
      <c r="H3939" s="87" t="e">
        <f>F3939*G3939</f>
        <v>#REF!</v>
      </c>
      <c r="I3939" s="87"/>
      <c r="J3939" s="87"/>
      <c r="K3939" s="87"/>
      <c r="L3939" s="87"/>
    </row>
    <row r="3940" spans="1:12" ht="12" customHeight="1" x14ac:dyDescent="0.35">
      <c r="A3940" s="134">
        <v>10110000</v>
      </c>
      <c r="B3940" s="84"/>
      <c r="C3940" s="85" t="str">
        <f>VLOOKUP(A3940,'DAFTAR HARGA'!A:D,3,FALSE)</f>
        <v>OH</v>
      </c>
      <c r="D3940" s="84" t="s">
        <v>418</v>
      </c>
      <c r="E3940" s="84">
        <f>VLOOKUP(A3940,'DAFTAR HARGA'!A:D,4,FALSE)</f>
        <v>150000</v>
      </c>
      <c r="F3940" s="128">
        <f>F3938/10</f>
        <v>6.3239999999999991E-2</v>
      </c>
      <c r="G3940" s="87" t="e">
        <f>VLOOKUP(A3940,'DAFTAR HARGA'!A:D,5,FALSE)</f>
        <v>#REF!</v>
      </c>
      <c r="H3940" s="87" t="e">
        <f>F3940*G3940</f>
        <v>#REF!</v>
      </c>
      <c r="I3940" s="87"/>
      <c r="J3940" s="87"/>
      <c r="K3940" s="87"/>
      <c r="L3940" s="87"/>
    </row>
    <row r="3941" spans="1:12" ht="12" customHeight="1" x14ac:dyDescent="0.35">
      <c r="B3941" s="84"/>
      <c r="C3941" s="88"/>
      <c r="D3941" s="79"/>
      <c r="E3941" s="79"/>
      <c r="F3941" s="89"/>
      <c r="G3941" s="101"/>
      <c r="H3941" s="87" t="e">
        <f>SUM(H3938:H3940)</f>
        <v>#REF!</v>
      </c>
      <c r="I3941" s="101"/>
      <c r="J3941" s="87">
        <f>SUM(J3940:J3940)</f>
        <v>0</v>
      </c>
      <c r="K3941" s="101"/>
      <c r="L3941" s="87">
        <f>SUM(L3940:L3940)</f>
        <v>0</v>
      </c>
    </row>
    <row r="3942" spans="1:12" ht="12" customHeight="1" x14ac:dyDescent="0.35">
      <c r="B3942" s="84" t="s">
        <v>6</v>
      </c>
      <c r="C3942" s="88" t="s">
        <v>422</v>
      </c>
      <c r="D3942" s="79"/>
      <c r="E3942" s="79"/>
      <c r="F3942" s="90"/>
      <c r="G3942" s="84"/>
      <c r="H3942" s="87"/>
      <c r="I3942" s="84"/>
      <c r="J3942" s="87"/>
      <c r="K3942" s="84"/>
      <c r="L3942" s="87"/>
    </row>
    <row r="3943" spans="1:12" x14ac:dyDescent="0.35">
      <c r="A3943" s="134">
        <v>22320100</v>
      </c>
      <c r="B3943" s="84"/>
      <c r="C3943" s="85" t="str">
        <f>VLOOKUP(A3943,'DAFTAR HARGA'!A:D,3,FALSE)</f>
        <v>buah</v>
      </c>
      <c r="D3943" s="84" t="s">
        <v>418</v>
      </c>
      <c r="E3943" s="84">
        <f>VLOOKUP(A3943,'DAFTAR HARGA'!A:D,4,FALSE)</f>
        <v>3125000</v>
      </c>
      <c r="F3943" s="128">
        <v>1</v>
      </c>
      <c r="G3943" s="87" t="e">
        <f>VLOOKUP(A3943,'DAFTAR HARGA'!A:D,5,FALSE)</f>
        <v>#REF!</v>
      </c>
      <c r="H3943" s="87" t="e">
        <f>F3943*G3943</f>
        <v>#REF!</v>
      </c>
      <c r="I3943" s="87"/>
      <c r="J3943" s="87"/>
      <c r="K3943" s="87"/>
      <c r="L3943" s="87"/>
    </row>
    <row r="3944" spans="1:12" x14ac:dyDescent="0.35">
      <c r="A3944" s="134">
        <v>91114013</v>
      </c>
      <c r="B3944" s="84"/>
      <c r="C3944" s="85" t="str">
        <f>VLOOKUP(A3944,'DAFTAR HARGA'!A:D,3,FALSE)</f>
        <v>m2</v>
      </c>
      <c r="D3944" s="84" t="s">
        <v>418</v>
      </c>
      <c r="E3944" s="84" t="e">
        <f>VLOOKUP(A3944,'DAFTAR HARGA'!A:D,4,FALSE)</f>
        <v>#REF!</v>
      </c>
      <c r="F3944" s="128">
        <v>0.45</v>
      </c>
      <c r="G3944" s="87" t="e">
        <f>VLOOKUP(A3944,'DAFTAR HARGA'!A:D,5,FALSE)</f>
        <v>#REF!</v>
      </c>
      <c r="H3944" s="87" t="e">
        <f>F3944*G3944</f>
        <v>#REF!</v>
      </c>
      <c r="I3944" s="87"/>
      <c r="J3944" s="87"/>
      <c r="K3944" s="87"/>
      <c r="L3944" s="87"/>
    </row>
    <row r="3945" spans="1:12" ht="36" customHeight="1" x14ac:dyDescent="0.35">
      <c r="A3945" s="134">
        <v>91121040</v>
      </c>
      <c r="B3945" s="84"/>
      <c r="C3945" s="85" t="str">
        <f>VLOOKUP(A3945,'DAFTAR HARGA'!A:D,3,FALSE)</f>
        <v>m3</v>
      </c>
      <c r="D3945" s="84" t="s">
        <v>418</v>
      </c>
      <c r="E3945" s="84" t="e">
        <f>VLOOKUP(A3945,'DAFTAR HARGA'!A:D,4,FALSE)</f>
        <v>#REF!</v>
      </c>
      <c r="F3945" s="128">
        <v>0.23</v>
      </c>
      <c r="G3945" s="87" t="e">
        <f>VLOOKUP(A3945,'DAFTAR HARGA'!A:D,5,FALSE)</f>
        <v>#REF!</v>
      </c>
      <c r="H3945" s="87" t="e">
        <f>F3945*G3945</f>
        <v>#REF!</v>
      </c>
      <c r="I3945" s="87"/>
      <c r="J3945" s="87"/>
      <c r="K3945" s="87"/>
      <c r="L3945" s="87"/>
    </row>
    <row r="3946" spans="1:12" x14ac:dyDescent="0.35">
      <c r="A3946" s="134">
        <v>91121010</v>
      </c>
      <c r="B3946" s="84"/>
      <c r="C3946" s="85" t="str">
        <f>VLOOKUP(A3946,'DAFTAR HARGA'!A:D,3,FALSE)</f>
        <v>m3</v>
      </c>
      <c r="D3946" s="84" t="s">
        <v>418</v>
      </c>
      <c r="E3946" s="84" t="e">
        <f>VLOOKUP(A3946,'DAFTAR HARGA'!A:D,4,FALSE)</f>
        <v>#REF!</v>
      </c>
      <c r="F3946" s="128">
        <v>0.26500000000000001</v>
      </c>
      <c r="G3946" s="87" t="e">
        <f>VLOOKUP(A3946,'DAFTAR HARGA'!A:D,5,FALSE)</f>
        <v>#REF!</v>
      </c>
      <c r="H3946" s="87" t="e">
        <f>F3946*G3946</f>
        <v>#REF!</v>
      </c>
      <c r="I3946" s="87"/>
      <c r="J3946" s="87"/>
      <c r="K3946" s="87"/>
      <c r="L3946" s="87"/>
    </row>
    <row r="3947" spans="1:12" x14ac:dyDescent="0.35">
      <c r="A3947" s="134">
        <v>211100112</v>
      </c>
      <c r="B3947" s="84"/>
      <c r="C3947" s="85" t="str">
        <f>VLOOKUP(A3947,'DAFTAR HARGA'!A:D,3,FALSE)</f>
        <v>m3</v>
      </c>
      <c r="D3947" s="84" t="s">
        <v>418</v>
      </c>
      <c r="E3947" s="84">
        <f>VLOOKUP(A3947,'DAFTAR HARGA'!A:D,4,FALSE)</f>
        <v>190200</v>
      </c>
      <c r="F3947" s="128">
        <v>9.1999999999999998E-2</v>
      </c>
      <c r="G3947" s="87" t="e">
        <f>VLOOKUP(A3947,'DAFTAR HARGA'!A:D,5,FALSE)</f>
        <v>#REF!</v>
      </c>
      <c r="H3947" s="87" t="e">
        <f>F3947*G3947</f>
        <v>#REF!</v>
      </c>
      <c r="I3947" s="87"/>
      <c r="J3947" s="87"/>
      <c r="K3947" s="87"/>
      <c r="L3947" s="87"/>
    </row>
    <row r="3948" spans="1:12" x14ac:dyDescent="0.35">
      <c r="B3948" s="84"/>
      <c r="C3948" s="85"/>
      <c r="D3948" s="84"/>
      <c r="E3948" s="84"/>
      <c r="F3948" s="128"/>
      <c r="G3948" s="87"/>
      <c r="H3948" s="87"/>
      <c r="I3948" s="87"/>
      <c r="J3948" s="87"/>
      <c r="K3948" s="87"/>
      <c r="L3948" s="87"/>
    </row>
    <row r="3949" spans="1:12" ht="12" customHeight="1" x14ac:dyDescent="0.35">
      <c r="B3949" s="84"/>
      <c r="C3949" s="88"/>
      <c r="D3949" s="79"/>
      <c r="E3949" s="79"/>
      <c r="F3949" s="129" t="s">
        <v>423</v>
      </c>
      <c r="G3949" s="129"/>
      <c r="H3949" s="87" t="e">
        <f>SUM(H3943:H3948)</f>
        <v>#REF!</v>
      </c>
      <c r="I3949" s="101"/>
      <c r="J3949" s="87" t="e">
        <f>SUM(#REF!)</f>
        <v>#REF!</v>
      </c>
      <c r="K3949" s="101"/>
      <c r="L3949" s="87" t="e">
        <f>SUM(#REF!)</f>
        <v>#REF!</v>
      </c>
    </row>
    <row r="3950" spans="1:12" ht="12" customHeight="1" x14ac:dyDescent="0.35">
      <c r="B3950" s="84" t="s">
        <v>7</v>
      </c>
      <c r="C3950" s="88" t="s">
        <v>424</v>
      </c>
      <c r="D3950" s="79"/>
      <c r="E3950" s="79"/>
      <c r="F3950" s="90"/>
      <c r="G3950" s="84"/>
      <c r="H3950" s="87"/>
      <c r="I3950" s="84"/>
      <c r="J3950" s="87"/>
      <c r="K3950" s="84"/>
      <c r="L3950" s="87"/>
    </row>
    <row r="3951" spans="1:12" ht="12" customHeight="1" x14ac:dyDescent="0.35">
      <c r="A3951" s="134">
        <v>31100018</v>
      </c>
      <c r="B3951" s="84"/>
      <c r="C3951" s="85" t="str">
        <f>VLOOKUP(A3951,'DAFTAR HARGA'!A:D,3,FALSE)</f>
        <v>jam</v>
      </c>
      <c r="D3951" s="84" t="s">
        <v>418</v>
      </c>
      <c r="E3951" s="84">
        <f>VLOOKUP(A3951,'DAFTAR HARGA'!A:D,4,FALSE)</f>
        <v>513000</v>
      </c>
      <c r="F3951" s="128">
        <v>6.9400000000000003E-2</v>
      </c>
      <c r="G3951" s="87" t="e">
        <f>VLOOKUP(A3951,'DAFTAR HARGA'!A:D,5,FALSE)</f>
        <v>#REF!</v>
      </c>
      <c r="H3951" s="87" t="e">
        <f>F3951*G3951</f>
        <v>#REF!</v>
      </c>
      <c r="I3951" s="87"/>
      <c r="J3951" s="87"/>
      <c r="K3951" s="87"/>
      <c r="L3951" s="87"/>
    </row>
    <row r="3952" spans="1:12" ht="12" customHeight="1" x14ac:dyDescent="0.35">
      <c r="A3952" s="134">
        <v>31100008</v>
      </c>
      <c r="B3952" s="84"/>
      <c r="C3952" s="85" t="str">
        <f>VLOOKUP(A3952,'DAFTAR HARGA'!A:D,3,FALSE)</f>
        <v>jam</v>
      </c>
      <c r="D3952" s="84" t="s">
        <v>418</v>
      </c>
      <c r="E3952" s="84">
        <f>VLOOKUP(A3952,'DAFTAR HARGA'!A:D,4,FALSE)</f>
        <v>449000</v>
      </c>
      <c r="F3952" s="128">
        <f>0.1656*2</f>
        <v>0.33119999999999999</v>
      </c>
      <c r="G3952" s="87" t="e">
        <f>VLOOKUP(A3952,'DAFTAR HARGA'!A:D,5,FALSE)</f>
        <v>#REF!</v>
      </c>
      <c r="H3952" s="87" t="e">
        <f>F3952*G3952</f>
        <v>#REF!</v>
      </c>
      <c r="I3952" s="87"/>
      <c r="J3952" s="87"/>
      <c r="K3952" s="87"/>
      <c r="L3952" s="87"/>
    </row>
    <row r="3953" spans="2:12" ht="12" customHeight="1" x14ac:dyDescent="0.35">
      <c r="B3953" s="84"/>
      <c r="C3953" s="85"/>
      <c r="D3953" s="84"/>
      <c r="E3953" s="84"/>
      <c r="F3953" s="128"/>
      <c r="G3953" s="87"/>
      <c r="H3953" s="87">
        <f>F3953*G3953</f>
        <v>0</v>
      </c>
      <c r="I3953" s="87"/>
      <c r="J3953" s="87"/>
      <c r="K3953" s="87"/>
      <c r="L3953" s="87"/>
    </row>
    <row r="3954" spans="2:12" ht="12" customHeight="1" x14ac:dyDescent="0.35">
      <c r="B3954" s="84"/>
      <c r="C3954" s="88"/>
      <c r="D3954" s="79"/>
      <c r="E3954" s="79"/>
      <c r="F3954" s="89" t="s">
        <v>425</v>
      </c>
      <c r="G3954" s="101"/>
      <c r="H3954" s="87" t="e">
        <f>SUM(H3951:H3953)</f>
        <v>#REF!</v>
      </c>
      <c r="I3954" s="101"/>
      <c r="J3954" s="87" t="e">
        <f>SUM(#REF!)</f>
        <v>#REF!</v>
      </c>
      <c r="K3954" s="101"/>
      <c r="L3954" s="87" t="e">
        <f>SUM(#REF!)</f>
        <v>#REF!</v>
      </c>
    </row>
    <row r="3955" spans="2:12" ht="12" customHeight="1" x14ac:dyDescent="0.35">
      <c r="B3955" s="84" t="s">
        <v>8</v>
      </c>
      <c r="C3955" s="103" t="s">
        <v>426</v>
      </c>
      <c r="D3955" s="104"/>
      <c r="E3955" s="104"/>
      <c r="F3955" s="104"/>
      <c r="G3955" s="105"/>
      <c r="H3955" s="87" t="e">
        <f>H3941+H3949+H3954</f>
        <v>#REF!</v>
      </c>
      <c r="I3955" s="105"/>
      <c r="J3955" s="87" t="e">
        <f>J3941+J3949+J3954</f>
        <v>#REF!</v>
      </c>
      <c r="K3955" s="105"/>
      <c r="L3955" s="87" t="e">
        <f>L3941+L3949+L3954</f>
        <v>#REF!</v>
      </c>
    </row>
    <row r="3956" spans="2:12" ht="12" customHeight="1" x14ac:dyDescent="0.35">
      <c r="B3956" s="84" t="s">
        <v>9</v>
      </c>
      <c r="C3956" s="455" t="s">
        <v>427</v>
      </c>
      <c r="D3956" s="455"/>
      <c r="E3956" s="455"/>
      <c r="F3956" s="95">
        <v>0</v>
      </c>
      <c r="G3956" s="85" t="s">
        <v>428</v>
      </c>
      <c r="H3956" s="87" t="e">
        <f>H3955*F3956</f>
        <v>#REF!</v>
      </c>
      <c r="I3956" s="85" t="s">
        <v>428</v>
      </c>
      <c r="J3956" s="87" t="e">
        <f>J3955*F3956</f>
        <v>#REF!</v>
      </c>
      <c r="K3956" s="85" t="s">
        <v>428</v>
      </c>
      <c r="L3956" s="87" t="e">
        <f>L3955*F3956</f>
        <v>#REF!</v>
      </c>
    </row>
    <row r="3957" spans="2:12" ht="12" customHeight="1" x14ac:dyDescent="0.35">
      <c r="B3957" s="84" t="s">
        <v>10</v>
      </c>
      <c r="C3957" s="103" t="s">
        <v>429</v>
      </c>
      <c r="D3957" s="104"/>
      <c r="E3957" s="104"/>
      <c r="F3957" s="104"/>
      <c r="G3957" s="105"/>
      <c r="H3957" s="96" t="e">
        <f>H3955+H3956</f>
        <v>#REF!</v>
      </c>
      <c r="I3957" s="97"/>
      <c r="J3957" s="96" t="e">
        <f>J3955+J3956</f>
        <v>#REF!</v>
      </c>
      <c r="K3957" s="97"/>
      <c r="L3957" s="96" t="e">
        <f>L3955+L3956</f>
        <v>#REF!</v>
      </c>
    </row>
  </sheetData>
  <mergeCells count="1580">
    <mergeCell ref="C3526:E3526"/>
    <mergeCell ref="C3500:E3500"/>
    <mergeCell ref="C3505:F3505"/>
    <mergeCell ref="G3505:H3505"/>
    <mergeCell ref="I3505:J3505"/>
    <mergeCell ref="K3505:L3505"/>
    <mergeCell ref="B3506:B3508"/>
    <mergeCell ref="C3506:C3508"/>
    <mergeCell ref="D3506:D3508"/>
    <mergeCell ref="E3506:E3508"/>
    <mergeCell ref="F3506:F3508"/>
    <mergeCell ref="C3475:E3475"/>
    <mergeCell ref="C3478:F3478"/>
    <mergeCell ref="G3478:H3478"/>
    <mergeCell ref="I3478:J3478"/>
    <mergeCell ref="K3478:L3478"/>
    <mergeCell ref="B3479:B3481"/>
    <mergeCell ref="C3479:C3481"/>
    <mergeCell ref="D3479:D3481"/>
    <mergeCell ref="E3479:E3481"/>
    <mergeCell ref="F3479:F3481"/>
    <mergeCell ref="C3452:E3452"/>
    <mergeCell ref="C3455:F3455"/>
    <mergeCell ref="G3455:H3455"/>
    <mergeCell ref="I3455:J3455"/>
    <mergeCell ref="K3455:L3455"/>
    <mergeCell ref="B3456:B3458"/>
    <mergeCell ref="C3456:C3458"/>
    <mergeCell ref="D3456:D3458"/>
    <mergeCell ref="E3456:E3458"/>
    <mergeCell ref="F3456:F3458"/>
    <mergeCell ref="C3429:E3429"/>
    <mergeCell ref="C3432:F3432"/>
    <mergeCell ref="G3432:H3432"/>
    <mergeCell ref="I3432:J3432"/>
    <mergeCell ref="K3432:L3432"/>
    <mergeCell ref="B3433:B3435"/>
    <mergeCell ref="C3433:C3435"/>
    <mergeCell ref="D3433:D3435"/>
    <mergeCell ref="E3433:E3435"/>
    <mergeCell ref="F3433:F3435"/>
    <mergeCell ref="C3406:E3406"/>
    <mergeCell ref="C3409:F3409"/>
    <mergeCell ref="G3409:H3409"/>
    <mergeCell ref="I3409:J3409"/>
    <mergeCell ref="K3409:L3409"/>
    <mergeCell ref="B3410:B3412"/>
    <mergeCell ref="C3410:C3412"/>
    <mergeCell ref="D3410:D3412"/>
    <mergeCell ref="E3410:E3412"/>
    <mergeCell ref="F3410:F3412"/>
    <mergeCell ref="C3382:E3382"/>
    <mergeCell ref="C3386:F3386"/>
    <mergeCell ref="G3386:H3386"/>
    <mergeCell ref="I3386:J3386"/>
    <mergeCell ref="K3386:L3386"/>
    <mergeCell ref="B3387:B3389"/>
    <mergeCell ref="C3387:C3389"/>
    <mergeCell ref="D3387:D3389"/>
    <mergeCell ref="E3387:E3389"/>
    <mergeCell ref="F3387:F3389"/>
    <mergeCell ref="C3356:E3356"/>
    <mergeCell ref="C3360:F3360"/>
    <mergeCell ref="G3360:H3360"/>
    <mergeCell ref="I3360:J3360"/>
    <mergeCell ref="K3360:L3360"/>
    <mergeCell ref="B3361:B3363"/>
    <mergeCell ref="C3361:C3363"/>
    <mergeCell ref="D3361:D3363"/>
    <mergeCell ref="E3361:E3363"/>
    <mergeCell ref="F3361:F3363"/>
    <mergeCell ref="C3333:F3333"/>
    <mergeCell ref="G3333:H3333"/>
    <mergeCell ref="I3333:J3333"/>
    <mergeCell ref="K3333:L3333"/>
    <mergeCell ref="B3334:B3336"/>
    <mergeCell ref="C3334:C3336"/>
    <mergeCell ref="D3334:D3336"/>
    <mergeCell ref="E3334:E3336"/>
    <mergeCell ref="F3334:F3336"/>
    <mergeCell ref="C3329:E3329"/>
    <mergeCell ref="C3303:E3303"/>
    <mergeCell ref="C3307:F3307"/>
    <mergeCell ref="G3307:H3307"/>
    <mergeCell ref="I3307:J3307"/>
    <mergeCell ref="K3307:L3307"/>
    <mergeCell ref="B3308:B3310"/>
    <mergeCell ref="C3308:C3310"/>
    <mergeCell ref="D3308:D3310"/>
    <mergeCell ref="E3308:E3310"/>
    <mergeCell ref="F3308:F3310"/>
    <mergeCell ref="C3277:E3277"/>
    <mergeCell ref="C3281:F3281"/>
    <mergeCell ref="G3281:H3281"/>
    <mergeCell ref="I3281:J3281"/>
    <mergeCell ref="K3281:L3281"/>
    <mergeCell ref="B3282:B3284"/>
    <mergeCell ref="C3282:C3284"/>
    <mergeCell ref="D3282:D3284"/>
    <mergeCell ref="E3282:E3284"/>
    <mergeCell ref="F3282:F3284"/>
    <mergeCell ref="C3250:E3250"/>
    <mergeCell ref="C3254:F3254"/>
    <mergeCell ref="G3254:H3254"/>
    <mergeCell ref="I3254:J3254"/>
    <mergeCell ref="K3254:L3254"/>
    <mergeCell ref="B3255:B3257"/>
    <mergeCell ref="C3255:C3257"/>
    <mergeCell ref="D3255:D3257"/>
    <mergeCell ref="E3255:E3257"/>
    <mergeCell ref="F3255:F3257"/>
    <mergeCell ref="C3223:E3223"/>
    <mergeCell ref="C3227:F3227"/>
    <mergeCell ref="G3227:H3227"/>
    <mergeCell ref="I3227:J3227"/>
    <mergeCell ref="K3227:L3227"/>
    <mergeCell ref="B3228:B3230"/>
    <mergeCell ref="C3228:C3230"/>
    <mergeCell ref="D3228:D3230"/>
    <mergeCell ref="E3228:E3230"/>
    <mergeCell ref="F3228:F3230"/>
    <mergeCell ref="C3197:E3197"/>
    <mergeCell ref="C3201:F3201"/>
    <mergeCell ref="G3201:H3201"/>
    <mergeCell ref="I3201:J3201"/>
    <mergeCell ref="K3201:L3201"/>
    <mergeCell ref="B3202:B3204"/>
    <mergeCell ref="C3202:C3204"/>
    <mergeCell ref="D3202:D3204"/>
    <mergeCell ref="E3202:E3204"/>
    <mergeCell ref="F3202:F3204"/>
    <mergeCell ref="C3171:E3171"/>
    <mergeCell ref="C3175:F3175"/>
    <mergeCell ref="G3175:H3175"/>
    <mergeCell ref="I3175:J3175"/>
    <mergeCell ref="K3175:L3175"/>
    <mergeCell ref="B3176:B3178"/>
    <mergeCell ref="C3176:C3178"/>
    <mergeCell ref="D3176:D3178"/>
    <mergeCell ref="E3176:E3178"/>
    <mergeCell ref="F3176:F3178"/>
    <mergeCell ref="C3145:E3145"/>
    <mergeCell ref="C3149:F3149"/>
    <mergeCell ref="G3149:H3149"/>
    <mergeCell ref="I3149:J3149"/>
    <mergeCell ref="K3149:L3149"/>
    <mergeCell ref="B3150:B3152"/>
    <mergeCell ref="C3150:C3152"/>
    <mergeCell ref="D3150:D3152"/>
    <mergeCell ref="E3150:E3152"/>
    <mergeCell ref="F3150:F3152"/>
    <mergeCell ref="C3118:E3118"/>
    <mergeCell ref="C3122:F3122"/>
    <mergeCell ref="G3122:H3122"/>
    <mergeCell ref="I3122:J3122"/>
    <mergeCell ref="K3122:L3122"/>
    <mergeCell ref="B3123:B3125"/>
    <mergeCell ref="C3123:C3125"/>
    <mergeCell ref="D3123:D3125"/>
    <mergeCell ref="E3123:E3125"/>
    <mergeCell ref="F3123:F3125"/>
    <mergeCell ref="C3091:E3091"/>
    <mergeCell ref="C3095:F3095"/>
    <mergeCell ref="G3095:H3095"/>
    <mergeCell ref="I3095:J3095"/>
    <mergeCell ref="K3095:L3095"/>
    <mergeCell ref="B3096:B3098"/>
    <mergeCell ref="C3096:C3098"/>
    <mergeCell ref="D3096:D3098"/>
    <mergeCell ref="E3096:E3098"/>
    <mergeCell ref="F3096:F3098"/>
    <mergeCell ref="C3065:E3065"/>
    <mergeCell ref="C3069:F3069"/>
    <mergeCell ref="G3069:H3069"/>
    <mergeCell ref="I3069:J3069"/>
    <mergeCell ref="K3069:L3069"/>
    <mergeCell ref="B3070:B3072"/>
    <mergeCell ref="C3070:C3072"/>
    <mergeCell ref="D3070:D3072"/>
    <mergeCell ref="E3070:E3072"/>
    <mergeCell ref="F3070:F3072"/>
    <mergeCell ref="C3039:E3039"/>
    <mergeCell ref="C3043:F3043"/>
    <mergeCell ref="G3043:H3043"/>
    <mergeCell ref="I3043:J3043"/>
    <mergeCell ref="K3043:L3043"/>
    <mergeCell ref="B3044:B3046"/>
    <mergeCell ref="C3044:C3046"/>
    <mergeCell ref="D3044:D3046"/>
    <mergeCell ref="E3044:E3046"/>
    <mergeCell ref="F3044:F3046"/>
    <mergeCell ref="C3013:E3013"/>
    <mergeCell ref="C3017:F3017"/>
    <mergeCell ref="G3017:H3017"/>
    <mergeCell ref="I3017:J3017"/>
    <mergeCell ref="K3017:L3017"/>
    <mergeCell ref="B3018:B3020"/>
    <mergeCell ref="C3018:C3020"/>
    <mergeCell ref="D3018:D3020"/>
    <mergeCell ref="E3018:E3020"/>
    <mergeCell ref="F3018:F3020"/>
    <mergeCell ref="C2986:E2986"/>
    <mergeCell ref="C2990:F2990"/>
    <mergeCell ref="G2990:H2990"/>
    <mergeCell ref="I2990:J2990"/>
    <mergeCell ref="K2990:L2990"/>
    <mergeCell ref="B2991:B2993"/>
    <mergeCell ref="C2991:C2993"/>
    <mergeCell ref="D2991:D2993"/>
    <mergeCell ref="E2991:E2993"/>
    <mergeCell ref="F2991:F2993"/>
    <mergeCell ref="C2959:E2959"/>
    <mergeCell ref="C2963:F2963"/>
    <mergeCell ref="G2963:H2963"/>
    <mergeCell ref="I2963:J2963"/>
    <mergeCell ref="K2963:L2963"/>
    <mergeCell ref="B2964:B2966"/>
    <mergeCell ref="C2964:C2966"/>
    <mergeCell ref="D2964:D2966"/>
    <mergeCell ref="E2964:E2966"/>
    <mergeCell ref="F2964:F2966"/>
    <mergeCell ref="C2933:E2933"/>
    <mergeCell ref="C2937:F2937"/>
    <mergeCell ref="G2937:H2937"/>
    <mergeCell ref="I2937:J2937"/>
    <mergeCell ref="K2937:L2937"/>
    <mergeCell ref="B2938:B2940"/>
    <mergeCell ref="C2938:C2940"/>
    <mergeCell ref="D2938:D2940"/>
    <mergeCell ref="E2938:E2940"/>
    <mergeCell ref="F2938:F2940"/>
    <mergeCell ref="C2907:E2907"/>
    <mergeCell ref="C2911:F2911"/>
    <mergeCell ref="G2911:H2911"/>
    <mergeCell ref="I2911:J2911"/>
    <mergeCell ref="K2911:L2911"/>
    <mergeCell ref="B2912:B2914"/>
    <mergeCell ref="C2912:C2914"/>
    <mergeCell ref="D2912:D2914"/>
    <mergeCell ref="E2912:E2914"/>
    <mergeCell ref="F2912:F2914"/>
    <mergeCell ref="C2880:E2880"/>
    <mergeCell ref="C2884:F2884"/>
    <mergeCell ref="G2884:H2884"/>
    <mergeCell ref="I2884:J2884"/>
    <mergeCell ref="K2884:L2884"/>
    <mergeCell ref="B2885:B2887"/>
    <mergeCell ref="C2885:C2887"/>
    <mergeCell ref="D2885:D2887"/>
    <mergeCell ref="E2885:E2887"/>
    <mergeCell ref="F2885:F2887"/>
    <mergeCell ref="C2853:E2853"/>
    <mergeCell ref="C2857:F2857"/>
    <mergeCell ref="G2857:H2857"/>
    <mergeCell ref="I2857:J2857"/>
    <mergeCell ref="K2857:L2857"/>
    <mergeCell ref="B2858:B2860"/>
    <mergeCell ref="C2858:C2860"/>
    <mergeCell ref="D2858:D2860"/>
    <mergeCell ref="E2858:E2860"/>
    <mergeCell ref="F2858:F2860"/>
    <mergeCell ref="C2826:E2826"/>
    <mergeCell ref="C2830:F2830"/>
    <mergeCell ref="G2830:H2830"/>
    <mergeCell ref="I2830:J2830"/>
    <mergeCell ref="K2830:L2830"/>
    <mergeCell ref="B2831:B2833"/>
    <mergeCell ref="C2831:C2833"/>
    <mergeCell ref="D2831:D2833"/>
    <mergeCell ref="E2831:E2833"/>
    <mergeCell ref="F2831:F2833"/>
    <mergeCell ref="C2800:E2800"/>
    <mergeCell ref="C2804:F2804"/>
    <mergeCell ref="G2804:H2804"/>
    <mergeCell ref="I2804:J2804"/>
    <mergeCell ref="K2804:L2804"/>
    <mergeCell ref="B2805:B2807"/>
    <mergeCell ref="C2805:C2807"/>
    <mergeCell ref="D2805:D2807"/>
    <mergeCell ref="E2805:E2807"/>
    <mergeCell ref="F2805:F2807"/>
    <mergeCell ref="C2775:E2775"/>
    <mergeCell ref="C2778:F2778"/>
    <mergeCell ref="G2778:H2778"/>
    <mergeCell ref="I2778:J2778"/>
    <mergeCell ref="K2778:L2778"/>
    <mergeCell ref="B2779:B2781"/>
    <mergeCell ref="C2779:C2781"/>
    <mergeCell ref="D2779:D2781"/>
    <mergeCell ref="E2779:E2781"/>
    <mergeCell ref="F2779:F2781"/>
    <mergeCell ref="C2747:E2747"/>
    <mergeCell ref="C2750:F2750"/>
    <mergeCell ref="G2750:H2750"/>
    <mergeCell ref="I2750:J2750"/>
    <mergeCell ref="K2750:L2750"/>
    <mergeCell ref="B2751:B2753"/>
    <mergeCell ref="C2751:C2753"/>
    <mergeCell ref="D2751:D2753"/>
    <mergeCell ref="E2751:E2753"/>
    <mergeCell ref="F2751:F2753"/>
    <mergeCell ref="C2721:E2721"/>
    <mergeCell ref="C2724:F2724"/>
    <mergeCell ref="G2724:H2724"/>
    <mergeCell ref="I2724:J2724"/>
    <mergeCell ref="K2724:L2724"/>
    <mergeCell ref="B2725:B2727"/>
    <mergeCell ref="C2725:C2727"/>
    <mergeCell ref="D2725:D2727"/>
    <mergeCell ref="E2725:E2727"/>
    <mergeCell ref="F2725:F2727"/>
    <mergeCell ref="C2695:E2695"/>
    <mergeCell ref="C2698:F2698"/>
    <mergeCell ref="G2698:H2698"/>
    <mergeCell ref="I2698:J2698"/>
    <mergeCell ref="K2698:L2698"/>
    <mergeCell ref="B2699:B2701"/>
    <mergeCell ref="C2699:C2701"/>
    <mergeCell ref="D2699:D2701"/>
    <mergeCell ref="E2699:E2701"/>
    <mergeCell ref="F2699:F2701"/>
    <mergeCell ref="C2669:E2669"/>
    <mergeCell ref="C2672:F2672"/>
    <mergeCell ref="G2672:H2672"/>
    <mergeCell ref="I2672:J2672"/>
    <mergeCell ref="K2672:L2672"/>
    <mergeCell ref="B2673:B2675"/>
    <mergeCell ref="C2673:C2675"/>
    <mergeCell ref="D2673:D2675"/>
    <mergeCell ref="E2673:E2675"/>
    <mergeCell ref="F2673:F2675"/>
    <mergeCell ref="C2646:F2646"/>
    <mergeCell ref="G2646:H2646"/>
    <mergeCell ref="I2646:J2646"/>
    <mergeCell ref="K2646:L2646"/>
    <mergeCell ref="B2647:B2649"/>
    <mergeCell ref="C2647:C2649"/>
    <mergeCell ref="D2647:D2649"/>
    <mergeCell ref="E2647:E2649"/>
    <mergeCell ref="F2647:F2649"/>
    <mergeCell ref="C2643:E2643"/>
    <mergeCell ref="C2617:E2617"/>
    <mergeCell ref="C2620:F2620"/>
    <mergeCell ref="G2620:H2620"/>
    <mergeCell ref="I2620:J2620"/>
    <mergeCell ref="K2620:L2620"/>
    <mergeCell ref="B2621:B2623"/>
    <mergeCell ref="C2621:C2623"/>
    <mergeCell ref="D2621:D2623"/>
    <mergeCell ref="E2621:E2623"/>
    <mergeCell ref="F2621:F2623"/>
    <mergeCell ref="C2589:E2589"/>
    <mergeCell ref="C2592:F2592"/>
    <mergeCell ref="G2592:H2592"/>
    <mergeCell ref="I2592:J2592"/>
    <mergeCell ref="K2592:L2592"/>
    <mergeCell ref="B2593:B2595"/>
    <mergeCell ref="C2593:C2595"/>
    <mergeCell ref="D2593:D2595"/>
    <mergeCell ref="E2593:E2595"/>
    <mergeCell ref="F2593:F2595"/>
    <mergeCell ref="C2561:E2561"/>
    <mergeCell ref="C2564:F2564"/>
    <mergeCell ref="G2564:H2564"/>
    <mergeCell ref="I2564:J2564"/>
    <mergeCell ref="K2564:L2564"/>
    <mergeCell ref="B2565:B2567"/>
    <mergeCell ref="C2565:C2567"/>
    <mergeCell ref="D2565:D2567"/>
    <mergeCell ref="E2565:E2567"/>
    <mergeCell ref="F2565:F2567"/>
    <mergeCell ref="C2533:E2533"/>
    <mergeCell ref="C2536:F2536"/>
    <mergeCell ref="G2536:H2536"/>
    <mergeCell ref="I2536:J2536"/>
    <mergeCell ref="K2536:L2536"/>
    <mergeCell ref="B2537:B2539"/>
    <mergeCell ref="C2537:C2539"/>
    <mergeCell ref="D2537:D2539"/>
    <mergeCell ref="E2537:E2539"/>
    <mergeCell ref="F2537:F2539"/>
    <mergeCell ref="C2508:E2508"/>
    <mergeCell ref="C2511:F2511"/>
    <mergeCell ref="G2511:H2511"/>
    <mergeCell ref="I2511:J2511"/>
    <mergeCell ref="K2511:L2511"/>
    <mergeCell ref="B2512:B2514"/>
    <mergeCell ref="C2512:C2514"/>
    <mergeCell ref="D2512:D2514"/>
    <mergeCell ref="E2512:E2514"/>
    <mergeCell ref="F2512:F2514"/>
    <mergeCell ref="C2483:E2483"/>
    <mergeCell ref="C2486:F2486"/>
    <mergeCell ref="G2486:H2486"/>
    <mergeCell ref="I2486:J2486"/>
    <mergeCell ref="K2486:L2486"/>
    <mergeCell ref="B2487:B2489"/>
    <mergeCell ref="C2487:C2489"/>
    <mergeCell ref="D2487:D2489"/>
    <mergeCell ref="E2487:E2489"/>
    <mergeCell ref="F2487:F2489"/>
    <mergeCell ref="C2458:E2458"/>
    <mergeCell ref="C2461:F2461"/>
    <mergeCell ref="G2461:H2461"/>
    <mergeCell ref="I2461:J2461"/>
    <mergeCell ref="K2461:L2461"/>
    <mergeCell ref="B2462:B2464"/>
    <mergeCell ref="C2462:C2464"/>
    <mergeCell ref="D2462:D2464"/>
    <mergeCell ref="E2462:E2464"/>
    <mergeCell ref="F2462:F2464"/>
    <mergeCell ref="C2436:F2436"/>
    <mergeCell ref="G2436:H2436"/>
    <mergeCell ref="I2436:J2436"/>
    <mergeCell ref="K2436:L2436"/>
    <mergeCell ref="B2437:B2439"/>
    <mergeCell ref="C2437:C2439"/>
    <mergeCell ref="D2437:D2439"/>
    <mergeCell ref="E2437:E2439"/>
    <mergeCell ref="F2437:F2439"/>
    <mergeCell ref="C2433:E2433"/>
    <mergeCell ref="C2384:F2384"/>
    <mergeCell ref="G2384:H2384"/>
    <mergeCell ref="I2384:J2384"/>
    <mergeCell ref="K2384:L2384"/>
    <mergeCell ref="B2385:B2387"/>
    <mergeCell ref="C2385:C2387"/>
    <mergeCell ref="D2385:D2387"/>
    <mergeCell ref="E2385:E2387"/>
    <mergeCell ref="F2385:F2387"/>
    <mergeCell ref="C2410:F2410"/>
    <mergeCell ref="G2410:H2410"/>
    <mergeCell ref="I2410:J2410"/>
    <mergeCell ref="K2410:L2410"/>
    <mergeCell ref="B2411:B2413"/>
    <mergeCell ref="C2411:C2413"/>
    <mergeCell ref="D2411:D2413"/>
    <mergeCell ref="E2411:E2413"/>
    <mergeCell ref="F2411:F2413"/>
    <mergeCell ref="C2407:E2407"/>
    <mergeCell ref="C2379:E2379"/>
    <mergeCell ref="C2352:E2352"/>
    <mergeCell ref="C2357:F2357"/>
    <mergeCell ref="G2357:H2357"/>
    <mergeCell ref="I2357:J2357"/>
    <mergeCell ref="K2357:L2357"/>
    <mergeCell ref="B2358:B2360"/>
    <mergeCell ref="C2358:C2360"/>
    <mergeCell ref="D2358:D2360"/>
    <mergeCell ref="E2358:E2360"/>
    <mergeCell ref="F2358:F2360"/>
    <mergeCell ref="C2327:E2327"/>
    <mergeCell ref="C2330:F2330"/>
    <mergeCell ref="G2330:H2330"/>
    <mergeCell ref="I2330:J2330"/>
    <mergeCell ref="K2330:L2330"/>
    <mergeCell ref="B2331:B2333"/>
    <mergeCell ref="C2331:C2333"/>
    <mergeCell ref="D2331:D2333"/>
    <mergeCell ref="E2331:E2333"/>
    <mergeCell ref="F2331:F2333"/>
    <mergeCell ref="C2302:E2302"/>
    <mergeCell ref="C2305:F2305"/>
    <mergeCell ref="G2305:H2305"/>
    <mergeCell ref="I2305:J2305"/>
    <mergeCell ref="K2305:L2305"/>
    <mergeCell ref="B2306:B2308"/>
    <mergeCell ref="C2306:C2308"/>
    <mergeCell ref="D2306:D2308"/>
    <mergeCell ref="E2306:E2308"/>
    <mergeCell ref="F2306:F2308"/>
    <mergeCell ref="C2277:E2277"/>
    <mergeCell ref="C2280:F2280"/>
    <mergeCell ref="G2280:H2280"/>
    <mergeCell ref="I2280:J2280"/>
    <mergeCell ref="K2280:L2280"/>
    <mergeCell ref="B2281:B2283"/>
    <mergeCell ref="C2281:C2283"/>
    <mergeCell ref="D2281:D2283"/>
    <mergeCell ref="E2281:E2283"/>
    <mergeCell ref="F2281:F2283"/>
    <mergeCell ref="C2252:E2252"/>
    <mergeCell ref="C2255:F2255"/>
    <mergeCell ref="G2255:H2255"/>
    <mergeCell ref="I2255:J2255"/>
    <mergeCell ref="K2255:L2255"/>
    <mergeCell ref="B2256:B2258"/>
    <mergeCell ref="C2256:C2258"/>
    <mergeCell ref="D2256:D2258"/>
    <mergeCell ref="E2256:E2258"/>
    <mergeCell ref="F2256:F2258"/>
    <mergeCell ref="C2227:E2227"/>
    <mergeCell ref="C2230:F2230"/>
    <mergeCell ref="G2230:H2230"/>
    <mergeCell ref="I2230:J2230"/>
    <mergeCell ref="K2230:L2230"/>
    <mergeCell ref="B2231:B2233"/>
    <mergeCell ref="C2231:C2233"/>
    <mergeCell ref="D2231:D2233"/>
    <mergeCell ref="E2231:E2233"/>
    <mergeCell ref="F2231:F2233"/>
    <mergeCell ref="C2203:E2203"/>
    <mergeCell ref="C2206:F2206"/>
    <mergeCell ref="G2206:H2206"/>
    <mergeCell ref="I2206:J2206"/>
    <mergeCell ref="K2206:L2206"/>
    <mergeCell ref="B2207:B2209"/>
    <mergeCell ref="C2207:C2209"/>
    <mergeCell ref="D2207:D2209"/>
    <mergeCell ref="E2207:E2209"/>
    <mergeCell ref="F2207:F2209"/>
    <mergeCell ref="C2178:E2178"/>
    <mergeCell ref="C2181:F2181"/>
    <mergeCell ref="G2181:H2181"/>
    <mergeCell ref="I2181:J2181"/>
    <mergeCell ref="K2181:L2181"/>
    <mergeCell ref="B2182:B2184"/>
    <mergeCell ref="C2182:C2184"/>
    <mergeCell ref="D2182:D2184"/>
    <mergeCell ref="E2182:E2184"/>
    <mergeCell ref="F2182:F2184"/>
    <mergeCell ref="C2153:E2153"/>
    <mergeCell ref="C2156:F2156"/>
    <mergeCell ref="G2156:H2156"/>
    <mergeCell ref="I2156:J2156"/>
    <mergeCell ref="K2156:L2156"/>
    <mergeCell ref="B2157:B2159"/>
    <mergeCell ref="C2157:C2159"/>
    <mergeCell ref="D2157:D2159"/>
    <mergeCell ref="E2157:E2159"/>
    <mergeCell ref="F2157:F2159"/>
    <mergeCell ref="C2128:E2128"/>
    <mergeCell ref="C2131:F2131"/>
    <mergeCell ref="G2131:H2131"/>
    <mergeCell ref="I2131:J2131"/>
    <mergeCell ref="K2131:L2131"/>
    <mergeCell ref="B2132:B2134"/>
    <mergeCell ref="C2132:C2134"/>
    <mergeCell ref="D2132:D2134"/>
    <mergeCell ref="E2132:E2134"/>
    <mergeCell ref="F2132:F2134"/>
    <mergeCell ref="C2103:E2103"/>
    <mergeCell ref="C2106:F2106"/>
    <mergeCell ref="G2106:H2106"/>
    <mergeCell ref="I2106:J2106"/>
    <mergeCell ref="K2106:L2106"/>
    <mergeCell ref="B2107:B2109"/>
    <mergeCell ref="C2107:C2109"/>
    <mergeCell ref="D2107:D2109"/>
    <mergeCell ref="E2107:E2109"/>
    <mergeCell ref="F2107:F2109"/>
    <mergeCell ref="C2078:E2078"/>
    <mergeCell ref="C2081:F2081"/>
    <mergeCell ref="G2081:H2081"/>
    <mergeCell ref="I2081:J2081"/>
    <mergeCell ref="K2081:L2081"/>
    <mergeCell ref="B2082:B2084"/>
    <mergeCell ref="C2082:C2084"/>
    <mergeCell ref="D2082:D2084"/>
    <mergeCell ref="E2082:E2084"/>
    <mergeCell ref="F2082:F2084"/>
    <mergeCell ref="C2053:E2053"/>
    <mergeCell ref="C2056:F2056"/>
    <mergeCell ref="G2056:H2056"/>
    <mergeCell ref="I2056:J2056"/>
    <mergeCell ref="K2056:L2056"/>
    <mergeCell ref="B2057:B2059"/>
    <mergeCell ref="C2057:C2059"/>
    <mergeCell ref="D2057:D2059"/>
    <mergeCell ref="E2057:E2059"/>
    <mergeCell ref="F2057:F2059"/>
    <mergeCell ref="C2028:E2028"/>
    <mergeCell ref="C2031:F2031"/>
    <mergeCell ref="G2031:H2031"/>
    <mergeCell ref="I2031:J2031"/>
    <mergeCell ref="K2031:L2031"/>
    <mergeCell ref="B2032:B2034"/>
    <mergeCell ref="C2032:C2034"/>
    <mergeCell ref="D2032:D2034"/>
    <mergeCell ref="E2032:E2034"/>
    <mergeCell ref="F2032:F2034"/>
    <mergeCell ref="C2003:E2003"/>
    <mergeCell ref="C2006:F2006"/>
    <mergeCell ref="G2006:H2006"/>
    <mergeCell ref="I2006:J2006"/>
    <mergeCell ref="K2006:L2006"/>
    <mergeCell ref="B2007:B2009"/>
    <mergeCell ref="C2007:C2009"/>
    <mergeCell ref="D2007:D2009"/>
    <mergeCell ref="E2007:E2009"/>
    <mergeCell ref="F2007:F2009"/>
    <mergeCell ref="C1981:F1981"/>
    <mergeCell ref="G1981:H1981"/>
    <mergeCell ref="I1981:J1981"/>
    <mergeCell ref="K1981:L1981"/>
    <mergeCell ref="B1982:B1984"/>
    <mergeCell ref="C1982:C1984"/>
    <mergeCell ref="D1982:D1984"/>
    <mergeCell ref="E1982:E1984"/>
    <mergeCell ref="F1982:F1984"/>
    <mergeCell ref="C1978:E1978"/>
    <mergeCell ref="C1705:F1705"/>
    <mergeCell ref="G1705:H1705"/>
    <mergeCell ref="I1705:J1705"/>
    <mergeCell ref="K1705:L1705"/>
    <mergeCell ref="B1706:B1708"/>
    <mergeCell ref="C1706:C1708"/>
    <mergeCell ref="D1706:D1708"/>
    <mergeCell ref="E1706:E1708"/>
    <mergeCell ref="F1706:F1708"/>
    <mergeCell ref="C1727:E1727"/>
    <mergeCell ref="C1730:F1730"/>
    <mergeCell ref="G1730:H1730"/>
    <mergeCell ref="I1730:J1730"/>
    <mergeCell ref="K1730:L1730"/>
    <mergeCell ref="B1731:B1733"/>
    <mergeCell ref="C1731:C1733"/>
    <mergeCell ref="D1731:D1733"/>
    <mergeCell ref="E1731:E1733"/>
    <mergeCell ref="F1731:F1733"/>
    <mergeCell ref="C1752:E1752"/>
    <mergeCell ref="C1953:E1953"/>
    <mergeCell ref="C1956:F1956"/>
    <mergeCell ref="G1956:H1956"/>
    <mergeCell ref="I1956:J1956"/>
    <mergeCell ref="K1956:L1956"/>
    <mergeCell ref="B1957:B1959"/>
    <mergeCell ref="C1957:C1959"/>
    <mergeCell ref="D1957:D1959"/>
    <mergeCell ref="E1957:E1959"/>
    <mergeCell ref="F1957:F1959"/>
    <mergeCell ref="C1928:E1928"/>
    <mergeCell ref="C1931:F1931"/>
    <mergeCell ref="G1931:H1931"/>
    <mergeCell ref="I1931:J1931"/>
    <mergeCell ref="K1931:L1931"/>
    <mergeCell ref="B1932:B1934"/>
    <mergeCell ref="C1932:C1934"/>
    <mergeCell ref="D1932:D1934"/>
    <mergeCell ref="E1932:E1934"/>
    <mergeCell ref="F1932:F1934"/>
    <mergeCell ref="C1903:E1903"/>
    <mergeCell ref="C1906:F1906"/>
    <mergeCell ref="G1906:H1906"/>
    <mergeCell ref="I1906:J1906"/>
    <mergeCell ref="K1906:L1906"/>
    <mergeCell ref="B1907:B1909"/>
    <mergeCell ref="C1907:C1909"/>
    <mergeCell ref="D1907:D1909"/>
    <mergeCell ref="E1907:E1909"/>
    <mergeCell ref="F1907:F1909"/>
    <mergeCell ref="C1878:E1878"/>
    <mergeCell ref="C1881:F1881"/>
    <mergeCell ref="G1881:H1881"/>
    <mergeCell ref="I1881:J1881"/>
    <mergeCell ref="K1881:L1881"/>
    <mergeCell ref="B1882:B1884"/>
    <mergeCell ref="C1882:C1884"/>
    <mergeCell ref="D1882:D1884"/>
    <mergeCell ref="E1882:E1884"/>
    <mergeCell ref="F1882:F1884"/>
    <mergeCell ref="C1853:E1853"/>
    <mergeCell ref="C1856:F1856"/>
    <mergeCell ref="G1856:H1856"/>
    <mergeCell ref="I1856:J1856"/>
    <mergeCell ref="K1856:L1856"/>
    <mergeCell ref="B1857:B1859"/>
    <mergeCell ref="C1857:C1859"/>
    <mergeCell ref="D1857:D1859"/>
    <mergeCell ref="E1857:E1859"/>
    <mergeCell ref="F1857:F1859"/>
    <mergeCell ref="C1828:E1828"/>
    <mergeCell ref="C1831:F1831"/>
    <mergeCell ref="G1831:H1831"/>
    <mergeCell ref="I1831:J1831"/>
    <mergeCell ref="K1831:L1831"/>
    <mergeCell ref="B1832:B1834"/>
    <mergeCell ref="C1832:C1834"/>
    <mergeCell ref="D1832:D1834"/>
    <mergeCell ref="E1832:E1834"/>
    <mergeCell ref="F1832:F1834"/>
    <mergeCell ref="C1803:E1803"/>
    <mergeCell ref="C1806:F1806"/>
    <mergeCell ref="G1806:H1806"/>
    <mergeCell ref="I1806:J1806"/>
    <mergeCell ref="K1806:L1806"/>
    <mergeCell ref="B1807:B1809"/>
    <mergeCell ref="C1807:C1809"/>
    <mergeCell ref="D1807:D1809"/>
    <mergeCell ref="E1807:E1809"/>
    <mergeCell ref="F1807:F1809"/>
    <mergeCell ref="C1778:E1778"/>
    <mergeCell ref="C1781:F1781"/>
    <mergeCell ref="G1781:H1781"/>
    <mergeCell ref="I1781:J1781"/>
    <mergeCell ref="K1781:L1781"/>
    <mergeCell ref="B1782:B1784"/>
    <mergeCell ref="C1782:C1784"/>
    <mergeCell ref="D1782:D1784"/>
    <mergeCell ref="E1782:E1784"/>
    <mergeCell ref="F1782:F1784"/>
    <mergeCell ref="C1702:E1702"/>
    <mergeCell ref="C1755:F1755"/>
    <mergeCell ref="G1755:H1755"/>
    <mergeCell ref="I1755:J1755"/>
    <mergeCell ref="K1755:L1755"/>
    <mergeCell ref="B1756:B1758"/>
    <mergeCell ref="C1756:C1758"/>
    <mergeCell ref="D1756:D1758"/>
    <mergeCell ref="E1756:E1758"/>
    <mergeCell ref="F1756:F1758"/>
    <mergeCell ref="C1677:E1677"/>
    <mergeCell ref="C1680:F1680"/>
    <mergeCell ref="G1680:H1680"/>
    <mergeCell ref="I1680:J1680"/>
    <mergeCell ref="K1680:L1680"/>
    <mergeCell ref="B1681:B1683"/>
    <mergeCell ref="C1681:C1683"/>
    <mergeCell ref="D1681:D1683"/>
    <mergeCell ref="E1681:E1683"/>
    <mergeCell ref="F1681:F1683"/>
    <mergeCell ref="C1652:E1652"/>
    <mergeCell ref="C1655:F1655"/>
    <mergeCell ref="G1655:H1655"/>
    <mergeCell ref="I1655:J1655"/>
    <mergeCell ref="K1655:L1655"/>
    <mergeCell ref="B1656:B1658"/>
    <mergeCell ref="C1656:C1658"/>
    <mergeCell ref="D1656:D1658"/>
    <mergeCell ref="E1656:E1658"/>
    <mergeCell ref="F1656:F1658"/>
    <mergeCell ref="C1627:E1627"/>
    <mergeCell ref="C1630:F1630"/>
    <mergeCell ref="G1630:H1630"/>
    <mergeCell ref="I1630:J1630"/>
    <mergeCell ref="K1630:L1630"/>
    <mergeCell ref="B1631:B1633"/>
    <mergeCell ref="C1631:C1633"/>
    <mergeCell ref="D1631:D1633"/>
    <mergeCell ref="E1631:E1633"/>
    <mergeCell ref="F1631:F1633"/>
    <mergeCell ref="C1602:E1602"/>
    <mergeCell ref="C1605:F1605"/>
    <mergeCell ref="G1605:H1605"/>
    <mergeCell ref="I1605:J1605"/>
    <mergeCell ref="K1605:L1605"/>
    <mergeCell ref="B1606:B1608"/>
    <mergeCell ref="C1606:C1608"/>
    <mergeCell ref="D1606:D1608"/>
    <mergeCell ref="E1606:E1608"/>
    <mergeCell ref="F1606:F1608"/>
    <mergeCell ref="C1577:E1577"/>
    <mergeCell ref="C1580:F1580"/>
    <mergeCell ref="G1580:H1580"/>
    <mergeCell ref="I1580:J1580"/>
    <mergeCell ref="K1580:L1580"/>
    <mergeCell ref="B1581:B1583"/>
    <mergeCell ref="C1581:C1583"/>
    <mergeCell ref="D1581:D1583"/>
    <mergeCell ref="E1581:E1583"/>
    <mergeCell ref="F1581:F1583"/>
    <mergeCell ref="C1552:E1552"/>
    <mergeCell ref="C1555:F1555"/>
    <mergeCell ref="G1555:H1555"/>
    <mergeCell ref="I1555:J1555"/>
    <mergeCell ref="K1555:L1555"/>
    <mergeCell ref="B1556:B1558"/>
    <mergeCell ref="C1556:C1558"/>
    <mergeCell ref="D1556:D1558"/>
    <mergeCell ref="E1556:E1558"/>
    <mergeCell ref="F1556:F1558"/>
    <mergeCell ref="C1527:E1527"/>
    <mergeCell ref="C1530:F1530"/>
    <mergeCell ref="G1530:H1530"/>
    <mergeCell ref="I1530:J1530"/>
    <mergeCell ref="K1530:L1530"/>
    <mergeCell ref="B1531:B1533"/>
    <mergeCell ref="C1531:C1533"/>
    <mergeCell ref="D1531:D1533"/>
    <mergeCell ref="E1531:E1533"/>
    <mergeCell ref="F1531:F1533"/>
    <mergeCell ref="C1502:E1502"/>
    <mergeCell ref="C1505:F1505"/>
    <mergeCell ref="G1505:H1505"/>
    <mergeCell ref="I1505:J1505"/>
    <mergeCell ref="K1505:L1505"/>
    <mergeCell ref="B1506:B1508"/>
    <mergeCell ref="C1506:C1508"/>
    <mergeCell ref="D1506:D1508"/>
    <mergeCell ref="E1506:E1508"/>
    <mergeCell ref="F1506:F1508"/>
    <mergeCell ref="C1476:E1476"/>
    <mergeCell ref="C1479:F1479"/>
    <mergeCell ref="G1479:H1479"/>
    <mergeCell ref="I1479:J1479"/>
    <mergeCell ref="K1479:L1479"/>
    <mergeCell ref="B1480:B1482"/>
    <mergeCell ref="C1480:C1482"/>
    <mergeCell ref="D1480:D1482"/>
    <mergeCell ref="E1480:E1482"/>
    <mergeCell ref="F1480:F1482"/>
    <mergeCell ref="C1447:E1447"/>
    <mergeCell ref="C1450:F1450"/>
    <mergeCell ref="G1450:H1450"/>
    <mergeCell ref="I1450:J1450"/>
    <mergeCell ref="K1450:L1450"/>
    <mergeCell ref="B1451:B1453"/>
    <mergeCell ref="C1451:C1453"/>
    <mergeCell ref="D1451:D1453"/>
    <mergeCell ref="E1451:E1453"/>
    <mergeCell ref="F1451:F1453"/>
    <mergeCell ref="C1422:E1422"/>
    <mergeCell ref="C1425:F1425"/>
    <mergeCell ref="G1425:H1425"/>
    <mergeCell ref="I1425:J1425"/>
    <mergeCell ref="K1425:L1425"/>
    <mergeCell ref="B1426:B1428"/>
    <mergeCell ref="C1426:C1428"/>
    <mergeCell ref="D1426:D1428"/>
    <mergeCell ref="E1426:E1428"/>
    <mergeCell ref="F1426:F1428"/>
    <mergeCell ref="C1397:E1397"/>
    <mergeCell ref="C1400:F1400"/>
    <mergeCell ref="G1400:H1400"/>
    <mergeCell ref="I1400:J1400"/>
    <mergeCell ref="K1400:L1400"/>
    <mergeCell ref="B1401:B1403"/>
    <mergeCell ref="C1401:C1403"/>
    <mergeCell ref="D1401:D1403"/>
    <mergeCell ref="E1401:E1403"/>
    <mergeCell ref="F1401:F1403"/>
    <mergeCell ref="C1375:F1375"/>
    <mergeCell ref="G1375:H1375"/>
    <mergeCell ref="I1375:J1375"/>
    <mergeCell ref="K1375:L1375"/>
    <mergeCell ref="B1376:B1378"/>
    <mergeCell ref="C1376:C1378"/>
    <mergeCell ref="D1376:D1378"/>
    <mergeCell ref="E1376:E1378"/>
    <mergeCell ref="F1376:F1378"/>
    <mergeCell ref="K4:L4"/>
    <mergeCell ref="B5:B7"/>
    <mergeCell ref="C5:C7"/>
    <mergeCell ref="D5:D7"/>
    <mergeCell ref="E5:E7"/>
    <mergeCell ref="F5:F7"/>
    <mergeCell ref="C4:F4"/>
    <mergeCell ref="G4:H4"/>
    <mergeCell ref="I4:J4"/>
    <mergeCell ref="C24:E24"/>
    <mergeCell ref="C27:F27"/>
    <mergeCell ref="G27:H27"/>
    <mergeCell ref="I27:J27"/>
    <mergeCell ref="K27:L27"/>
    <mergeCell ref="B28:B30"/>
    <mergeCell ref="C28:C30"/>
    <mergeCell ref="D28:D30"/>
    <mergeCell ref="E28:E30"/>
    <mergeCell ref="F28:F30"/>
    <mergeCell ref="C46:E46"/>
    <mergeCell ref="C49:F49"/>
    <mergeCell ref="G49:H49"/>
    <mergeCell ref="I49:J49"/>
    <mergeCell ref="K49:L49"/>
    <mergeCell ref="B50:B52"/>
    <mergeCell ref="C50:C52"/>
    <mergeCell ref="D50:D52"/>
    <mergeCell ref="E50:E52"/>
    <mergeCell ref="F50:F52"/>
    <mergeCell ref="C68:E68"/>
    <mergeCell ref="C71:F71"/>
    <mergeCell ref="G71:H71"/>
    <mergeCell ref="I71:J71"/>
    <mergeCell ref="K71:L71"/>
    <mergeCell ref="B72:B74"/>
    <mergeCell ref="C72:C74"/>
    <mergeCell ref="D72:D74"/>
    <mergeCell ref="E72:E74"/>
    <mergeCell ref="F72:F74"/>
    <mergeCell ref="C90:E90"/>
    <mergeCell ref="C93:F93"/>
    <mergeCell ref="G93:H93"/>
    <mergeCell ref="I93:J93"/>
    <mergeCell ref="K93:L93"/>
    <mergeCell ref="B94:B96"/>
    <mergeCell ref="C94:C96"/>
    <mergeCell ref="D94:D96"/>
    <mergeCell ref="E94:E96"/>
    <mergeCell ref="F94:F96"/>
    <mergeCell ref="C112:E112"/>
    <mergeCell ref="C115:F115"/>
    <mergeCell ref="G115:H115"/>
    <mergeCell ref="I115:J115"/>
    <mergeCell ref="K115:L115"/>
    <mergeCell ref="B116:B118"/>
    <mergeCell ref="C116:C118"/>
    <mergeCell ref="D116:D118"/>
    <mergeCell ref="E116:E118"/>
    <mergeCell ref="F116:F118"/>
    <mergeCell ref="C136:E136"/>
    <mergeCell ref="C139:F139"/>
    <mergeCell ref="G139:H139"/>
    <mergeCell ref="I139:J139"/>
    <mergeCell ref="K139:L139"/>
    <mergeCell ref="B140:B142"/>
    <mergeCell ref="C140:C142"/>
    <mergeCell ref="D140:D142"/>
    <mergeCell ref="E140:E142"/>
    <mergeCell ref="F140:F142"/>
    <mergeCell ref="C160:E160"/>
    <mergeCell ref="C163:F163"/>
    <mergeCell ref="G163:H163"/>
    <mergeCell ref="I163:J163"/>
    <mergeCell ref="K163:L163"/>
    <mergeCell ref="B164:B166"/>
    <mergeCell ref="C164:C166"/>
    <mergeCell ref="D164:D166"/>
    <mergeCell ref="E164:E166"/>
    <mergeCell ref="F164:F166"/>
    <mergeCell ref="C184:E184"/>
    <mergeCell ref="C187:F187"/>
    <mergeCell ref="G187:H187"/>
    <mergeCell ref="I187:J187"/>
    <mergeCell ref="K187:L187"/>
    <mergeCell ref="B188:B190"/>
    <mergeCell ref="C188:C190"/>
    <mergeCell ref="D188:D190"/>
    <mergeCell ref="E188:E190"/>
    <mergeCell ref="F188:F190"/>
    <mergeCell ref="C208:E208"/>
    <mergeCell ref="C211:F211"/>
    <mergeCell ref="G211:H211"/>
    <mergeCell ref="I211:J211"/>
    <mergeCell ref="K211:L211"/>
    <mergeCell ref="B212:B214"/>
    <mergeCell ref="C212:C214"/>
    <mergeCell ref="D212:D214"/>
    <mergeCell ref="E212:E214"/>
    <mergeCell ref="F212:F214"/>
    <mergeCell ref="C232:E232"/>
    <mergeCell ref="C235:F235"/>
    <mergeCell ref="G235:H235"/>
    <mergeCell ref="I235:J235"/>
    <mergeCell ref="K235:L235"/>
    <mergeCell ref="B236:B238"/>
    <mergeCell ref="C236:C238"/>
    <mergeCell ref="D236:D238"/>
    <mergeCell ref="E236:E238"/>
    <mergeCell ref="F236:F238"/>
    <mergeCell ref="C256:E256"/>
    <mergeCell ref="C259:F259"/>
    <mergeCell ref="G259:H259"/>
    <mergeCell ref="I259:J259"/>
    <mergeCell ref="K259:L259"/>
    <mergeCell ref="B260:B262"/>
    <mergeCell ref="C260:C262"/>
    <mergeCell ref="D260:D262"/>
    <mergeCell ref="E260:E262"/>
    <mergeCell ref="F260:F262"/>
    <mergeCell ref="C280:E280"/>
    <mergeCell ref="C283:F283"/>
    <mergeCell ref="G283:H283"/>
    <mergeCell ref="I283:J283"/>
    <mergeCell ref="K283:L283"/>
    <mergeCell ref="B284:B286"/>
    <mergeCell ref="C284:C286"/>
    <mergeCell ref="D284:D286"/>
    <mergeCell ref="E284:E286"/>
    <mergeCell ref="F284:F286"/>
    <mergeCell ref="C304:E304"/>
    <mergeCell ref="C307:F307"/>
    <mergeCell ref="G307:H307"/>
    <mergeCell ref="I307:J307"/>
    <mergeCell ref="K307:L307"/>
    <mergeCell ref="B308:B310"/>
    <mergeCell ref="C308:C310"/>
    <mergeCell ref="D308:D310"/>
    <mergeCell ref="E308:E310"/>
    <mergeCell ref="F308:F310"/>
    <mergeCell ref="C328:E328"/>
    <mergeCell ref="C331:F331"/>
    <mergeCell ref="G331:H331"/>
    <mergeCell ref="I331:J331"/>
    <mergeCell ref="K331:L331"/>
    <mergeCell ref="B332:B334"/>
    <mergeCell ref="C332:C334"/>
    <mergeCell ref="D332:D334"/>
    <mergeCell ref="E332:E334"/>
    <mergeCell ref="F332:F334"/>
    <mergeCell ref="C352:E352"/>
    <mergeCell ref="C355:F355"/>
    <mergeCell ref="G355:H355"/>
    <mergeCell ref="I355:J355"/>
    <mergeCell ref="K355:L355"/>
    <mergeCell ref="B356:B358"/>
    <mergeCell ref="C356:C358"/>
    <mergeCell ref="D356:D358"/>
    <mergeCell ref="E356:E358"/>
    <mergeCell ref="F356:F358"/>
    <mergeCell ref="C376:E376"/>
    <mergeCell ref="C379:F379"/>
    <mergeCell ref="G379:H379"/>
    <mergeCell ref="I379:J379"/>
    <mergeCell ref="K379:L379"/>
    <mergeCell ref="B380:B382"/>
    <mergeCell ref="C380:C382"/>
    <mergeCell ref="D380:D382"/>
    <mergeCell ref="E380:E382"/>
    <mergeCell ref="F380:F382"/>
    <mergeCell ref="C400:E400"/>
    <mergeCell ref="C403:F403"/>
    <mergeCell ref="G403:H403"/>
    <mergeCell ref="I403:J403"/>
    <mergeCell ref="K403:L403"/>
    <mergeCell ref="B404:B406"/>
    <mergeCell ref="C404:C406"/>
    <mergeCell ref="D404:D406"/>
    <mergeCell ref="E404:E406"/>
    <mergeCell ref="F404:F406"/>
    <mergeCell ref="C424:E424"/>
    <mergeCell ref="C427:F427"/>
    <mergeCell ref="G427:H427"/>
    <mergeCell ref="I427:J427"/>
    <mergeCell ref="K427:L427"/>
    <mergeCell ref="B428:B430"/>
    <mergeCell ref="C428:C430"/>
    <mergeCell ref="D428:D430"/>
    <mergeCell ref="E428:E430"/>
    <mergeCell ref="F428:F430"/>
    <mergeCell ref="C448:E448"/>
    <mergeCell ref="C451:F451"/>
    <mergeCell ref="G451:H451"/>
    <mergeCell ref="I451:J451"/>
    <mergeCell ref="K451:L451"/>
    <mergeCell ref="B452:B454"/>
    <mergeCell ref="C452:C454"/>
    <mergeCell ref="D452:D454"/>
    <mergeCell ref="E452:E454"/>
    <mergeCell ref="F452:F454"/>
    <mergeCell ref="C472:E472"/>
    <mergeCell ref="C475:F475"/>
    <mergeCell ref="G475:H475"/>
    <mergeCell ref="I475:J475"/>
    <mergeCell ref="K475:L475"/>
    <mergeCell ref="B476:B478"/>
    <mergeCell ref="C476:C478"/>
    <mergeCell ref="D476:D478"/>
    <mergeCell ref="E476:E478"/>
    <mergeCell ref="F476:F478"/>
    <mergeCell ref="C496:E496"/>
    <mergeCell ref="C499:F499"/>
    <mergeCell ref="G499:H499"/>
    <mergeCell ref="I499:J499"/>
    <mergeCell ref="K499:L499"/>
    <mergeCell ref="B500:B502"/>
    <mergeCell ref="C500:C502"/>
    <mergeCell ref="D500:D502"/>
    <mergeCell ref="E500:E502"/>
    <mergeCell ref="F500:F502"/>
    <mergeCell ref="C520:E520"/>
    <mergeCell ref="C523:F523"/>
    <mergeCell ref="G523:H523"/>
    <mergeCell ref="I523:J523"/>
    <mergeCell ref="K523:L523"/>
    <mergeCell ref="B524:B526"/>
    <mergeCell ref="C524:C526"/>
    <mergeCell ref="D524:D526"/>
    <mergeCell ref="E524:E526"/>
    <mergeCell ref="F524:F526"/>
    <mergeCell ref="C544:E544"/>
    <mergeCell ref="C547:F547"/>
    <mergeCell ref="G547:H547"/>
    <mergeCell ref="I547:J547"/>
    <mergeCell ref="K547:L547"/>
    <mergeCell ref="B548:B550"/>
    <mergeCell ref="C548:C550"/>
    <mergeCell ref="D548:D550"/>
    <mergeCell ref="E548:E550"/>
    <mergeCell ref="F548:F550"/>
    <mergeCell ref="C568:E568"/>
    <mergeCell ref="C571:F571"/>
    <mergeCell ref="G571:H571"/>
    <mergeCell ref="I571:J571"/>
    <mergeCell ref="K571:L571"/>
    <mergeCell ref="B572:B574"/>
    <mergeCell ref="C572:C574"/>
    <mergeCell ref="D572:D574"/>
    <mergeCell ref="E572:E574"/>
    <mergeCell ref="F572:F574"/>
    <mergeCell ref="C592:E592"/>
    <mergeCell ref="C595:F595"/>
    <mergeCell ref="G595:H595"/>
    <mergeCell ref="I595:J595"/>
    <mergeCell ref="K595:L595"/>
    <mergeCell ref="B596:B598"/>
    <mergeCell ref="C596:C598"/>
    <mergeCell ref="D596:D598"/>
    <mergeCell ref="E596:E598"/>
    <mergeCell ref="F596:F598"/>
    <mergeCell ref="C616:E616"/>
    <mergeCell ref="C619:F619"/>
    <mergeCell ref="G619:H619"/>
    <mergeCell ref="I619:J619"/>
    <mergeCell ref="K619:L619"/>
    <mergeCell ref="B620:B622"/>
    <mergeCell ref="C620:C622"/>
    <mergeCell ref="D620:D622"/>
    <mergeCell ref="E620:E622"/>
    <mergeCell ref="F620:F622"/>
    <mergeCell ref="C640:E640"/>
    <mergeCell ref="C643:F643"/>
    <mergeCell ref="G643:H643"/>
    <mergeCell ref="I643:J643"/>
    <mergeCell ref="K643:L643"/>
    <mergeCell ref="B644:B646"/>
    <mergeCell ref="C644:C646"/>
    <mergeCell ref="D644:D646"/>
    <mergeCell ref="E644:E646"/>
    <mergeCell ref="F644:F646"/>
    <mergeCell ref="C664:E664"/>
    <mergeCell ref="C667:F667"/>
    <mergeCell ref="G667:H667"/>
    <mergeCell ref="I667:J667"/>
    <mergeCell ref="K667:L667"/>
    <mergeCell ref="B668:B670"/>
    <mergeCell ref="C668:C670"/>
    <mergeCell ref="D668:D670"/>
    <mergeCell ref="E668:E670"/>
    <mergeCell ref="F668:F670"/>
    <mergeCell ref="C688:E688"/>
    <mergeCell ref="C691:F691"/>
    <mergeCell ref="G691:H691"/>
    <mergeCell ref="I691:J691"/>
    <mergeCell ref="K691:L691"/>
    <mergeCell ref="B692:B694"/>
    <mergeCell ref="C692:C694"/>
    <mergeCell ref="D692:D694"/>
    <mergeCell ref="E692:E694"/>
    <mergeCell ref="F692:F694"/>
    <mergeCell ref="C712:E712"/>
    <mergeCell ref="C715:F715"/>
    <mergeCell ref="G715:H715"/>
    <mergeCell ref="I715:J715"/>
    <mergeCell ref="K715:L715"/>
    <mergeCell ref="B716:B718"/>
    <mergeCell ref="C716:C718"/>
    <mergeCell ref="D716:D718"/>
    <mergeCell ref="E716:E718"/>
    <mergeCell ref="F716:F718"/>
    <mergeCell ref="C736:E736"/>
    <mergeCell ref="C739:F739"/>
    <mergeCell ref="G739:H739"/>
    <mergeCell ref="I739:J739"/>
    <mergeCell ref="K739:L739"/>
    <mergeCell ref="B740:B742"/>
    <mergeCell ref="C740:C742"/>
    <mergeCell ref="D740:D742"/>
    <mergeCell ref="E740:E742"/>
    <mergeCell ref="F740:F742"/>
    <mergeCell ref="C760:E760"/>
    <mergeCell ref="C763:F763"/>
    <mergeCell ref="G763:H763"/>
    <mergeCell ref="I763:J763"/>
    <mergeCell ref="K763:L763"/>
    <mergeCell ref="B764:B766"/>
    <mergeCell ref="C764:C766"/>
    <mergeCell ref="D764:D766"/>
    <mergeCell ref="E764:E766"/>
    <mergeCell ref="F764:F766"/>
    <mergeCell ref="C784:E784"/>
    <mergeCell ref="C787:F787"/>
    <mergeCell ref="G787:H787"/>
    <mergeCell ref="I787:J787"/>
    <mergeCell ref="K787:L787"/>
    <mergeCell ref="B788:B790"/>
    <mergeCell ref="C788:C790"/>
    <mergeCell ref="D788:D790"/>
    <mergeCell ref="E788:E790"/>
    <mergeCell ref="F788:F790"/>
    <mergeCell ref="C808:E808"/>
    <mergeCell ref="C811:F811"/>
    <mergeCell ref="G811:H811"/>
    <mergeCell ref="I811:J811"/>
    <mergeCell ref="K811:L811"/>
    <mergeCell ref="B812:B814"/>
    <mergeCell ref="C812:C814"/>
    <mergeCell ref="D812:D814"/>
    <mergeCell ref="E812:E814"/>
    <mergeCell ref="F812:F814"/>
    <mergeCell ref="C832:E832"/>
    <mergeCell ref="C835:F835"/>
    <mergeCell ref="G835:H835"/>
    <mergeCell ref="I835:J835"/>
    <mergeCell ref="K835:L835"/>
    <mergeCell ref="B836:B838"/>
    <mergeCell ref="C836:C838"/>
    <mergeCell ref="D836:D838"/>
    <mergeCell ref="E836:E838"/>
    <mergeCell ref="F836:F838"/>
    <mergeCell ref="C856:E856"/>
    <mergeCell ref="C859:F859"/>
    <mergeCell ref="G859:H859"/>
    <mergeCell ref="I859:J859"/>
    <mergeCell ref="K859:L859"/>
    <mergeCell ref="B860:B862"/>
    <mergeCell ref="C860:C862"/>
    <mergeCell ref="D860:D862"/>
    <mergeCell ref="E860:E862"/>
    <mergeCell ref="F860:F862"/>
    <mergeCell ref="C880:E880"/>
    <mergeCell ref="C883:F883"/>
    <mergeCell ref="G883:H883"/>
    <mergeCell ref="I883:J883"/>
    <mergeCell ref="K883:L883"/>
    <mergeCell ref="B884:B886"/>
    <mergeCell ref="C884:C886"/>
    <mergeCell ref="D884:D886"/>
    <mergeCell ref="E884:E886"/>
    <mergeCell ref="F884:F886"/>
    <mergeCell ref="C904:E904"/>
    <mergeCell ref="C907:F907"/>
    <mergeCell ref="G907:H907"/>
    <mergeCell ref="I907:J907"/>
    <mergeCell ref="K907:L907"/>
    <mergeCell ref="B908:B910"/>
    <mergeCell ref="C908:C910"/>
    <mergeCell ref="D908:D910"/>
    <mergeCell ref="E908:E910"/>
    <mergeCell ref="F908:F910"/>
    <mergeCell ref="C928:E928"/>
    <mergeCell ref="C931:F931"/>
    <mergeCell ref="G931:H931"/>
    <mergeCell ref="I931:J931"/>
    <mergeCell ref="K931:L931"/>
    <mergeCell ref="B932:B934"/>
    <mergeCell ref="C932:C934"/>
    <mergeCell ref="D932:D934"/>
    <mergeCell ref="E932:E934"/>
    <mergeCell ref="F932:F934"/>
    <mergeCell ref="C952:E952"/>
    <mergeCell ref="C955:F955"/>
    <mergeCell ref="G955:H955"/>
    <mergeCell ref="I955:J955"/>
    <mergeCell ref="K955:L955"/>
    <mergeCell ref="B956:B958"/>
    <mergeCell ref="C956:C958"/>
    <mergeCell ref="D956:D958"/>
    <mergeCell ref="E956:E958"/>
    <mergeCell ref="F956:F958"/>
    <mergeCell ref="C976:E976"/>
    <mergeCell ref="C979:F979"/>
    <mergeCell ref="G979:H979"/>
    <mergeCell ref="I979:J979"/>
    <mergeCell ref="K979:L979"/>
    <mergeCell ref="B980:B982"/>
    <mergeCell ref="C980:C982"/>
    <mergeCell ref="D980:D982"/>
    <mergeCell ref="E980:E982"/>
    <mergeCell ref="F980:F982"/>
    <mergeCell ref="C1000:E1000"/>
    <mergeCell ref="C1003:F1003"/>
    <mergeCell ref="G1003:H1003"/>
    <mergeCell ref="I1003:J1003"/>
    <mergeCell ref="K1003:L1003"/>
    <mergeCell ref="B1004:B1006"/>
    <mergeCell ref="C1004:C1006"/>
    <mergeCell ref="D1004:D1006"/>
    <mergeCell ref="E1004:E1006"/>
    <mergeCell ref="F1004:F1006"/>
    <mergeCell ref="C1024:E1024"/>
    <mergeCell ref="C1027:F1027"/>
    <mergeCell ref="G1027:H1027"/>
    <mergeCell ref="I1027:J1027"/>
    <mergeCell ref="K1027:L1027"/>
    <mergeCell ref="B1028:B1030"/>
    <mergeCell ref="C1028:C1030"/>
    <mergeCell ref="D1028:D1030"/>
    <mergeCell ref="E1028:E1030"/>
    <mergeCell ref="F1028:F1030"/>
    <mergeCell ref="C1048:E1048"/>
    <mergeCell ref="C1051:F1051"/>
    <mergeCell ref="G1051:H1051"/>
    <mergeCell ref="I1051:J1051"/>
    <mergeCell ref="K1051:L1051"/>
    <mergeCell ref="B1052:B1054"/>
    <mergeCell ref="C1052:C1054"/>
    <mergeCell ref="D1052:D1054"/>
    <mergeCell ref="E1052:E1054"/>
    <mergeCell ref="F1052:F1054"/>
    <mergeCell ref="C1072:E1072"/>
    <mergeCell ref="C1075:F1075"/>
    <mergeCell ref="G1075:H1075"/>
    <mergeCell ref="I1075:J1075"/>
    <mergeCell ref="K1075:L1075"/>
    <mergeCell ref="B1076:B1078"/>
    <mergeCell ref="C1076:C1078"/>
    <mergeCell ref="D1076:D1078"/>
    <mergeCell ref="E1076:E1078"/>
    <mergeCell ref="F1076:F1078"/>
    <mergeCell ref="C1096:E1096"/>
    <mergeCell ref="C1099:F1099"/>
    <mergeCell ref="G1099:H1099"/>
    <mergeCell ref="I1099:J1099"/>
    <mergeCell ref="K1099:L1099"/>
    <mergeCell ref="B1100:B1102"/>
    <mergeCell ref="C1100:C1102"/>
    <mergeCell ref="D1100:D1102"/>
    <mergeCell ref="E1100:E1102"/>
    <mergeCell ref="F1100:F1102"/>
    <mergeCell ref="C1120:E1120"/>
    <mergeCell ref="C1173:F1173"/>
    <mergeCell ref="G1173:H1173"/>
    <mergeCell ref="I1173:J1173"/>
    <mergeCell ref="K1173:L1173"/>
    <mergeCell ref="B1174:B1176"/>
    <mergeCell ref="C1174:C1176"/>
    <mergeCell ref="D1174:D1176"/>
    <mergeCell ref="E1174:E1176"/>
    <mergeCell ref="F1174:F1176"/>
    <mergeCell ref="C1123:F1123"/>
    <mergeCell ref="G1123:H1123"/>
    <mergeCell ref="I1123:J1123"/>
    <mergeCell ref="K1123:L1123"/>
    <mergeCell ref="B1124:B1126"/>
    <mergeCell ref="C1124:C1126"/>
    <mergeCell ref="D1124:D1126"/>
    <mergeCell ref="E1124:E1126"/>
    <mergeCell ref="F1124:F1126"/>
    <mergeCell ref="C1145:E1145"/>
    <mergeCell ref="C1148:F1148"/>
    <mergeCell ref="G1148:H1148"/>
    <mergeCell ref="I1148:J1148"/>
    <mergeCell ref="K1148:L1148"/>
    <mergeCell ref="B1149:B1151"/>
    <mergeCell ref="C1149:C1151"/>
    <mergeCell ref="D1149:D1151"/>
    <mergeCell ref="E1149:E1151"/>
    <mergeCell ref="F1149:F1151"/>
    <mergeCell ref="C1170:E1170"/>
    <mergeCell ref="C1198:F1198"/>
    <mergeCell ref="G1198:H1198"/>
    <mergeCell ref="I1198:J1198"/>
    <mergeCell ref="K1198:L1198"/>
    <mergeCell ref="B1199:B1201"/>
    <mergeCell ref="C1199:C1201"/>
    <mergeCell ref="D1199:D1201"/>
    <mergeCell ref="E1199:E1201"/>
    <mergeCell ref="F1199:F1201"/>
    <mergeCell ref="C1195:E1195"/>
    <mergeCell ref="C1220:E1220"/>
    <mergeCell ref="C1223:F1223"/>
    <mergeCell ref="G1223:H1223"/>
    <mergeCell ref="I1223:J1223"/>
    <mergeCell ref="K1223:L1223"/>
    <mergeCell ref="B1224:B1226"/>
    <mergeCell ref="C1224:C1226"/>
    <mergeCell ref="D1224:D1226"/>
    <mergeCell ref="E1224:E1226"/>
    <mergeCell ref="F1224:F1226"/>
    <mergeCell ref="C1245:E1245"/>
    <mergeCell ref="C1248:F1248"/>
    <mergeCell ref="G1248:H1248"/>
    <mergeCell ref="I1248:J1248"/>
    <mergeCell ref="K1248:L1248"/>
    <mergeCell ref="B1249:B1251"/>
    <mergeCell ref="C1249:C1251"/>
    <mergeCell ref="D1249:D1251"/>
    <mergeCell ref="E1249:E1251"/>
    <mergeCell ref="F1249:F1251"/>
    <mergeCell ref="C1272:E1272"/>
    <mergeCell ref="C1275:F1275"/>
    <mergeCell ref="G1275:H1275"/>
    <mergeCell ref="I1275:J1275"/>
    <mergeCell ref="K1275:L1275"/>
    <mergeCell ref="B1276:B1278"/>
    <mergeCell ref="C1276:C1278"/>
    <mergeCell ref="D1276:D1278"/>
    <mergeCell ref="E1276:E1278"/>
    <mergeCell ref="F1276:F1278"/>
    <mergeCell ref="C1297:E1297"/>
    <mergeCell ref="C1300:F1300"/>
    <mergeCell ref="G1300:H1300"/>
    <mergeCell ref="I1300:J1300"/>
    <mergeCell ref="K1300:L1300"/>
    <mergeCell ref="B1301:B1303"/>
    <mergeCell ref="C1301:C1303"/>
    <mergeCell ref="D1301:D1303"/>
    <mergeCell ref="E1301:E1303"/>
    <mergeCell ref="F1301:F1303"/>
    <mergeCell ref="C1322:E1322"/>
    <mergeCell ref="C1325:F1325"/>
    <mergeCell ref="G1325:H1325"/>
    <mergeCell ref="I1325:J1325"/>
    <mergeCell ref="K1325:L1325"/>
    <mergeCell ref="B1326:B1328"/>
    <mergeCell ref="C1326:C1328"/>
    <mergeCell ref="D1326:D1328"/>
    <mergeCell ref="E1326:E1328"/>
    <mergeCell ref="F1326:F1328"/>
    <mergeCell ref="C1372:E1372"/>
    <mergeCell ref="C1347:E1347"/>
    <mergeCell ref="C1350:F1350"/>
    <mergeCell ref="G1350:H1350"/>
    <mergeCell ref="I1350:J1350"/>
    <mergeCell ref="K1350:L1350"/>
    <mergeCell ref="B1351:B1353"/>
    <mergeCell ref="C1351:C1353"/>
    <mergeCell ref="D1351:D1353"/>
    <mergeCell ref="E1351:E1353"/>
    <mergeCell ref="F1351:F1353"/>
    <mergeCell ref="C3531:F3531"/>
    <mergeCell ref="G3531:H3531"/>
    <mergeCell ref="I3531:J3531"/>
    <mergeCell ref="K3531:L3531"/>
    <mergeCell ref="B3532:B3534"/>
    <mergeCell ref="C3532:C3534"/>
    <mergeCell ref="D3532:D3534"/>
    <mergeCell ref="E3532:E3534"/>
    <mergeCell ref="F3532:F3534"/>
    <mergeCell ref="C3555:E3555"/>
    <mergeCell ref="C3558:F3558"/>
    <mergeCell ref="G3558:H3558"/>
    <mergeCell ref="I3558:J3558"/>
    <mergeCell ref="K3558:L3558"/>
    <mergeCell ref="B3559:B3561"/>
    <mergeCell ref="C3559:C3561"/>
    <mergeCell ref="D3559:D3561"/>
    <mergeCell ref="E3559:E3561"/>
    <mergeCell ref="F3559:F3561"/>
    <mergeCell ref="C3582:E3582"/>
    <mergeCell ref="C3586:F3586"/>
    <mergeCell ref="G3586:H3586"/>
    <mergeCell ref="I3586:J3586"/>
    <mergeCell ref="K3586:L3586"/>
    <mergeCell ref="B3587:B3589"/>
    <mergeCell ref="C3587:C3589"/>
    <mergeCell ref="D3587:D3589"/>
    <mergeCell ref="E3587:E3589"/>
    <mergeCell ref="F3587:F3589"/>
    <mergeCell ref="C3610:E3610"/>
    <mergeCell ref="C3614:F3614"/>
    <mergeCell ref="G3614:H3614"/>
    <mergeCell ref="I3614:J3614"/>
    <mergeCell ref="K3614:L3614"/>
    <mergeCell ref="B3615:B3617"/>
    <mergeCell ref="C3615:C3617"/>
    <mergeCell ref="D3615:D3617"/>
    <mergeCell ref="E3615:E3617"/>
    <mergeCell ref="F3615:F3617"/>
    <mergeCell ref="C3633:E3633"/>
    <mergeCell ref="C3636:F3636"/>
    <mergeCell ref="G3636:H3636"/>
    <mergeCell ref="I3636:J3636"/>
    <mergeCell ref="K3636:L3636"/>
    <mergeCell ref="B3637:B3639"/>
    <mergeCell ref="C3637:C3639"/>
    <mergeCell ref="D3637:D3639"/>
    <mergeCell ref="E3637:E3639"/>
    <mergeCell ref="F3637:F3639"/>
    <mergeCell ref="C3660:E3660"/>
    <mergeCell ref="C3663:F3663"/>
    <mergeCell ref="G3663:H3663"/>
    <mergeCell ref="I3663:J3663"/>
    <mergeCell ref="K3663:L3663"/>
    <mergeCell ref="B3664:B3666"/>
    <mergeCell ref="C3664:C3666"/>
    <mergeCell ref="D3664:D3666"/>
    <mergeCell ref="E3664:E3666"/>
    <mergeCell ref="F3664:F3666"/>
    <mergeCell ref="C3738:E3738"/>
    <mergeCell ref="C3741:F3741"/>
    <mergeCell ref="G3741:H3741"/>
    <mergeCell ref="I3741:J3741"/>
    <mergeCell ref="K3741:L3741"/>
    <mergeCell ref="B3742:B3744"/>
    <mergeCell ref="C3742:C3744"/>
    <mergeCell ref="D3742:D3744"/>
    <mergeCell ref="E3742:E3744"/>
    <mergeCell ref="F3742:F3744"/>
    <mergeCell ref="C3758:E3758"/>
    <mergeCell ref="C3688:E3688"/>
    <mergeCell ref="C3691:F3691"/>
    <mergeCell ref="G3691:H3691"/>
    <mergeCell ref="I3691:J3691"/>
    <mergeCell ref="K3691:L3691"/>
    <mergeCell ref="B3692:B3694"/>
    <mergeCell ref="C3692:C3694"/>
    <mergeCell ref="D3692:D3694"/>
    <mergeCell ref="E3692:E3694"/>
    <mergeCell ref="F3692:F3694"/>
    <mergeCell ref="C3714:E3714"/>
    <mergeCell ref="C3717:F3717"/>
    <mergeCell ref="G3717:H3717"/>
    <mergeCell ref="I3717:J3717"/>
    <mergeCell ref="K3717:L3717"/>
    <mergeCell ref="B3718:B3720"/>
    <mergeCell ref="C3718:C3720"/>
    <mergeCell ref="D3718:D3720"/>
    <mergeCell ref="E3718:E3720"/>
    <mergeCell ref="F3718:F3720"/>
    <mergeCell ref="C3778:E3778"/>
    <mergeCell ref="C3761:F3761"/>
    <mergeCell ref="G3761:H3761"/>
    <mergeCell ref="I3761:J3761"/>
    <mergeCell ref="K3761:L3761"/>
    <mergeCell ref="B3762:B3764"/>
    <mergeCell ref="C3762:C3764"/>
    <mergeCell ref="D3762:D3764"/>
    <mergeCell ref="E3762:E3764"/>
    <mergeCell ref="F3762:F3764"/>
    <mergeCell ref="C3781:F3781"/>
    <mergeCell ref="G3781:H3781"/>
    <mergeCell ref="I3781:J3781"/>
    <mergeCell ref="K3781:L3781"/>
    <mergeCell ref="B3782:B3784"/>
    <mergeCell ref="C3782:C3784"/>
    <mergeCell ref="D3782:D3784"/>
    <mergeCell ref="E3782:E3784"/>
    <mergeCell ref="F3782:F3784"/>
    <mergeCell ref="C3799:E3799"/>
    <mergeCell ref="C3802:F3802"/>
    <mergeCell ref="G3802:H3802"/>
    <mergeCell ref="I3802:J3802"/>
    <mergeCell ref="K3802:L3802"/>
    <mergeCell ref="B3803:B3805"/>
    <mergeCell ref="C3803:C3805"/>
    <mergeCell ref="D3803:D3805"/>
    <mergeCell ref="E3803:E3805"/>
    <mergeCell ref="F3803:F3805"/>
    <mergeCell ref="C3823:E3823"/>
    <mergeCell ref="C3827:F3827"/>
    <mergeCell ref="G3827:H3827"/>
    <mergeCell ref="I3827:J3827"/>
    <mergeCell ref="K3827:L3827"/>
    <mergeCell ref="B3828:B3830"/>
    <mergeCell ref="C3828:C3830"/>
    <mergeCell ref="D3828:D3830"/>
    <mergeCell ref="E3828:E3830"/>
    <mergeCell ref="F3828:F3830"/>
    <mergeCell ref="C3850:E3850"/>
    <mergeCell ref="C3854:F3854"/>
    <mergeCell ref="G3854:H3854"/>
    <mergeCell ref="I3854:J3854"/>
    <mergeCell ref="K3854:L3854"/>
    <mergeCell ref="B3855:B3857"/>
    <mergeCell ref="C3855:C3857"/>
    <mergeCell ref="D3855:D3857"/>
    <mergeCell ref="E3855:E3857"/>
    <mergeCell ref="F3855:F3857"/>
    <mergeCell ref="C3877:E3877"/>
    <mergeCell ref="C3881:F3881"/>
    <mergeCell ref="G3881:H3881"/>
    <mergeCell ref="I3881:J3881"/>
    <mergeCell ref="K3881:L3881"/>
    <mergeCell ref="B3882:B3884"/>
    <mergeCell ref="C3882:C3884"/>
    <mergeCell ref="D3882:D3884"/>
    <mergeCell ref="E3882:E3884"/>
    <mergeCell ref="F3882:F3884"/>
    <mergeCell ref="C3956:E3956"/>
    <mergeCell ref="C3904:E3904"/>
    <mergeCell ref="C3907:F3907"/>
    <mergeCell ref="G3907:H3907"/>
    <mergeCell ref="I3907:J3907"/>
    <mergeCell ref="K3907:L3907"/>
    <mergeCell ref="B3908:B3910"/>
    <mergeCell ref="C3908:C3910"/>
    <mergeCell ref="D3908:D3910"/>
    <mergeCell ref="E3908:E3910"/>
    <mergeCell ref="F3908:F3910"/>
    <mergeCell ref="C3930:E3930"/>
    <mergeCell ref="C3933:F3933"/>
    <mergeCell ref="G3933:H3933"/>
    <mergeCell ref="I3933:J3933"/>
    <mergeCell ref="K3933:L3933"/>
    <mergeCell ref="B3934:B3936"/>
    <mergeCell ref="C3934:C3936"/>
    <mergeCell ref="D3934:D3936"/>
    <mergeCell ref="E3934:E3936"/>
    <mergeCell ref="F3934:F39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3FBCF-5850-4560-8556-4414627E22FF}">
  <dimension ref="A3:L675"/>
  <sheetViews>
    <sheetView topLeftCell="A637" workbookViewId="0">
      <selection activeCell="G623" sqref="G623"/>
    </sheetView>
  </sheetViews>
  <sheetFormatPr defaultColWidth="8.81640625" defaultRowHeight="12.5" x14ac:dyDescent="0.25"/>
  <cols>
    <col min="1" max="1" width="4.81640625" style="186" customWidth="1"/>
    <col min="2" max="2" width="43.54296875" style="224" customWidth="1"/>
    <col min="3" max="3" width="10.1796875" style="186" customWidth="1"/>
    <col min="4" max="4" width="7.54296875" style="225" customWidth="1"/>
    <col min="5" max="6" width="0" style="186" hidden="1" customWidth="1"/>
    <col min="7" max="7" width="15.1796875" style="186" customWidth="1"/>
    <col min="8" max="8" width="9.453125" style="186" customWidth="1"/>
    <col min="9" max="9" width="38.54296875" style="186" customWidth="1"/>
    <col min="10" max="10" width="12" style="186" customWidth="1"/>
    <col min="11" max="11" width="16.54296875" style="186" customWidth="1"/>
    <col min="12" max="12" width="7.81640625" style="186" customWidth="1"/>
    <col min="13" max="16384" width="8.81640625" style="186"/>
  </cols>
  <sheetData>
    <row r="3" spans="1:12" ht="15.5" x14ac:dyDescent="0.35">
      <c r="A3" s="476" t="s">
        <v>1948</v>
      </c>
      <c r="B3" s="476"/>
      <c r="C3" s="476"/>
      <c r="D3" s="476"/>
      <c r="E3" s="476"/>
      <c r="F3" s="476"/>
      <c r="G3" s="476"/>
      <c r="H3" s="476"/>
      <c r="I3" s="476"/>
      <c r="J3" s="476"/>
      <c r="K3" s="476"/>
      <c r="L3" s="476"/>
    </row>
    <row r="4" spans="1:12" ht="15.5" x14ac:dyDescent="0.35">
      <c r="A4" s="476" t="s">
        <v>1949</v>
      </c>
      <c r="B4" s="476"/>
      <c r="C4" s="476"/>
      <c r="D4" s="476"/>
      <c r="E4" s="476"/>
      <c r="F4" s="476"/>
      <c r="G4" s="476"/>
      <c r="H4" s="476"/>
      <c r="I4" s="476"/>
      <c r="J4" s="476"/>
      <c r="K4" s="476"/>
      <c r="L4" s="476"/>
    </row>
    <row r="6" spans="1:12" ht="13" x14ac:dyDescent="0.3">
      <c r="A6" s="184" t="s">
        <v>1283</v>
      </c>
      <c r="B6" s="185" t="s">
        <v>1786</v>
      </c>
      <c r="C6" s="315" t="s">
        <v>2089</v>
      </c>
      <c r="D6" s="316"/>
    </row>
    <row r="7" spans="1:12" x14ac:dyDescent="0.25">
      <c r="A7" s="184" t="s">
        <v>1301</v>
      </c>
      <c r="B7" s="185" t="s">
        <v>1787</v>
      </c>
      <c r="C7" s="184">
        <v>1</v>
      </c>
      <c r="D7" s="184"/>
    </row>
    <row r="8" spans="1:12" x14ac:dyDescent="0.25">
      <c r="A8" s="184" t="s">
        <v>1788</v>
      </c>
      <c r="B8" s="185" t="s">
        <v>1789</v>
      </c>
      <c r="C8" s="184">
        <v>300</v>
      </c>
      <c r="D8" s="184" t="s">
        <v>162</v>
      </c>
    </row>
    <row r="12" spans="1:12" ht="13" x14ac:dyDescent="0.3">
      <c r="A12" s="142"/>
      <c r="B12" s="170"/>
      <c r="C12" s="142"/>
      <c r="D12" s="155"/>
      <c r="E12" s="143"/>
      <c r="F12" s="142"/>
      <c r="G12" s="142" t="s">
        <v>979</v>
      </c>
      <c r="H12" s="470" t="s">
        <v>980</v>
      </c>
      <c r="I12" s="471"/>
      <c r="J12" s="472"/>
      <c r="K12" s="142" t="s">
        <v>979</v>
      </c>
      <c r="L12" s="142"/>
    </row>
    <row r="13" spans="1:12" ht="13" x14ac:dyDescent="0.3">
      <c r="A13" s="144" t="s">
        <v>981</v>
      </c>
      <c r="B13" s="171" t="s">
        <v>410</v>
      </c>
      <c r="C13" s="144" t="s">
        <v>412</v>
      </c>
      <c r="D13" s="156" t="s">
        <v>411</v>
      </c>
      <c r="E13" s="145"/>
      <c r="F13" s="144"/>
      <c r="G13" s="144" t="s">
        <v>2070</v>
      </c>
      <c r="H13" s="473"/>
      <c r="I13" s="474"/>
      <c r="J13" s="475"/>
      <c r="K13" s="144" t="s">
        <v>982</v>
      </c>
      <c r="L13" s="144" t="s">
        <v>983</v>
      </c>
    </row>
    <row r="14" spans="1:12" ht="13" x14ac:dyDescent="0.3">
      <c r="A14" s="144"/>
      <c r="B14" s="171"/>
      <c r="C14" s="144"/>
      <c r="D14" s="156"/>
      <c r="E14" s="145"/>
      <c r="F14" s="144"/>
      <c r="G14" s="144" t="s">
        <v>984</v>
      </c>
      <c r="H14" s="144" t="s">
        <v>411</v>
      </c>
      <c r="I14" s="144" t="s">
        <v>985</v>
      </c>
      <c r="J14" s="144" t="s">
        <v>984</v>
      </c>
      <c r="K14" s="144" t="s">
        <v>984</v>
      </c>
      <c r="L14" s="144"/>
    </row>
    <row r="15" spans="1:12" x14ac:dyDescent="0.25">
      <c r="A15" s="187">
        <v>1</v>
      </c>
      <c r="B15" s="188">
        <v>2</v>
      </c>
      <c r="C15" s="187">
        <v>3</v>
      </c>
      <c r="D15" s="189">
        <v>4</v>
      </c>
      <c r="E15" s="190"/>
      <c r="F15" s="187"/>
      <c r="G15" s="187"/>
      <c r="H15" s="187"/>
      <c r="I15" s="191"/>
      <c r="J15" s="187"/>
      <c r="K15" s="187">
        <v>5</v>
      </c>
      <c r="L15" s="187">
        <v>6</v>
      </c>
    </row>
    <row r="16" spans="1:12" x14ac:dyDescent="0.25">
      <c r="A16" s="192"/>
      <c r="B16" s="193"/>
      <c r="C16" s="192"/>
      <c r="D16" s="158"/>
      <c r="E16" s="194"/>
      <c r="F16" s="192"/>
      <c r="G16" s="192"/>
      <c r="H16" s="192"/>
      <c r="I16" s="195"/>
      <c r="J16" s="192"/>
      <c r="K16" s="192"/>
      <c r="L16" s="192"/>
    </row>
    <row r="17" spans="1:12" ht="13" x14ac:dyDescent="0.3">
      <c r="A17" s="144" t="s">
        <v>12</v>
      </c>
      <c r="B17" s="172" t="s">
        <v>986</v>
      </c>
      <c r="C17" s="192"/>
      <c r="D17" s="158"/>
      <c r="E17" s="194"/>
      <c r="F17" s="192"/>
      <c r="G17" s="192"/>
      <c r="H17" s="192"/>
      <c r="I17" s="196"/>
      <c r="J17" s="192"/>
      <c r="K17" s="192"/>
      <c r="L17" s="192"/>
    </row>
    <row r="18" spans="1:12" x14ac:dyDescent="0.25">
      <c r="A18" s="197"/>
      <c r="B18" s="193"/>
      <c r="C18" s="192"/>
      <c r="D18" s="158"/>
      <c r="E18" s="194"/>
      <c r="F18" s="192"/>
      <c r="G18" s="192"/>
      <c r="H18" s="192"/>
      <c r="I18" s="196"/>
      <c r="J18" s="192"/>
      <c r="K18" s="192"/>
      <c r="L18" s="192"/>
    </row>
    <row r="19" spans="1:12" x14ac:dyDescent="0.25">
      <c r="A19" s="197">
        <v>1</v>
      </c>
      <c r="B19" s="193" t="s">
        <v>30</v>
      </c>
      <c r="C19" s="197" t="s">
        <v>18</v>
      </c>
      <c r="D19" s="157"/>
      <c r="E19" s="147"/>
      <c r="F19" s="146"/>
      <c r="G19" s="148">
        <v>150000</v>
      </c>
      <c r="H19" s="148"/>
      <c r="I19" s="198"/>
      <c r="J19" s="146"/>
      <c r="K19" s="148">
        <f>+G19+$C$7*J19</f>
        <v>150000</v>
      </c>
      <c r="L19" s="197"/>
    </row>
    <row r="20" spans="1:12" x14ac:dyDescent="0.25">
      <c r="A20" s="197">
        <v>2</v>
      </c>
      <c r="B20" s="160" t="s">
        <v>1885</v>
      </c>
      <c r="C20" s="197" t="s">
        <v>439</v>
      </c>
      <c r="D20" s="157"/>
      <c r="E20" s="147"/>
      <c r="F20" s="146"/>
      <c r="G20" s="148">
        <f>G19/8</f>
        <v>18750</v>
      </c>
      <c r="H20" s="148"/>
      <c r="I20" s="198"/>
      <c r="J20" s="146"/>
      <c r="K20" s="148">
        <f t="shared" ref="K20:K51" si="0">+G20+$C$7*J20</f>
        <v>18750</v>
      </c>
      <c r="L20" s="192"/>
    </row>
    <row r="21" spans="1:12" x14ac:dyDescent="0.25">
      <c r="A21" s="197">
        <v>3</v>
      </c>
      <c r="B21" s="160" t="s">
        <v>27</v>
      </c>
      <c r="C21" s="197" t="s">
        <v>18</v>
      </c>
      <c r="D21" s="157"/>
      <c r="E21" s="147"/>
      <c r="F21" s="146"/>
      <c r="G21" s="148">
        <v>150000</v>
      </c>
      <c r="H21" s="148"/>
      <c r="I21" s="198"/>
      <c r="J21" s="146"/>
      <c r="K21" s="148">
        <f t="shared" si="0"/>
        <v>150000</v>
      </c>
      <c r="L21" s="197"/>
    </row>
    <row r="22" spans="1:12" x14ac:dyDescent="0.25">
      <c r="A22" s="197">
        <v>4</v>
      </c>
      <c r="B22" s="193" t="s">
        <v>1886</v>
      </c>
      <c r="C22" s="197" t="s">
        <v>439</v>
      </c>
      <c r="D22" s="157"/>
      <c r="E22" s="147"/>
      <c r="F22" s="146"/>
      <c r="G22" s="148">
        <f>G21/8</f>
        <v>18750</v>
      </c>
      <c r="H22" s="148"/>
      <c r="I22" s="198"/>
      <c r="J22" s="146"/>
      <c r="K22" s="148">
        <f t="shared" si="0"/>
        <v>18750</v>
      </c>
      <c r="L22" s="197"/>
    </row>
    <row r="23" spans="1:12" x14ac:dyDescent="0.25">
      <c r="A23" s="197">
        <v>5</v>
      </c>
      <c r="B23" s="160" t="s">
        <v>515</v>
      </c>
      <c r="C23" s="197" t="s">
        <v>18</v>
      </c>
      <c r="D23" s="157"/>
      <c r="E23" s="147"/>
      <c r="F23" s="146"/>
      <c r="G23" s="148">
        <v>130000</v>
      </c>
      <c r="H23" s="148"/>
      <c r="I23" s="198"/>
      <c r="J23" s="146"/>
      <c r="K23" s="148">
        <f t="shared" si="0"/>
        <v>130000</v>
      </c>
      <c r="L23" s="197"/>
    </row>
    <row r="24" spans="1:12" x14ac:dyDescent="0.25">
      <c r="A24" s="197">
        <v>6</v>
      </c>
      <c r="B24" s="160" t="s">
        <v>1887</v>
      </c>
      <c r="C24" s="197" t="s">
        <v>439</v>
      </c>
      <c r="D24" s="157"/>
      <c r="E24" s="147"/>
      <c r="F24" s="146"/>
      <c r="G24" s="148">
        <f>G23/8</f>
        <v>16250</v>
      </c>
      <c r="H24" s="148"/>
      <c r="I24" s="198"/>
      <c r="J24" s="146"/>
      <c r="K24" s="148">
        <f t="shared" si="0"/>
        <v>16250</v>
      </c>
      <c r="L24" s="197"/>
    </row>
    <row r="25" spans="1:12" x14ac:dyDescent="0.25">
      <c r="A25" s="197">
        <v>7</v>
      </c>
      <c r="B25" s="160" t="s">
        <v>28</v>
      </c>
      <c r="C25" s="197" t="s">
        <v>18</v>
      </c>
      <c r="D25" s="157"/>
      <c r="E25" s="147"/>
      <c r="F25" s="146"/>
      <c r="G25" s="148">
        <v>120000</v>
      </c>
      <c r="H25" s="148"/>
      <c r="I25" s="198"/>
      <c r="J25" s="146"/>
      <c r="K25" s="148">
        <f t="shared" si="0"/>
        <v>120000</v>
      </c>
      <c r="L25" s="197"/>
    </row>
    <row r="26" spans="1:12" x14ac:dyDescent="0.25">
      <c r="A26" s="197">
        <v>8</v>
      </c>
      <c r="B26" s="160" t="s">
        <v>1888</v>
      </c>
      <c r="C26" s="197" t="s">
        <v>439</v>
      </c>
      <c r="D26" s="157"/>
      <c r="E26" s="147"/>
      <c r="F26" s="146"/>
      <c r="G26" s="148">
        <f>G25/8</f>
        <v>15000</v>
      </c>
      <c r="H26" s="148"/>
      <c r="I26" s="198"/>
      <c r="J26" s="146"/>
      <c r="K26" s="148">
        <f t="shared" si="0"/>
        <v>15000</v>
      </c>
      <c r="L26" s="197"/>
    </row>
    <row r="27" spans="1:12" x14ac:dyDescent="0.25">
      <c r="A27" s="197">
        <v>9</v>
      </c>
      <c r="B27" s="160" t="s">
        <v>433</v>
      </c>
      <c r="C27" s="197" t="s">
        <v>18</v>
      </c>
      <c r="D27" s="157"/>
      <c r="E27" s="147"/>
      <c r="F27" s="146"/>
      <c r="G27" s="148">
        <v>250000</v>
      </c>
      <c r="H27" s="148"/>
      <c r="I27" s="198"/>
      <c r="J27" s="146"/>
      <c r="K27" s="148">
        <f t="shared" si="0"/>
        <v>250000</v>
      </c>
      <c r="L27" s="197"/>
    </row>
    <row r="28" spans="1:12" x14ac:dyDescent="0.25">
      <c r="A28" s="197">
        <v>10</v>
      </c>
      <c r="B28" s="160" t="s">
        <v>434</v>
      </c>
      <c r="C28" s="197" t="s">
        <v>18</v>
      </c>
      <c r="D28" s="157"/>
      <c r="E28" s="147"/>
      <c r="F28" s="146"/>
      <c r="G28" s="148">
        <v>250000</v>
      </c>
      <c r="H28" s="148"/>
      <c r="I28" s="198"/>
      <c r="J28" s="146"/>
      <c r="K28" s="148">
        <f t="shared" si="0"/>
        <v>250000</v>
      </c>
      <c r="L28" s="197"/>
    </row>
    <row r="29" spans="1:12" x14ac:dyDescent="0.25">
      <c r="A29" s="197">
        <v>11</v>
      </c>
      <c r="B29" s="160" t="s">
        <v>435</v>
      </c>
      <c r="C29" s="197" t="s">
        <v>18</v>
      </c>
      <c r="D29" s="157"/>
      <c r="E29" s="147"/>
      <c r="F29" s="146"/>
      <c r="G29" s="148">
        <v>250000</v>
      </c>
      <c r="H29" s="148"/>
      <c r="I29" s="198"/>
      <c r="J29" s="146"/>
      <c r="K29" s="148">
        <f t="shared" si="0"/>
        <v>250000</v>
      </c>
      <c r="L29" s="192"/>
    </row>
    <row r="30" spans="1:12" x14ac:dyDescent="0.25">
      <c r="A30" s="197">
        <v>12</v>
      </c>
      <c r="B30" s="160" t="s">
        <v>436</v>
      </c>
      <c r="C30" s="197" t="s">
        <v>18</v>
      </c>
      <c r="D30" s="157"/>
      <c r="E30" s="147"/>
      <c r="F30" s="146"/>
      <c r="G30" s="148">
        <v>250000</v>
      </c>
      <c r="H30" s="148"/>
      <c r="I30" s="198"/>
      <c r="J30" s="146"/>
      <c r="K30" s="148">
        <f t="shared" si="0"/>
        <v>250000</v>
      </c>
      <c r="L30" s="192"/>
    </row>
    <row r="31" spans="1:12" x14ac:dyDescent="0.25">
      <c r="A31" s="197">
        <v>13</v>
      </c>
      <c r="B31" s="160" t="s">
        <v>437</v>
      </c>
      <c r="C31" s="197" t="s">
        <v>18</v>
      </c>
      <c r="D31" s="157"/>
      <c r="E31" s="147"/>
      <c r="F31" s="146"/>
      <c r="G31" s="148">
        <v>250000</v>
      </c>
      <c r="H31" s="148"/>
      <c r="I31" s="198"/>
      <c r="J31" s="146"/>
      <c r="K31" s="148">
        <f t="shared" si="0"/>
        <v>250000</v>
      </c>
      <c r="L31" s="192"/>
    </row>
    <row r="32" spans="1:12" x14ac:dyDescent="0.25">
      <c r="A32" s="197">
        <v>14</v>
      </c>
      <c r="B32" s="160" t="s">
        <v>438</v>
      </c>
      <c r="C32" s="197" t="s">
        <v>18</v>
      </c>
      <c r="D32" s="157"/>
      <c r="E32" s="147"/>
      <c r="F32" s="146"/>
      <c r="G32" s="148">
        <v>250000</v>
      </c>
      <c r="H32" s="148"/>
      <c r="I32" s="198"/>
      <c r="J32" s="146"/>
      <c r="K32" s="148">
        <f t="shared" si="0"/>
        <v>250000</v>
      </c>
      <c r="L32" s="197"/>
    </row>
    <row r="33" spans="1:12" x14ac:dyDescent="0.25">
      <c r="A33" s="197">
        <v>15</v>
      </c>
      <c r="B33" s="160" t="s">
        <v>26</v>
      </c>
      <c r="C33" s="197" t="s">
        <v>18</v>
      </c>
      <c r="D33" s="157"/>
      <c r="E33" s="147"/>
      <c r="F33" s="146"/>
      <c r="G33" s="148">
        <v>250000</v>
      </c>
      <c r="H33" s="148"/>
      <c r="I33" s="198"/>
      <c r="J33" s="146"/>
      <c r="K33" s="148">
        <f t="shared" si="0"/>
        <v>250000</v>
      </c>
      <c r="L33" s="197"/>
    </row>
    <row r="34" spans="1:12" x14ac:dyDescent="0.25">
      <c r="A34" s="197">
        <v>16</v>
      </c>
      <c r="B34" s="160" t="s">
        <v>442</v>
      </c>
      <c r="C34" s="197" t="s">
        <v>18</v>
      </c>
      <c r="D34" s="157"/>
      <c r="E34" s="147"/>
      <c r="F34" s="146"/>
      <c r="G34" s="148">
        <v>250000</v>
      </c>
      <c r="H34" s="148"/>
      <c r="I34" s="198"/>
      <c r="J34" s="146"/>
      <c r="K34" s="148">
        <f t="shared" si="0"/>
        <v>250000</v>
      </c>
      <c r="L34" s="192"/>
    </row>
    <row r="35" spans="1:12" x14ac:dyDescent="0.25">
      <c r="A35" s="197"/>
      <c r="B35" s="160" t="s">
        <v>1889</v>
      </c>
      <c r="C35" s="197" t="s">
        <v>439</v>
      </c>
      <c r="D35" s="157"/>
      <c r="E35" s="147"/>
      <c r="F35" s="146"/>
      <c r="G35" s="148">
        <f>G34/8</f>
        <v>31250</v>
      </c>
      <c r="H35" s="148"/>
      <c r="I35" s="198"/>
      <c r="J35" s="146"/>
      <c r="K35" s="148">
        <f t="shared" si="0"/>
        <v>31250</v>
      </c>
      <c r="L35" s="192"/>
    </row>
    <row r="36" spans="1:12" x14ac:dyDescent="0.25">
      <c r="A36" s="197"/>
      <c r="B36" s="160" t="s">
        <v>510</v>
      </c>
      <c r="C36" s="197" t="s">
        <v>18</v>
      </c>
      <c r="D36" s="157"/>
      <c r="E36" s="147"/>
      <c r="F36" s="146"/>
      <c r="G36" s="148">
        <f>G34/2</f>
        <v>125000</v>
      </c>
      <c r="H36" s="148"/>
      <c r="I36" s="198"/>
      <c r="J36" s="146"/>
      <c r="K36" s="148">
        <f t="shared" si="0"/>
        <v>125000</v>
      </c>
      <c r="L36" s="192"/>
    </row>
    <row r="37" spans="1:12" x14ac:dyDescent="0.25">
      <c r="A37" s="197"/>
      <c r="B37" s="160" t="s">
        <v>1890</v>
      </c>
      <c r="C37" s="197" t="s">
        <v>439</v>
      </c>
      <c r="D37" s="157"/>
      <c r="E37" s="147"/>
      <c r="F37" s="146"/>
      <c r="G37" s="148">
        <v>15625</v>
      </c>
      <c r="H37" s="148"/>
      <c r="I37" s="198"/>
      <c r="J37" s="146"/>
      <c r="K37" s="148">
        <f t="shared" si="0"/>
        <v>15625</v>
      </c>
      <c r="L37" s="192"/>
    </row>
    <row r="38" spans="1:12" x14ac:dyDescent="0.25">
      <c r="A38" s="197"/>
      <c r="B38" s="160" t="s">
        <v>755</v>
      </c>
      <c r="C38" s="197" t="s">
        <v>18</v>
      </c>
      <c r="D38" s="157"/>
      <c r="E38" s="147"/>
      <c r="F38" s="146"/>
      <c r="G38" s="148"/>
      <c r="H38" s="148"/>
      <c r="I38" s="198"/>
      <c r="J38" s="146"/>
      <c r="K38" s="148">
        <f t="shared" si="0"/>
        <v>0</v>
      </c>
      <c r="L38" s="192"/>
    </row>
    <row r="39" spans="1:12" x14ac:dyDescent="0.25">
      <c r="A39" s="197"/>
      <c r="B39" s="160" t="s">
        <v>756</v>
      </c>
      <c r="C39" s="197" t="s">
        <v>18</v>
      </c>
      <c r="D39" s="157"/>
      <c r="E39" s="147"/>
      <c r="F39" s="146"/>
      <c r="G39" s="148"/>
      <c r="H39" s="148"/>
      <c r="I39" s="198"/>
      <c r="J39" s="146"/>
      <c r="K39" s="148">
        <f t="shared" si="0"/>
        <v>0</v>
      </c>
      <c r="L39" s="192"/>
    </row>
    <row r="40" spans="1:12" x14ac:dyDescent="0.25">
      <c r="A40" s="197"/>
      <c r="B40" s="160" t="s">
        <v>757</v>
      </c>
      <c r="C40" s="197" t="s">
        <v>18</v>
      </c>
      <c r="D40" s="157"/>
      <c r="E40" s="147"/>
      <c r="F40" s="146"/>
      <c r="G40" s="148"/>
      <c r="H40" s="148"/>
      <c r="I40" s="198"/>
      <c r="J40" s="146"/>
      <c r="K40" s="148">
        <f t="shared" si="0"/>
        <v>0</v>
      </c>
      <c r="L40" s="192"/>
    </row>
    <row r="41" spans="1:12" x14ac:dyDescent="0.25">
      <c r="A41" s="197"/>
      <c r="B41" s="160" t="s">
        <v>744</v>
      </c>
      <c r="C41" s="197" t="s">
        <v>18</v>
      </c>
      <c r="D41" s="157"/>
      <c r="E41" s="147"/>
      <c r="F41" s="146"/>
      <c r="G41" s="148"/>
      <c r="H41" s="148"/>
      <c r="I41" s="198"/>
      <c r="J41" s="146"/>
      <c r="K41" s="148">
        <f t="shared" si="0"/>
        <v>0</v>
      </c>
      <c r="L41" s="192"/>
    </row>
    <row r="42" spans="1:12" x14ac:dyDescent="0.25">
      <c r="A42" s="197"/>
      <c r="B42" s="160" t="s">
        <v>745</v>
      </c>
      <c r="C42" s="197" t="s">
        <v>18</v>
      </c>
      <c r="D42" s="157"/>
      <c r="E42" s="147"/>
      <c r="F42" s="146"/>
      <c r="G42" s="148">
        <v>750000</v>
      </c>
      <c r="H42" s="148"/>
      <c r="I42" s="198"/>
      <c r="J42" s="146"/>
      <c r="K42" s="148">
        <f t="shared" si="0"/>
        <v>750000</v>
      </c>
      <c r="L42" s="192"/>
    </row>
    <row r="43" spans="1:12" x14ac:dyDescent="0.25">
      <c r="A43" s="197"/>
      <c r="B43" s="160" t="s">
        <v>746</v>
      </c>
      <c r="C43" s="197" t="s">
        <v>18</v>
      </c>
      <c r="D43" s="157"/>
      <c r="E43" s="147"/>
      <c r="F43" s="146"/>
      <c r="G43" s="148">
        <v>600000</v>
      </c>
      <c r="H43" s="148"/>
      <c r="I43" s="198"/>
      <c r="J43" s="146"/>
      <c r="K43" s="148">
        <f t="shared" si="0"/>
        <v>600000</v>
      </c>
      <c r="L43" s="192"/>
    </row>
    <row r="44" spans="1:12" x14ac:dyDescent="0.25">
      <c r="A44" s="197"/>
      <c r="B44" s="160" t="s">
        <v>747</v>
      </c>
      <c r="C44" s="197" t="s">
        <v>18</v>
      </c>
      <c r="D44" s="157"/>
      <c r="E44" s="147"/>
      <c r="F44" s="146"/>
      <c r="G44" s="148">
        <v>450000</v>
      </c>
      <c r="H44" s="148"/>
      <c r="I44" s="198"/>
      <c r="J44" s="146"/>
      <c r="K44" s="148">
        <f t="shared" si="0"/>
        <v>450000</v>
      </c>
      <c r="L44" s="192"/>
    </row>
    <row r="45" spans="1:12" x14ac:dyDescent="0.25">
      <c r="A45" s="197"/>
      <c r="B45" s="160" t="s">
        <v>748</v>
      </c>
      <c r="C45" s="197" t="s">
        <v>18</v>
      </c>
      <c r="D45" s="157"/>
      <c r="E45" s="147"/>
      <c r="F45" s="146"/>
      <c r="G45" s="148">
        <v>300000</v>
      </c>
      <c r="H45" s="148"/>
      <c r="I45" s="198"/>
      <c r="J45" s="146"/>
      <c r="K45" s="148">
        <f t="shared" si="0"/>
        <v>300000</v>
      </c>
      <c r="L45" s="192"/>
    </row>
    <row r="46" spans="1:12" x14ac:dyDescent="0.25">
      <c r="A46" s="197"/>
      <c r="B46" s="160" t="s">
        <v>749</v>
      </c>
      <c r="C46" s="197" t="s">
        <v>18</v>
      </c>
      <c r="D46" s="157"/>
      <c r="E46" s="147"/>
      <c r="F46" s="146"/>
      <c r="G46" s="148">
        <v>1800000</v>
      </c>
      <c r="H46" s="148"/>
      <c r="I46" s="198"/>
      <c r="J46" s="146"/>
      <c r="K46" s="148">
        <f t="shared" si="0"/>
        <v>1800000</v>
      </c>
      <c r="L46" s="192"/>
    </row>
    <row r="47" spans="1:12" x14ac:dyDescent="0.25">
      <c r="A47" s="197"/>
      <c r="B47" s="160" t="s">
        <v>750</v>
      </c>
      <c r="C47" s="197" t="s">
        <v>18</v>
      </c>
      <c r="D47" s="157"/>
      <c r="E47" s="147"/>
      <c r="F47" s="146"/>
      <c r="G47" s="148">
        <v>900000</v>
      </c>
      <c r="H47" s="148"/>
      <c r="I47" s="198"/>
      <c r="J47" s="146"/>
      <c r="K47" s="148">
        <f t="shared" si="0"/>
        <v>900000</v>
      </c>
      <c r="L47" s="192"/>
    </row>
    <row r="48" spans="1:12" x14ac:dyDescent="0.25">
      <c r="A48" s="197"/>
      <c r="B48" s="160" t="s">
        <v>751</v>
      </c>
      <c r="C48" s="197" t="s">
        <v>18</v>
      </c>
      <c r="D48" s="157"/>
      <c r="E48" s="147"/>
      <c r="F48" s="146"/>
      <c r="G48" s="148">
        <v>900000</v>
      </c>
      <c r="H48" s="148"/>
      <c r="I48" s="198"/>
      <c r="J48" s="146"/>
      <c r="K48" s="148">
        <f t="shared" si="0"/>
        <v>900000</v>
      </c>
      <c r="L48" s="192"/>
    </row>
    <row r="49" spans="1:12" x14ac:dyDescent="0.25">
      <c r="A49" s="197"/>
      <c r="B49" s="160" t="s">
        <v>752</v>
      </c>
      <c r="C49" s="197" t="s">
        <v>18</v>
      </c>
      <c r="D49" s="157"/>
      <c r="E49" s="147"/>
      <c r="F49" s="146"/>
      <c r="G49" s="148">
        <v>300000</v>
      </c>
      <c r="H49" s="148"/>
      <c r="I49" s="198"/>
      <c r="J49" s="146"/>
      <c r="K49" s="148">
        <f t="shared" si="0"/>
        <v>300000</v>
      </c>
      <c r="L49" s="192"/>
    </row>
    <row r="50" spans="1:12" x14ac:dyDescent="0.25">
      <c r="A50" s="197"/>
      <c r="B50" s="160" t="s">
        <v>753</v>
      </c>
      <c r="C50" s="197" t="s">
        <v>18</v>
      </c>
      <c r="D50" s="157"/>
      <c r="E50" s="147"/>
      <c r="F50" s="146"/>
      <c r="G50" s="148">
        <v>250000</v>
      </c>
      <c r="H50" s="148"/>
      <c r="I50" s="198"/>
      <c r="J50" s="146"/>
      <c r="K50" s="148">
        <f t="shared" si="0"/>
        <v>250000</v>
      </c>
      <c r="L50" s="192"/>
    </row>
    <row r="51" spans="1:12" x14ac:dyDescent="0.25">
      <c r="A51" s="197"/>
      <c r="B51" s="160" t="s">
        <v>754</v>
      </c>
      <c r="C51" s="197" t="s">
        <v>18</v>
      </c>
      <c r="D51" s="157"/>
      <c r="E51" s="147"/>
      <c r="F51" s="146"/>
      <c r="G51" s="148">
        <v>300000</v>
      </c>
      <c r="H51" s="148"/>
      <c r="I51" s="198"/>
      <c r="J51" s="146"/>
      <c r="K51" s="148">
        <f t="shared" si="0"/>
        <v>300000</v>
      </c>
      <c r="L51" s="192"/>
    </row>
    <row r="52" spans="1:12" x14ac:dyDescent="0.25">
      <c r="A52" s="197"/>
      <c r="B52" s="160"/>
      <c r="C52" s="197"/>
      <c r="D52" s="157"/>
      <c r="E52" s="147"/>
      <c r="F52" s="146"/>
      <c r="G52" s="148"/>
      <c r="H52" s="148"/>
      <c r="I52" s="198"/>
      <c r="J52" s="146"/>
      <c r="K52" s="148"/>
      <c r="L52" s="192"/>
    </row>
    <row r="53" spans="1:12" x14ac:dyDescent="0.25">
      <c r="A53" s="197"/>
      <c r="B53" s="160"/>
      <c r="C53" s="146"/>
      <c r="D53" s="157"/>
      <c r="E53" s="199"/>
      <c r="F53" s="197"/>
      <c r="G53" s="148"/>
      <c r="H53" s="148"/>
      <c r="I53" s="198"/>
      <c r="J53" s="197"/>
      <c r="K53" s="148"/>
      <c r="L53" s="197"/>
    </row>
    <row r="54" spans="1:12" ht="13" x14ac:dyDescent="0.3">
      <c r="A54" s="144" t="s">
        <v>987</v>
      </c>
      <c r="B54" s="172" t="s">
        <v>988</v>
      </c>
      <c r="C54" s="197"/>
      <c r="D54" s="157"/>
      <c r="E54" s="199"/>
      <c r="F54" s="197"/>
      <c r="G54" s="200"/>
      <c r="H54" s="200"/>
      <c r="I54" s="198"/>
      <c r="J54" s="197"/>
      <c r="K54" s="200"/>
      <c r="L54" s="197"/>
    </row>
    <row r="55" spans="1:12" x14ac:dyDescent="0.25">
      <c r="A55" s="197"/>
      <c r="B55" s="193"/>
      <c r="C55" s="197"/>
      <c r="D55" s="157"/>
      <c r="E55" s="199"/>
      <c r="F55" s="197"/>
      <c r="G55" s="200"/>
      <c r="H55" s="200"/>
      <c r="I55" s="198"/>
      <c r="J55" s="197"/>
      <c r="K55" s="200"/>
      <c r="L55" s="197"/>
    </row>
    <row r="56" spans="1:12" ht="13" x14ac:dyDescent="0.3">
      <c r="A56" s="144" t="s">
        <v>5</v>
      </c>
      <c r="B56" s="172" t="s">
        <v>989</v>
      </c>
      <c r="C56" s="192"/>
      <c r="D56" s="158"/>
      <c r="E56" s="194"/>
      <c r="F56" s="192"/>
      <c r="G56" s="201"/>
      <c r="H56" s="201"/>
      <c r="I56" s="198"/>
      <c r="J56" s="192"/>
      <c r="K56" s="201"/>
      <c r="L56" s="197"/>
    </row>
    <row r="57" spans="1:12" x14ac:dyDescent="0.25">
      <c r="A57" s="197"/>
      <c r="B57" s="193"/>
      <c r="C57" s="192"/>
      <c r="D57" s="158"/>
      <c r="E57" s="194"/>
      <c r="F57" s="192"/>
      <c r="G57" s="201"/>
      <c r="H57" s="201"/>
      <c r="I57" s="198"/>
      <c r="J57" s="192"/>
      <c r="K57" s="201"/>
      <c r="L57" s="197"/>
    </row>
    <row r="58" spans="1:12" x14ac:dyDescent="0.25">
      <c r="A58" s="197">
        <v>1</v>
      </c>
      <c r="B58" s="193" t="s">
        <v>990</v>
      </c>
      <c r="C58" s="146" t="s">
        <v>43</v>
      </c>
      <c r="D58" s="157" t="s">
        <v>1382</v>
      </c>
      <c r="E58" s="199"/>
      <c r="F58" s="197"/>
      <c r="G58" s="148">
        <v>150000</v>
      </c>
      <c r="H58" s="148"/>
      <c r="I58" s="198"/>
      <c r="J58" s="197"/>
      <c r="K58" s="148">
        <f t="shared" ref="K58:K131" si="1">+G58+$C$7*J58</f>
        <v>150000</v>
      </c>
      <c r="L58" s="197"/>
    </row>
    <row r="59" spans="1:12" x14ac:dyDescent="0.25">
      <c r="A59" s="197">
        <v>2</v>
      </c>
      <c r="B59" s="207" t="s">
        <v>212</v>
      </c>
      <c r="C59" s="165" t="s">
        <v>213</v>
      </c>
      <c r="D59" s="162" t="s">
        <v>1383</v>
      </c>
      <c r="E59" s="169"/>
      <c r="F59" s="165"/>
      <c r="G59" s="163">
        <v>74</v>
      </c>
      <c r="H59" s="163"/>
      <c r="I59" s="203"/>
      <c r="J59" s="165"/>
      <c r="K59" s="163">
        <f t="shared" si="1"/>
        <v>74</v>
      </c>
      <c r="L59" s="197"/>
    </row>
    <row r="60" spans="1:12" x14ac:dyDescent="0.25">
      <c r="A60" s="197">
        <v>3</v>
      </c>
      <c r="B60" s="160" t="s">
        <v>991</v>
      </c>
      <c r="C60" s="146" t="s">
        <v>13</v>
      </c>
      <c r="D60" s="157" t="s">
        <v>1384</v>
      </c>
      <c r="E60" s="199"/>
      <c r="F60" s="197"/>
      <c r="G60" s="148">
        <v>35000</v>
      </c>
      <c r="H60" s="148"/>
      <c r="I60" s="198"/>
      <c r="J60" s="197"/>
      <c r="K60" s="148">
        <f t="shared" si="1"/>
        <v>35000</v>
      </c>
      <c r="L60" s="197"/>
    </row>
    <row r="61" spans="1:12" x14ac:dyDescent="0.25">
      <c r="A61" s="197">
        <v>4</v>
      </c>
      <c r="B61" s="193" t="s">
        <v>992</v>
      </c>
      <c r="C61" s="197" t="s">
        <v>46</v>
      </c>
      <c r="D61" s="157" t="s">
        <v>1385</v>
      </c>
      <c r="E61" s="199"/>
      <c r="F61" s="197"/>
      <c r="G61" s="148">
        <v>6325</v>
      </c>
      <c r="H61" s="148" t="s">
        <v>1795</v>
      </c>
      <c r="I61" s="198" t="s">
        <v>993</v>
      </c>
      <c r="J61" s="202">
        <v>95.2</v>
      </c>
      <c r="K61" s="148">
        <f t="shared" si="1"/>
        <v>6420.2</v>
      </c>
      <c r="L61" s="197"/>
    </row>
    <row r="62" spans="1:12" x14ac:dyDescent="0.25">
      <c r="A62" s="197">
        <v>5</v>
      </c>
      <c r="B62" s="193" t="s">
        <v>994</v>
      </c>
      <c r="C62" s="197" t="s">
        <v>46</v>
      </c>
      <c r="D62" s="157" t="s">
        <v>1386</v>
      </c>
      <c r="E62" s="199"/>
      <c r="F62" s="197"/>
      <c r="G62" s="148">
        <v>8305</v>
      </c>
      <c r="H62" s="148"/>
      <c r="I62" s="198"/>
      <c r="J62" s="202"/>
      <c r="K62" s="148">
        <f t="shared" si="1"/>
        <v>8305</v>
      </c>
      <c r="L62" s="192"/>
    </row>
    <row r="63" spans="1:12" x14ac:dyDescent="0.25">
      <c r="A63" s="197">
        <v>6</v>
      </c>
      <c r="B63" s="160" t="s">
        <v>995</v>
      </c>
      <c r="C63" s="146" t="s">
        <v>46</v>
      </c>
      <c r="D63" s="157" t="s">
        <v>1387</v>
      </c>
      <c r="E63" s="147"/>
      <c r="F63" s="146"/>
      <c r="G63" s="148">
        <v>450</v>
      </c>
      <c r="H63" s="148"/>
      <c r="I63" s="198"/>
      <c r="J63" s="146"/>
      <c r="K63" s="148">
        <f t="shared" si="1"/>
        <v>450</v>
      </c>
      <c r="L63" s="192"/>
    </row>
    <row r="64" spans="1:12" x14ac:dyDescent="0.25">
      <c r="A64" s="197">
        <v>7</v>
      </c>
      <c r="B64" s="161" t="s">
        <v>1793</v>
      </c>
      <c r="C64" s="165" t="s">
        <v>46</v>
      </c>
      <c r="D64" s="162" t="s">
        <v>1388</v>
      </c>
      <c r="E64" s="169"/>
      <c r="F64" s="165"/>
      <c r="G64" s="163">
        <v>1332</v>
      </c>
      <c r="H64" s="163"/>
      <c r="I64" s="203"/>
      <c r="J64" s="165"/>
      <c r="K64" s="163">
        <f t="shared" si="1"/>
        <v>1332</v>
      </c>
      <c r="L64" s="192"/>
    </row>
    <row r="65" spans="1:12" x14ac:dyDescent="0.25">
      <c r="A65" s="197">
        <v>8</v>
      </c>
      <c r="B65" s="193" t="s">
        <v>996</v>
      </c>
      <c r="C65" s="197" t="s">
        <v>46</v>
      </c>
      <c r="D65" s="157" t="s">
        <v>1389</v>
      </c>
      <c r="E65" s="199"/>
      <c r="F65" s="197"/>
      <c r="G65" s="148">
        <v>13750</v>
      </c>
      <c r="H65" s="148"/>
      <c r="I65" s="198"/>
      <c r="J65" s="197"/>
      <c r="K65" s="148">
        <f t="shared" si="1"/>
        <v>13750</v>
      </c>
      <c r="L65" s="192"/>
    </row>
    <row r="66" spans="1:12" x14ac:dyDescent="0.25">
      <c r="A66" s="197">
        <v>9</v>
      </c>
      <c r="B66" s="160" t="s">
        <v>997</v>
      </c>
      <c r="C66" s="146" t="s">
        <v>43</v>
      </c>
      <c r="D66" s="157" t="s">
        <v>1390</v>
      </c>
      <c r="E66" s="199"/>
      <c r="F66" s="197"/>
      <c r="G66" s="148">
        <v>95000</v>
      </c>
      <c r="H66" s="148" t="s">
        <v>1795</v>
      </c>
      <c r="I66" s="198" t="s">
        <v>1796</v>
      </c>
      <c r="J66" s="202">
        <v>61617</v>
      </c>
      <c r="K66" s="148">
        <f t="shared" si="1"/>
        <v>156617</v>
      </c>
      <c r="L66" s="192"/>
    </row>
    <row r="67" spans="1:12" x14ac:dyDescent="0.25">
      <c r="A67" s="197">
        <v>10</v>
      </c>
      <c r="B67" s="161" t="s">
        <v>1794</v>
      </c>
      <c r="C67" s="165" t="s">
        <v>43</v>
      </c>
      <c r="D67" s="162"/>
      <c r="E67" s="204"/>
      <c r="F67" s="205"/>
      <c r="G67" s="163">
        <v>525030</v>
      </c>
      <c r="H67" s="163"/>
      <c r="I67" s="203"/>
      <c r="J67" s="206"/>
      <c r="K67" s="163">
        <f t="shared" si="1"/>
        <v>525030</v>
      </c>
      <c r="L67" s="192"/>
    </row>
    <row r="68" spans="1:12" x14ac:dyDescent="0.25">
      <c r="A68" s="197">
        <v>11</v>
      </c>
      <c r="B68" s="160" t="s">
        <v>998</v>
      </c>
      <c r="C68" s="146" t="s">
        <v>43</v>
      </c>
      <c r="D68" s="157" t="s">
        <v>1391</v>
      </c>
      <c r="E68" s="199"/>
      <c r="F68" s="197"/>
      <c r="G68" s="148">
        <v>118250</v>
      </c>
      <c r="H68" s="148"/>
      <c r="I68" s="198"/>
      <c r="J68" s="197"/>
      <c r="K68" s="148">
        <f t="shared" si="1"/>
        <v>118250</v>
      </c>
      <c r="L68" s="197"/>
    </row>
    <row r="69" spans="1:12" x14ac:dyDescent="0.25">
      <c r="A69" s="197">
        <v>12</v>
      </c>
      <c r="B69" s="161" t="s">
        <v>1892</v>
      </c>
      <c r="C69" s="165" t="s">
        <v>713</v>
      </c>
      <c r="D69" s="162" t="s">
        <v>1392</v>
      </c>
      <c r="E69" s="204"/>
      <c r="F69" s="205"/>
      <c r="G69" s="163">
        <v>299700</v>
      </c>
      <c r="H69" s="163"/>
      <c r="I69" s="203"/>
      <c r="J69" s="205"/>
      <c r="K69" s="163">
        <f t="shared" si="1"/>
        <v>299700</v>
      </c>
      <c r="L69" s="197"/>
    </row>
    <row r="70" spans="1:12" ht="13" x14ac:dyDescent="0.3">
      <c r="A70" s="197">
        <v>13</v>
      </c>
      <c r="B70" s="207" t="s">
        <v>1893</v>
      </c>
      <c r="C70" s="165" t="s">
        <v>713</v>
      </c>
      <c r="D70" s="162" t="s">
        <v>1393</v>
      </c>
      <c r="E70" s="204"/>
      <c r="F70" s="205"/>
      <c r="G70" s="163">
        <v>299700</v>
      </c>
      <c r="H70" s="163"/>
      <c r="I70" s="203"/>
      <c r="J70" s="205"/>
      <c r="K70" s="163">
        <f t="shared" si="1"/>
        <v>299700</v>
      </c>
      <c r="L70" s="144"/>
    </row>
    <row r="71" spans="1:12" ht="13" x14ac:dyDescent="0.3">
      <c r="A71" s="197">
        <v>14</v>
      </c>
      <c r="B71" s="160" t="s">
        <v>999</v>
      </c>
      <c r="C71" s="146" t="s">
        <v>40</v>
      </c>
      <c r="D71" s="157" t="s">
        <v>1394</v>
      </c>
      <c r="E71" s="199"/>
      <c r="F71" s="197"/>
      <c r="G71" s="148">
        <v>8500</v>
      </c>
      <c r="H71" s="148"/>
      <c r="I71" s="198"/>
      <c r="J71" s="197"/>
      <c r="K71" s="148">
        <f t="shared" si="1"/>
        <v>8500</v>
      </c>
      <c r="L71" s="144"/>
    </row>
    <row r="72" spans="1:12" ht="13" x14ac:dyDescent="0.3">
      <c r="A72" s="197">
        <v>15</v>
      </c>
      <c r="B72" s="160" t="s">
        <v>1000</v>
      </c>
      <c r="C72" s="146" t="s">
        <v>43</v>
      </c>
      <c r="D72" s="157" t="s">
        <v>1395</v>
      </c>
      <c r="E72" s="147"/>
      <c r="F72" s="146"/>
      <c r="G72" s="148">
        <v>875000</v>
      </c>
      <c r="H72" s="148"/>
      <c r="I72" s="198"/>
      <c r="J72" s="146"/>
      <c r="K72" s="148">
        <f t="shared" si="1"/>
        <v>875000</v>
      </c>
      <c r="L72" s="144"/>
    </row>
    <row r="73" spans="1:12" x14ac:dyDescent="0.25">
      <c r="A73" s="197">
        <v>16</v>
      </c>
      <c r="B73" s="160" t="s">
        <v>1001</v>
      </c>
      <c r="C73" s="146" t="s">
        <v>43</v>
      </c>
      <c r="D73" s="157" t="s">
        <v>1396</v>
      </c>
      <c r="E73" s="147"/>
      <c r="F73" s="146"/>
      <c r="G73" s="148">
        <v>938000</v>
      </c>
      <c r="H73" s="148"/>
      <c r="I73" s="198"/>
      <c r="J73" s="146"/>
      <c r="K73" s="148">
        <f t="shared" si="1"/>
        <v>938000</v>
      </c>
      <c r="L73" s="197"/>
    </row>
    <row r="74" spans="1:12" x14ac:dyDescent="0.25">
      <c r="A74" s="197">
        <v>17</v>
      </c>
      <c r="B74" s="160" t="s">
        <v>1002</v>
      </c>
      <c r="C74" s="146" t="s">
        <v>43</v>
      </c>
      <c r="D74" s="157" t="s">
        <v>1397</v>
      </c>
      <c r="E74" s="147"/>
      <c r="F74" s="146"/>
      <c r="G74" s="148">
        <v>958000</v>
      </c>
      <c r="H74" s="148"/>
      <c r="I74" s="198"/>
      <c r="J74" s="146"/>
      <c r="K74" s="148">
        <f t="shared" si="1"/>
        <v>958000</v>
      </c>
      <c r="L74" s="197"/>
    </row>
    <row r="75" spans="1:12" x14ac:dyDescent="0.25">
      <c r="A75" s="197">
        <v>18</v>
      </c>
      <c r="B75" s="160" t="s">
        <v>1003</v>
      </c>
      <c r="C75" s="146" t="s">
        <v>43</v>
      </c>
      <c r="D75" s="157" t="s">
        <v>1398</v>
      </c>
      <c r="E75" s="147"/>
      <c r="F75" s="146"/>
      <c r="G75" s="148">
        <v>970500</v>
      </c>
      <c r="H75" s="148"/>
      <c r="I75" s="198"/>
      <c r="J75" s="146"/>
      <c r="K75" s="148">
        <f t="shared" si="1"/>
        <v>970500</v>
      </c>
      <c r="L75" s="197"/>
    </row>
    <row r="76" spans="1:12" x14ac:dyDescent="0.25">
      <c r="A76" s="197">
        <v>19</v>
      </c>
      <c r="B76" s="160" t="s">
        <v>1004</v>
      </c>
      <c r="C76" s="146" t="s">
        <v>43</v>
      </c>
      <c r="D76" s="157" t="s">
        <v>1399</v>
      </c>
      <c r="E76" s="147"/>
      <c r="F76" s="146"/>
      <c r="G76" s="148">
        <v>978000</v>
      </c>
      <c r="H76" s="148"/>
      <c r="I76" s="198"/>
      <c r="J76" s="146"/>
      <c r="K76" s="148">
        <f t="shared" si="1"/>
        <v>978000</v>
      </c>
      <c r="L76" s="197"/>
    </row>
    <row r="77" spans="1:12" x14ac:dyDescent="0.25">
      <c r="A77" s="197">
        <v>20</v>
      </c>
      <c r="B77" s="161" t="s">
        <v>1810</v>
      </c>
      <c r="C77" s="165" t="s">
        <v>43</v>
      </c>
      <c r="D77" s="162" t="s">
        <v>1400</v>
      </c>
      <c r="E77" s="169"/>
      <c r="F77" s="165"/>
      <c r="G77" s="163">
        <v>2251070</v>
      </c>
      <c r="H77" s="163"/>
      <c r="I77" s="203"/>
      <c r="J77" s="165"/>
      <c r="K77" s="163">
        <f t="shared" si="1"/>
        <v>2251070</v>
      </c>
      <c r="L77" s="197"/>
    </row>
    <row r="78" spans="1:12" x14ac:dyDescent="0.25">
      <c r="A78" s="197">
        <v>21</v>
      </c>
      <c r="B78" s="160" t="s">
        <v>1005</v>
      </c>
      <c r="C78" s="146" t="s">
        <v>43</v>
      </c>
      <c r="D78" s="157" t="s">
        <v>1401</v>
      </c>
      <c r="E78" s="147"/>
      <c r="F78" s="146"/>
      <c r="G78" s="148">
        <v>1029000</v>
      </c>
      <c r="H78" s="148"/>
      <c r="I78" s="198"/>
      <c r="J78" s="146"/>
      <c r="K78" s="148">
        <f t="shared" si="1"/>
        <v>1029000</v>
      </c>
      <c r="L78" s="197"/>
    </row>
    <row r="79" spans="1:12" x14ac:dyDescent="0.25">
      <c r="A79" s="197">
        <v>22</v>
      </c>
      <c r="B79" s="160" t="s">
        <v>1006</v>
      </c>
      <c r="C79" s="146" t="s">
        <v>43</v>
      </c>
      <c r="D79" s="157" t="s">
        <v>1402</v>
      </c>
      <c r="E79" s="147"/>
      <c r="F79" s="146"/>
      <c r="G79" s="148">
        <v>1052500</v>
      </c>
      <c r="H79" s="148"/>
      <c r="I79" s="198"/>
      <c r="J79" s="146"/>
      <c r="K79" s="148">
        <f t="shared" si="1"/>
        <v>1052500</v>
      </c>
      <c r="L79" s="197"/>
    </row>
    <row r="80" spans="1:12" x14ac:dyDescent="0.25">
      <c r="A80" s="197">
        <v>23</v>
      </c>
      <c r="B80" s="160" t="s">
        <v>1007</v>
      </c>
      <c r="C80" s="146" t="s">
        <v>43</v>
      </c>
      <c r="D80" s="157" t="s">
        <v>1403</v>
      </c>
      <c r="E80" s="147"/>
      <c r="F80" s="146"/>
      <c r="G80" s="148">
        <v>1076000</v>
      </c>
      <c r="H80" s="148"/>
      <c r="I80" s="198"/>
      <c r="J80" s="146"/>
      <c r="K80" s="148">
        <f t="shared" si="1"/>
        <v>1076000</v>
      </c>
      <c r="L80" s="197"/>
    </row>
    <row r="81" spans="1:12" x14ac:dyDescent="0.25">
      <c r="A81" s="197">
        <v>24</v>
      </c>
      <c r="B81" s="160" t="s">
        <v>1008</v>
      </c>
      <c r="C81" s="146" t="s">
        <v>43</v>
      </c>
      <c r="D81" s="157" t="s">
        <v>1404</v>
      </c>
      <c r="E81" s="147"/>
      <c r="F81" s="146"/>
      <c r="G81" s="148">
        <v>1085500</v>
      </c>
      <c r="H81" s="148"/>
      <c r="I81" s="198"/>
      <c r="J81" s="146"/>
      <c r="K81" s="148">
        <f t="shared" si="1"/>
        <v>1085500</v>
      </c>
      <c r="L81" s="197"/>
    </row>
    <row r="82" spans="1:12" x14ac:dyDescent="0.25">
      <c r="A82" s="197">
        <v>25</v>
      </c>
      <c r="B82" s="160" t="s">
        <v>1009</v>
      </c>
      <c r="C82" s="146" t="s">
        <v>43</v>
      </c>
      <c r="D82" s="157" t="s">
        <v>1405</v>
      </c>
      <c r="E82" s="147"/>
      <c r="F82" s="146"/>
      <c r="G82" s="148">
        <v>1098200</v>
      </c>
      <c r="H82" s="148"/>
      <c r="I82" s="198"/>
      <c r="J82" s="146"/>
      <c r="K82" s="148">
        <f t="shared" si="1"/>
        <v>1098200</v>
      </c>
      <c r="L82" s="197"/>
    </row>
    <row r="83" spans="1:12" x14ac:dyDescent="0.25">
      <c r="A83" s="197">
        <v>26</v>
      </c>
      <c r="B83" s="160" t="s">
        <v>1010</v>
      </c>
      <c r="C83" s="146" t="s">
        <v>43</v>
      </c>
      <c r="D83" s="157" t="s">
        <v>1406</v>
      </c>
      <c r="E83" s="147"/>
      <c r="F83" s="146"/>
      <c r="G83" s="148">
        <v>1148200</v>
      </c>
      <c r="H83" s="148"/>
      <c r="I83" s="198"/>
      <c r="J83" s="146"/>
      <c r="K83" s="148">
        <f t="shared" si="1"/>
        <v>1148200</v>
      </c>
      <c r="L83" s="197"/>
    </row>
    <row r="84" spans="1:12" x14ac:dyDescent="0.25">
      <c r="A84" s="197">
        <v>27</v>
      </c>
      <c r="B84" s="160" t="s">
        <v>1011</v>
      </c>
      <c r="C84" s="146" t="s">
        <v>43</v>
      </c>
      <c r="D84" s="157" t="s">
        <v>1407</v>
      </c>
      <c r="E84" s="147"/>
      <c r="F84" s="146"/>
      <c r="G84" s="148">
        <v>1200000</v>
      </c>
      <c r="H84" s="148"/>
      <c r="I84" s="198"/>
      <c r="J84" s="146"/>
      <c r="K84" s="148">
        <f t="shared" si="1"/>
        <v>1200000</v>
      </c>
      <c r="L84" s="197"/>
    </row>
    <row r="85" spans="1:12" x14ac:dyDescent="0.25">
      <c r="A85" s="197">
        <v>28</v>
      </c>
      <c r="B85" s="160" t="s">
        <v>1012</v>
      </c>
      <c r="C85" s="197" t="s">
        <v>46</v>
      </c>
      <c r="D85" s="157" t="s">
        <v>1408</v>
      </c>
      <c r="E85" s="199"/>
      <c r="F85" s="197"/>
      <c r="G85" s="148">
        <v>41250</v>
      </c>
      <c r="H85" s="148"/>
      <c r="I85" s="198"/>
      <c r="J85" s="197"/>
      <c r="K85" s="148">
        <f t="shared" si="1"/>
        <v>41250</v>
      </c>
      <c r="L85" s="197"/>
    </row>
    <row r="86" spans="1:12" x14ac:dyDescent="0.25">
      <c r="A86" s="197">
        <v>29</v>
      </c>
      <c r="B86" s="160" t="s">
        <v>1013</v>
      </c>
      <c r="C86" s="197" t="s">
        <v>46</v>
      </c>
      <c r="D86" s="157" t="s">
        <v>1409</v>
      </c>
      <c r="E86" s="199"/>
      <c r="F86" s="197"/>
      <c r="G86" s="148">
        <v>65450</v>
      </c>
      <c r="H86" s="148"/>
      <c r="I86" s="198"/>
      <c r="J86" s="197"/>
      <c r="K86" s="148">
        <f t="shared" si="1"/>
        <v>65450</v>
      </c>
      <c r="L86" s="197"/>
    </row>
    <row r="87" spans="1:12" x14ac:dyDescent="0.25">
      <c r="A87" s="197">
        <v>30</v>
      </c>
      <c r="B87" s="160" t="s">
        <v>1014</v>
      </c>
      <c r="C87" s="197" t="s">
        <v>46</v>
      </c>
      <c r="D87" s="157" t="s">
        <v>1410</v>
      </c>
      <c r="E87" s="199"/>
      <c r="F87" s="197"/>
      <c r="G87" s="148">
        <v>96800</v>
      </c>
      <c r="H87" s="148"/>
      <c r="I87" s="198"/>
      <c r="J87" s="197"/>
      <c r="K87" s="148">
        <f t="shared" si="1"/>
        <v>96800</v>
      </c>
      <c r="L87" s="197"/>
    </row>
    <row r="88" spans="1:12" x14ac:dyDescent="0.25">
      <c r="A88" s="197">
        <v>31</v>
      </c>
      <c r="B88" s="160" t="s">
        <v>1015</v>
      </c>
      <c r="C88" s="197" t="s">
        <v>46</v>
      </c>
      <c r="D88" s="157" t="s">
        <v>1411</v>
      </c>
      <c r="E88" s="199"/>
      <c r="F88" s="197"/>
      <c r="G88" s="148">
        <v>115500</v>
      </c>
      <c r="H88" s="148"/>
      <c r="I88" s="198"/>
      <c r="J88" s="197"/>
      <c r="K88" s="148">
        <f t="shared" si="1"/>
        <v>115500</v>
      </c>
      <c r="L88" s="197"/>
    </row>
    <row r="89" spans="1:12" x14ac:dyDescent="0.25">
      <c r="A89" s="197">
        <v>32</v>
      </c>
      <c r="B89" s="160" t="s">
        <v>1016</v>
      </c>
      <c r="C89" s="197" t="s">
        <v>46</v>
      </c>
      <c r="D89" s="157" t="s">
        <v>1412</v>
      </c>
      <c r="E89" s="199"/>
      <c r="F89" s="197"/>
      <c r="G89" s="148">
        <v>20000</v>
      </c>
      <c r="H89" s="148"/>
      <c r="I89" s="198"/>
      <c r="J89" s="197"/>
      <c r="K89" s="148">
        <f t="shared" si="1"/>
        <v>20000</v>
      </c>
      <c r="L89" s="197"/>
    </row>
    <row r="90" spans="1:12" x14ac:dyDescent="0.25">
      <c r="A90" s="197">
        <v>33</v>
      </c>
      <c r="B90" s="160" t="s">
        <v>1017</v>
      </c>
      <c r="C90" s="197" t="s">
        <v>46</v>
      </c>
      <c r="D90" s="157" t="s">
        <v>1413</v>
      </c>
      <c r="E90" s="199"/>
      <c r="F90" s="197"/>
      <c r="G90" s="148">
        <v>40000</v>
      </c>
      <c r="H90" s="148"/>
      <c r="I90" s="198"/>
      <c r="J90" s="197"/>
      <c r="K90" s="148">
        <f t="shared" si="1"/>
        <v>40000</v>
      </c>
      <c r="L90" s="197"/>
    </row>
    <row r="91" spans="1:12" x14ac:dyDescent="0.25">
      <c r="A91" s="197">
        <v>34</v>
      </c>
      <c r="B91" s="160" t="s">
        <v>1018</v>
      </c>
      <c r="C91" s="197" t="s">
        <v>46</v>
      </c>
      <c r="D91" s="157" t="s">
        <v>1414</v>
      </c>
      <c r="E91" s="199"/>
      <c r="F91" s="197"/>
      <c r="G91" s="148">
        <v>60000</v>
      </c>
      <c r="H91" s="148"/>
      <c r="I91" s="198"/>
      <c r="J91" s="197"/>
      <c r="K91" s="148">
        <f t="shared" si="1"/>
        <v>60000</v>
      </c>
      <c r="L91" s="197"/>
    </row>
    <row r="92" spans="1:12" x14ac:dyDescent="0.25">
      <c r="A92" s="197">
        <v>35</v>
      </c>
      <c r="B92" s="193" t="s">
        <v>1019</v>
      </c>
      <c r="C92" s="146" t="s">
        <v>43</v>
      </c>
      <c r="D92" s="157" t="s">
        <v>1415</v>
      </c>
      <c r="E92" s="199"/>
      <c r="F92" s="197"/>
      <c r="G92" s="148">
        <v>80000</v>
      </c>
      <c r="H92" s="148" t="s">
        <v>1795</v>
      </c>
      <c r="I92" s="198" t="s">
        <v>1796</v>
      </c>
      <c r="J92" s="197">
        <v>80038</v>
      </c>
      <c r="K92" s="148">
        <f t="shared" si="1"/>
        <v>160038</v>
      </c>
      <c r="L92" s="197"/>
    </row>
    <row r="93" spans="1:12" x14ac:dyDescent="0.25">
      <c r="A93" s="197">
        <v>36</v>
      </c>
      <c r="B93" s="161" t="s">
        <v>1914</v>
      </c>
      <c r="C93" s="165" t="s">
        <v>43</v>
      </c>
      <c r="D93" s="162" t="s">
        <v>1798</v>
      </c>
      <c r="E93" s="204"/>
      <c r="F93" s="205"/>
      <c r="G93" s="163">
        <v>317460</v>
      </c>
      <c r="H93" s="163"/>
      <c r="I93" s="203"/>
      <c r="J93" s="206"/>
      <c r="K93" s="163">
        <f t="shared" si="1"/>
        <v>317460</v>
      </c>
      <c r="L93" s="197"/>
    </row>
    <row r="94" spans="1:12" x14ac:dyDescent="0.25">
      <c r="A94" s="197">
        <v>37</v>
      </c>
      <c r="B94" s="161" t="s">
        <v>1800</v>
      </c>
      <c r="C94" s="165" t="s">
        <v>40</v>
      </c>
      <c r="D94" s="162" t="s">
        <v>1799</v>
      </c>
      <c r="E94" s="204"/>
      <c r="F94" s="205"/>
      <c r="G94" s="163">
        <v>242.61</v>
      </c>
      <c r="H94" s="163"/>
      <c r="I94" s="203"/>
      <c r="J94" s="206"/>
      <c r="K94" s="163">
        <f t="shared" ref="K94" si="2">+G94+$C$7*J94</f>
        <v>242.61</v>
      </c>
      <c r="L94" s="197"/>
    </row>
    <row r="95" spans="1:12" x14ac:dyDescent="0.25">
      <c r="A95" s="197">
        <v>38</v>
      </c>
      <c r="B95" s="193" t="s">
        <v>1020</v>
      </c>
      <c r="C95" s="146" t="s">
        <v>43</v>
      </c>
      <c r="D95" s="157" t="s">
        <v>1416</v>
      </c>
      <c r="E95" s="147"/>
      <c r="F95" s="146"/>
      <c r="G95" s="148">
        <v>2000</v>
      </c>
      <c r="H95" s="148" t="s">
        <v>1795</v>
      </c>
      <c r="I95" s="198" t="s">
        <v>1796</v>
      </c>
      <c r="J95" s="146">
        <v>76227</v>
      </c>
      <c r="K95" s="148">
        <f t="shared" si="1"/>
        <v>78227</v>
      </c>
      <c r="L95" s="197"/>
    </row>
    <row r="96" spans="1:12" x14ac:dyDescent="0.25">
      <c r="A96" s="197">
        <v>39</v>
      </c>
      <c r="B96" s="208" t="s">
        <v>50</v>
      </c>
      <c r="C96" s="165" t="s">
        <v>43</v>
      </c>
      <c r="D96" s="162" t="s">
        <v>1417</v>
      </c>
      <c r="E96" s="169"/>
      <c r="F96" s="165"/>
      <c r="G96" s="163">
        <v>259740</v>
      </c>
      <c r="H96" s="163" t="s">
        <v>1795</v>
      </c>
      <c r="I96" s="203" t="s">
        <v>1796</v>
      </c>
      <c r="J96" s="175">
        <v>81309</v>
      </c>
      <c r="K96" s="163">
        <f t="shared" si="1"/>
        <v>341049</v>
      </c>
      <c r="L96" s="197"/>
    </row>
    <row r="97" spans="1:12" x14ac:dyDescent="0.25">
      <c r="A97" s="197">
        <v>40</v>
      </c>
      <c r="B97" s="208" t="s">
        <v>51</v>
      </c>
      <c r="C97" s="165" t="s">
        <v>40</v>
      </c>
      <c r="D97" s="162"/>
      <c r="E97" s="169"/>
      <c r="F97" s="165"/>
      <c r="G97" s="163">
        <v>203</v>
      </c>
      <c r="H97" s="163"/>
      <c r="I97" s="203"/>
      <c r="J97" s="175"/>
      <c r="K97" s="163">
        <f t="shared" si="1"/>
        <v>203</v>
      </c>
      <c r="L97" s="197"/>
    </row>
    <row r="98" spans="1:12" x14ac:dyDescent="0.25">
      <c r="A98" s="197">
        <v>41</v>
      </c>
      <c r="B98" s="208" t="s">
        <v>49</v>
      </c>
      <c r="C98" s="165" t="s">
        <v>43</v>
      </c>
      <c r="D98" s="162" t="s">
        <v>1418</v>
      </c>
      <c r="E98" s="169"/>
      <c r="F98" s="165"/>
      <c r="G98" s="163">
        <v>230880</v>
      </c>
      <c r="H98" s="163"/>
      <c r="I98" s="203"/>
      <c r="J98" s="175"/>
      <c r="K98" s="163">
        <f t="shared" si="1"/>
        <v>230880</v>
      </c>
      <c r="L98" s="197"/>
    </row>
    <row r="99" spans="1:12" x14ac:dyDescent="0.25">
      <c r="A99" s="197">
        <v>42</v>
      </c>
      <c r="B99" s="193" t="s">
        <v>1021</v>
      </c>
      <c r="C99" s="146" t="s">
        <v>43</v>
      </c>
      <c r="D99" s="157" t="s">
        <v>1419</v>
      </c>
      <c r="E99" s="147"/>
      <c r="F99" s="146"/>
      <c r="G99" s="148">
        <v>124300</v>
      </c>
      <c r="H99" s="148"/>
      <c r="I99" s="198"/>
      <c r="J99" s="146"/>
      <c r="K99" s="148">
        <f t="shared" si="1"/>
        <v>124300</v>
      </c>
      <c r="L99" s="192"/>
    </row>
    <row r="100" spans="1:12" x14ac:dyDescent="0.25">
      <c r="A100" s="197">
        <v>43</v>
      </c>
      <c r="B100" s="208" t="s">
        <v>48</v>
      </c>
      <c r="C100" s="165" t="s">
        <v>43</v>
      </c>
      <c r="D100" s="162" t="s">
        <v>1420</v>
      </c>
      <c r="E100" s="169"/>
      <c r="F100" s="165"/>
      <c r="G100" s="163">
        <v>149850</v>
      </c>
      <c r="H100" s="163" t="s">
        <v>1795</v>
      </c>
      <c r="I100" s="203" t="s">
        <v>1022</v>
      </c>
      <c r="J100" s="165">
        <v>3176</v>
      </c>
      <c r="K100" s="163">
        <f t="shared" si="1"/>
        <v>153026</v>
      </c>
      <c r="L100" s="192"/>
    </row>
    <row r="101" spans="1:12" x14ac:dyDescent="0.25">
      <c r="A101" s="197">
        <v>44</v>
      </c>
      <c r="B101" s="208" t="s">
        <v>60</v>
      </c>
      <c r="C101" s="205" t="s">
        <v>40</v>
      </c>
      <c r="D101" s="162" t="s">
        <v>1421</v>
      </c>
      <c r="E101" s="204"/>
      <c r="F101" s="205"/>
      <c r="G101" s="163">
        <v>2331</v>
      </c>
      <c r="H101" s="163"/>
      <c r="I101" s="203"/>
      <c r="J101" s="206"/>
      <c r="K101" s="163">
        <f t="shared" si="1"/>
        <v>2331</v>
      </c>
      <c r="L101" s="197"/>
    </row>
    <row r="102" spans="1:12" x14ac:dyDescent="0.25">
      <c r="A102" s="197">
        <v>45</v>
      </c>
      <c r="B102" s="193" t="s">
        <v>1023</v>
      </c>
      <c r="C102" s="146" t="s">
        <v>43</v>
      </c>
      <c r="D102" s="157" t="s">
        <v>1422</v>
      </c>
      <c r="E102" s="147"/>
      <c r="F102" s="146"/>
      <c r="G102" s="148">
        <v>124300</v>
      </c>
      <c r="H102" s="148"/>
      <c r="I102" s="198"/>
      <c r="J102" s="146"/>
      <c r="K102" s="148">
        <f t="shared" si="1"/>
        <v>124300</v>
      </c>
      <c r="L102" s="197"/>
    </row>
    <row r="103" spans="1:12" x14ac:dyDescent="0.25">
      <c r="A103" s="197">
        <v>46</v>
      </c>
      <c r="B103" s="193" t="s">
        <v>1024</v>
      </c>
      <c r="C103" s="146" t="s">
        <v>43</v>
      </c>
      <c r="D103" s="157" t="s">
        <v>1423</v>
      </c>
      <c r="E103" s="147"/>
      <c r="F103" s="146"/>
      <c r="G103" s="148">
        <v>75350</v>
      </c>
      <c r="H103" s="148"/>
      <c r="I103" s="198"/>
      <c r="J103" s="146"/>
      <c r="K103" s="148">
        <f t="shared" si="1"/>
        <v>75350</v>
      </c>
      <c r="L103" s="197"/>
    </row>
    <row r="104" spans="1:12" x14ac:dyDescent="0.25">
      <c r="A104" s="197">
        <v>47</v>
      </c>
      <c r="B104" s="160" t="s">
        <v>1025</v>
      </c>
      <c r="C104" s="146" t="s">
        <v>43</v>
      </c>
      <c r="D104" s="157" t="s">
        <v>1424</v>
      </c>
      <c r="E104" s="147"/>
      <c r="F104" s="146"/>
      <c r="G104" s="148">
        <v>45000</v>
      </c>
      <c r="H104" s="148"/>
      <c r="I104" s="198"/>
      <c r="J104" s="146"/>
      <c r="K104" s="148">
        <f t="shared" si="1"/>
        <v>45000</v>
      </c>
      <c r="L104" s="197"/>
    </row>
    <row r="105" spans="1:12" x14ac:dyDescent="0.25">
      <c r="A105" s="197">
        <v>48</v>
      </c>
      <c r="B105" s="160" t="s">
        <v>1026</v>
      </c>
      <c r="C105" s="146" t="s">
        <v>43</v>
      </c>
      <c r="D105" s="157" t="s">
        <v>1425</v>
      </c>
      <c r="E105" s="147"/>
      <c r="F105" s="146"/>
      <c r="G105" s="148">
        <v>25000</v>
      </c>
      <c r="H105" s="148"/>
      <c r="I105" s="198"/>
      <c r="J105" s="146"/>
      <c r="K105" s="148">
        <f t="shared" si="1"/>
        <v>25000</v>
      </c>
      <c r="L105" s="197"/>
    </row>
    <row r="106" spans="1:12" x14ac:dyDescent="0.25">
      <c r="A106" s="197">
        <v>49</v>
      </c>
      <c r="B106" s="160" t="s">
        <v>1884</v>
      </c>
      <c r="C106" s="146" t="s">
        <v>43</v>
      </c>
      <c r="D106" s="157"/>
      <c r="E106" s="147"/>
      <c r="F106" s="146"/>
      <c r="G106" s="148">
        <v>80000</v>
      </c>
      <c r="H106" s="148"/>
      <c r="I106" s="198"/>
      <c r="J106" s="146"/>
      <c r="K106" s="148">
        <f t="shared" si="1"/>
        <v>80000</v>
      </c>
      <c r="L106" s="197"/>
    </row>
    <row r="107" spans="1:12" x14ac:dyDescent="0.25">
      <c r="A107" s="197">
        <v>50</v>
      </c>
      <c r="B107" s="161" t="s">
        <v>1838</v>
      </c>
      <c r="C107" s="165" t="s">
        <v>40</v>
      </c>
      <c r="D107" s="162"/>
      <c r="E107" s="169"/>
      <c r="F107" s="165"/>
      <c r="G107" s="163">
        <v>1000</v>
      </c>
      <c r="H107" s="163"/>
      <c r="I107" s="203"/>
      <c r="J107" s="165"/>
      <c r="K107" s="163">
        <f t="shared" si="1"/>
        <v>1000</v>
      </c>
      <c r="L107" s="197"/>
    </row>
    <row r="108" spans="1:12" x14ac:dyDescent="0.25">
      <c r="A108" s="197">
        <v>51</v>
      </c>
      <c r="B108" s="161" t="s">
        <v>1839</v>
      </c>
      <c r="C108" s="165" t="s">
        <v>40</v>
      </c>
      <c r="D108" s="162"/>
      <c r="E108" s="169"/>
      <c r="F108" s="165"/>
      <c r="G108" s="163">
        <v>46620</v>
      </c>
      <c r="H108" s="163"/>
      <c r="I108" s="203"/>
      <c r="J108" s="165"/>
      <c r="K108" s="163">
        <f t="shared" si="1"/>
        <v>46620</v>
      </c>
      <c r="L108" s="197"/>
    </row>
    <row r="109" spans="1:12" x14ac:dyDescent="0.25">
      <c r="A109" s="197">
        <v>52</v>
      </c>
      <c r="B109" s="193" t="s">
        <v>1027</v>
      </c>
      <c r="C109" s="197" t="s">
        <v>162</v>
      </c>
      <c r="D109" s="157" t="s">
        <v>1426</v>
      </c>
      <c r="E109" s="199"/>
      <c r="F109" s="197"/>
      <c r="G109" s="148">
        <v>50000</v>
      </c>
      <c r="H109" s="148"/>
      <c r="I109" s="198"/>
      <c r="J109" s="197"/>
      <c r="K109" s="148">
        <f t="shared" si="1"/>
        <v>50000</v>
      </c>
      <c r="L109" s="197"/>
    </row>
    <row r="110" spans="1:12" x14ac:dyDescent="0.25">
      <c r="A110" s="197">
        <v>53</v>
      </c>
      <c r="B110" s="193" t="s">
        <v>1028</v>
      </c>
      <c r="C110" s="197" t="s">
        <v>162</v>
      </c>
      <c r="D110" s="157" t="s">
        <v>1427</v>
      </c>
      <c r="E110" s="199"/>
      <c r="F110" s="197"/>
      <c r="G110" s="148">
        <v>110000</v>
      </c>
      <c r="H110" s="148"/>
      <c r="I110" s="198"/>
      <c r="J110" s="197"/>
      <c r="K110" s="148">
        <f t="shared" si="1"/>
        <v>110000</v>
      </c>
      <c r="L110" s="197"/>
    </row>
    <row r="111" spans="1:12" x14ac:dyDescent="0.25">
      <c r="A111" s="197">
        <v>54</v>
      </c>
      <c r="B111" s="193" t="s">
        <v>1029</v>
      </c>
      <c r="C111" s="197" t="s">
        <v>162</v>
      </c>
      <c r="D111" s="157" t="s">
        <v>1428</v>
      </c>
      <c r="E111" s="199"/>
      <c r="F111" s="197"/>
      <c r="G111" s="148">
        <v>315000</v>
      </c>
      <c r="H111" s="148"/>
      <c r="I111" s="198"/>
      <c r="J111" s="197"/>
      <c r="K111" s="148">
        <f t="shared" si="1"/>
        <v>315000</v>
      </c>
      <c r="L111" s="192"/>
    </row>
    <row r="112" spans="1:12" x14ac:dyDescent="0.25">
      <c r="A112" s="197">
        <v>55</v>
      </c>
      <c r="B112" s="193" t="s">
        <v>1030</v>
      </c>
      <c r="C112" s="197" t="s">
        <v>162</v>
      </c>
      <c r="D112" s="157" t="s">
        <v>1429</v>
      </c>
      <c r="E112" s="199"/>
      <c r="F112" s="197"/>
      <c r="G112" s="148">
        <v>550000</v>
      </c>
      <c r="H112" s="148"/>
      <c r="I112" s="198"/>
      <c r="J112" s="197"/>
      <c r="K112" s="148">
        <f t="shared" si="1"/>
        <v>550000</v>
      </c>
      <c r="L112" s="192"/>
    </row>
    <row r="113" spans="1:12" x14ac:dyDescent="0.25">
      <c r="A113" s="197">
        <v>56</v>
      </c>
      <c r="B113" s="193" t="s">
        <v>1031</v>
      </c>
      <c r="C113" s="197" t="s">
        <v>162</v>
      </c>
      <c r="D113" s="157" t="s">
        <v>1430</v>
      </c>
      <c r="E113" s="199"/>
      <c r="F113" s="197"/>
      <c r="G113" s="148">
        <v>135000</v>
      </c>
      <c r="H113" s="148"/>
      <c r="I113" s="198"/>
      <c r="J113" s="197"/>
      <c r="K113" s="148">
        <f t="shared" si="1"/>
        <v>135000</v>
      </c>
      <c r="L113" s="192"/>
    </row>
    <row r="114" spans="1:12" x14ac:dyDescent="0.25">
      <c r="A114" s="197">
        <v>57</v>
      </c>
      <c r="B114" s="193" t="s">
        <v>1032</v>
      </c>
      <c r="C114" s="197" t="s">
        <v>162</v>
      </c>
      <c r="D114" s="157" t="s">
        <v>1431</v>
      </c>
      <c r="E114" s="199"/>
      <c r="F114" s="197"/>
      <c r="G114" s="148">
        <v>240000</v>
      </c>
      <c r="H114" s="148"/>
      <c r="I114" s="198"/>
      <c r="J114" s="197"/>
      <c r="K114" s="148">
        <f t="shared" si="1"/>
        <v>240000</v>
      </c>
      <c r="L114" s="192"/>
    </row>
    <row r="115" spans="1:12" x14ac:dyDescent="0.25">
      <c r="A115" s="197">
        <v>58</v>
      </c>
      <c r="B115" s="193" t="s">
        <v>1033</v>
      </c>
      <c r="C115" s="197" t="s">
        <v>162</v>
      </c>
      <c r="D115" s="157" t="s">
        <v>1432</v>
      </c>
      <c r="E115" s="199"/>
      <c r="F115" s="197"/>
      <c r="G115" s="148">
        <v>55000</v>
      </c>
      <c r="H115" s="148"/>
      <c r="I115" s="198"/>
      <c r="J115" s="197"/>
      <c r="K115" s="148">
        <f t="shared" si="1"/>
        <v>55000</v>
      </c>
      <c r="L115" s="192"/>
    </row>
    <row r="116" spans="1:12" x14ac:dyDescent="0.25">
      <c r="A116" s="197">
        <v>59</v>
      </c>
      <c r="B116" s="193" t="s">
        <v>1034</v>
      </c>
      <c r="C116" s="197" t="s">
        <v>162</v>
      </c>
      <c r="D116" s="157" t="s">
        <v>1433</v>
      </c>
      <c r="E116" s="199"/>
      <c r="F116" s="197"/>
      <c r="G116" s="148">
        <v>120000</v>
      </c>
      <c r="H116" s="148"/>
      <c r="I116" s="198"/>
      <c r="J116" s="197"/>
      <c r="K116" s="148">
        <f t="shared" si="1"/>
        <v>120000</v>
      </c>
      <c r="L116" s="192"/>
    </row>
    <row r="117" spans="1:12" x14ac:dyDescent="0.25">
      <c r="A117" s="197">
        <v>60</v>
      </c>
      <c r="B117" s="193" t="s">
        <v>1035</v>
      </c>
      <c r="C117" s="197" t="s">
        <v>162</v>
      </c>
      <c r="D117" s="157" t="s">
        <v>1434</v>
      </c>
      <c r="E117" s="199"/>
      <c r="F117" s="197"/>
      <c r="G117" s="148">
        <v>125000</v>
      </c>
      <c r="H117" s="148"/>
      <c r="I117" s="198"/>
      <c r="J117" s="197"/>
      <c r="K117" s="148">
        <f t="shared" si="1"/>
        <v>125000</v>
      </c>
      <c r="L117" s="192"/>
    </row>
    <row r="118" spans="1:12" x14ac:dyDescent="0.25">
      <c r="A118" s="197">
        <v>61</v>
      </c>
      <c r="B118" s="193" t="s">
        <v>1036</v>
      </c>
      <c r="C118" s="197" t="s">
        <v>162</v>
      </c>
      <c r="D118" s="157" t="s">
        <v>1435</v>
      </c>
      <c r="E118" s="199"/>
      <c r="F118" s="197"/>
      <c r="G118" s="148">
        <v>210000</v>
      </c>
      <c r="H118" s="148"/>
      <c r="I118" s="198"/>
      <c r="J118" s="197"/>
      <c r="K118" s="148">
        <f t="shared" si="1"/>
        <v>210000</v>
      </c>
      <c r="L118" s="192"/>
    </row>
    <row r="119" spans="1:12" x14ac:dyDescent="0.25">
      <c r="A119" s="197">
        <v>62</v>
      </c>
      <c r="B119" s="160" t="s">
        <v>1037</v>
      </c>
      <c r="C119" s="197" t="s">
        <v>162</v>
      </c>
      <c r="D119" s="157" t="s">
        <v>1436</v>
      </c>
      <c r="E119" s="199"/>
      <c r="F119" s="197"/>
      <c r="G119" s="148">
        <v>385000</v>
      </c>
      <c r="H119" s="148"/>
      <c r="I119" s="198"/>
      <c r="J119" s="197"/>
      <c r="K119" s="148">
        <f t="shared" si="1"/>
        <v>385000</v>
      </c>
      <c r="L119" s="192"/>
    </row>
    <row r="120" spans="1:12" x14ac:dyDescent="0.25">
      <c r="A120" s="197">
        <v>63</v>
      </c>
      <c r="B120" s="161" t="s">
        <v>1823</v>
      </c>
      <c r="C120" s="205" t="s">
        <v>162</v>
      </c>
      <c r="D120" s="162"/>
      <c r="E120" s="204"/>
      <c r="F120" s="205"/>
      <c r="G120" s="163">
        <v>805000</v>
      </c>
      <c r="H120" s="163"/>
      <c r="I120" s="203"/>
      <c r="J120" s="205"/>
      <c r="K120" s="163">
        <f t="shared" si="1"/>
        <v>805000</v>
      </c>
      <c r="L120" s="192"/>
    </row>
    <row r="121" spans="1:12" x14ac:dyDescent="0.25">
      <c r="A121" s="197">
        <v>64</v>
      </c>
      <c r="B121" s="160" t="s">
        <v>1813</v>
      </c>
      <c r="C121" s="197" t="s">
        <v>162</v>
      </c>
      <c r="D121" s="157"/>
      <c r="E121" s="199"/>
      <c r="F121" s="197"/>
      <c r="G121" s="148">
        <v>1095000</v>
      </c>
      <c r="H121" s="148"/>
      <c r="I121" s="198"/>
      <c r="J121" s="197"/>
      <c r="K121" s="148">
        <f t="shared" si="1"/>
        <v>1095000</v>
      </c>
      <c r="L121" s="192"/>
    </row>
    <row r="122" spans="1:12" x14ac:dyDescent="0.25">
      <c r="A122" s="197">
        <v>65</v>
      </c>
      <c r="B122" s="161" t="s">
        <v>1814</v>
      </c>
      <c r="C122" s="205" t="s">
        <v>162</v>
      </c>
      <c r="D122" s="162"/>
      <c r="E122" s="204"/>
      <c r="F122" s="205"/>
      <c r="G122" s="163">
        <v>1300000</v>
      </c>
      <c r="H122" s="163"/>
      <c r="I122" s="203"/>
      <c r="J122" s="205"/>
      <c r="K122" s="163">
        <f t="shared" si="1"/>
        <v>1300000</v>
      </c>
      <c r="L122" s="192"/>
    </row>
    <row r="123" spans="1:12" x14ac:dyDescent="0.25">
      <c r="A123" s="197">
        <v>66</v>
      </c>
      <c r="B123" s="160" t="s">
        <v>1815</v>
      </c>
      <c r="C123" s="197" t="s">
        <v>162</v>
      </c>
      <c r="D123" s="157"/>
      <c r="E123" s="199"/>
      <c r="F123" s="197"/>
      <c r="G123" s="148">
        <v>2027000</v>
      </c>
      <c r="H123" s="148"/>
      <c r="I123" s="198"/>
      <c r="J123" s="197"/>
      <c r="K123" s="148">
        <f t="shared" si="1"/>
        <v>2027000</v>
      </c>
      <c r="L123" s="192"/>
    </row>
    <row r="124" spans="1:12" x14ac:dyDescent="0.25">
      <c r="A124" s="197">
        <v>67</v>
      </c>
      <c r="B124" s="161" t="s">
        <v>1824</v>
      </c>
      <c r="C124" s="205" t="s">
        <v>162</v>
      </c>
      <c r="D124" s="162"/>
      <c r="E124" s="204"/>
      <c r="F124" s="205"/>
      <c r="G124" s="163">
        <v>2815000</v>
      </c>
      <c r="H124" s="163"/>
      <c r="I124" s="203"/>
      <c r="J124" s="205"/>
      <c r="K124" s="163">
        <f t="shared" si="1"/>
        <v>2815000</v>
      </c>
      <c r="L124" s="192"/>
    </row>
    <row r="125" spans="1:12" x14ac:dyDescent="0.25">
      <c r="A125" s="197">
        <v>68</v>
      </c>
      <c r="B125" s="160" t="s">
        <v>1817</v>
      </c>
      <c r="C125" s="197" t="s">
        <v>162</v>
      </c>
      <c r="D125" s="157"/>
      <c r="E125" s="199"/>
      <c r="F125" s="197"/>
      <c r="G125" s="148">
        <v>3825000</v>
      </c>
      <c r="H125" s="148"/>
      <c r="I125" s="198"/>
      <c r="J125" s="197"/>
      <c r="K125" s="148">
        <f t="shared" si="1"/>
        <v>3825000</v>
      </c>
      <c r="L125" s="192"/>
    </row>
    <row r="126" spans="1:12" x14ac:dyDescent="0.25">
      <c r="A126" s="197">
        <v>69</v>
      </c>
      <c r="B126" s="160" t="s">
        <v>1818</v>
      </c>
      <c r="C126" s="197" t="s">
        <v>162</v>
      </c>
      <c r="D126" s="157"/>
      <c r="E126" s="199"/>
      <c r="F126" s="197"/>
      <c r="G126" s="148">
        <v>5184000</v>
      </c>
      <c r="H126" s="148"/>
      <c r="I126" s="198"/>
      <c r="J126" s="197"/>
      <c r="K126" s="148">
        <f t="shared" si="1"/>
        <v>5184000</v>
      </c>
      <c r="L126" s="192"/>
    </row>
    <row r="127" spans="1:12" x14ac:dyDescent="0.25">
      <c r="A127" s="197">
        <v>70</v>
      </c>
      <c r="B127" s="160" t="s">
        <v>1819</v>
      </c>
      <c r="C127" s="197" t="s">
        <v>162</v>
      </c>
      <c r="D127" s="157"/>
      <c r="E127" s="199"/>
      <c r="F127" s="197"/>
      <c r="G127" s="148">
        <v>5715000</v>
      </c>
      <c r="H127" s="148"/>
      <c r="I127" s="198"/>
      <c r="J127" s="197"/>
      <c r="K127" s="148">
        <f t="shared" si="1"/>
        <v>5715000</v>
      </c>
      <c r="L127" s="192"/>
    </row>
    <row r="128" spans="1:12" x14ac:dyDescent="0.25">
      <c r="A128" s="197">
        <v>71</v>
      </c>
      <c r="B128" s="160" t="s">
        <v>1820</v>
      </c>
      <c r="C128" s="197" t="s">
        <v>162</v>
      </c>
      <c r="D128" s="157"/>
      <c r="E128" s="199"/>
      <c r="F128" s="197"/>
      <c r="G128" s="148">
        <v>8200000</v>
      </c>
      <c r="H128" s="148"/>
      <c r="I128" s="198"/>
      <c r="J128" s="197"/>
      <c r="K128" s="148">
        <f t="shared" si="1"/>
        <v>8200000</v>
      </c>
      <c r="L128" s="192"/>
    </row>
    <row r="129" spans="1:12" x14ac:dyDescent="0.25">
      <c r="A129" s="197">
        <v>72</v>
      </c>
      <c r="B129" s="160" t="s">
        <v>1821</v>
      </c>
      <c r="C129" s="197" t="s">
        <v>162</v>
      </c>
      <c r="D129" s="157"/>
      <c r="E129" s="199"/>
      <c r="F129" s="197"/>
      <c r="G129" s="148">
        <v>11650000</v>
      </c>
      <c r="H129" s="148"/>
      <c r="I129" s="198"/>
      <c r="J129" s="197"/>
      <c r="K129" s="148">
        <f t="shared" si="1"/>
        <v>11650000</v>
      </c>
      <c r="L129" s="192"/>
    </row>
    <row r="130" spans="1:12" x14ac:dyDescent="0.25">
      <c r="A130" s="197">
        <v>73</v>
      </c>
      <c r="B130" s="160" t="s">
        <v>1822</v>
      </c>
      <c r="C130" s="197" t="s">
        <v>162</v>
      </c>
      <c r="D130" s="157"/>
      <c r="E130" s="199"/>
      <c r="F130" s="197"/>
      <c r="G130" s="148">
        <v>21400000</v>
      </c>
      <c r="H130" s="148"/>
      <c r="I130" s="198"/>
      <c r="J130" s="197"/>
      <c r="K130" s="148">
        <f t="shared" si="1"/>
        <v>21400000</v>
      </c>
      <c r="L130" s="192"/>
    </row>
    <row r="131" spans="1:12" x14ac:dyDescent="0.25">
      <c r="A131" s="197">
        <v>74</v>
      </c>
      <c r="B131" s="160" t="s">
        <v>920</v>
      </c>
      <c r="C131" s="197" t="s">
        <v>696</v>
      </c>
      <c r="D131" s="157"/>
      <c r="E131" s="199"/>
      <c r="F131" s="197"/>
      <c r="G131" s="148"/>
      <c r="H131" s="148"/>
      <c r="I131" s="198"/>
      <c r="J131" s="197"/>
      <c r="K131" s="148">
        <f t="shared" si="1"/>
        <v>0</v>
      </c>
      <c r="L131" s="192"/>
    </row>
    <row r="132" spans="1:12" x14ac:dyDescent="0.25">
      <c r="A132" s="197">
        <v>75</v>
      </c>
      <c r="B132" s="160" t="s">
        <v>921</v>
      </c>
      <c r="C132" s="197" t="s">
        <v>696</v>
      </c>
      <c r="D132" s="157"/>
      <c r="E132" s="199"/>
      <c r="F132" s="197"/>
      <c r="G132" s="148"/>
      <c r="H132" s="148"/>
      <c r="I132" s="198"/>
      <c r="J132" s="197"/>
      <c r="K132" s="148">
        <f t="shared" ref="K132:K164" si="3">+G132+$C$7*J132</f>
        <v>0</v>
      </c>
      <c r="L132" s="192"/>
    </row>
    <row r="133" spans="1:12" x14ac:dyDescent="0.25">
      <c r="A133" s="197">
        <v>76</v>
      </c>
      <c r="B133" s="160" t="s">
        <v>922</v>
      </c>
      <c r="C133" s="197" t="s">
        <v>696</v>
      </c>
      <c r="D133" s="157"/>
      <c r="E133" s="199"/>
      <c r="F133" s="197"/>
      <c r="G133" s="148"/>
      <c r="H133" s="148"/>
      <c r="I133" s="198"/>
      <c r="J133" s="197"/>
      <c r="K133" s="148">
        <f t="shared" si="3"/>
        <v>0</v>
      </c>
      <c r="L133" s="192"/>
    </row>
    <row r="134" spans="1:12" x14ac:dyDescent="0.25">
      <c r="A134" s="197">
        <v>77</v>
      </c>
      <c r="B134" s="160" t="s">
        <v>923</v>
      </c>
      <c r="C134" s="197" t="s">
        <v>696</v>
      </c>
      <c r="D134" s="157"/>
      <c r="E134" s="199"/>
      <c r="F134" s="197"/>
      <c r="G134" s="148"/>
      <c r="H134" s="148"/>
      <c r="I134" s="198"/>
      <c r="J134" s="197"/>
      <c r="K134" s="148">
        <f t="shared" si="3"/>
        <v>0</v>
      </c>
      <c r="L134" s="192"/>
    </row>
    <row r="135" spans="1:12" x14ac:dyDescent="0.25">
      <c r="A135" s="197">
        <v>78</v>
      </c>
      <c r="B135" s="160" t="s">
        <v>951</v>
      </c>
      <c r="C135" s="197" t="s">
        <v>696</v>
      </c>
      <c r="D135" s="157"/>
      <c r="E135" s="199"/>
      <c r="F135" s="197"/>
      <c r="G135" s="148"/>
      <c r="H135" s="148"/>
      <c r="I135" s="198"/>
      <c r="J135" s="197"/>
      <c r="K135" s="148">
        <f t="shared" si="3"/>
        <v>0</v>
      </c>
      <c r="L135" s="192"/>
    </row>
    <row r="136" spans="1:12" x14ac:dyDescent="0.25">
      <c r="A136" s="197">
        <v>79</v>
      </c>
      <c r="B136" s="160" t="s">
        <v>924</v>
      </c>
      <c r="C136" s="197" t="s">
        <v>696</v>
      </c>
      <c r="D136" s="157"/>
      <c r="E136" s="199"/>
      <c r="F136" s="197"/>
      <c r="G136" s="148"/>
      <c r="H136" s="148"/>
      <c r="I136" s="198"/>
      <c r="J136" s="197"/>
      <c r="K136" s="148">
        <f t="shared" si="3"/>
        <v>0</v>
      </c>
      <c r="L136" s="192"/>
    </row>
    <row r="137" spans="1:12" x14ac:dyDescent="0.25">
      <c r="A137" s="197">
        <v>80</v>
      </c>
      <c r="B137" s="160" t="s">
        <v>952</v>
      </c>
      <c r="C137" s="197" t="s">
        <v>696</v>
      </c>
      <c r="D137" s="157"/>
      <c r="E137" s="199"/>
      <c r="F137" s="197"/>
      <c r="G137" s="148"/>
      <c r="H137" s="148"/>
      <c r="I137" s="198"/>
      <c r="J137" s="197"/>
      <c r="K137" s="148">
        <f t="shared" si="3"/>
        <v>0</v>
      </c>
      <c r="L137" s="192"/>
    </row>
    <row r="138" spans="1:12" x14ac:dyDescent="0.25">
      <c r="A138" s="197">
        <v>81</v>
      </c>
      <c r="B138" s="161" t="s">
        <v>925</v>
      </c>
      <c r="C138" s="205" t="s">
        <v>696</v>
      </c>
      <c r="D138" s="162"/>
      <c r="E138" s="204"/>
      <c r="F138" s="205"/>
      <c r="G138" s="163">
        <v>466000</v>
      </c>
      <c r="H138" s="163"/>
      <c r="I138" s="203"/>
      <c r="J138" s="205"/>
      <c r="K138" s="163">
        <f t="shared" si="3"/>
        <v>466000</v>
      </c>
      <c r="L138" s="192"/>
    </row>
    <row r="139" spans="1:12" x14ac:dyDescent="0.25">
      <c r="A139" s="197">
        <v>82</v>
      </c>
      <c r="B139" s="161" t="s">
        <v>953</v>
      </c>
      <c r="C139" s="205" t="s">
        <v>696</v>
      </c>
      <c r="D139" s="162"/>
      <c r="E139" s="204"/>
      <c r="F139" s="205"/>
      <c r="G139" s="163">
        <v>548000</v>
      </c>
      <c r="H139" s="163"/>
      <c r="I139" s="203"/>
      <c r="J139" s="205"/>
      <c r="K139" s="163">
        <f t="shared" si="3"/>
        <v>548000</v>
      </c>
      <c r="L139" s="192"/>
    </row>
    <row r="140" spans="1:12" x14ac:dyDescent="0.25">
      <c r="A140" s="197">
        <v>83</v>
      </c>
      <c r="B140" s="160" t="s">
        <v>926</v>
      </c>
      <c r="C140" s="197" t="s">
        <v>696</v>
      </c>
      <c r="D140" s="157"/>
      <c r="E140" s="199"/>
      <c r="F140" s="197"/>
      <c r="G140" s="148"/>
      <c r="H140" s="148"/>
      <c r="I140" s="198"/>
      <c r="J140" s="197"/>
      <c r="K140" s="148">
        <f t="shared" si="3"/>
        <v>0</v>
      </c>
      <c r="L140" s="192"/>
    </row>
    <row r="141" spans="1:12" x14ac:dyDescent="0.25">
      <c r="A141" s="197">
        <v>84</v>
      </c>
      <c r="B141" s="160" t="s">
        <v>939</v>
      </c>
      <c r="C141" s="197" t="s">
        <v>696</v>
      </c>
      <c r="D141" s="157"/>
      <c r="E141" s="199"/>
      <c r="F141" s="197"/>
      <c r="G141" s="148"/>
      <c r="H141" s="148"/>
      <c r="I141" s="198"/>
      <c r="J141" s="197"/>
      <c r="K141" s="148">
        <f t="shared" si="3"/>
        <v>0</v>
      </c>
      <c r="L141" s="192"/>
    </row>
    <row r="142" spans="1:12" x14ac:dyDescent="0.25">
      <c r="A142" s="197">
        <v>85</v>
      </c>
      <c r="B142" s="160" t="s">
        <v>927</v>
      </c>
      <c r="C142" s="197" t="s">
        <v>696</v>
      </c>
      <c r="D142" s="157"/>
      <c r="E142" s="199"/>
      <c r="F142" s="197"/>
      <c r="G142" s="148"/>
      <c r="H142" s="148"/>
      <c r="I142" s="198"/>
      <c r="J142" s="197"/>
      <c r="K142" s="148">
        <f t="shared" si="3"/>
        <v>0</v>
      </c>
      <c r="L142" s="192"/>
    </row>
    <row r="143" spans="1:12" x14ac:dyDescent="0.25">
      <c r="A143" s="197">
        <v>86</v>
      </c>
      <c r="B143" s="160" t="s">
        <v>940</v>
      </c>
      <c r="C143" s="197" t="s">
        <v>696</v>
      </c>
      <c r="D143" s="157"/>
      <c r="E143" s="199"/>
      <c r="F143" s="197"/>
      <c r="G143" s="148"/>
      <c r="H143" s="148"/>
      <c r="I143" s="198"/>
      <c r="J143" s="197"/>
      <c r="K143" s="148">
        <f t="shared" si="3"/>
        <v>0</v>
      </c>
      <c r="L143" s="192"/>
    </row>
    <row r="144" spans="1:12" x14ac:dyDescent="0.25">
      <c r="A144" s="197">
        <v>87</v>
      </c>
      <c r="B144" s="160" t="s">
        <v>928</v>
      </c>
      <c r="C144" s="197" t="s">
        <v>696</v>
      </c>
      <c r="D144" s="157"/>
      <c r="E144" s="199"/>
      <c r="F144" s="197"/>
      <c r="G144" s="148"/>
      <c r="H144" s="148"/>
      <c r="I144" s="198"/>
      <c r="J144" s="197"/>
      <c r="K144" s="148">
        <f t="shared" si="3"/>
        <v>0</v>
      </c>
      <c r="L144" s="192"/>
    </row>
    <row r="145" spans="1:12" x14ac:dyDescent="0.25">
      <c r="A145" s="197">
        <v>88</v>
      </c>
      <c r="B145" s="160" t="s">
        <v>941</v>
      </c>
      <c r="C145" s="197" t="s">
        <v>696</v>
      </c>
      <c r="D145" s="157"/>
      <c r="E145" s="199"/>
      <c r="F145" s="197"/>
      <c r="G145" s="148"/>
      <c r="H145" s="148"/>
      <c r="I145" s="198"/>
      <c r="J145" s="197"/>
      <c r="K145" s="148">
        <f t="shared" si="3"/>
        <v>0</v>
      </c>
      <c r="L145" s="192"/>
    </row>
    <row r="146" spans="1:12" x14ac:dyDescent="0.25">
      <c r="A146" s="197">
        <v>89</v>
      </c>
      <c r="B146" s="160" t="s">
        <v>929</v>
      </c>
      <c r="C146" s="197" t="s">
        <v>696</v>
      </c>
      <c r="D146" s="157"/>
      <c r="E146" s="199"/>
      <c r="F146" s="197"/>
      <c r="G146" s="148"/>
      <c r="H146" s="148"/>
      <c r="I146" s="198"/>
      <c r="J146" s="197"/>
      <c r="K146" s="148">
        <f t="shared" si="3"/>
        <v>0</v>
      </c>
      <c r="L146" s="192"/>
    </row>
    <row r="147" spans="1:12" x14ac:dyDescent="0.25">
      <c r="A147" s="197">
        <v>90</v>
      </c>
      <c r="B147" s="160" t="s">
        <v>942</v>
      </c>
      <c r="C147" s="197" t="s">
        <v>696</v>
      </c>
      <c r="D147" s="157"/>
      <c r="E147" s="199"/>
      <c r="F147" s="197"/>
      <c r="G147" s="148"/>
      <c r="H147" s="148"/>
      <c r="I147" s="198"/>
      <c r="J147" s="197"/>
      <c r="K147" s="148">
        <f t="shared" si="3"/>
        <v>0</v>
      </c>
      <c r="L147" s="192"/>
    </row>
    <row r="148" spans="1:12" x14ac:dyDescent="0.25">
      <c r="A148" s="197">
        <v>91</v>
      </c>
      <c r="B148" s="160" t="s">
        <v>930</v>
      </c>
      <c r="C148" s="197" t="s">
        <v>696</v>
      </c>
      <c r="D148" s="157"/>
      <c r="E148" s="199"/>
      <c r="F148" s="197"/>
      <c r="G148" s="148"/>
      <c r="H148" s="148"/>
      <c r="I148" s="198"/>
      <c r="J148" s="197"/>
      <c r="K148" s="148">
        <f t="shared" si="3"/>
        <v>0</v>
      </c>
      <c r="L148" s="192"/>
    </row>
    <row r="149" spans="1:12" x14ac:dyDescent="0.25">
      <c r="A149" s="197">
        <v>92</v>
      </c>
      <c r="B149" s="160" t="s">
        <v>943</v>
      </c>
      <c r="C149" s="197" t="s">
        <v>696</v>
      </c>
      <c r="D149" s="157"/>
      <c r="E149" s="199"/>
      <c r="F149" s="197"/>
      <c r="G149" s="148"/>
      <c r="H149" s="148"/>
      <c r="I149" s="198"/>
      <c r="J149" s="197"/>
      <c r="K149" s="148">
        <f t="shared" si="3"/>
        <v>0</v>
      </c>
      <c r="L149" s="192"/>
    </row>
    <row r="150" spans="1:12" x14ac:dyDescent="0.25">
      <c r="A150" s="197">
        <v>93</v>
      </c>
      <c r="B150" s="160" t="s">
        <v>931</v>
      </c>
      <c r="C150" s="197" t="s">
        <v>696</v>
      </c>
      <c r="D150" s="157"/>
      <c r="E150" s="199"/>
      <c r="F150" s="197"/>
      <c r="G150" s="148"/>
      <c r="H150" s="148"/>
      <c r="I150" s="198"/>
      <c r="J150" s="197"/>
      <c r="K150" s="148">
        <f t="shared" si="3"/>
        <v>0</v>
      </c>
      <c r="L150" s="192"/>
    </row>
    <row r="151" spans="1:12" x14ac:dyDescent="0.25">
      <c r="A151" s="197">
        <v>94</v>
      </c>
      <c r="B151" s="160" t="s">
        <v>944</v>
      </c>
      <c r="C151" s="197" t="s">
        <v>696</v>
      </c>
      <c r="D151" s="157"/>
      <c r="E151" s="199"/>
      <c r="F151" s="197"/>
      <c r="G151" s="148"/>
      <c r="H151" s="148"/>
      <c r="I151" s="198"/>
      <c r="J151" s="197"/>
      <c r="K151" s="148">
        <f t="shared" si="3"/>
        <v>0</v>
      </c>
      <c r="L151" s="192"/>
    </row>
    <row r="152" spans="1:12" x14ac:dyDescent="0.25">
      <c r="A152" s="197">
        <v>95</v>
      </c>
      <c r="B152" s="160" t="s">
        <v>932</v>
      </c>
      <c r="C152" s="197" t="s">
        <v>696</v>
      </c>
      <c r="D152" s="157"/>
      <c r="E152" s="199"/>
      <c r="F152" s="197"/>
      <c r="G152" s="148"/>
      <c r="H152" s="148"/>
      <c r="I152" s="198"/>
      <c r="J152" s="197"/>
      <c r="K152" s="148">
        <f t="shared" si="3"/>
        <v>0</v>
      </c>
      <c r="L152" s="192"/>
    </row>
    <row r="153" spans="1:12" x14ac:dyDescent="0.25">
      <c r="A153" s="197">
        <v>96</v>
      </c>
      <c r="B153" s="160" t="s">
        <v>945</v>
      </c>
      <c r="C153" s="197" t="s">
        <v>696</v>
      </c>
      <c r="D153" s="157"/>
      <c r="E153" s="199"/>
      <c r="F153" s="197"/>
      <c r="G153" s="148"/>
      <c r="H153" s="148"/>
      <c r="I153" s="198"/>
      <c r="J153" s="197"/>
      <c r="K153" s="148">
        <f t="shared" si="3"/>
        <v>0</v>
      </c>
      <c r="L153" s="192"/>
    </row>
    <row r="154" spans="1:12" x14ac:dyDescent="0.25">
      <c r="A154" s="197">
        <v>97</v>
      </c>
      <c r="B154" s="160" t="s">
        <v>933</v>
      </c>
      <c r="C154" s="197" t="s">
        <v>696</v>
      </c>
      <c r="D154" s="157"/>
      <c r="E154" s="199"/>
      <c r="F154" s="197"/>
      <c r="G154" s="148"/>
      <c r="H154" s="148"/>
      <c r="I154" s="198"/>
      <c r="J154" s="197"/>
      <c r="K154" s="148">
        <f t="shared" si="3"/>
        <v>0</v>
      </c>
      <c r="L154" s="192"/>
    </row>
    <row r="155" spans="1:12" x14ac:dyDescent="0.25">
      <c r="A155" s="197">
        <v>98</v>
      </c>
      <c r="B155" s="160" t="s">
        <v>946</v>
      </c>
      <c r="C155" s="197" t="s">
        <v>696</v>
      </c>
      <c r="D155" s="157"/>
      <c r="E155" s="199"/>
      <c r="F155" s="197"/>
      <c r="G155" s="148"/>
      <c r="H155" s="148"/>
      <c r="I155" s="198"/>
      <c r="J155" s="197"/>
      <c r="K155" s="148">
        <f t="shared" si="3"/>
        <v>0</v>
      </c>
      <c r="L155" s="192"/>
    </row>
    <row r="156" spans="1:12" x14ac:dyDescent="0.25">
      <c r="A156" s="197">
        <v>99</v>
      </c>
      <c r="B156" s="160" t="s">
        <v>934</v>
      </c>
      <c r="C156" s="197" t="s">
        <v>696</v>
      </c>
      <c r="D156" s="157"/>
      <c r="E156" s="199"/>
      <c r="F156" s="197"/>
      <c r="G156" s="148"/>
      <c r="H156" s="148"/>
      <c r="I156" s="198"/>
      <c r="J156" s="197"/>
      <c r="K156" s="148">
        <f t="shared" si="3"/>
        <v>0</v>
      </c>
      <c r="L156" s="192"/>
    </row>
    <row r="157" spans="1:12" x14ac:dyDescent="0.25">
      <c r="A157" s="197">
        <v>100</v>
      </c>
      <c r="B157" s="160" t="s">
        <v>947</v>
      </c>
      <c r="C157" s="197" t="s">
        <v>696</v>
      </c>
      <c r="D157" s="157"/>
      <c r="E157" s="199"/>
      <c r="F157" s="197"/>
      <c r="G157" s="148"/>
      <c r="H157" s="148"/>
      <c r="I157" s="198"/>
      <c r="J157" s="197"/>
      <c r="K157" s="148">
        <f t="shared" si="3"/>
        <v>0</v>
      </c>
      <c r="L157" s="192"/>
    </row>
    <row r="158" spans="1:12" x14ac:dyDescent="0.25">
      <c r="A158" s="197">
        <v>101</v>
      </c>
      <c r="B158" s="160" t="s">
        <v>935</v>
      </c>
      <c r="C158" s="197" t="s">
        <v>696</v>
      </c>
      <c r="D158" s="157"/>
      <c r="E158" s="199"/>
      <c r="F158" s="197"/>
      <c r="G158" s="148"/>
      <c r="H158" s="148"/>
      <c r="I158" s="198"/>
      <c r="J158" s="197"/>
      <c r="K158" s="148">
        <f t="shared" si="3"/>
        <v>0</v>
      </c>
      <c r="L158" s="192"/>
    </row>
    <row r="159" spans="1:12" x14ac:dyDescent="0.25">
      <c r="A159" s="197">
        <v>102</v>
      </c>
      <c r="B159" s="160" t="s">
        <v>948</v>
      </c>
      <c r="C159" s="197" t="s">
        <v>696</v>
      </c>
      <c r="D159" s="157"/>
      <c r="E159" s="199"/>
      <c r="F159" s="197"/>
      <c r="G159" s="148"/>
      <c r="H159" s="148"/>
      <c r="I159" s="198"/>
      <c r="J159" s="197"/>
      <c r="K159" s="148">
        <f t="shared" si="3"/>
        <v>0</v>
      </c>
      <c r="L159" s="192"/>
    </row>
    <row r="160" spans="1:12" x14ac:dyDescent="0.25">
      <c r="A160" s="197">
        <v>103</v>
      </c>
      <c r="B160" s="160" t="s">
        <v>936</v>
      </c>
      <c r="C160" s="197" t="s">
        <v>696</v>
      </c>
      <c r="D160" s="157"/>
      <c r="E160" s="199"/>
      <c r="F160" s="197"/>
      <c r="G160" s="148"/>
      <c r="H160" s="148"/>
      <c r="I160" s="198"/>
      <c r="J160" s="197"/>
      <c r="K160" s="148">
        <f t="shared" si="3"/>
        <v>0</v>
      </c>
      <c r="L160" s="192"/>
    </row>
    <row r="161" spans="1:12" x14ac:dyDescent="0.25">
      <c r="A161" s="197">
        <v>104</v>
      </c>
      <c r="B161" s="160" t="s">
        <v>937</v>
      </c>
      <c r="C161" s="197" t="s">
        <v>696</v>
      </c>
      <c r="D161" s="157"/>
      <c r="E161" s="199"/>
      <c r="F161" s="197"/>
      <c r="G161" s="148"/>
      <c r="H161" s="148"/>
      <c r="I161" s="198"/>
      <c r="J161" s="197"/>
      <c r="K161" s="148">
        <f t="shared" si="3"/>
        <v>0</v>
      </c>
      <c r="L161" s="192"/>
    </row>
    <row r="162" spans="1:12" x14ac:dyDescent="0.25">
      <c r="A162" s="197">
        <v>105</v>
      </c>
      <c r="B162" s="160" t="s">
        <v>949</v>
      </c>
      <c r="C162" s="197" t="s">
        <v>696</v>
      </c>
      <c r="D162" s="157"/>
      <c r="E162" s="199"/>
      <c r="F162" s="197"/>
      <c r="G162" s="148"/>
      <c r="H162" s="148"/>
      <c r="I162" s="198"/>
      <c r="J162" s="197"/>
      <c r="K162" s="148">
        <f t="shared" si="3"/>
        <v>0</v>
      </c>
      <c r="L162" s="192"/>
    </row>
    <row r="163" spans="1:12" x14ac:dyDescent="0.25">
      <c r="A163" s="197">
        <v>106</v>
      </c>
      <c r="B163" s="161" t="s">
        <v>938</v>
      </c>
      <c r="C163" s="205" t="s">
        <v>696</v>
      </c>
      <c r="D163" s="162"/>
      <c r="E163" s="204"/>
      <c r="F163" s="205"/>
      <c r="G163" s="163">
        <v>1100000</v>
      </c>
      <c r="H163" s="163"/>
      <c r="I163" s="203"/>
      <c r="J163" s="205"/>
      <c r="K163" s="163">
        <f t="shared" si="3"/>
        <v>1100000</v>
      </c>
      <c r="L163" s="192"/>
    </row>
    <row r="164" spans="1:12" x14ac:dyDescent="0.25">
      <c r="A164" s="197">
        <v>107</v>
      </c>
      <c r="B164" s="161" t="s">
        <v>950</v>
      </c>
      <c r="C164" s="205" t="s">
        <v>696</v>
      </c>
      <c r="D164" s="162"/>
      <c r="E164" s="204"/>
      <c r="F164" s="205"/>
      <c r="G164" s="163">
        <v>1300000</v>
      </c>
      <c r="H164" s="163"/>
      <c r="I164" s="203"/>
      <c r="J164" s="205"/>
      <c r="K164" s="163">
        <f t="shared" si="3"/>
        <v>1300000</v>
      </c>
      <c r="L164" s="192"/>
    </row>
    <row r="165" spans="1:12" x14ac:dyDescent="0.25">
      <c r="A165" s="197">
        <v>108</v>
      </c>
      <c r="B165" s="160"/>
      <c r="C165" s="197"/>
      <c r="D165" s="157"/>
      <c r="E165" s="199"/>
      <c r="F165" s="197"/>
      <c r="G165" s="148"/>
      <c r="H165" s="148"/>
      <c r="I165" s="198"/>
      <c r="J165" s="197"/>
      <c r="K165" s="148"/>
      <c r="L165" s="192"/>
    </row>
    <row r="166" spans="1:12" x14ac:dyDescent="0.25">
      <c r="A166" s="197">
        <v>109</v>
      </c>
      <c r="B166" s="160"/>
      <c r="C166" s="197"/>
      <c r="D166" s="157"/>
      <c r="E166" s="199"/>
      <c r="F166" s="197"/>
      <c r="G166" s="148"/>
      <c r="H166" s="148"/>
      <c r="I166" s="198"/>
      <c r="J166" s="197"/>
      <c r="K166" s="148"/>
      <c r="L166" s="192"/>
    </row>
    <row r="167" spans="1:12" x14ac:dyDescent="0.25">
      <c r="A167" s="197"/>
      <c r="B167" s="193"/>
      <c r="C167" s="197"/>
      <c r="D167" s="157"/>
      <c r="E167" s="199"/>
      <c r="F167" s="197"/>
      <c r="G167" s="148"/>
      <c r="H167" s="148"/>
      <c r="I167" s="198"/>
      <c r="J167" s="197"/>
      <c r="K167" s="148"/>
      <c r="L167" s="192"/>
    </row>
    <row r="168" spans="1:12" ht="13" x14ac:dyDescent="0.3">
      <c r="A168" s="144" t="s">
        <v>6</v>
      </c>
      <c r="B168" s="172" t="s">
        <v>1038</v>
      </c>
      <c r="C168" s="197"/>
      <c r="D168" s="157"/>
      <c r="E168" s="199"/>
      <c r="F168" s="197"/>
      <c r="G168" s="200"/>
      <c r="H168" s="200"/>
      <c r="I168" s="198"/>
      <c r="J168" s="197"/>
      <c r="K168" s="200"/>
      <c r="L168" s="192"/>
    </row>
    <row r="169" spans="1:12" x14ac:dyDescent="0.25">
      <c r="A169" s="197"/>
      <c r="B169" s="193"/>
      <c r="C169" s="197"/>
      <c r="D169" s="157"/>
      <c r="E169" s="199"/>
      <c r="F169" s="197"/>
      <c r="G169" s="200"/>
      <c r="H169" s="200"/>
      <c r="I169" s="198"/>
      <c r="J169" s="197"/>
      <c r="K169" s="200"/>
      <c r="L169" s="192"/>
    </row>
    <row r="170" spans="1:12" x14ac:dyDescent="0.25">
      <c r="A170" s="197">
        <f t="shared" ref="A170:A210" si="4">+A169+1</f>
        <v>1</v>
      </c>
      <c r="B170" s="160" t="s">
        <v>1791</v>
      </c>
      <c r="C170" s="197" t="s">
        <v>114</v>
      </c>
      <c r="D170" s="157" t="s">
        <v>1437</v>
      </c>
      <c r="E170" s="199"/>
      <c r="F170" s="197"/>
      <c r="G170" s="148">
        <v>60000</v>
      </c>
      <c r="H170" s="148"/>
      <c r="I170" s="198"/>
      <c r="J170" s="197"/>
      <c r="K170" s="148">
        <f t="shared" ref="K170:K209" si="5">+G170+$C$7*J170</f>
        <v>60000</v>
      </c>
      <c r="L170" s="192"/>
    </row>
    <row r="171" spans="1:12" x14ac:dyDescent="0.25">
      <c r="A171" s="197">
        <f t="shared" si="4"/>
        <v>2</v>
      </c>
      <c r="B171" s="161" t="s">
        <v>1790</v>
      </c>
      <c r="C171" s="205" t="s">
        <v>114</v>
      </c>
      <c r="D171" s="162" t="s">
        <v>1438</v>
      </c>
      <c r="E171" s="204"/>
      <c r="F171" s="205"/>
      <c r="G171" s="163">
        <v>28860</v>
      </c>
      <c r="H171" s="163"/>
      <c r="I171" s="203"/>
      <c r="J171" s="205"/>
      <c r="K171" s="163">
        <f t="shared" si="5"/>
        <v>28860</v>
      </c>
      <c r="L171" s="192"/>
    </row>
    <row r="172" spans="1:12" x14ac:dyDescent="0.25">
      <c r="A172" s="197">
        <f t="shared" si="4"/>
        <v>3</v>
      </c>
      <c r="B172" s="160" t="s">
        <v>1039</v>
      </c>
      <c r="C172" s="146" t="s">
        <v>114</v>
      </c>
      <c r="D172" s="157" t="s">
        <v>1439</v>
      </c>
      <c r="E172" s="199"/>
      <c r="F172" s="197"/>
      <c r="G172" s="148">
        <v>115000</v>
      </c>
      <c r="H172" s="148"/>
      <c r="I172" s="198"/>
      <c r="J172" s="197"/>
      <c r="K172" s="148">
        <f t="shared" si="5"/>
        <v>115000</v>
      </c>
      <c r="L172" s="192"/>
    </row>
    <row r="173" spans="1:12" x14ac:dyDescent="0.25">
      <c r="A173" s="197">
        <f t="shared" si="4"/>
        <v>4</v>
      </c>
      <c r="B173" s="160" t="s">
        <v>1040</v>
      </c>
      <c r="C173" s="146" t="s">
        <v>114</v>
      </c>
      <c r="D173" s="157" t="s">
        <v>1440</v>
      </c>
      <c r="E173" s="199"/>
      <c r="F173" s="197"/>
      <c r="G173" s="148">
        <v>70250</v>
      </c>
      <c r="H173" s="148"/>
      <c r="I173" s="198"/>
      <c r="J173" s="197"/>
      <c r="K173" s="148">
        <f t="shared" si="5"/>
        <v>70250</v>
      </c>
      <c r="L173" s="192"/>
    </row>
    <row r="174" spans="1:12" x14ac:dyDescent="0.25">
      <c r="A174" s="197">
        <f t="shared" si="4"/>
        <v>5</v>
      </c>
      <c r="B174" s="161" t="s">
        <v>1834</v>
      </c>
      <c r="C174" s="165" t="s">
        <v>114</v>
      </c>
      <c r="D174" s="162"/>
      <c r="E174" s="204"/>
      <c r="F174" s="205"/>
      <c r="G174" s="163">
        <v>39960</v>
      </c>
      <c r="H174" s="163"/>
      <c r="I174" s="203"/>
      <c r="J174" s="205"/>
      <c r="K174" s="163">
        <f t="shared" si="5"/>
        <v>39960</v>
      </c>
      <c r="L174" s="192"/>
    </row>
    <row r="175" spans="1:12" x14ac:dyDescent="0.25">
      <c r="A175" s="197">
        <f t="shared" si="4"/>
        <v>6</v>
      </c>
      <c r="B175" s="160" t="s">
        <v>1041</v>
      </c>
      <c r="C175" s="146" t="s">
        <v>114</v>
      </c>
      <c r="D175" s="157" t="s">
        <v>1441</v>
      </c>
      <c r="E175" s="199"/>
      <c r="F175" s="197"/>
      <c r="G175" s="148">
        <v>18000</v>
      </c>
      <c r="H175" s="148"/>
      <c r="I175" s="198"/>
      <c r="J175" s="197"/>
      <c r="K175" s="148">
        <f t="shared" si="5"/>
        <v>18000</v>
      </c>
      <c r="L175" s="197"/>
    </row>
    <row r="176" spans="1:12" x14ac:dyDescent="0.25">
      <c r="A176" s="197">
        <f t="shared" si="4"/>
        <v>7</v>
      </c>
      <c r="B176" s="160" t="s">
        <v>1042</v>
      </c>
      <c r="C176" s="146" t="s">
        <v>114</v>
      </c>
      <c r="D176" s="157" t="s">
        <v>1442</v>
      </c>
      <c r="E176" s="199"/>
      <c r="F176" s="197"/>
      <c r="G176" s="148">
        <v>24000</v>
      </c>
      <c r="H176" s="148"/>
      <c r="I176" s="198"/>
      <c r="J176" s="197"/>
      <c r="K176" s="148">
        <f t="shared" si="5"/>
        <v>24000</v>
      </c>
      <c r="L176" s="197"/>
    </row>
    <row r="177" spans="1:12" x14ac:dyDescent="0.25">
      <c r="A177" s="197">
        <f t="shared" si="4"/>
        <v>8</v>
      </c>
      <c r="B177" s="161" t="s">
        <v>1856</v>
      </c>
      <c r="C177" s="205" t="s">
        <v>40</v>
      </c>
      <c r="D177" s="162" t="s">
        <v>1443</v>
      </c>
      <c r="E177" s="204"/>
      <c r="F177" s="205"/>
      <c r="G177" s="163">
        <v>46176</v>
      </c>
      <c r="H177" s="163"/>
      <c r="I177" s="203"/>
      <c r="J177" s="205"/>
      <c r="K177" s="163">
        <f t="shared" si="5"/>
        <v>46176</v>
      </c>
      <c r="L177" s="197"/>
    </row>
    <row r="178" spans="1:12" x14ac:dyDescent="0.25">
      <c r="A178" s="197">
        <f t="shared" si="4"/>
        <v>9</v>
      </c>
      <c r="B178" s="193" t="s">
        <v>1044</v>
      </c>
      <c r="C178" s="197" t="s">
        <v>43</v>
      </c>
      <c r="D178" s="157" t="s">
        <v>1444</v>
      </c>
      <c r="E178" s="199"/>
      <c r="F178" s="197"/>
      <c r="G178" s="148">
        <v>6250000</v>
      </c>
      <c r="H178" s="148"/>
      <c r="I178" s="198"/>
      <c r="J178" s="197"/>
      <c r="K178" s="148">
        <f t="shared" si="5"/>
        <v>6250000</v>
      </c>
      <c r="L178" s="197"/>
    </row>
    <row r="179" spans="1:12" x14ac:dyDescent="0.25">
      <c r="A179" s="197">
        <f t="shared" si="4"/>
        <v>10</v>
      </c>
      <c r="B179" s="160" t="s">
        <v>1045</v>
      </c>
      <c r="C179" s="197" t="s">
        <v>43</v>
      </c>
      <c r="D179" s="157" t="s">
        <v>1445</v>
      </c>
      <c r="E179" s="199"/>
      <c r="F179" s="197"/>
      <c r="G179" s="148">
        <v>5500000</v>
      </c>
      <c r="H179" s="148"/>
      <c r="I179" s="198"/>
      <c r="J179" s="197"/>
      <c r="K179" s="148">
        <f t="shared" si="5"/>
        <v>5500000</v>
      </c>
      <c r="L179" s="197"/>
    </row>
    <row r="180" spans="1:12" x14ac:dyDescent="0.25">
      <c r="A180" s="197">
        <f t="shared" si="4"/>
        <v>11</v>
      </c>
      <c r="B180" s="193" t="s">
        <v>1046</v>
      </c>
      <c r="C180" s="197" t="s">
        <v>43</v>
      </c>
      <c r="D180" s="157" t="s">
        <v>1446</v>
      </c>
      <c r="E180" s="199"/>
      <c r="F180" s="197"/>
      <c r="G180" s="148">
        <v>7975000</v>
      </c>
      <c r="H180" s="148"/>
      <c r="I180" s="198"/>
      <c r="J180" s="197"/>
      <c r="K180" s="148">
        <f t="shared" si="5"/>
        <v>7975000</v>
      </c>
      <c r="L180" s="197"/>
    </row>
    <row r="181" spans="1:12" x14ac:dyDescent="0.25">
      <c r="A181" s="197">
        <f t="shared" si="4"/>
        <v>12</v>
      </c>
      <c r="B181" s="160" t="s">
        <v>1047</v>
      </c>
      <c r="C181" s="197" t="s">
        <v>43</v>
      </c>
      <c r="D181" s="157" t="s">
        <v>1447</v>
      </c>
      <c r="E181" s="199"/>
      <c r="F181" s="197"/>
      <c r="G181" s="148">
        <v>1400000</v>
      </c>
      <c r="H181" s="148"/>
      <c r="I181" s="198"/>
      <c r="J181" s="197"/>
      <c r="K181" s="148">
        <f t="shared" si="5"/>
        <v>1400000</v>
      </c>
      <c r="L181" s="197"/>
    </row>
    <row r="182" spans="1:12" x14ac:dyDescent="0.25">
      <c r="A182" s="197">
        <f t="shared" si="4"/>
        <v>13</v>
      </c>
      <c r="B182" s="161" t="s">
        <v>1381</v>
      </c>
      <c r="C182" s="205" t="s">
        <v>43</v>
      </c>
      <c r="D182" s="162"/>
      <c r="E182" s="204"/>
      <c r="F182" s="205"/>
      <c r="G182" s="163">
        <v>3885000</v>
      </c>
      <c r="H182" s="163"/>
      <c r="I182" s="203"/>
      <c r="J182" s="205"/>
      <c r="K182" s="163">
        <f t="shared" ref="K182" si="6">+G182+$C$7*J182</f>
        <v>3885000</v>
      </c>
      <c r="L182" s="197"/>
    </row>
    <row r="183" spans="1:12" x14ac:dyDescent="0.25">
      <c r="A183" s="197">
        <f t="shared" si="4"/>
        <v>14</v>
      </c>
      <c r="B183" s="160" t="s">
        <v>1048</v>
      </c>
      <c r="C183" s="146" t="s">
        <v>43</v>
      </c>
      <c r="D183" s="157" t="s">
        <v>1448</v>
      </c>
      <c r="E183" s="199"/>
      <c r="F183" s="197"/>
      <c r="G183" s="148">
        <v>1500000</v>
      </c>
      <c r="H183" s="148"/>
      <c r="I183" s="198"/>
      <c r="J183" s="197"/>
      <c r="K183" s="148">
        <f t="shared" si="5"/>
        <v>1500000</v>
      </c>
      <c r="L183" s="197"/>
    </row>
    <row r="184" spans="1:12" ht="13" x14ac:dyDescent="0.3">
      <c r="A184" s="197">
        <f t="shared" si="4"/>
        <v>15</v>
      </c>
      <c r="B184" s="160" t="s">
        <v>1049</v>
      </c>
      <c r="C184" s="197" t="s">
        <v>43</v>
      </c>
      <c r="D184" s="157" t="s">
        <v>1449</v>
      </c>
      <c r="E184" s="199"/>
      <c r="F184" s="197"/>
      <c r="G184" s="148">
        <v>6960000</v>
      </c>
      <c r="H184" s="148"/>
      <c r="I184" s="198"/>
      <c r="J184" s="197"/>
      <c r="K184" s="148">
        <f t="shared" si="5"/>
        <v>6960000</v>
      </c>
      <c r="L184" s="144"/>
    </row>
    <row r="185" spans="1:12" ht="13" x14ac:dyDescent="0.3">
      <c r="A185" s="197">
        <f t="shared" si="4"/>
        <v>16</v>
      </c>
      <c r="B185" s="193" t="s">
        <v>1050</v>
      </c>
      <c r="C185" s="197" t="s">
        <v>43</v>
      </c>
      <c r="D185" s="157" t="s">
        <v>1450</v>
      </c>
      <c r="E185" s="199"/>
      <c r="F185" s="197"/>
      <c r="G185" s="148">
        <v>5950000</v>
      </c>
      <c r="H185" s="148"/>
      <c r="I185" s="198"/>
      <c r="J185" s="197"/>
      <c r="K185" s="148">
        <f t="shared" si="5"/>
        <v>5950000</v>
      </c>
      <c r="L185" s="144"/>
    </row>
    <row r="186" spans="1:12" ht="13" x14ac:dyDescent="0.3">
      <c r="A186" s="197">
        <f t="shared" si="4"/>
        <v>17</v>
      </c>
      <c r="B186" s="160" t="s">
        <v>1051</v>
      </c>
      <c r="C186" s="197" t="s">
        <v>43</v>
      </c>
      <c r="D186" s="157" t="s">
        <v>1451</v>
      </c>
      <c r="E186" s="199"/>
      <c r="F186" s="197"/>
      <c r="G186" s="148">
        <v>8375000</v>
      </c>
      <c r="H186" s="148"/>
      <c r="I186" s="198"/>
      <c r="J186" s="197"/>
      <c r="K186" s="148">
        <f t="shared" si="5"/>
        <v>8375000</v>
      </c>
      <c r="L186" s="144"/>
    </row>
    <row r="187" spans="1:12" x14ac:dyDescent="0.25">
      <c r="A187" s="197">
        <f t="shared" si="4"/>
        <v>18</v>
      </c>
      <c r="B187" s="193" t="s">
        <v>1052</v>
      </c>
      <c r="C187" s="197" t="s">
        <v>43</v>
      </c>
      <c r="D187" s="157" t="s">
        <v>1452</v>
      </c>
      <c r="E187" s="199"/>
      <c r="F187" s="197"/>
      <c r="G187" s="148">
        <v>1500000</v>
      </c>
      <c r="H187" s="148"/>
      <c r="I187" s="198"/>
      <c r="J187" s="197"/>
      <c r="K187" s="148">
        <f t="shared" si="5"/>
        <v>1500000</v>
      </c>
      <c r="L187" s="197"/>
    </row>
    <row r="188" spans="1:12" x14ac:dyDescent="0.25">
      <c r="A188" s="197">
        <f t="shared" si="4"/>
        <v>19</v>
      </c>
      <c r="B188" s="160" t="s">
        <v>1053</v>
      </c>
      <c r="C188" s="197" t="s">
        <v>91</v>
      </c>
      <c r="D188" s="157" t="s">
        <v>1453</v>
      </c>
      <c r="E188" s="199"/>
      <c r="F188" s="197"/>
      <c r="G188" s="148">
        <v>25000</v>
      </c>
      <c r="H188" s="148"/>
      <c r="I188" s="198"/>
      <c r="J188" s="197"/>
      <c r="K188" s="148">
        <f t="shared" si="5"/>
        <v>25000</v>
      </c>
      <c r="L188" s="197"/>
    </row>
    <row r="189" spans="1:12" x14ac:dyDescent="0.25">
      <c r="A189" s="197">
        <f t="shared" si="4"/>
        <v>20</v>
      </c>
      <c r="B189" s="160" t="s">
        <v>1054</v>
      </c>
      <c r="C189" s="197" t="s">
        <v>91</v>
      </c>
      <c r="D189" s="157" t="s">
        <v>1454</v>
      </c>
      <c r="E189" s="199"/>
      <c r="F189" s="197"/>
      <c r="G189" s="148">
        <v>55000</v>
      </c>
      <c r="H189" s="148"/>
      <c r="I189" s="198"/>
      <c r="J189" s="197"/>
      <c r="K189" s="148">
        <f t="shared" si="5"/>
        <v>55000</v>
      </c>
      <c r="L189" s="197"/>
    </row>
    <row r="190" spans="1:12" x14ac:dyDescent="0.25">
      <c r="A190" s="197">
        <f t="shared" si="4"/>
        <v>21</v>
      </c>
      <c r="B190" s="160" t="s">
        <v>1055</v>
      </c>
      <c r="C190" s="197" t="s">
        <v>91</v>
      </c>
      <c r="D190" s="157" t="s">
        <v>1455</v>
      </c>
      <c r="E190" s="199"/>
      <c r="F190" s="197"/>
      <c r="G190" s="148">
        <v>85000</v>
      </c>
      <c r="H190" s="148"/>
      <c r="I190" s="198"/>
      <c r="J190" s="197"/>
      <c r="K190" s="148">
        <f t="shared" si="5"/>
        <v>85000</v>
      </c>
      <c r="L190" s="197"/>
    </row>
    <row r="191" spans="1:12" x14ac:dyDescent="0.25">
      <c r="A191" s="197">
        <f t="shared" si="4"/>
        <v>22</v>
      </c>
      <c r="B191" s="160" t="s">
        <v>1056</v>
      </c>
      <c r="C191" s="197" t="s">
        <v>91</v>
      </c>
      <c r="D191" s="157" t="s">
        <v>1456</v>
      </c>
      <c r="E191" s="199"/>
      <c r="F191" s="197"/>
      <c r="G191" s="148">
        <v>155000</v>
      </c>
      <c r="H191" s="148"/>
      <c r="I191" s="198"/>
      <c r="J191" s="197"/>
      <c r="K191" s="148">
        <f t="shared" si="5"/>
        <v>155000</v>
      </c>
      <c r="L191" s="197"/>
    </row>
    <row r="192" spans="1:12" x14ac:dyDescent="0.25">
      <c r="A192" s="197">
        <f t="shared" si="4"/>
        <v>23</v>
      </c>
      <c r="B192" s="160" t="s">
        <v>1057</v>
      </c>
      <c r="C192" s="197" t="s">
        <v>43</v>
      </c>
      <c r="D192" s="157" t="s">
        <v>1457</v>
      </c>
      <c r="E192" s="199"/>
      <c r="F192" s="197"/>
      <c r="G192" s="148">
        <v>5870000</v>
      </c>
      <c r="H192" s="148"/>
      <c r="I192" s="198"/>
      <c r="J192" s="197"/>
      <c r="K192" s="148">
        <f t="shared" si="5"/>
        <v>5870000</v>
      </c>
      <c r="L192" s="197"/>
    </row>
    <row r="193" spans="1:12" x14ac:dyDescent="0.25">
      <c r="A193" s="197">
        <f t="shared" si="4"/>
        <v>24</v>
      </c>
      <c r="B193" s="160" t="s">
        <v>1058</v>
      </c>
      <c r="C193" s="197" t="s">
        <v>43</v>
      </c>
      <c r="D193" s="157" t="s">
        <v>1458</v>
      </c>
      <c r="E193" s="199"/>
      <c r="F193" s="197"/>
      <c r="G193" s="148">
        <v>1400000</v>
      </c>
      <c r="H193" s="148"/>
      <c r="I193" s="198"/>
      <c r="J193" s="197"/>
      <c r="K193" s="148">
        <f t="shared" si="5"/>
        <v>1400000</v>
      </c>
      <c r="L193" s="197"/>
    </row>
    <row r="194" spans="1:12" x14ac:dyDescent="0.25">
      <c r="A194" s="197">
        <f t="shared" si="4"/>
        <v>25</v>
      </c>
      <c r="B194" s="160" t="s">
        <v>1059</v>
      </c>
      <c r="C194" s="197" t="s">
        <v>61</v>
      </c>
      <c r="D194" s="157" t="s">
        <v>1459</v>
      </c>
      <c r="E194" s="199"/>
      <c r="F194" s="197"/>
      <c r="G194" s="148">
        <v>55000</v>
      </c>
      <c r="H194" s="148"/>
      <c r="I194" s="198"/>
      <c r="J194" s="197"/>
      <c r="K194" s="148">
        <f t="shared" si="5"/>
        <v>55000</v>
      </c>
      <c r="L194" s="197"/>
    </row>
    <row r="195" spans="1:12" x14ac:dyDescent="0.25">
      <c r="A195" s="197">
        <f t="shared" si="4"/>
        <v>26</v>
      </c>
      <c r="B195" s="161" t="s">
        <v>1873</v>
      </c>
      <c r="C195" s="205" t="s">
        <v>43</v>
      </c>
      <c r="D195" s="162"/>
      <c r="E195" s="204"/>
      <c r="F195" s="205"/>
      <c r="G195" s="163">
        <v>3885000</v>
      </c>
      <c r="H195" s="163"/>
      <c r="I195" s="203"/>
      <c r="J195" s="205"/>
      <c r="K195" s="163">
        <f t="shared" si="5"/>
        <v>3885000</v>
      </c>
      <c r="L195" s="197"/>
    </row>
    <row r="196" spans="1:12" x14ac:dyDescent="0.25">
      <c r="A196" s="197">
        <f t="shared" si="4"/>
        <v>27</v>
      </c>
      <c r="B196" s="160" t="s">
        <v>1379</v>
      </c>
      <c r="C196" s="197" t="s">
        <v>61</v>
      </c>
      <c r="D196" s="157" t="s">
        <v>1460</v>
      </c>
      <c r="E196" s="199"/>
      <c r="F196" s="197"/>
      <c r="G196" s="148">
        <v>80000</v>
      </c>
      <c r="H196" s="148"/>
      <c r="I196" s="198"/>
      <c r="J196" s="197"/>
      <c r="K196" s="148">
        <f t="shared" si="5"/>
        <v>80000</v>
      </c>
      <c r="L196" s="197"/>
    </row>
    <row r="197" spans="1:12" x14ac:dyDescent="0.25">
      <c r="A197" s="197">
        <f t="shared" si="4"/>
        <v>28</v>
      </c>
      <c r="B197" s="160" t="s">
        <v>1380</v>
      </c>
      <c r="C197" s="197" t="s">
        <v>61</v>
      </c>
      <c r="D197" s="157" t="s">
        <v>1461</v>
      </c>
      <c r="E197" s="199"/>
      <c r="F197" s="197"/>
      <c r="G197" s="148">
        <v>125000</v>
      </c>
      <c r="H197" s="148"/>
      <c r="I197" s="198"/>
      <c r="J197" s="197"/>
      <c r="K197" s="148">
        <f t="shared" si="5"/>
        <v>125000</v>
      </c>
      <c r="L197" s="197"/>
    </row>
    <row r="198" spans="1:12" x14ac:dyDescent="0.25">
      <c r="A198" s="197">
        <f t="shared" si="4"/>
        <v>29</v>
      </c>
      <c r="B198" s="209" t="s">
        <v>456</v>
      </c>
      <c r="C198" s="205" t="s">
        <v>61</v>
      </c>
      <c r="D198" s="162" t="s">
        <v>1462</v>
      </c>
      <c r="E198" s="204"/>
      <c r="F198" s="205"/>
      <c r="G198" s="163">
        <v>288600</v>
      </c>
      <c r="H198" s="163"/>
      <c r="I198" s="203"/>
      <c r="J198" s="205"/>
      <c r="K198" s="163">
        <f t="shared" si="5"/>
        <v>288600</v>
      </c>
      <c r="L198" s="197"/>
    </row>
    <row r="199" spans="1:12" ht="13" x14ac:dyDescent="0.3">
      <c r="A199" s="197">
        <f t="shared" si="4"/>
        <v>30</v>
      </c>
      <c r="B199" s="209" t="s">
        <v>457</v>
      </c>
      <c r="C199" s="205" t="s">
        <v>713</v>
      </c>
      <c r="D199" s="162" t="s">
        <v>1463</v>
      </c>
      <c r="E199" s="204"/>
      <c r="F199" s="205"/>
      <c r="G199" s="163">
        <v>404040</v>
      </c>
      <c r="H199" s="163"/>
      <c r="I199" s="203"/>
      <c r="J199" s="205"/>
      <c r="K199" s="163">
        <f t="shared" si="5"/>
        <v>404040</v>
      </c>
      <c r="L199" s="144"/>
    </row>
    <row r="200" spans="1:12" ht="13" x14ac:dyDescent="0.3">
      <c r="A200" s="197">
        <f t="shared" si="4"/>
        <v>31</v>
      </c>
      <c r="B200" s="160" t="s">
        <v>1060</v>
      </c>
      <c r="C200" s="146" t="s">
        <v>61</v>
      </c>
      <c r="D200" s="157" t="s">
        <v>1464</v>
      </c>
      <c r="E200" s="194"/>
      <c r="F200" s="192"/>
      <c r="G200" s="148">
        <v>200000</v>
      </c>
      <c r="H200" s="148"/>
      <c r="I200" s="198"/>
      <c r="J200" s="192"/>
      <c r="K200" s="148">
        <f t="shared" si="5"/>
        <v>200000</v>
      </c>
      <c r="L200" s="144"/>
    </row>
    <row r="201" spans="1:12" ht="13" x14ac:dyDescent="0.3">
      <c r="A201" s="197">
        <f t="shared" si="4"/>
        <v>32</v>
      </c>
      <c r="B201" s="160" t="s">
        <v>1061</v>
      </c>
      <c r="C201" s="197" t="s">
        <v>61</v>
      </c>
      <c r="D201" s="157" t="s">
        <v>1465</v>
      </c>
      <c r="E201" s="199"/>
      <c r="F201" s="197"/>
      <c r="G201" s="148">
        <v>125000</v>
      </c>
      <c r="H201" s="148"/>
      <c r="I201" s="198"/>
      <c r="J201" s="197"/>
      <c r="K201" s="148">
        <f t="shared" si="5"/>
        <v>125000</v>
      </c>
      <c r="L201" s="144"/>
    </row>
    <row r="202" spans="1:12" ht="13" x14ac:dyDescent="0.3">
      <c r="A202" s="197">
        <f t="shared" si="4"/>
        <v>33</v>
      </c>
      <c r="B202" s="160" t="s">
        <v>1062</v>
      </c>
      <c r="C202" s="197" t="s">
        <v>61</v>
      </c>
      <c r="D202" s="157" t="s">
        <v>1466</v>
      </c>
      <c r="E202" s="199"/>
      <c r="F202" s="197"/>
      <c r="G202" s="148">
        <v>112000</v>
      </c>
      <c r="H202" s="148"/>
      <c r="I202" s="198"/>
      <c r="J202" s="197"/>
      <c r="K202" s="148">
        <f t="shared" si="5"/>
        <v>112000</v>
      </c>
      <c r="L202" s="144"/>
    </row>
    <row r="203" spans="1:12" ht="13" x14ac:dyDescent="0.3">
      <c r="A203" s="197">
        <f t="shared" si="4"/>
        <v>34</v>
      </c>
      <c r="B203" s="160" t="s">
        <v>1063</v>
      </c>
      <c r="C203" s="197" t="s">
        <v>61</v>
      </c>
      <c r="D203" s="157" t="s">
        <v>1467</v>
      </c>
      <c r="E203" s="199"/>
      <c r="F203" s="197"/>
      <c r="G203" s="148">
        <v>67500</v>
      </c>
      <c r="H203" s="148"/>
      <c r="I203" s="198"/>
      <c r="J203" s="197"/>
      <c r="K203" s="148">
        <f t="shared" si="5"/>
        <v>67500</v>
      </c>
      <c r="L203" s="144"/>
    </row>
    <row r="204" spans="1:12" ht="13" x14ac:dyDescent="0.3">
      <c r="A204" s="197">
        <f t="shared" si="4"/>
        <v>35</v>
      </c>
      <c r="B204" s="160" t="s">
        <v>1064</v>
      </c>
      <c r="C204" s="197" t="s">
        <v>162</v>
      </c>
      <c r="D204" s="157" t="s">
        <v>1468</v>
      </c>
      <c r="E204" s="199"/>
      <c r="F204" s="197"/>
      <c r="G204" s="148">
        <v>11550</v>
      </c>
      <c r="H204" s="148"/>
      <c r="I204" s="198"/>
      <c r="J204" s="197"/>
      <c r="K204" s="148">
        <f t="shared" si="5"/>
        <v>11550</v>
      </c>
      <c r="L204" s="144"/>
    </row>
    <row r="205" spans="1:12" ht="13" x14ac:dyDescent="0.3">
      <c r="A205" s="197">
        <f t="shared" si="4"/>
        <v>36</v>
      </c>
      <c r="B205" s="160" t="s">
        <v>1065</v>
      </c>
      <c r="C205" s="197" t="s">
        <v>162</v>
      </c>
      <c r="D205" s="157" t="s">
        <v>1469</v>
      </c>
      <c r="E205" s="199"/>
      <c r="F205" s="197"/>
      <c r="G205" s="148">
        <v>42000</v>
      </c>
      <c r="H205" s="148"/>
      <c r="I205" s="198"/>
      <c r="J205" s="197"/>
      <c r="K205" s="148">
        <f t="shared" si="5"/>
        <v>42000</v>
      </c>
      <c r="L205" s="144"/>
    </row>
    <row r="206" spans="1:12" ht="13" x14ac:dyDescent="0.3">
      <c r="A206" s="197">
        <f t="shared" si="4"/>
        <v>37</v>
      </c>
      <c r="B206" s="160" t="s">
        <v>1066</v>
      </c>
      <c r="C206" s="197" t="s">
        <v>61</v>
      </c>
      <c r="D206" s="157" t="s">
        <v>1470</v>
      </c>
      <c r="E206" s="199"/>
      <c r="F206" s="197"/>
      <c r="G206" s="148">
        <v>1275000</v>
      </c>
      <c r="H206" s="148"/>
      <c r="I206" s="198"/>
      <c r="J206" s="197"/>
      <c r="K206" s="148">
        <f t="shared" si="5"/>
        <v>1275000</v>
      </c>
      <c r="L206" s="144"/>
    </row>
    <row r="207" spans="1:12" ht="13" x14ac:dyDescent="0.3">
      <c r="A207" s="197">
        <f t="shared" si="4"/>
        <v>38</v>
      </c>
      <c r="B207" s="160" t="s">
        <v>1067</v>
      </c>
      <c r="C207" s="197" t="s">
        <v>61</v>
      </c>
      <c r="D207" s="157" t="s">
        <v>1469</v>
      </c>
      <c r="E207" s="199"/>
      <c r="F207" s="197"/>
      <c r="G207" s="148">
        <v>45000</v>
      </c>
      <c r="H207" s="148"/>
      <c r="I207" s="198"/>
      <c r="J207" s="197"/>
      <c r="K207" s="148">
        <f t="shared" si="5"/>
        <v>45000</v>
      </c>
      <c r="L207" s="144"/>
    </row>
    <row r="208" spans="1:12" x14ac:dyDescent="0.25">
      <c r="A208" s="197">
        <f t="shared" si="4"/>
        <v>39</v>
      </c>
      <c r="B208" s="160" t="s">
        <v>1068</v>
      </c>
      <c r="C208" s="197" t="s">
        <v>46</v>
      </c>
      <c r="D208" s="157" t="s">
        <v>1471</v>
      </c>
      <c r="E208" s="199"/>
      <c r="F208" s="197"/>
      <c r="G208" s="148">
        <v>1000</v>
      </c>
      <c r="H208" s="148"/>
      <c r="I208" s="198"/>
      <c r="J208" s="197"/>
      <c r="K208" s="148">
        <f t="shared" si="5"/>
        <v>1000</v>
      </c>
      <c r="L208" s="192"/>
    </row>
    <row r="209" spans="1:12" ht="13" x14ac:dyDescent="0.3">
      <c r="A209" s="197">
        <f t="shared" si="4"/>
        <v>40</v>
      </c>
      <c r="B209" s="193" t="s">
        <v>1069</v>
      </c>
      <c r="C209" s="197"/>
      <c r="D209" s="157"/>
      <c r="E209" s="199"/>
      <c r="F209" s="197"/>
      <c r="G209" s="148"/>
      <c r="H209" s="148"/>
      <c r="I209" s="198"/>
      <c r="J209" s="197"/>
      <c r="K209" s="148">
        <f t="shared" si="5"/>
        <v>0</v>
      </c>
      <c r="L209" s="144"/>
    </row>
    <row r="210" spans="1:12" ht="13" x14ac:dyDescent="0.3">
      <c r="A210" s="197">
        <f t="shared" si="4"/>
        <v>41</v>
      </c>
      <c r="B210" s="207" t="s">
        <v>904</v>
      </c>
      <c r="C210" s="205" t="s">
        <v>46</v>
      </c>
      <c r="D210" s="162"/>
      <c r="E210" s="204"/>
      <c r="F210" s="205"/>
      <c r="G210" s="163"/>
      <c r="H210" s="163"/>
      <c r="I210" s="203"/>
      <c r="J210" s="205"/>
      <c r="K210" s="163"/>
      <c r="L210" s="174"/>
    </row>
    <row r="211" spans="1:12" x14ac:dyDescent="0.25">
      <c r="A211" s="197"/>
      <c r="B211" s="193"/>
      <c r="C211" s="197"/>
      <c r="D211" s="157"/>
      <c r="E211" s="199"/>
      <c r="F211" s="197"/>
      <c r="G211" s="200"/>
      <c r="H211" s="200"/>
      <c r="I211" s="198"/>
      <c r="J211" s="197"/>
      <c r="K211" s="200"/>
    </row>
    <row r="212" spans="1:12" ht="13" x14ac:dyDescent="0.3">
      <c r="A212" s="144" t="s">
        <v>7</v>
      </c>
      <c r="B212" s="172" t="s">
        <v>1070</v>
      </c>
      <c r="C212" s="197"/>
      <c r="D212" s="157"/>
      <c r="E212" s="199"/>
      <c r="F212" s="197"/>
      <c r="G212" s="200"/>
      <c r="H212" s="200"/>
      <c r="I212" s="198"/>
      <c r="J212" s="197"/>
      <c r="K212" s="200"/>
      <c r="L212" s="192"/>
    </row>
    <row r="213" spans="1:12" ht="13" x14ac:dyDescent="0.3">
      <c r="A213" s="144"/>
      <c r="B213" s="172"/>
      <c r="C213" s="197" t="s">
        <v>713</v>
      </c>
      <c r="D213" s="157" t="s">
        <v>1472</v>
      </c>
      <c r="E213" s="199"/>
      <c r="F213" s="197"/>
      <c r="G213" s="200">
        <v>157000</v>
      </c>
      <c r="H213" s="200"/>
      <c r="I213" s="198"/>
      <c r="J213" s="197"/>
      <c r="K213" s="200"/>
      <c r="L213" s="192"/>
    </row>
    <row r="214" spans="1:12" x14ac:dyDescent="0.25">
      <c r="A214" s="197">
        <v>1</v>
      </c>
      <c r="B214" s="160" t="s">
        <v>1071</v>
      </c>
      <c r="C214" s="197" t="s">
        <v>713</v>
      </c>
      <c r="D214" s="157" t="s">
        <v>1473</v>
      </c>
      <c r="E214" s="199"/>
      <c r="F214" s="197"/>
      <c r="G214" s="148">
        <v>235500</v>
      </c>
      <c r="H214" s="148"/>
      <c r="I214" s="198"/>
      <c r="J214" s="197"/>
      <c r="K214" s="148">
        <f t="shared" ref="K214:K263" si="7">+G214+$C$7*J214</f>
        <v>235500</v>
      </c>
      <c r="L214" s="192"/>
    </row>
    <row r="215" spans="1:12" x14ac:dyDescent="0.25">
      <c r="A215" s="197">
        <v>2</v>
      </c>
      <c r="B215" s="193" t="s">
        <v>1072</v>
      </c>
      <c r="C215" s="197" t="s">
        <v>713</v>
      </c>
      <c r="D215" s="157" t="s">
        <v>1474</v>
      </c>
      <c r="E215" s="199"/>
      <c r="F215" s="197"/>
      <c r="G215" s="148">
        <v>392500</v>
      </c>
      <c r="H215" s="148"/>
      <c r="I215" s="198"/>
      <c r="J215" s="197"/>
      <c r="K215" s="148">
        <f t="shared" si="7"/>
        <v>392500</v>
      </c>
      <c r="L215" s="197"/>
    </row>
    <row r="216" spans="1:12" ht="13" x14ac:dyDescent="0.3">
      <c r="A216" s="197">
        <v>3</v>
      </c>
      <c r="B216" s="160" t="s">
        <v>1073</v>
      </c>
      <c r="C216" s="197" t="s">
        <v>713</v>
      </c>
      <c r="D216" s="157" t="s">
        <v>1475</v>
      </c>
      <c r="E216" s="199"/>
      <c r="F216" s="197"/>
      <c r="G216" s="148">
        <v>475000</v>
      </c>
      <c r="H216" s="148"/>
      <c r="I216" s="198"/>
      <c r="J216" s="197"/>
      <c r="K216" s="148">
        <f t="shared" si="7"/>
        <v>475000</v>
      </c>
      <c r="L216" s="144"/>
    </row>
    <row r="217" spans="1:12" ht="13" x14ac:dyDescent="0.3">
      <c r="A217" s="197">
        <v>4</v>
      </c>
      <c r="B217" s="160" t="s">
        <v>1074</v>
      </c>
      <c r="C217" s="197" t="s">
        <v>713</v>
      </c>
      <c r="D217" s="157" t="s">
        <v>1476</v>
      </c>
      <c r="E217" s="199"/>
      <c r="F217" s="197"/>
      <c r="G217" s="148">
        <v>628000</v>
      </c>
      <c r="H217" s="148"/>
      <c r="I217" s="198"/>
      <c r="J217" s="197"/>
      <c r="K217" s="148">
        <f t="shared" si="7"/>
        <v>628000</v>
      </c>
      <c r="L217" s="144"/>
    </row>
    <row r="218" spans="1:12" ht="13" x14ac:dyDescent="0.3">
      <c r="A218" s="197">
        <v>5</v>
      </c>
      <c r="B218" s="160" t="s">
        <v>1075</v>
      </c>
      <c r="C218" s="197" t="s">
        <v>40</v>
      </c>
      <c r="D218" s="157" t="s">
        <v>1477</v>
      </c>
      <c r="E218" s="199"/>
      <c r="F218" s="197"/>
      <c r="G218" s="148">
        <v>12000</v>
      </c>
      <c r="H218" s="148"/>
      <c r="I218" s="198"/>
      <c r="J218" s="197"/>
      <c r="K218" s="148">
        <f t="shared" si="7"/>
        <v>12000</v>
      </c>
      <c r="L218" s="144"/>
    </row>
    <row r="219" spans="1:12" ht="13" x14ac:dyDescent="0.3">
      <c r="A219" s="197">
        <v>6</v>
      </c>
      <c r="B219" s="160" t="s">
        <v>1076</v>
      </c>
      <c r="C219" s="197" t="s">
        <v>40</v>
      </c>
      <c r="D219" s="157" t="s">
        <v>1478</v>
      </c>
      <c r="E219" s="199"/>
      <c r="F219" s="197"/>
      <c r="G219" s="148">
        <v>15000</v>
      </c>
      <c r="H219" s="148"/>
      <c r="I219" s="198"/>
      <c r="J219" s="197"/>
      <c r="K219" s="148">
        <f t="shared" si="7"/>
        <v>15000</v>
      </c>
      <c r="L219" s="144"/>
    </row>
    <row r="220" spans="1:12" ht="13" x14ac:dyDescent="0.3">
      <c r="A220" s="197">
        <v>7</v>
      </c>
      <c r="B220" s="161" t="s">
        <v>1809</v>
      </c>
      <c r="C220" s="205" t="s">
        <v>40</v>
      </c>
      <c r="D220" s="162"/>
      <c r="E220" s="204"/>
      <c r="F220" s="205"/>
      <c r="G220" s="163">
        <v>32190</v>
      </c>
      <c r="H220" s="163"/>
      <c r="I220" s="203"/>
      <c r="J220" s="205"/>
      <c r="K220" s="163">
        <f t="shared" si="7"/>
        <v>32190</v>
      </c>
      <c r="L220" s="144"/>
    </row>
    <row r="221" spans="1:12" ht="13" x14ac:dyDescent="0.3">
      <c r="A221" s="197">
        <v>8</v>
      </c>
      <c r="B221" s="160" t="s">
        <v>1077</v>
      </c>
      <c r="C221" s="197" t="s">
        <v>40</v>
      </c>
      <c r="D221" s="157" t="s">
        <v>1479</v>
      </c>
      <c r="E221" s="199"/>
      <c r="F221" s="197"/>
      <c r="G221" s="148">
        <v>14000</v>
      </c>
      <c r="H221" s="148"/>
      <c r="I221" s="198"/>
      <c r="J221" s="197"/>
      <c r="K221" s="148">
        <f t="shared" si="7"/>
        <v>14000</v>
      </c>
      <c r="L221" s="144"/>
    </row>
    <row r="222" spans="1:12" x14ac:dyDescent="0.25">
      <c r="A222" s="197">
        <v>9</v>
      </c>
      <c r="B222" s="160" t="s">
        <v>1078</v>
      </c>
      <c r="C222" s="197" t="s">
        <v>40</v>
      </c>
      <c r="D222" s="157" t="s">
        <v>1480</v>
      </c>
      <c r="E222" s="199"/>
      <c r="F222" s="197"/>
      <c r="G222" s="148">
        <v>16500</v>
      </c>
      <c r="H222" s="148"/>
      <c r="I222" s="198"/>
      <c r="J222" s="197"/>
      <c r="K222" s="148">
        <f t="shared" si="7"/>
        <v>16500</v>
      </c>
      <c r="L222" s="197"/>
    </row>
    <row r="223" spans="1:12" x14ac:dyDescent="0.25">
      <c r="A223" s="197">
        <v>10</v>
      </c>
      <c r="B223" s="161" t="s">
        <v>1855</v>
      </c>
      <c r="C223" s="205" t="s">
        <v>40</v>
      </c>
      <c r="D223" s="162" t="s">
        <v>1481</v>
      </c>
      <c r="E223" s="204"/>
      <c r="F223" s="205"/>
      <c r="G223" s="163">
        <v>31080</v>
      </c>
      <c r="H223" s="163"/>
      <c r="I223" s="203"/>
      <c r="J223" s="205"/>
      <c r="K223" s="163">
        <f t="shared" si="7"/>
        <v>31080</v>
      </c>
      <c r="L223" s="197"/>
    </row>
    <row r="224" spans="1:12" ht="13" x14ac:dyDescent="0.3">
      <c r="A224" s="197">
        <v>11</v>
      </c>
      <c r="B224" s="160" t="s">
        <v>1079</v>
      </c>
      <c r="C224" s="197" t="s">
        <v>40</v>
      </c>
      <c r="D224" s="157" t="s">
        <v>1482</v>
      </c>
      <c r="E224" s="199"/>
      <c r="F224" s="197"/>
      <c r="G224" s="148">
        <v>17500</v>
      </c>
      <c r="H224" s="148"/>
      <c r="I224" s="198"/>
      <c r="J224" s="197"/>
      <c r="K224" s="148">
        <f t="shared" si="7"/>
        <v>17500</v>
      </c>
      <c r="L224" s="144"/>
    </row>
    <row r="225" spans="1:12" x14ac:dyDescent="0.25">
      <c r="A225" s="197">
        <v>12</v>
      </c>
      <c r="B225" s="160" t="s">
        <v>1080</v>
      </c>
      <c r="C225" s="197" t="s">
        <v>40</v>
      </c>
      <c r="D225" s="157" t="s">
        <v>1483</v>
      </c>
      <c r="E225" s="199"/>
      <c r="F225" s="197"/>
      <c r="G225" s="148">
        <v>16500</v>
      </c>
      <c r="H225" s="148"/>
      <c r="I225" s="198"/>
      <c r="J225" s="197"/>
      <c r="K225" s="148">
        <f t="shared" si="7"/>
        <v>16500</v>
      </c>
      <c r="L225" s="197"/>
    </row>
    <row r="226" spans="1:12" x14ac:dyDescent="0.25">
      <c r="A226" s="197">
        <v>13</v>
      </c>
      <c r="B226" s="160" t="s">
        <v>1081</v>
      </c>
      <c r="C226" s="197" t="s">
        <v>40</v>
      </c>
      <c r="D226" s="157" t="s">
        <v>1484</v>
      </c>
      <c r="E226" s="199"/>
      <c r="F226" s="197"/>
      <c r="G226" s="148">
        <v>12000</v>
      </c>
      <c r="H226" s="148"/>
      <c r="I226" s="198"/>
      <c r="J226" s="197"/>
      <c r="K226" s="148">
        <f t="shared" si="7"/>
        <v>12000</v>
      </c>
      <c r="L226" s="197"/>
    </row>
    <row r="227" spans="1:12" x14ac:dyDescent="0.25">
      <c r="A227" s="197">
        <v>14</v>
      </c>
      <c r="B227" s="160" t="s">
        <v>1082</v>
      </c>
      <c r="C227" s="197" t="s">
        <v>40</v>
      </c>
      <c r="D227" s="157" t="s">
        <v>1485</v>
      </c>
      <c r="E227" s="199"/>
      <c r="F227" s="197"/>
      <c r="G227" s="148">
        <v>16500</v>
      </c>
      <c r="H227" s="148"/>
      <c r="I227" s="198"/>
      <c r="J227" s="197"/>
      <c r="K227" s="148">
        <f t="shared" si="7"/>
        <v>16500</v>
      </c>
      <c r="L227" s="197"/>
    </row>
    <row r="228" spans="1:12" x14ac:dyDescent="0.25">
      <c r="A228" s="197">
        <v>15</v>
      </c>
      <c r="B228" s="160" t="s">
        <v>1806</v>
      </c>
      <c r="C228" s="197" t="s">
        <v>114</v>
      </c>
      <c r="D228" s="157"/>
      <c r="E228" s="199"/>
      <c r="F228" s="197"/>
      <c r="G228" s="148">
        <v>15000</v>
      </c>
      <c r="H228" s="148"/>
      <c r="I228" s="198"/>
      <c r="J228" s="197"/>
      <c r="K228" s="148">
        <f t="shared" si="7"/>
        <v>15000</v>
      </c>
      <c r="L228" s="197"/>
    </row>
    <row r="229" spans="1:12" x14ac:dyDescent="0.25">
      <c r="A229" s="197">
        <v>16</v>
      </c>
      <c r="B229" s="161" t="s">
        <v>1806</v>
      </c>
      <c r="C229" s="205" t="s">
        <v>40</v>
      </c>
      <c r="D229" s="162"/>
      <c r="E229" s="204"/>
      <c r="F229" s="205"/>
      <c r="G229" s="163">
        <v>31080</v>
      </c>
      <c r="H229" s="163"/>
      <c r="I229" s="203"/>
      <c r="J229" s="205"/>
      <c r="K229" s="163">
        <f t="shared" si="7"/>
        <v>31080</v>
      </c>
      <c r="L229" s="197"/>
    </row>
    <row r="230" spans="1:12" x14ac:dyDescent="0.25">
      <c r="A230" s="197">
        <v>17</v>
      </c>
      <c r="B230" s="160" t="s">
        <v>1807</v>
      </c>
      <c r="C230" s="197" t="s">
        <v>114</v>
      </c>
      <c r="D230" s="157"/>
      <c r="E230" s="199"/>
      <c r="F230" s="197"/>
      <c r="G230" s="148">
        <v>15000</v>
      </c>
      <c r="H230" s="148"/>
      <c r="I230" s="198"/>
      <c r="J230" s="197"/>
      <c r="K230" s="148">
        <f t="shared" si="7"/>
        <v>15000</v>
      </c>
      <c r="L230" s="197"/>
    </row>
    <row r="231" spans="1:12" x14ac:dyDescent="0.25">
      <c r="A231" s="197">
        <v>18</v>
      </c>
      <c r="B231" s="160" t="s">
        <v>1807</v>
      </c>
      <c r="C231" s="197" t="s">
        <v>40</v>
      </c>
      <c r="D231" s="157"/>
      <c r="E231" s="199"/>
      <c r="F231" s="197"/>
      <c r="G231" s="148">
        <v>15000</v>
      </c>
      <c r="H231" s="148"/>
      <c r="I231" s="198"/>
      <c r="J231" s="197"/>
      <c r="K231" s="148">
        <f t="shared" si="7"/>
        <v>15000</v>
      </c>
      <c r="L231" s="197"/>
    </row>
    <row r="232" spans="1:12" ht="13" x14ac:dyDescent="0.3">
      <c r="A232" s="197">
        <v>19</v>
      </c>
      <c r="B232" s="160" t="s">
        <v>1083</v>
      </c>
      <c r="C232" s="197" t="s">
        <v>40</v>
      </c>
      <c r="D232" s="157" t="s">
        <v>1486</v>
      </c>
      <c r="E232" s="199"/>
      <c r="F232" s="197"/>
      <c r="G232" s="148">
        <v>11000</v>
      </c>
      <c r="H232" s="148"/>
      <c r="I232" s="198"/>
      <c r="J232" s="197"/>
      <c r="K232" s="148">
        <f t="shared" si="7"/>
        <v>11000</v>
      </c>
      <c r="L232" s="144"/>
    </row>
    <row r="233" spans="1:12" ht="13" x14ac:dyDescent="0.3">
      <c r="A233" s="197">
        <v>20</v>
      </c>
      <c r="B233" s="160" t="s">
        <v>1084</v>
      </c>
      <c r="C233" s="197" t="s">
        <v>40</v>
      </c>
      <c r="D233" s="157" t="s">
        <v>1487</v>
      </c>
      <c r="E233" s="199"/>
      <c r="F233" s="197"/>
      <c r="G233" s="148">
        <v>13000</v>
      </c>
      <c r="H233" s="148"/>
      <c r="I233" s="198"/>
      <c r="J233" s="197"/>
      <c r="K233" s="148">
        <f t="shared" si="7"/>
        <v>13000</v>
      </c>
      <c r="L233" s="144"/>
    </row>
    <row r="234" spans="1:12" x14ac:dyDescent="0.25">
      <c r="A234" s="197">
        <v>21</v>
      </c>
      <c r="B234" s="160" t="s">
        <v>1085</v>
      </c>
      <c r="C234" s="197" t="s">
        <v>40</v>
      </c>
      <c r="D234" s="157" t="s">
        <v>1488</v>
      </c>
      <c r="E234" s="199"/>
      <c r="F234" s="197"/>
      <c r="G234" s="148">
        <v>16000</v>
      </c>
      <c r="H234" s="148"/>
      <c r="I234" s="198"/>
      <c r="J234" s="197"/>
      <c r="K234" s="148">
        <f t="shared" si="7"/>
        <v>16000</v>
      </c>
      <c r="L234" s="192"/>
    </row>
    <row r="235" spans="1:12" x14ac:dyDescent="0.25">
      <c r="A235" s="197">
        <v>22</v>
      </c>
      <c r="B235" s="160" t="s">
        <v>1086</v>
      </c>
      <c r="C235" s="197" t="s">
        <v>40</v>
      </c>
      <c r="D235" s="157" t="s">
        <v>1489</v>
      </c>
      <c r="E235" s="199"/>
      <c r="F235" s="197"/>
      <c r="G235" s="148">
        <v>9000</v>
      </c>
      <c r="H235" s="148"/>
      <c r="I235" s="198"/>
      <c r="J235" s="197"/>
      <c r="K235" s="148">
        <f t="shared" si="7"/>
        <v>9000</v>
      </c>
      <c r="L235" s="192"/>
    </row>
    <row r="236" spans="1:12" x14ac:dyDescent="0.25">
      <c r="A236" s="197">
        <v>23</v>
      </c>
      <c r="B236" s="167" t="s">
        <v>1087</v>
      </c>
      <c r="C236" s="197" t="s">
        <v>40</v>
      </c>
      <c r="D236" s="157" t="s">
        <v>1490</v>
      </c>
      <c r="E236" s="199"/>
      <c r="F236" s="197"/>
      <c r="G236" s="168">
        <v>10000</v>
      </c>
      <c r="H236" s="168"/>
      <c r="I236" s="210"/>
      <c r="J236" s="197"/>
      <c r="K236" s="168">
        <f t="shared" si="7"/>
        <v>10000</v>
      </c>
      <c r="L236" s="192"/>
    </row>
    <row r="237" spans="1:12" x14ac:dyDescent="0.25">
      <c r="A237" s="197">
        <v>24</v>
      </c>
      <c r="B237" s="160" t="s">
        <v>1088</v>
      </c>
      <c r="C237" s="197" t="s">
        <v>46</v>
      </c>
      <c r="D237" s="157" t="s">
        <v>1491</v>
      </c>
      <c r="E237" s="199"/>
      <c r="F237" s="197"/>
      <c r="G237" s="148">
        <v>2200</v>
      </c>
      <c r="H237" s="148"/>
      <c r="I237" s="198"/>
      <c r="J237" s="197"/>
      <c r="K237" s="148">
        <f t="shared" si="7"/>
        <v>2200</v>
      </c>
      <c r="L237" s="192"/>
    </row>
    <row r="238" spans="1:12" x14ac:dyDescent="0.25">
      <c r="A238" s="197">
        <v>25</v>
      </c>
      <c r="B238" s="160" t="s">
        <v>1803</v>
      </c>
      <c r="C238" s="197" t="s">
        <v>40</v>
      </c>
      <c r="D238" s="157"/>
      <c r="E238" s="199"/>
      <c r="F238" s="197"/>
      <c r="G238" s="148">
        <v>13500</v>
      </c>
      <c r="H238" s="148"/>
      <c r="I238" s="198"/>
      <c r="J238" s="197"/>
      <c r="K238" s="148">
        <f t="shared" si="7"/>
        <v>13500</v>
      </c>
      <c r="L238" s="192"/>
    </row>
    <row r="239" spans="1:12" x14ac:dyDescent="0.25">
      <c r="A239" s="197">
        <v>26</v>
      </c>
      <c r="B239" s="161" t="s">
        <v>1802</v>
      </c>
      <c r="C239" s="205" t="s">
        <v>40</v>
      </c>
      <c r="D239" s="162"/>
      <c r="E239" s="204"/>
      <c r="F239" s="205"/>
      <c r="G239" s="163">
        <v>30399.85</v>
      </c>
      <c r="H239" s="163"/>
      <c r="I239" s="203"/>
      <c r="J239" s="205"/>
      <c r="K239" s="163"/>
      <c r="L239" s="192"/>
    </row>
    <row r="240" spans="1:12" x14ac:dyDescent="0.25">
      <c r="A240" s="197">
        <v>27</v>
      </c>
      <c r="B240" s="160" t="s">
        <v>1804</v>
      </c>
      <c r="C240" s="197" t="s">
        <v>40</v>
      </c>
      <c r="D240" s="157"/>
      <c r="E240" s="199"/>
      <c r="F240" s="197"/>
      <c r="G240" s="148">
        <v>13500</v>
      </c>
      <c r="H240" s="148"/>
      <c r="I240" s="198"/>
      <c r="J240" s="197"/>
      <c r="K240" s="148"/>
      <c r="L240" s="192"/>
    </row>
    <row r="241" spans="1:12" x14ac:dyDescent="0.25">
      <c r="A241" s="197">
        <v>28</v>
      </c>
      <c r="B241" s="160" t="s">
        <v>1805</v>
      </c>
      <c r="C241" s="197" t="s">
        <v>40</v>
      </c>
      <c r="D241" s="157"/>
      <c r="E241" s="199"/>
      <c r="F241" s="197"/>
      <c r="G241" s="148">
        <v>13500</v>
      </c>
      <c r="H241" s="148"/>
      <c r="I241" s="198"/>
      <c r="J241" s="197"/>
      <c r="K241" s="148"/>
      <c r="L241" s="192"/>
    </row>
    <row r="242" spans="1:12" x14ac:dyDescent="0.25">
      <c r="A242" s="197">
        <v>29</v>
      </c>
      <c r="B242" s="160" t="s">
        <v>1089</v>
      </c>
      <c r="C242" s="197" t="s">
        <v>46</v>
      </c>
      <c r="D242" s="157" t="s">
        <v>1491</v>
      </c>
      <c r="E242" s="199"/>
      <c r="F242" s="197"/>
      <c r="G242" s="148">
        <v>3200</v>
      </c>
      <c r="H242" s="148"/>
      <c r="I242" s="198"/>
      <c r="J242" s="197"/>
      <c r="K242" s="148">
        <f t="shared" si="7"/>
        <v>3200</v>
      </c>
      <c r="L242" s="192"/>
    </row>
    <row r="243" spans="1:12" x14ac:dyDescent="0.25">
      <c r="A243" s="197">
        <v>30</v>
      </c>
      <c r="B243" s="160" t="s">
        <v>1090</v>
      </c>
      <c r="C243" s="197" t="s">
        <v>46</v>
      </c>
      <c r="D243" s="157" t="s">
        <v>1492</v>
      </c>
      <c r="E243" s="199"/>
      <c r="F243" s="197"/>
      <c r="G243" s="148">
        <v>5600</v>
      </c>
      <c r="H243" s="148"/>
      <c r="I243" s="198"/>
      <c r="J243" s="197"/>
      <c r="K243" s="148">
        <f t="shared" si="7"/>
        <v>5600</v>
      </c>
      <c r="L243" s="192"/>
    </row>
    <row r="244" spans="1:12" x14ac:dyDescent="0.25">
      <c r="A244" s="197">
        <v>31</v>
      </c>
      <c r="B244" s="161" t="s">
        <v>1801</v>
      </c>
      <c r="C244" s="205" t="s">
        <v>46</v>
      </c>
      <c r="D244" s="162" t="s">
        <v>1493</v>
      </c>
      <c r="E244" s="204"/>
      <c r="F244" s="205"/>
      <c r="G244" s="163">
        <v>23310</v>
      </c>
      <c r="H244" s="163"/>
      <c r="I244" s="203"/>
      <c r="J244" s="205"/>
      <c r="K244" s="163">
        <f t="shared" si="7"/>
        <v>23310</v>
      </c>
      <c r="L244" s="192"/>
    </row>
    <row r="245" spans="1:12" x14ac:dyDescent="0.25">
      <c r="A245" s="197">
        <v>32</v>
      </c>
      <c r="B245" s="160" t="s">
        <v>1091</v>
      </c>
      <c r="C245" s="197" t="s">
        <v>46</v>
      </c>
      <c r="D245" s="157" t="s">
        <v>1494</v>
      </c>
      <c r="E245" s="199"/>
      <c r="F245" s="197"/>
      <c r="G245" s="148">
        <v>10500</v>
      </c>
      <c r="H245" s="148"/>
      <c r="I245" s="198"/>
      <c r="J245" s="197"/>
      <c r="K245" s="148">
        <f t="shared" si="7"/>
        <v>10500</v>
      </c>
      <c r="L245" s="192"/>
    </row>
    <row r="246" spans="1:12" x14ac:dyDescent="0.25">
      <c r="A246" s="197">
        <v>33</v>
      </c>
      <c r="B246" s="160" t="s">
        <v>1092</v>
      </c>
      <c r="C246" s="197" t="s">
        <v>46</v>
      </c>
      <c r="D246" s="157" t="s">
        <v>1495</v>
      </c>
      <c r="E246" s="199"/>
      <c r="F246" s="197"/>
      <c r="G246" s="148">
        <v>5000</v>
      </c>
      <c r="H246" s="148"/>
      <c r="I246" s="198"/>
      <c r="J246" s="197"/>
      <c r="K246" s="148">
        <f t="shared" si="7"/>
        <v>5000</v>
      </c>
      <c r="L246" s="192"/>
    </row>
    <row r="247" spans="1:12" x14ac:dyDescent="0.25">
      <c r="A247" s="197">
        <v>34</v>
      </c>
      <c r="B247" s="207" t="s">
        <v>1835</v>
      </c>
      <c r="C247" s="205" t="s">
        <v>40</v>
      </c>
      <c r="D247" s="162" t="s">
        <v>1496</v>
      </c>
      <c r="E247" s="204"/>
      <c r="F247" s="205"/>
      <c r="G247" s="163">
        <v>28860</v>
      </c>
      <c r="H247" s="163"/>
      <c r="I247" s="203"/>
      <c r="J247" s="205"/>
      <c r="K247" s="163">
        <f t="shared" si="7"/>
        <v>28860</v>
      </c>
      <c r="L247" s="192"/>
    </row>
    <row r="248" spans="1:12" x14ac:dyDescent="0.25">
      <c r="A248" s="197">
        <v>35</v>
      </c>
      <c r="B248" s="160" t="s">
        <v>1093</v>
      </c>
      <c r="C248" s="197" t="s">
        <v>40</v>
      </c>
      <c r="D248" s="157" t="s">
        <v>1497</v>
      </c>
      <c r="E248" s="199"/>
      <c r="F248" s="197"/>
      <c r="G248" s="148">
        <v>36500</v>
      </c>
      <c r="H248" s="148"/>
      <c r="I248" s="198"/>
      <c r="J248" s="197"/>
      <c r="K248" s="148">
        <f t="shared" si="7"/>
        <v>36500</v>
      </c>
      <c r="L248" s="192"/>
    </row>
    <row r="249" spans="1:12" x14ac:dyDescent="0.25">
      <c r="A249" s="197">
        <v>36</v>
      </c>
      <c r="B249" s="160" t="s">
        <v>1094</v>
      </c>
      <c r="C249" s="197" t="s">
        <v>40</v>
      </c>
      <c r="D249" s="157" t="s">
        <v>1498</v>
      </c>
      <c r="E249" s="199"/>
      <c r="F249" s="197"/>
      <c r="G249" s="148">
        <v>15000</v>
      </c>
      <c r="H249" s="148"/>
      <c r="I249" s="198"/>
      <c r="J249" s="197"/>
      <c r="K249" s="148">
        <f t="shared" si="7"/>
        <v>15000</v>
      </c>
      <c r="L249" s="192"/>
    </row>
    <row r="250" spans="1:12" x14ac:dyDescent="0.25">
      <c r="A250" s="197">
        <v>37</v>
      </c>
      <c r="B250" s="193" t="s">
        <v>1095</v>
      </c>
      <c r="C250" s="197" t="s">
        <v>40</v>
      </c>
      <c r="D250" s="157" t="s">
        <v>1499</v>
      </c>
      <c r="E250" s="199"/>
      <c r="F250" s="197"/>
      <c r="G250" s="148">
        <v>19350</v>
      </c>
      <c r="H250" s="148"/>
      <c r="I250" s="198"/>
      <c r="J250" s="197"/>
      <c r="K250" s="148">
        <f t="shared" si="7"/>
        <v>19350</v>
      </c>
      <c r="L250" s="192"/>
    </row>
    <row r="251" spans="1:12" x14ac:dyDescent="0.25">
      <c r="A251" s="197">
        <v>38</v>
      </c>
      <c r="B251" s="161" t="s">
        <v>1869</v>
      </c>
      <c r="C251" s="205" t="s">
        <v>40</v>
      </c>
      <c r="D251" s="162" t="s">
        <v>1500</v>
      </c>
      <c r="E251" s="204"/>
      <c r="F251" s="205"/>
      <c r="G251" s="163">
        <v>25530</v>
      </c>
      <c r="H251" s="163"/>
      <c r="I251" s="203"/>
      <c r="J251" s="205"/>
      <c r="K251" s="163">
        <f t="shared" si="7"/>
        <v>25530</v>
      </c>
      <c r="L251" s="197"/>
    </row>
    <row r="252" spans="1:12" x14ac:dyDescent="0.25">
      <c r="A252" s="197">
        <v>39</v>
      </c>
      <c r="B252" s="207" t="s">
        <v>1871</v>
      </c>
      <c r="C252" s="205" t="s">
        <v>40</v>
      </c>
      <c r="D252" s="162" t="s">
        <v>1501</v>
      </c>
      <c r="E252" s="204"/>
      <c r="F252" s="205"/>
      <c r="G252" s="163">
        <v>46620</v>
      </c>
      <c r="H252" s="163"/>
      <c r="I252" s="203"/>
      <c r="J252" s="205"/>
      <c r="K252" s="163">
        <f t="shared" si="7"/>
        <v>46620</v>
      </c>
      <c r="L252" s="197"/>
    </row>
    <row r="253" spans="1:12" x14ac:dyDescent="0.25">
      <c r="A253" s="197">
        <v>40</v>
      </c>
      <c r="B253" s="161" t="s">
        <v>1872</v>
      </c>
      <c r="C253" s="165" t="s">
        <v>40</v>
      </c>
      <c r="D253" s="162" t="s">
        <v>1502</v>
      </c>
      <c r="E253" s="204"/>
      <c r="F253" s="205"/>
      <c r="G253" s="163">
        <v>86580</v>
      </c>
      <c r="H253" s="163"/>
      <c r="I253" s="203"/>
      <c r="J253" s="205"/>
      <c r="K253" s="163">
        <f t="shared" si="7"/>
        <v>86580</v>
      </c>
      <c r="L253" s="197"/>
    </row>
    <row r="254" spans="1:12" x14ac:dyDescent="0.25">
      <c r="A254" s="197">
        <v>41</v>
      </c>
      <c r="B254" s="193" t="s">
        <v>1096</v>
      </c>
      <c r="C254" s="197" t="s">
        <v>40</v>
      </c>
      <c r="D254" s="157" t="s">
        <v>1503</v>
      </c>
      <c r="E254" s="199"/>
      <c r="F254" s="197"/>
      <c r="G254" s="148">
        <v>12500</v>
      </c>
      <c r="H254" s="148"/>
      <c r="I254" s="198"/>
      <c r="J254" s="197"/>
      <c r="K254" s="148">
        <f t="shared" si="7"/>
        <v>12500</v>
      </c>
      <c r="L254" s="197"/>
    </row>
    <row r="255" spans="1:12" x14ac:dyDescent="0.25">
      <c r="A255" s="197">
        <v>42</v>
      </c>
      <c r="B255" s="209" t="s">
        <v>1874</v>
      </c>
      <c r="C255" s="205" t="s">
        <v>40</v>
      </c>
      <c r="D255" s="162" t="s">
        <v>1504</v>
      </c>
      <c r="E255" s="204"/>
      <c r="F255" s="205"/>
      <c r="G255" s="163">
        <v>18426</v>
      </c>
      <c r="H255" s="163"/>
      <c r="I255" s="203"/>
      <c r="J255" s="205"/>
      <c r="K255" s="163">
        <f t="shared" si="7"/>
        <v>18426</v>
      </c>
      <c r="L255" s="197"/>
    </row>
    <row r="256" spans="1:12" x14ac:dyDescent="0.25">
      <c r="A256" s="197">
        <v>43</v>
      </c>
      <c r="B256" s="180" t="s">
        <v>151</v>
      </c>
      <c r="C256" s="205" t="s">
        <v>40</v>
      </c>
      <c r="D256" s="162"/>
      <c r="E256" s="204"/>
      <c r="F256" s="205"/>
      <c r="G256" s="163">
        <v>18426</v>
      </c>
      <c r="H256" s="163"/>
      <c r="I256" s="203"/>
      <c r="J256" s="205"/>
      <c r="K256" s="163">
        <f t="shared" si="7"/>
        <v>18426</v>
      </c>
      <c r="L256" s="197"/>
    </row>
    <row r="257" spans="1:12" x14ac:dyDescent="0.25">
      <c r="A257" s="197">
        <v>44</v>
      </c>
      <c r="B257" s="207" t="s">
        <v>1875</v>
      </c>
      <c r="C257" s="205" t="s">
        <v>696</v>
      </c>
      <c r="D257" s="162" t="s">
        <v>1505</v>
      </c>
      <c r="E257" s="204"/>
      <c r="F257" s="205"/>
      <c r="G257" s="163">
        <v>1500000</v>
      </c>
      <c r="H257" s="163"/>
      <c r="I257" s="203"/>
      <c r="J257" s="205"/>
      <c r="K257" s="163">
        <f t="shared" si="7"/>
        <v>1500000</v>
      </c>
      <c r="L257" s="197"/>
    </row>
    <row r="258" spans="1:12" x14ac:dyDescent="0.25">
      <c r="A258" s="197">
        <v>45</v>
      </c>
      <c r="B258" s="193" t="s">
        <v>1097</v>
      </c>
      <c r="C258" s="197" t="s">
        <v>696</v>
      </c>
      <c r="D258" s="157" t="s">
        <v>1506</v>
      </c>
      <c r="E258" s="199"/>
      <c r="F258" s="197"/>
      <c r="G258" s="148">
        <v>1800000</v>
      </c>
      <c r="H258" s="148"/>
      <c r="I258" s="198"/>
      <c r="J258" s="197"/>
      <c r="K258" s="148">
        <f t="shared" si="7"/>
        <v>1800000</v>
      </c>
      <c r="L258" s="197"/>
    </row>
    <row r="259" spans="1:12" x14ac:dyDescent="0.25">
      <c r="A259" s="197">
        <v>46</v>
      </c>
      <c r="B259" s="193" t="s">
        <v>1098</v>
      </c>
      <c r="C259" s="197" t="s">
        <v>696</v>
      </c>
      <c r="D259" s="157" t="s">
        <v>1507</v>
      </c>
      <c r="E259" s="199"/>
      <c r="F259" s="197"/>
      <c r="G259" s="148">
        <v>2700000</v>
      </c>
      <c r="H259" s="148"/>
      <c r="I259" s="198"/>
      <c r="J259" s="197"/>
      <c r="K259" s="148">
        <f t="shared" si="7"/>
        <v>2700000</v>
      </c>
      <c r="L259" s="192"/>
    </row>
    <row r="260" spans="1:12" x14ac:dyDescent="0.25">
      <c r="A260" s="197">
        <v>47</v>
      </c>
      <c r="B260" s="193" t="s">
        <v>1099</v>
      </c>
      <c r="C260" s="197" t="s">
        <v>696</v>
      </c>
      <c r="D260" s="157" t="s">
        <v>1508</v>
      </c>
      <c r="E260" s="199"/>
      <c r="F260" s="197"/>
      <c r="G260" s="148">
        <v>2100000</v>
      </c>
      <c r="H260" s="148"/>
      <c r="I260" s="198"/>
      <c r="J260" s="197"/>
      <c r="K260" s="148">
        <f t="shared" si="7"/>
        <v>2100000</v>
      </c>
      <c r="L260" s="192"/>
    </row>
    <row r="261" spans="1:12" x14ac:dyDescent="0.25">
      <c r="A261" s="197">
        <v>48</v>
      </c>
      <c r="B261" s="193" t="s">
        <v>1100</v>
      </c>
      <c r="C261" s="197" t="s">
        <v>696</v>
      </c>
      <c r="D261" s="157" t="s">
        <v>1509</v>
      </c>
      <c r="E261" s="199"/>
      <c r="F261" s="197"/>
      <c r="G261" s="148">
        <v>2700000</v>
      </c>
      <c r="H261" s="148"/>
      <c r="I261" s="198"/>
      <c r="J261" s="197"/>
      <c r="K261" s="148">
        <f t="shared" si="7"/>
        <v>2700000</v>
      </c>
      <c r="L261" s="192"/>
    </row>
    <row r="262" spans="1:12" x14ac:dyDescent="0.25">
      <c r="A262" s="197">
        <v>49</v>
      </c>
      <c r="B262" s="193" t="s">
        <v>1101</v>
      </c>
      <c r="C262" s="197" t="s">
        <v>696</v>
      </c>
      <c r="D262" s="157" t="s">
        <v>1510</v>
      </c>
      <c r="E262" s="199"/>
      <c r="F262" s="197"/>
      <c r="G262" s="148">
        <v>3300000</v>
      </c>
      <c r="H262" s="148"/>
      <c r="I262" s="198"/>
      <c r="J262" s="197"/>
      <c r="K262" s="148">
        <f t="shared" si="7"/>
        <v>3300000</v>
      </c>
      <c r="L262" s="192"/>
    </row>
    <row r="263" spans="1:12" ht="13" x14ac:dyDescent="0.3">
      <c r="A263" s="197">
        <v>50</v>
      </c>
      <c r="B263" s="193" t="s">
        <v>1102</v>
      </c>
      <c r="C263" s="197"/>
      <c r="D263" s="157"/>
      <c r="E263" s="199"/>
      <c r="F263" s="197"/>
      <c r="G263" s="148"/>
      <c r="H263" s="148"/>
      <c r="I263" s="198"/>
      <c r="J263" s="197"/>
      <c r="K263" s="148">
        <f t="shared" si="7"/>
        <v>0</v>
      </c>
      <c r="L263" s="144"/>
    </row>
    <row r="264" spans="1:12" x14ac:dyDescent="0.25">
      <c r="A264" s="197">
        <v>51</v>
      </c>
      <c r="B264" s="160" t="s">
        <v>1103</v>
      </c>
      <c r="C264" s="197" t="s">
        <v>696</v>
      </c>
      <c r="D264" s="157" t="s">
        <v>1511</v>
      </c>
      <c r="E264" s="199"/>
      <c r="F264" s="197"/>
      <c r="G264" s="148">
        <v>7300000</v>
      </c>
      <c r="H264" s="148"/>
      <c r="I264" s="198"/>
      <c r="J264" s="197"/>
      <c r="K264" s="148"/>
      <c r="L264" s="197"/>
    </row>
    <row r="265" spans="1:12" x14ac:dyDescent="0.25">
      <c r="A265" s="197"/>
      <c r="B265" s="193" t="s">
        <v>1104</v>
      </c>
      <c r="C265" s="197" t="s">
        <v>696</v>
      </c>
      <c r="D265" s="157" t="s">
        <v>1512</v>
      </c>
      <c r="E265" s="199"/>
      <c r="F265" s="197"/>
      <c r="G265" s="148">
        <v>8200000</v>
      </c>
      <c r="H265" s="148"/>
      <c r="I265" s="198"/>
      <c r="J265" s="197"/>
      <c r="K265" s="148">
        <f t="shared" ref="K265:K267" si="8">+G265+$C$7*J265</f>
        <v>8200000</v>
      </c>
      <c r="L265" s="192"/>
    </row>
    <row r="266" spans="1:12" x14ac:dyDescent="0.25">
      <c r="A266" s="197"/>
      <c r="B266" s="193" t="s">
        <v>1105</v>
      </c>
      <c r="C266" s="197" t="s">
        <v>696</v>
      </c>
      <c r="D266" s="157" t="s">
        <v>1513</v>
      </c>
      <c r="E266" s="199"/>
      <c r="F266" s="197"/>
      <c r="G266" s="148">
        <v>10400000</v>
      </c>
      <c r="H266" s="148"/>
      <c r="I266" s="198"/>
      <c r="J266" s="197"/>
      <c r="K266" s="148">
        <f t="shared" si="8"/>
        <v>10400000</v>
      </c>
      <c r="L266" s="192"/>
    </row>
    <row r="267" spans="1:12" x14ac:dyDescent="0.25">
      <c r="A267" s="197"/>
      <c r="B267" s="193" t="s">
        <v>1106</v>
      </c>
      <c r="C267" s="197"/>
      <c r="D267" s="157"/>
      <c r="E267" s="199"/>
      <c r="F267" s="197"/>
      <c r="G267" s="148"/>
      <c r="H267" s="148"/>
      <c r="I267" s="198"/>
      <c r="J267" s="197"/>
      <c r="K267" s="148">
        <f t="shared" si="8"/>
        <v>0</v>
      </c>
      <c r="L267" s="192"/>
    </row>
    <row r="268" spans="1:12" x14ac:dyDescent="0.25">
      <c r="A268" s="197">
        <v>52</v>
      </c>
      <c r="B268" s="193" t="s">
        <v>1103</v>
      </c>
      <c r="C268" s="197" t="s">
        <v>696</v>
      </c>
      <c r="D268" s="157" t="s">
        <v>1514</v>
      </c>
      <c r="E268" s="199"/>
      <c r="F268" s="197"/>
      <c r="G268" s="148">
        <v>7700000</v>
      </c>
      <c r="H268" s="148"/>
      <c r="I268" s="198"/>
      <c r="J268" s="197"/>
      <c r="K268" s="148"/>
      <c r="L268" s="192"/>
    </row>
    <row r="269" spans="1:12" x14ac:dyDescent="0.25">
      <c r="A269" s="197"/>
      <c r="B269" s="193" t="s">
        <v>1107</v>
      </c>
      <c r="C269" s="197" t="s">
        <v>696</v>
      </c>
      <c r="D269" s="157" t="s">
        <v>1515</v>
      </c>
      <c r="E269" s="199"/>
      <c r="F269" s="197"/>
      <c r="G269" s="148">
        <v>8600000</v>
      </c>
      <c r="H269" s="148"/>
      <c r="I269" s="198"/>
      <c r="J269" s="197"/>
      <c r="K269" s="148">
        <f t="shared" ref="K269:K271" si="9">+G269+$C$7*J269</f>
        <v>8600000</v>
      </c>
      <c r="L269" s="192"/>
    </row>
    <row r="270" spans="1:12" x14ac:dyDescent="0.25">
      <c r="A270" s="197"/>
      <c r="B270" s="193" t="s">
        <v>1108</v>
      </c>
      <c r="C270" s="197" t="s">
        <v>696</v>
      </c>
      <c r="D270" s="157" t="s">
        <v>1516</v>
      </c>
      <c r="E270" s="199"/>
      <c r="F270" s="197"/>
      <c r="G270" s="148">
        <v>11000000</v>
      </c>
      <c r="H270" s="148"/>
      <c r="I270" s="198"/>
      <c r="J270" s="197"/>
      <c r="K270" s="148">
        <f t="shared" si="9"/>
        <v>11000000</v>
      </c>
      <c r="L270" s="192"/>
    </row>
    <row r="271" spans="1:12" ht="13" x14ac:dyDescent="0.3">
      <c r="A271" s="197"/>
      <c r="B271" s="193" t="s">
        <v>1109</v>
      </c>
      <c r="C271" s="197"/>
      <c r="D271" s="157"/>
      <c r="E271" s="199"/>
      <c r="F271" s="197"/>
      <c r="G271" s="148"/>
      <c r="H271" s="148"/>
      <c r="I271" s="198"/>
      <c r="J271" s="197"/>
      <c r="K271" s="148">
        <f t="shared" si="9"/>
        <v>0</v>
      </c>
      <c r="L271" s="144"/>
    </row>
    <row r="272" spans="1:12" x14ac:dyDescent="0.25">
      <c r="A272" s="197">
        <v>53</v>
      </c>
      <c r="B272" s="193" t="s">
        <v>1103</v>
      </c>
      <c r="C272" s="197" t="s">
        <v>696</v>
      </c>
      <c r="D272" s="157" t="s">
        <v>1517</v>
      </c>
      <c r="E272" s="199"/>
      <c r="F272" s="197"/>
      <c r="G272" s="148">
        <v>8200000</v>
      </c>
      <c r="H272" s="148"/>
      <c r="I272" s="198"/>
      <c r="J272" s="197"/>
      <c r="K272" s="148"/>
      <c r="L272" s="192"/>
    </row>
    <row r="273" spans="1:12" x14ac:dyDescent="0.25">
      <c r="A273" s="197"/>
      <c r="B273" s="193" t="s">
        <v>1110</v>
      </c>
      <c r="C273" s="197" t="s">
        <v>696</v>
      </c>
      <c r="D273" s="157" t="s">
        <v>1518</v>
      </c>
      <c r="E273" s="199"/>
      <c r="F273" s="197"/>
      <c r="G273" s="148">
        <v>9100000</v>
      </c>
      <c r="H273" s="148"/>
      <c r="I273" s="198"/>
      <c r="J273" s="197"/>
      <c r="K273" s="148">
        <f t="shared" ref="K273:K275" si="10">+G273+$C$7*J273</f>
        <v>9100000</v>
      </c>
      <c r="L273" s="192"/>
    </row>
    <row r="274" spans="1:12" x14ac:dyDescent="0.25">
      <c r="A274" s="197"/>
      <c r="B274" s="193" t="s">
        <v>1111</v>
      </c>
      <c r="C274" s="197" t="s">
        <v>696</v>
      </c>
      <c r="D274" s="157" t="s">
        <v>1519</v>
      </c>
      <c r="E274" s="199"/>
      <c r="F274" s="197"/>
      <c r="G274" s="148">
        <v>11700000</v>
      </c>
      <c r="H274" s="148"/>
      <c r="I274" s="198"/>
      <c r="J274" s="197"/>
      <c r="K274" s="148">
        <f t="shared" si="10"/>
        <v>11700000</v>
      </c>
      <c r="L274" s="192"/>
    </row>
    <row r="275" spans="1:12" x14ac:dyDescent="0.25">
      <c r="A275" s="197"/>
      <c r="B275" s="193" t="s">
        <v>1112</v>
      </c>
      <c r="C275" s="197"/>
      <c r="D275" s="157"/>
      <c r="E275" s="199"/>
      <c r="F275" s="197"/>
      <c r="G275" s="148"/>
      <c r="H275" s="148"/>
      <c r="I275" s="198"/>
      <c r="J275" s="197"/>
      <c r="K275" s="148">
        <f t="shared" si="10"/>
        <v>0</v>
      </c>
      <c r="L275" s="192"/>
    </row>
    <row r="276" spans="1:12" x14ac:dyDescent="0.25">
      <c r="A276" s="197">
        <v>54</v>
      </c>
      <c r="B276" s="193" t="s">
        <v>1103</v>
      </c>
      <c r="C276" s="197" t="s">
        <v>696</v>
      </c>
      <c r="D276" s="157" t="s">
        <v>1520</v>
      </c>
      <c r="E276" s="199"/>
      <c r="F276" s="197"/>
      <c r="G276" s="148">
        <v>8450000</v>
      </c>
      <c r="H276" s="148"/>
      <c r="I276" s="198"/>
      <c r="J276" s="197"/>
      <c r="K276" s="148"/>
      <c r="L276" s="192"/>
    </row>
    <row r="277" spans="1:12" x14ac:dyDescent="0.25">
      <c r="A277" s="197"/>
      <c r="B277" s="193" t="s">
        <v>1113</v>
      </c>
      <c r="C277" s="197" t="s">
        <v>696</v>
      </c>
      <c r="D277" s="157" t="s">
        <v>1521</v>
      </c>
      <c r="E277" s="199"/>
      <c r="F277" s="197"/>
      <c r="G277" s="148">
        <v>9550000</v>
      </c>
      <c r="H277" s="148"/>
      <c r="I277" s="198"/>
      <c r="J277" s="197"/>
      <c r="K277" s="148">
        <f t="shared" ref="K277:K279" si="11">+G277+$C$7*J277</f>
        <v>9550000</v>
      </c>
      <c r="L277" s="192"/>
    </row>
    <row r="278" spans="1:12" x14ac:dyDescent="0.25">
      <c r="A278" s="197"/>
      <c r="B278" s="193" t="s">
        <v>1114</v>
      </c>
      <c r="C278" s="197" t="s">
        <v>696</v>
      </c>
      <c r="D278" s="157" t="s">
        <v>1522</v>
      </c>
      <c r="E278" s="199"/>
      <c r="F278" s="197"/>
      <c r="G278" s="148">
        <v>12300000</v>
      </c>
      <c r="H278" s="148"/>
      <c r="I278" s="198"/>
      <c r="J278" s="197"/>
      <c r="K278" s="148">
        <f t="shared" si="11"/>
        <v>12300000</v>
      </c>
      <c r="L278" s="192"/>
    </row>
    <row r="279" spans="1:12" x14ac:dyDescent="0.25">
      <c r="A279" s="197"/>
      <c r="B279" s="193" t="s">
        <v>1115</v>
      </c>
      <c r="C279" s="197"/>
      <c r="D279" s="157"/>
      <c r="E279" s="199"/>
      <c r="F279" s="197"/>
      <c r="G279" s="148"/>
      <c r="H279" s="148"/>
      <c r="I279" s="198"/>
      <c r="J279" s="197"/>
      <c r="K279" s="148">
        <f t="shared" si="11"/>
        <v>0</v>
      </c>
      <c r="L279" s="192"/>
    </row>
    <row r="280" spans="1:12" x14ac:dyDescent="0.25">
      <c r="A280" s="197">
        <v>55</v>
      </c>
      <c r="B280" s="193" t="s">
        <v>1103</v>
      </c>
      <c r="C280" s="197" t="s">
        <v>696</v>
      </c>
      <c r="D280" s="157" t="s">
        <v>1523</v>
      </c>
      <c r="E280" s="199"/>
      <c r="F280" s="197"/>
      <c r="G280" s="148">
        <v>8850000</v>
      </c>
      <c r="H280" s="148"/>
      <c r="I280" s="198"/>
      <c r="J280" s="197"/>
      <c r="K280" s="148"/>
      <c r="L280" s="192"/>
    </row>
    <row r="281" spans="1:12" x14ac:dyDescent="0.25">
      <c r="A281" s="197"/>
      <c r="B281" s="193" t="s">
        <v>1116</v>
      </c>
      <c r="C281" s="197" t="s">
        <v>696</v>
      </c>
      <c r="D281" s="157" t="s">
        <v>1524</v>
      </c>
      <c r="E281" s="199"/>
      <c r="F281" s="197"/>
      <c r="G281" s="148">
        <v>10100000</v>
      </c>
      <c r="H281" s="148"/>
      <c r="I281" s="198"/>
      <c r="J281" s="197"/>
      <c r="K281" s="148">
        <f t="shared" ref="K281:K283" si="12">+G281+$C$7*J281</f>
        <v>10100000</v>
      </c>
      <c r="L281" s="192"/>
    </row>
    <row r="282" spans="1:12" x14ac:dyDescent="0.25">
      <c r="A282" s="197"/>
      <c r="B282" s="193" t="s">
        <v>1117</v>
      </c>
      <c r="C282" s="197" t="s">
        <v>696</v>
      </c>
      <c r="D282" s="157" t="s">
        <v>1525</v>
      </c>
      <c r="E282" s="199"/>
      <c r="F282" s="197"/>
      <c r="G282" s="148">
        <v>12900000</v>
      </c>
      <c r="H282" s="148"/>
      <c r="I282" s="198"/>
      <c r="J282" s="197"/>
      <c r="K282" s="148">
        <f t="shared" si="12"/>
        <v>12900000</v>
      </c>
      <c r="L282" s="192"/>
    </row>
    <row r="283" spans="1:12" x14ac:dyDescent="0.25">
      <c r="A283" s="197"/>
      <c r="B283" s="193" t="s">
        <v>1118</v>
      </c>
      <c r="C283" s="197"/>
      <c r="D283" s="157"/>
      <c r="E283" s="199"/>
      <c r="F283" s="197"/>
      <c r="G283" s="148"/>
      <c r="H283" s="148"/>
      <c r="I283" s="198"/>
      <c r="J283" s="197"/>
      <c r="K283" s="148">
        <f t="shared" si="12"/>
        <v>0</v>
      </c>
      <c r="L283" s="197"/>
    </row>
    <row r="284" spans="1:12" x14ac:dyDescent="0.25">
      <c r="A284" s="197">
        <v>56</v>
      </c>
      <c r="B284" s="193" t="s">
        <v>1103</v>
      </c>
      <c r="C284" s="197" t="s">
        <v>696</v>
      </c>
      <c r="D284" s="157" t="s">
        <v>1526</v>
      </c>
      <c r="E284" s="199"/>
      <c r="F284" s="197"/>
      <c r="G284" s="148">
        <v>9300000</v>
      </c>
      <c r="H284" s="148"/>
      <c r="I284" s="198"/>
      <c r="J284" s="197"/>
      <c r="K284" s="148"/>
      <c r="L284" s="197"/>
    </row>
    <row r="285" spans="1:12" x14ac:dyDescent="0.25">
      <c r="A285" s="197"/>
      <c r="B285" s="193" t="s">
        <v>1119</v>
      </c>
      <c r="C285" s="197" t="s">
        <v>696</v>
      </c>
      <c r="D285" s="157" t="s">
        <v>1527</v>
      </c>
      <c r="E285" s="199"/>
      <c r="F285" s="197"/>
      <c r="G285" s="148">
        <v>10500000</v>
      </c>
      <c r="H285" s="148"/>
      <c r="I285" s="198"/>
      <c r="J285" s="197"/>
      <c r="K285" s="148">
        <f t="shared" ref="K285:K287" si="13">+G285+$C$7*J285</f>
        <v>10500000</v>
      </c>
      <c r="L285" s="197"/>
    </row>
    <row r="286" spans="1:12" x14ac:dyDescent="0.25">
      <c r="A286" s="197"/>
      <c r="B286" s="193" t="s">
        <v>1120</v>
      </c>
      <c r="C286" s="197" t="s">
        <v>696</v>
      </c>
      <c r="D286" s="157" t="s">
        <v>1528</v>
      </c>
      <c r="E286" s="199"/>
      <c r="F286" s="197"/>
      <c r="G286" s="148">
        <v>13500000</v>
      </c>
      <c r="H286" s="148"/>
      <c r="I286" s="198"/>
      <c r="J286" s="197"/>
      <c r="K286" s="148">
        <f t="shared" si="13"/>
        <v>13500000</v>
      </c>
      <c r="L286" s="192"/>
    </row>
    <row r="287" spans="1:12" x14ac:dyDescent="0.25">
      <c r="A287" s="197"/>
      <c r="B287" s="193" t="s">
        <v>1121</v>
      </c>
      <c r="C287" s="197"/>
      <c r="D287" s="157"/>
      <c r="E287" s="199"/>
      <c r="F287" s="197"/>
      <c r="G287" s="148"/>
      <c r="H287" s="148"/>
      <c r="I287" s="198"/>
      <c r="J287" s="197"/>
      <c r="K287" s="148">
        <f t="shared" si="13"/>
        <v>0</v>
      </c>
      <c r="L287" s="192"/>
    </row>
    <row r="288" spans="1:12" x14ac:dyDescent="0.25">
      <c r="A288" s="197">
        <v>57</v>
      </c>
      <c r="B288" s="193" t="s">
        <v>1103</v>
      </c>
      <c r="C288" s="197" t="s">
        <v>696</v>
      </c>
      <c r="D288" s="157" t="s">
        <v>1529</v>
      </c>
      <c r="E288" s="199"/>
      <c r="F288" s="197"/>
      <c r="G288" s="148">
        <v>9700000</v>
      </c>
      <c r="H288" s="148"/>
      <c r="I288" s="198"/>
      <c r="J288" s="197"/>
      <c r="K288" s="148"/>
      <c r="L288" s="192"/>
    </row>
    <row r="289" spans="1:12" x14ac:dyDescent="0.25">
      <c r="A289" s="197"/>
      <c r="B289" s="193" t="s">
        <v>1122</v>
      </c>
      <c r="C289" s="197" t="s">
        <v>696</v>
      </c>
      <c r="D289" s="157" t="s">
        <v>1530</v>
      </c>
      <c r="E289" s="199"/>
      <c r="F289" s="197"/>
      <c r="G289" s="148">
        <v>11000000</v>
      </c>
      <c r="H289" s="148"/>
      <c r="I289" s="198"/>
      <c r="J289" s="197"/>
      <c r="K289" s="148">
        <f t="shared" ref="K289:K291" si="14">+G289+$C$7*J289</f>
        <v>11000000</v>
      </c>
      <c r="L289" s="192"/>
    </row>
    <row r="290" spans="1:12" x14ac:dyDescent="0.25">
      <c r="A290" s="197"/>
      <c r="B290" s="193" t="s">
        <v>1123</v>
      </c>
      <c r="C290" s="197" t="s">
        <v>696</v>
      </c>
      <c r="D290" s="157" t="s">
        <v>1531</v>
      </c>
      <c r="E290" s="199"/>
      <c r="F290" s="197"/>
      <c r="G290" s="148">
        <v>14150000</v>
      </c>
      <c r="H290" s="148"/>
      <c r="I290" s="198"/>
      <c r="J290" s="197"/>
      <c r="K290" s="148">
        <f t="shared" si="14"/>
        <v>14150000</v>
      </c>
      <c r="L290" s="192"/>
    </row>
    <row r="291" spans="1:12" x14ac:dyDescent="0.25">
      <c r="A291" s="197"/>
      <c r="B291" s="193" t="s">
        <v>1124</v>
      </c>
      <c r="C291" s="197"/>
      <c r="D291" s="157"/>
      <c r="E291" s="199"/>
      <c r="F291" s="197"/>
      <c r="G291" s="148"/>
      <c r="H291" s="148"/>
      <c r="I291" s="198"/>
      <c r="J291" s="197"/>
      <c r="K291" s="148">
        <f t="shared" si="14"/>
        <v>0</v>
      </c>
      <c r="L291" s="192"/>
    </row>
    <row r="292" spans="1:12" x14ac:dyDescent="0.25">
      <c r="A292" s="197">
        <v>58</v>
      </c>
      <c r="B292" s="193" t="s">
        <v>1103</v>
      </c>
      <c r="C292" s="197" t="s">
        <v>696</v>
      </c>
      <c r="D292" s="157" t="s">
        <v>1532</v>
      </c>
      <c r="E292" s="199"/>
      <c r="F292" s="197"/>
      <c r="G292" s="148">
        <v>10350000</v>
      </c>
      <c r="H292" s="148"/>
      <c r="I292" s="198"/>
      <c r="J292" s="197"/>
      <c r="K292" s="148"/>
      <c r="L292" s="192"/>
    </row>
    <row r="293" spans="1:12" x14ac:dyDescent="0.25">
      <c r="A293" s="197"/>
      <c r="B293" s="193" t="s">
        <v>1125</v>
      </c>
      <c r="C293" s="197" t="s">
        <v>696</v>
      </c>
      <c r="D293" s="157" t="s">
        <v>1533</v>
      </c>
      <c r="E293" s="199"/>
      <c r="F293" s="197"/>
      <c r="G293" s="148">
        <v>11600000</v>
      </c>
      <c r="H293" s="148"/>
      <c r="I293" s="198"/>
      <c r="J293" s="197"/>
      <c r="K293" s="148">
        <f t="shared" ref="K293:K295" si="15">+G293+$C$7*J293</f>
        <v>11600000</v>
      </c>
      <c r="L293" s="192"/>
    </row>
    <row r="294" spans="1:12" x14ac:dyDescent="0.25">
      <c r="A294" s="197"/>
      <c r="B294" s="193" t="s">
        <v>1126</v>
      </c>
      <c r="C294" s="197" t="s">
        <v>696</v>
      </c>
      <c r="D294" s="157" t="s">
        <v>1534</v>
      </c>
      <c r="E294" s="199"/>
      <c r="F294" s="197"/>
      <c r="G294" s="148">
        <v>14800000</v>
      </c>
      <c r="H294" s="148"/>
      <c r="I294" s="198"/>
      <c r="J294" s="197"/>
      <c r="K294" s="148">
        <f t="shared" si="15"/>
        <v>14800000</v>
      </c>
      <c r="L294" s="192"/>
    </row>
    <row r="295" spans="1:12" x14ac:dyDescent="0.25">
      <c r="A295" s="211"/>
      <c r="B295" s="212" t="s">
        <v>1127</v>
      </c>
      <c r="C295" s="211"/>
      <c r="D295" s="157"/>
      <c r="E295" s="213"/>
      <c r="F295" s="211"/>
      <c r="G295" s="148"/>
      <c r="H295" s="148"/>
      <c r="I295" s="198"/>
      <c r="J295" s="197"/>
      <c r="K295" s="148">
        <f t="shared" si="15"/>
        <v>0</v>
      </c>
      <c r="L295" s="192"/>
    </row>
    <row r="296" spans="1:12" x14ac:dyDescent="0.25">
      <c r="A296" s="197">
        <v>59</v>
      </c>
      <c r="B296" s="193" t="s">
        <v>1103</v>
      </c>
      <c r="C296" s="197" t="s">
        <v>696</v>
      </c>
      <c r="D296" s="157" t="s">
        <v>1535</v>
      </c>
      <c r="E296" s="199"/>
      <c r="F296" s="197"/>
      <c r="G296" s="148">
        <v>12150000</v>
      </c>
      <c r="H296" s="148"/>
      <c r="I296" s="198"/>
      <c r="J296" s="197"/>
      <c r="K296" s="148"/>
      <c r="L296" s="192"/>
    </row>
    <row r="297" spans="1:12" x14ac:dyDescent="0.25">
      <c r="A297" s="197"/>
      <c r="B297" s="193" t="s">
        <v>1128</v>
      </c>
      <c r="C297" s="197" t="s">
        <v>696</v>
      </c>
      <c r="D297" s="157" t="s">
        <v>1536</v>
      </c>
      <c r="E297" s="199"/>
      <c r="F297" s="197"/>
      <c r="G297" s="148">
        <v>13800000</v>
      </c>
      <c r="H297" s="148"/>
      <c r="I297" s="198"/>
      <c r="J297" s="197"/>
      <c r="K297" s="148">
        <f t="shared" ref="K297:K299" si="16">+G297+$C$7*J297</f>
        <v>13800000</v>
      </c>
      <c r="L297" s="192"/>
    </row>
    <row r="298" spans="1:12" x14ac:dyDescent="0.25">
      <c r="A298" s="197"/>
      <c r="B298" s="193" t="s">
        <v>1129</v>
      </c>
      <c r="C298" s="197" t="s">
        <v>696</v>
      </c>
      <c r="D298" s="157" t="s">
        <v>1537</v>
      </c>
      <c r="E298" s="199"/>
      <c r="F298" s="197"/>
      <c r="G298" s="148">
        <v>17950000</v>
      </c>
      <c r="H298" s="148"/>
      <c r="I298" s="198"/>
      <c r="J298" s="197"/>
      <c r="K298" s="148">
        <f t="shared" si="16"/>
        <v>17950000</v>
      </c>
      <c r="L298" s="192"/>
    </row>
    <row r="299" spans="1:12" x14ac:dyDescent="0.25">
      <c r="A299" s="197"/>
      <c r="B299" s="193" t="s">
        <v>1130</v>
      </c>
      <c r="C299" s="197"/>
      <c r="D299" s="157"/>
      <c r="E299" s="199"/>
      <c r="F299" s="197"/>
      <c r="G299" s="148"/>
      <c r="H299" s="148"/>
      <c r="I299" s="198"/>
      <c r="J299" s="197"/>
      <c r="K299" s="148">
        <f t="shared" si="16"/>
        <v>0</v>
      </c>
      <c r="L299" s="192"/>
    </row>
    <row r="300" spans="1:12" x14ac:dyDescent="0.25">
      <c r="A300" s="197">
        <v>60</v>
      </c>
      <c r="B300" s="193" t="s">
        <v>1103</v>
      </c>
      <c r="C300" s="197" t="s">
        <v>696</v>
      </c>
      <c r="D300" s="157" t="s">
        <v>1538</v>
      </c>
      <c r="E300" s="199"/>
      <c r="F300" s="197"/>
      <c r="G300" s="148">
        <v>14200000</v>
      </c>
      <c r="H300" s="148"/>
      <c r="I300" s="198"/>
      <c r="J300" s="197"/>
      <c r="K300" s="148"/>
      <c r="L300" s="192"/>
    </row>
    <row r="301" spans="1:12" x14ac:dyDescent="0.25">
      <c r="A301" s="197"/>
      <c r="B301" s="193" t="s">
        <v>1131</v>
      </c>
      <c r="C301" s="197" t="s">
        <v>696</v>
      </c>
      <c r="D301" s="157" t="s">
        <v>1539</v>
      </c>
      <c r="E301" s="199"/>
      <c r="F301" s="197"/>
      <c r="G301" s="148">
        <v>16150000</v>
      </c>
      <c r="H301" s="148"/>
      <c r="I301" s="198"/>
      <c r="J301" s="197"/>
      <c r="K301" s="148">
        <f t="shared" ref="K301:K303" si="17">+G301+$C$7*J301</f>
        <v>16150000</v>
      </c>
      <c r="L301" s="192"/>
    </row>
    <row r="302" spans="1:12" x14ac:dyDescent="0.25">
      <c r="A302" s="197"/>
      <c r="B302" s="193" t="s">
        <v>1132</v>
      </c>
      <c r="C302" s="197" t="s">
        <v>696</v>
      </c>
      <c r="D302" s="157" t="s">
        <v>1540</v>
      </c>
      <c r="E302" s="199"/>
      <c r="F302" s="197"/>
      <c r="G302" s="148">
        <v>20950000</v>
      </c>
      <c r="H302" s="148"/>
      <c r="I302" s="198"/>
      <c r="J302" s="197"/>
      <c r="K302" s="148">
        <f t="shared" si="17"/>
        <v>20950000</v>
      </c>
      <c r="L302" s="192"/>
    </row>
    <row r="303" spans="1:12" x14ac:dyDescent="0.25">
      <c r="A303" s="197"/>
      <c r="B303" s="193" t="s">
        <v>1133</v>
      </c>
      <c r="C303" s="197"/>
      <c r="D303" s="157"/>
      <c r="E303" s="199"/>
      <c r="F303" s="197"/>
      <c r="G303" s="148"/>
      <c r="H303" s="148"/>
      <c r="I303" s="198"/>
      <c r="J303" s="197"/>
      <c r="K303" s="148">
        <f t="shared" si="17"/>
        <v>0</v>
      </c>
      <c r="L303" s="192"/>
    </row>
    <row r="304" spans="1:12" x14ac:dyDescent="0.25">
      <c r="A304" s="197">
        <v>61</v>
      </c>
      <c r="B304" s="193" t="s">
        <v>1134</v>
      </c>
      <c r="C304" s="197" t="s">
        <v>696</v>
      </c>
      <c r="D304" s="157" t="s">
        <v>1541</v>
      </c>
      <c r="E304" s="199"/>
      <c r="F304" s="197"/>
      <c r="G304" s="148">
        <v>72500000</v>
      </c>
      <c r="H304" s="148"/>
      <c r="I304" s="198"/>
      <c r="J304" s="197"/>
      <c r="K304" s="148"/>
      <c r="L304" s="197"/>
    </row>
    <row r="305" spans="1:12" x14ac:dyDescent="0.25">
      <c r="A305" s="197"/>
      <c r="B305" s="193" t="s">
        <v>1135</v>
      </c>
      <c r="C305" s="197" t="s">
        <v>696</v>
      </c>
      <c r="D305" s="157" t="s">
        <v>1542</v>
      </c>
      <c r="E305" s="199"/>
      <c r="F305" s="197"/>
      <c r="G305" s="148">
        <v>77100000</v>
      </c>
      <c r="H305" s="148"/>
      <c r="I305" s="198"/>
      <c r="J305" s="197"/>
      <c r="K305" s="148">
        <f t="shared" ref="K305:K307" si="18">+G305+$C$7*J305</f>
        <v>77100000</v>
      </c>
      <c r="L305" s="197"/>
    </row>
    <row r="306" spans="1:12" x14ac:dyDescent="0.25">
      <c r="A306" s="197"/>
      <c r="B306" s="193" t="s">
        <v>1136</v>
      </c>
      <c r="C306" s="197" t="s">
        <v>696</v>
      </c>
      <c r="D306" s="157" t="s">
        <v>1543</v>
      </c>
      <c r="E306" s="199"/>
      <c r="F306" s="197"/>
      <c r="G306" s="148">
        <v>81100000</v>
      </c>
      <c r="H306" s="148"/>
      <c r="I306" s="198"/>
      <c r="J306" s="197"/>
      <c r="K306" s="148">
        <f t="shared" si="18"/>
        <v>81100000</v>
      </c>
      <c r="L306" s="197"/>
    </row>
    <row r="307" spans="1:12" x14ac:dyDescent="0.25">
      <c r="A307" s="197"/>
      <c r="B307" s="193" t="s">
        <v>1137</v>
      </c>
      <c r="C307" s="197"/>
      <c r="D307" s="157"/>
      <c r="E307" s="199"/>
      <c r="F307" s="197"/>
      <c r="G307" s="148"/>
      <c r="H307" s="148"/>
      <c r="I307" s="198"/>
      <c r="J307" s="197"/>
      <c r="K307" s="148">
        <f t="shared" si="18"/>
        <v>0</v>
      </c>
      <c r="L307" s="197"/>
    </row>
    <row r="308" spans="1:12" x14ac:dyDescent="0.25">
      <c r="A308" s="197">
        <v>62</v>
      </c>
      <c r="B308" s="193" t="s">
        <v>1134</v>
      </c>
      <c r="C308" s="197" t="s">
        <v>696</v>
      </c>
      <c r="D308" s="157" t="s">
        <v>1544</v>
      </c>
      <c r="E308" s="199"/>
      <c r="F308" s="197"/>
      <c r="G308" s="148">
        <v>74600000</v>
      </c>
      <c r="H308" s="148"/>
      <c r="I308" s="198"/>
      <c r="J308" s="197"/>
      <c r="K308" s="148"/>
      <c r="L308" s="197"/>
    </row>
    <row r="309" spans="1:12" x14ac:dyDescent="0.25">
      <c r="A309" s="197"/>
      <c r="B309" s="193" t="s">
        <v>1138</v>
      </c>
      <c r="C309" s="197" t="s">
        <v>696</v>
      </c>
      <c r="D309" s="157" t="s">
        <v>1545</v>
      </c>
      <c r="E309" s="199"/>
      <c r="F309" s="197"/>
      <c r="G309" s="148">
        <v>78450000</v>
      </c>
      <c r="H309" s="148"/>
      <c r="I309" s="198"/>
      <c r="J309" s="197"/>
      <c r="K309" s="148">
        <f t="shared" ref="K309:K311" si="19">+G309+$C$7*J309</f>
        <v>78450000</v>
      </c>
      <c r="L309" s="192"/>
    </row>
    <row r="310" spans="1:12" x14ac:dyDescent="0.25">
      <c r="A310" s="197"/>
      <c r="B310" s="193" t="s">
        <v>1139</v>
      </c>
      <c r="C310" s="197" t="s">
        <v>696</v>
      </c>
      <c r="D310" s="157" t="s">
        <v>1546</v>
      </c>
      <c r="E310" s="199"/>
      <c r="F310" s="197"/>
      <c r="G310" s="148">
        <v>83200000</v>
      </c>
      <c r="H310" s="148"/>
      <c r="I310" s="198"/>
      <c r="J310" s="197"/>
      <c r="K310" s="148">
        <f t="shared" si="19"/>
        <v>83200000</v>
      </c>
      <c r="L310" s="192"/>
    </row>
    <row r="311" spans="1:12" x14ac:dyDescent="0.25">
      <c r="A311" s="197"/>
      <c r="B311" s="193" t="s">
        <v>1140</v>
      </c>
      <c r="C311" s="197"/>
      <c r="D311" s="157"/>
      <c r="E311" s="199"/>
      <c r="F311" s="197"/>
      <c r="G311" s="148"/>
      <c r="H311" s="148"/>
      <c r="I311" s="198"/>
      <c r="J311" s="197"/>
      <c r="K311" s="148">
        <f t="shared" si="19"/>
        <v>0</v>
      </c>
      <c r="L311" s="192"/>
    </row>
    <row r="312" spans="1:12" x14ac:dyDescent="0.25">
      <c r="A312" s="197">
        <v>63</v>
      </c>
      <c r="B312" s="193" t="s">
        <v>1134</v>
      </c>
      <c r="C312" s="197" t="s">
        <v>696</v>
      </c>
      <c r="D312" s="157" t="s">
        <v>1547</v>
      </c>
      <c r="E312" s="199"/>
      <c r="F312" s="197"/>
      <c r="G312" s="148">
        <v>75800000</v>
      </c>
      <c r="H312" s="148"/>
      <c r="I312" s="198"/>
      <c r="J312" s="197"/>
      <c r="K312" s="148"/>
      <c r="L312" s="192"/>
    </row>
    <row r="313" spans="1:12" x14ac:dyDescent="0.25">
      <c r="A313" s="197"/>
      <c r="B313" s="193" t="s">
        <v>1141</v>
      </c>
      <c r="C313" s="197" t="s">
        <v>696</v>
      </c>
      <c r="D313" s="157" t="s">
        <v>1548</v>
      </c>
      <c r="E313" s="199"/>
      <c r="F313" s="197"/>
      <c r="G313" s="148">
        <v>82150000</v>
      </c>
      <c r="H313" s="148"/>
      <c r="I313" s="198"/>
      <c r="J313" s="197"/>
      <c r="K313" s="148">
        <f t="shared" ref="K313:K315" si="20">+G313+$C$7*J313</f>
        <v>82150000</v>
      </c>
      <c r="L313" s="192"/>
    </row>
    <row r="314" spans="1:12" x14ac:dyDescent="0.25">
      <c r="A314" s="197"/>
      <c r="B314" s="193" t="s">
        <v>1142</v>
      </c>
      <c r="C314" s="197" t="s">
        <v>696</v>
      </c>
      <c r="D314" s="157" t="s">
        <v>1549</v>
      </c>
      <c r="E314" s="199"/>
      <c r="F314" s="197"/>
      <c r="G314" s="148">
        <v>90050000</v>
      </c>
      <c r="H314" s="148"/>
      <c r="I314" s="198"/>
      <c r="J314" s="197"/>
      <c r="K314" s="148">
        <f t="shared" si="20"/>
        <v>90050000</v>
      </c>
      <c r="L314" s="197"/>
    </row>
    <row r="315" spans="1:12" x14ac:dyDescent="0.25">
      <c r="A315" s="197"/>
      <c r="B315" s="193" t="s">
        <v>1143</v>
      </c>
      <c r="C315" s="197"/>
      <c r="D315" s="157"/>
      <c r="E315" s="199"/>
      <c r="F315" s="197"/>
      <c r="G315" s="148"/>
      <c r="H315" s="148"/>
      <c r="I315" s="198"/>
      <c r="J315" s="197"/>
      <c r="K315" s="148">
        <f t="shared" si="20"/>
        <v>0</v>
      </c>
      <c r="L315" s="197"/>
    </row>
    <row r="316" spans="1:12" x14ac:dyDescent="0.25">
      <c r="A316" s="197">
        <v>64</v>
      </c>
      <c r="B316" s="193" t="s">
        <v>1134</v>
      </c>
      <c r="C316" s="197" t="s">
        <v>696</v>
      </c>
      <c r="D316" s="157" t="s">
        <v>1550</v>
      </c>
      <c r="E316" s="199"/>
      <c r="F316" s="197"/>
      <c r="G316" s="148">
        <v>77050000</v>
      </c>
      <c r="H316" s="148"/>
      <c r="I316" s="198"/>
      <c r="J316" s="197"/>
      <c r="K316" s="148"/>
      <c r="L316" s="197"/>
    </row>
    <row r="317" spans="1:12" x14ac:dyDescent="0.25">
      <c r="A317" s="197"/>
      <c r="B317" s="193" t="s">
        <v>1130</v>
      </c>
      <c r="C317" s="197" t="s">
        <v>696</v>
      </c>
      <c r="D317" s="157" t="s">
        <v>1551</v>
      </c>
      <c r="E317" s="199"/>
      <c r="F317" s="197"/>
      <c r="G317" s="148">
        <v>83650000</v>
      </c>
      <c r="H317" s="148"/>
      <c r="I317" s="198"/>
      <c r="J317" s="197"/>
      <c r="K317" s="148">
        <f t="shared" ref="K317:K319" si="21">+G317+$C$7*J317</f>
        <v>83650000</v>
      </c>
      <c r="L317" s="197"/>
    </row>
    <row r="318" spans="1:12" x14ac:dyDescent="0.25">
      <c r="A318" s="197"/>
      <c r="B318" s="193" t="s">
        <v>1144</v>
      </c>
      <c r="C318" s="197" t="s">
        <v>696</v>
      </c>
      <c r="D318" s="157" t="s">
        <v>1552</v>
      </c>
      <c r="E318" s="199"/>
      <c r="F318" s="197"/>
      <c r="G318" s="148">
        <v>94050000</v>
      </c>
      <c r="H318" s="148"/>
      <c r="I318" s="198"/>
      <c r="J318" s="197"/>
      <c r="K318" s="148">
        <f t="shared" si="21"/>
        <v>94050000</v>
      </c>
      <c r="L318" s="197"/>
    </row>
    <row r="319" spans="1:12" x14ac:dyDescent="0.25">
      <c r="A319" s="197"/>
      <c r="B319" s="193" t="s">
        <v>1145</v>
      </c>
      <c r="C319" s="197"/>
      <c r="D319" s="157"/>
      <c r="E319" s="199"/>
      <c r="F319" s="197"/>
      <c r="G319" s="148"/>
      <c r="H319" s="148"/>
      <c r="I319" s="198"/>
      <c r="J319" s="197"/>
      <c r="K319" s="148">
        <f t="shared" si="21"/>
        <v>0</v>
      </c>
      <c r="L319" s="197"/>
    </row>
    <row r="320" spans="1:12" x14ac:dyDescent="0.25">
      <c r="A320" s="197">
        <v>65</v>
      </c>
      <c r="B320" s="193" t="s">
        <v>1134</v>
      </c>
      <c r="C320" s="197" t="s">
        <v>696</v>
      </c>
      <c r="D320" s="157" t="s">
        <v>1553</v>
      </c>
      <c r="E320" s="199"/>
      <c r="F320" s="197"/>
      <c r="G320" s="148">
        <v>78250000</v>
      </c>
      <c r="H320" s="148"/>
      <c r="I320" s="198"/>
      <c r="J320" s="197"/>
      <c r="K320" s="148"/>
      <c r="L320" s="197"/>
    </row>
    <row r="321" spans="1:12" x14ac:dyDescent="0.25">
      <c r="A321" s="197"/>
      <c r="B321" s="193" t="s">
        <v>1146</v>
      </c>
      <c r="C321" s="197" t="s">
        <v>696</v>
      </c>
      <c r="D321" s="157" t="s">
        <v>1554</v>
      </c>
      <c r="E321" s="199"/>
      <c r="F321" s="197"/>
      <c r="G321" s="148">
        <v>85150000</v>
      </c>
      <c r="H321" s="148"/>
      <c r="I321" s="198"/>
      <c r="J321" s="197"/>
      <c r="K321" s="148">
        <f t="shared" ref="K321:K323" si="22">+G321+$C$7*J321</f>
        <v>85150000</v>
      </c>
      <c r="L321" s="197"/>
    </row>
    <row r="322" spans="1:12" x14ac:dyDescent="0.25">
      <c r="A322" s="197"/>
      <c r="B322" s="193" t="s">
        <v>1147</v>
      </c>
      <c r="C322" s="197" t="s">
        <v>696</v>
      </c>
      <c r="D322" s="157" t="s">
        <v>1555</v>
      </c>
      <c r="E322" s="199"/>
      <c r="F322" s="197"/>
      <c r="G322" s="148">
        <v>95900000</v>
      </c>
      <c r="H322" s="148"/>
      <c r="I322" s="198"/>
      <c r="J322" s="197"/>
      <c r="K322" s="148">
        <f t="shared" si="22"/>
        <v>95900000</v>
      </c>
      <c r="L322" s="197"/>
    </row>
    <row r="323" spans="1:12" x14ac:dyDescent="0.25">
      <c r="A323" s="197"/>
      <c r="B323" s="193" t="s">
        <v>1148</v>
      </c>
      <c r="C323" s="197"/>
      <c r="D323" s="157"/>
      <c r="E323" s="199"/>
      <c r="F323" s="197"/>
      <c r="G323" s="148"/>
      <c r="H323" s="148"/>
      <c r="I323" s="198"/>
      <c r="J323" s="197"/>
      <c r="K323" s="148">
        <f t="shared" si="22"/>
        <v>0</v>
      </c>
      <c r="L323" s="192"/>
    </row>
    <row r="324" spans="1:12" x14ac:dyDescent="0.25">
      <c r="A324" s="197">
        <v>66</v>
      </c>
      <c r="B324" s="193" t="s">
        <v>1134</v>
      </c>
      <c r="C324" s="197" t="s">
        <v>696</v>
      </c>
      <c r="D324" s="157" t="s">
        <v>1556</v>
      </c>
      <c r="E324" s="199"/>
      <c r="F324" s="197"/>
      <c r="G324" s="148">
        <v>79450000</v>
      </c>
      <c r="H324" s="148"/>
      <c r="I324" s="198"/>
      <c r="J324" s="197"/>
      <c r="K324" s="148">
        <f>+G324+$C$7*J324</f>
        <v>79450000</v>
      </c>
      <c r="L324" s="192"/>
    </row>
    <row r="325" spans="1:12" x14ac:dyDescent="0.25">
      <c r="A325" s="197"/>
      <c r="B325" s="193" t="s">
        <v>1149</v>
      </c>
      <c r="C325" s="197" t="s">
        <v>696</v>
      </c>
      <c r="D325" s="157" t="s">
        <v>1557</v>
      </c>
      <c r="E325" s="199"/>
      <c r="F325" s="197"/>
      <c r="G325" s="148">
        <v>83950000</v>
      </c>
      <c r="H325" s="148"/>
      <c r="I325" s="198"/>
      <c r="J325" s="197"/>
      <c r="K325" s="148">
        <f t="shared" ref="K325:K362" si="23">+G325+$C$7*J325</f>
        <v>83950000</v>
      </c>
      <c r="L325" s="197"/>
    </row>
    <row r="326" spans="1:12" x14ac:dyDescent="0.25">
      <c r="A326" s="197"/>
      <c r="B326" s="193" t="s">
        <v>1150</v>
      </c>
      <c r="C326" s="197" t="s">
        <v>696</v>
      </c>
      <c r="D326" s="157" t="s">
        <v>1558</v>
      </c>
      <c r="E326" s="199"/>
      <c r="F326" s="197"/>
      <c r="G326" s="148">
        <v>89650000</v>
      </c>
      <c r="H326" s="148"/>
      <c r="I326" s="198"/>
      <c r="J326" s="197"/>
      <c r="K326" s="148">
        <f t="shared" si="23"/>
        <v>89650000</v>
      </c>
      <c r="L326" s="197"/>
    </row>
    <row r="327" spans="1:12" x14ac:dyDescent="0.25">
      <c r="A327" s="197"/>
      <c r="B327" s="193" t="s">
        <v>1151</v>
      </c>
      <c r="C327" s="197"/>
      <c r="D327" s="157"/>
      <c r="E327" s="199"/>
      <c r="F327" s="197"/>
      <c r="G327" s="148"/>
      <c r="H327" s="148"/>
      <c r="I327" s="198"/>
      <c r="J327" s="197"/>
      <c r="K327" s="148">
        <f t="shared" si="23"/>
        <v>0</v>
      </c>
      <c r="L327" s="197"/>
    </row>
    <row r="328" spans="1:12" x14ac:dyDescent="0.25">
      <c r="A328" s="197">
        <v>67</v>
      </c>
      <c r="B328" s="193" t="s">
        <v>1134</v>
      </c>
      <c r="C328" s="197" t="s">
        <v>696</v>
      </c>
      <c r="D328" s="157" t="s">
        <v>1559</v>
      </c>
      <c r="E328" s="199"/>
      <c r="F328" s="197"/>
      <c r="G328" s="148">
        <v>80650000</v>
      </c>
      <c r="H328" s="148"/>
      <c r="I328" s="198"/>
      <c r="J328" s="197"/>
      <c r="K328" s="148"/>
      <c r="L328" s="197"/>
    </row>
    <row r="329" spans="1:12" x14ac:dyDescent="0.25">
      <c r="A329" s="197"/>
      <c r="B329" s="193" t="s">
        <v>1152</v>
      </c>
      <c r="C329" s="197" t="s">
        <v>696</v>
      </c>
      <c r="D329" s="157" t="s">
        <v>1560</v>
      </c>
      <c r="E329" s="199"/>
      <c r="F329" s="197"/>
      <c r="G329" s="148">
        <v>85400000</v>
      </c>
      <c r="H329" s="148"/>
      <c r="I329" s="198"/>
      <c r="J329" s="197"/>
      <c r="K329" s="148">
        <f t="shared" si="23"/>
        <v>85400000</v>
      </c>
      <c r="L329" s="197"/>
    </row>
    <row r="330" spans="1:12" x14ac:dyDescent="0.25">
      <c r="A330" s="197"/>
      <c r="B330" s="193" t="s">
        <v>1153</v>
      </c>
      <c r="C330" s="197" t="s">
        <v>696</v>
      </c>
      <c r="D330" s="157" t="s">
        <v>1561</v>
      </c>
      <c r="E330" s="199"/>
      <c r="F330" s="197"/>
      <c r="G330" s="148">
        <v>91250000</v>
      </c>
      <c r="H330" s="148"/>
      <c r="I330" s="198"/>
      <c r="J330" s="197"/>
      <c r="K330" s="148">
        <f t="shared" si="23"/>
        <v>91250000</v>
      </c>
      <c r="L330" s="197"/>
    </row>
    <row r="331" spans="1:12" x14ac:dyDescent="0.25">
      <c r="A331" s="197"/>
      <c r="B331" s="193" t="s">
        <v>1154</v>
      </c>
      <c r="C331" s="197"/>
      <c r="D331" s="157"/>
      <c r="E331" s="199"/>
      <c r="F331" s="197"/>
      <c r="G331" s="148"/>
      <c r="H331" s="148"/>
      <c r="I331" s="198"/>
      <c r="J331" s="197"/>
      <c r="K331" s="148">
        <f t="shared" si="23"/>
        <v>0</v>
      </c>
      <c r="L331" s="197"/>
    </row>
    <row r="332" spans="1:12" x14ac:dyDescent="0.25">
      <c r="A332" s="197">
        <v>68</v>
      </c>
      <c r="B332" s="193" t="s">
        <v>1134</v>
      </c>
      <c r="C332" s="197" t="s">
        <v>696</v>
      </c>
      <c r="D332" s="157" t="s">
        <v>1562</v>
      </c>
      <c r="E332" s="199"/>
      <c r="F332" s="197"/>
      <c r="G332" s="148">
        <v>81850000</v>
      </c>
      <c r="H332" s="148"/>
      <c r="I332" s="198"/>
      <c r="J332" s="197"/>
      <c r="K332" s="148"/>
      <c r="L332" s="197"/>
    </row>
    <row r="333" spans="1:12" x14ac:dyDescent="0.25">
      <c r="A333" s="197"/>
      <c r="B333" s="193" t="s">
        <v>1155</v>
      </c>
      <c r="C333" s="197" t="s">
        <v>696</v>
      </c>
      <c r="D333" s="157" t="s">
        <v>1563</v>
      </c>
      <c r="E333" s="199"/>
      <c r="F333" s="197"/>
      <c r="G333" s="148">
        <v>86750000</v>
      </c>
      <c r="H333" s="148"/>
      <c r="I333" s="198"/>
      <c r="J333" s="197"/>
      <c r="K333" s="148">
        <f t="shared" si="23"/>
        <v>86750000</v>
      </c>
      <c r="L333" s="192"/>
    </row>
    <row r="334" spans="1:12" x14ac:dyDescent="0.25">
      <c r="A334" s="197"/>
      <c r="B334" s="193" t="s">
        <v>1156</v>
      </c>
      <c r="C334" s="197" t="s">
        <v>696</v>
      </c>
      <c r="D334" s="157" t="s">
        <v>1564</v>
      </c>
      <c r="E334" s="199"/>
      <c r="F334" s="197"/>
      <c r="G334" s="148">
        <v>92900000</v>
      </c>
      <c r="H334" s="148"/>
      <c r="I334" s="198"/>
      <c r="J334" s="197"/>
      <c r="K334" s="148">
        <f t="shared" si="23"/>
        <v>92900000</v>
      </c>
      <c r="L334" s="192"/>
    </row>
    <row r="335" spans="1:12" x14ac:dyDescent="0.25">
      <c r="A335" s="197"/>
      <c r="B335" s="193" t="s">
        <v>1157</v>
      </c>
      <c r="C335" s="197"/>
      <c r="D335" s="157"/>
      <c r="E335" s="199"/>
      <c r="F335" s="197"/>
      <c r="G335" s="148"/>
      <c r="H335" s="148"/>
      <c r="I335" s="198"/>
      <c r="J335" s="197"/>
      <c r="K335" s="148">
        <f t="shared" si="23"/>
        <v>0</v>
      </c>
      <c r="L335" s="192"/>
    </row>
    <row r="336" spans="1:12" x14ac:dyDescent="0.25">
      <c r="A336" s="197">
        <v>69</v>
      </c>
      <c r="B336" s="193" t="s">
        <v>1134</v>
      </c>
      <c r="C336" s="197" t="s">
        <v>696</v>
      </c>
      <c r="D336" s="157" t="s">
        <v>1565</v>
      </c>
      <c r="E336" s="199"/>
      <c r="F336" s="197"/>
      <c r="G336" s="148">
        <v>83100000</v>
      </c>
      <c r="H336" s="148"/>
      <c r="I336" s="198"/>
      <c r="J336" s="197"/>
      <c r="K336" s="148"/>
      <c r="L336" s="192"/>
    </row>
    <row r="337" spans="1:12" x14ac:dyDescent="0.25">
      <c r="A337" s="197"/>
      <c r="B337" s="193" t="s">
        <v>1133</v>
      </c>
      <c r="C337" s="197" t="s">
        <v>696</v>
      </c>
      <c r="D337" s="157" t="s">
        <v>1566</v>
      </c>
      <c r="E337" s="199"/>
      <c r="F337" s="197"/>
      <c r="G337" s="148">
        <v>105250000</v>
      </c>
      <c r="H337" s="148"/>
      <c r="I337" s="198"/>
      <c r="J337" s="197"/>
      <c r="K337" s="148">
        <f t="shared" si="23"/>
        <v>105250000</v>
      </c>
      <c r="L337" s="192"/>
    </row>
    <row r="338" spans="1:12" x14ac:dyDescent="0.25">
      <c r="A338" s="197"/>
      <c r="B338" s="193" t="s">
        <v>1158</v>
      </c>
      <c r="C338" s="197" t="s">
        <v>696</v>
      </c>
      <c r="D338" s="157" t="s">
        <v>1567</v>
      </c>
      <c r="E338" s="199"/>
      <c r="F338" s="197"/>
      <c r="G338" s="148">
        <v>112850000</v>
      </c>
      <c r="H338" s="148"/>
      <c r="I338" s="198"/>
      <c r="J338" s="197"/>
      <c r="K338" s="148">
        <f t="shared" si="23"/>
        <v>112850000</v>
      </c>
      <c r="L338" s="192"/>
    </row>
    <row r="339" spans="1:12" x14ac:dyDescent="0.25">
      <c r="A339" s="197"/>
      <c r="B339" s="193" t="s">
        <v>1159</v>
      </c>
      <c r="C339" s="197" t="s">
        <v>61</v>
      </c>
      <c r="D339" s="157" t="s">
        <v>1568</v>
      </c>
      <c r="E339" s="199"/>
      <c r="F339" s="197"/>
      <c r="G339" s="148">
        <v>36000</v>
      </c>
      <c r="H339" s="148"/>
      <c r="I339" s="198"/>
      <c r="J339" s="197"/>
      <c r="K339" s="148">
        <f t="shared" si="23"/>
        <v>36000</v>
      </c>
      <c r="L339" s="192"/>
    </row>
    <row r="340" spans="1:12" x14ac:dyDescent="0.25">
      <c r="A340" s="197">
        <v>70</v>
      </c>
      <c r="B340" s="193" t="s">
        <v>1160</v>
      </c>
      <c r="C340" s="197" t="s">
        <v>61</v>
      </c>
      <c r="D340" s="157" t="s">
        <v>1569</v>
      </c>
      <c r="E340" s="194"/>
      <c r="F340" s="192"/>
      <c r="G340" s="148">
        <v>50000</v>
      </c>
      <c r="H340" s="148"/>
      <c r="I340" s="198"/>
      <c r="J340" s="192"/>
      <c r="K340" s="148">
        <f t="shared" si="23"/>
        <v>50000</v>
      </c>
      <c r="L340" s="192"/>
    </row>
    <row r="341" spans="1:12" ht="13" x14ac:dyDescent="0.3">
      <c r="A341" s="197">
        <v>71</v>
      </c>
      <c r="B341" s="160" t="s">
        <v>1161</v>
      </c>
      <c r="C341" s="197" t="s">
        <v>61</v>
      </c>
      <c r="D341" s="157" t="s">
        <v>1570</v>
      </c>
      <c r="E341" s="194"/>
      <c r="F341" s="192"/>
      <c r="G341" s="148">
        <v>50000</v>
      </c>
      <c r="H341" s="148"/>
      <c r="I341" s="198"/>
      <c r="J341" s="192"/>
      <c r="K341" s="148">
        <f t="shared" si="23"/>
        <v>50000</v>
      </c>
      <c r="L341" s="144"/>
    </row>
    <row r="342" spans="1:12" ht="13" x14ac:dyDescent="0.3">
      <c r="A342" s="197">
        <v>72</v>
      </c>
      <c r="B342" s="160" t="s">
        <v>1162</v>
      </c>
      <c r="C342" s="197" t="s">
        <v>61</v>
      </c>
      <c r="D342" s="157" t="s">
        <v>1571</v>
      </c>
      <c r="E342" s="194"/>
      <c r="F342" s="192"/>
      <c r="G342" s="148">
        <v>60200</v>
      </c>
      <c r="H342" s="148"/>
      <c r="I342" s="198"/>
      <c r="J342" s="192"/>
      <c r="K342" s="148">
        <f t="shared" si="23"/>
        <v>60200</v>
      </c>
      <c r="L342" s="144"/>
    </row>
    <row r="343" spans="1:12" ht="13" x14ac:dyDescent="0.3">
      <c r="A343" s="197">
        <v>73</v>
      </c>
      <c r="B343" s="160" t="s">
        <v>1163</v>
      </c>
      <c r="C343" s="197" t="s">
        <v>63</v>
      </c>
      <c r="D343" s="157" t="s">
        <v>1572</v>
      </c>
      <c r="E343" s="194"/>
      <c r="F343" s="192"/>
      <c r="G343" s="148">
        <v>30000</v>
      </c>
      <c r="H343" s="148"/>
      <c r="I343" s="198"/>
      <c r="J343" s="192"/>
      <c r="K343" s="148">
        <f t="shared" si="23"/>
        <v>30000</v>
      </c>
      <c r="L343" s="144"/>
    </row>
    <row r="344" spans="1:12" x14ac:dyDescent="0.25">
      <c r="A344" s="197">
        <v>74</v>
      </c>
      <c r="B344" s="160" t="s">
        <v>1164</v>
      </c>
      <c r="C344" s="197" t="s">
        <v>63</v>
      </c>
      <c r="D344" s="157" t="s">
        <v>1573</v>
      </c>
      <c r="E344" s="194"/>
      <c r="F344" s="192"/>
      <c r="G344" s="148">
        <v>45000</v>
      </c>
      <c r="H344" s="148"/>
      <c r="I344" s="198"/>
      <c r="J344" s="192"/>
      <c r="K344" s="148">
        <f t="shared" si="23"/>
        <v>45000</v>
      </c>
      <c r="L344" s="192"/>
    </row>
    <row r="345" spans="1:12" x14ac:dyDescent="0.25">
      <c r="A345" s="197">
        <v>75</v>
      </c>
      <c r="B345" s="176" t="s">
        <v>1881</v>
      </c>
      <c r="C345" s="214" t="s">
        <v>63</v>
      </c>
      <c r="D345" s="162" t="s">
        <v>1574</v>
      </c>
      <c r="E345" s="215"/>
      <c r="F345" s="216"/>
      <c r="G345" s="163">
        <v>27750</v>
      </c>
      <c r="H345" s="163"/>
      <c r="I345" s="203"/>
      <c r="J345" s="217"/>
      <c r="K345" s="163">
        <f t="shared" si="23"/>
        <v>27750</v>
      </c>
      <c r="L345" s="192"/>
    </row>
    <row r="346" spans="1:12" x14ac:dyDescent="0.25">
      <c r="A346" s="197">
        <v>76</v>
      </c>
      <c r="B346" s="160" t="s">
        <v>1165</v>
      </c>
      <c r="C346" s="197" t="s">
        <v>63</v>
      </c>
      <c r="D346" s="157" t="s">
        <v>1575</v>
      </c>
      <c r="E346" s="194"/>
      <c r="F346" s="192"/>
      <c r="G346" s="148">
        <v>26250</v>
      </c>
      <c r="H346" s="148"/>
      <c r="I346" s="198"/>
      <c r="J346" s="192"/>
      <c r="K346" s="148">
        <f t="shared" si="23"/>
        <v>26250</v>
      </c>
      <c r="L346" s="192"/>
    </row>
    <row r="347" spans="1:12" x14ac:dyDescent="0.25">
      <c r="A347" s="197">
        <v>77</v>
      </c>
      <c r="B347" s="160" t="s">
        <v>1166</v>
      </c>
      <c r="C347" s="197" t="s">
        <v>63</v>
      </c>
      <c r="D347" s="157" t="s">
        <v>1576</v>
      </c>
      <c r="E347" s="194"/>
      <c r="F347" s="192"/>
      <c r="G347" s="148">
        <v>29000</v>
      </c>
      <c r="H347" s="148"/>
      <c r="I347" s="198"/>
      <c r="J347" s="192"/>
      <c r="K347" s="148">
        <f t="shared" si="23"/>
        <v>29000</v>
      </c>
      <c r="L347" s="192"/>
    </row>
    <row r="348" spans="1:12" x14ac:dyDescent="0.25">
      <c r="A348" s="197">
        <v>78</v>
      </c>
      <c r="B348" s="160" t="s">
        <v>1167</v>
      </c>
      <c r="C348" s="197" t="s">
        <v>63</v>
      </c>
      <c r="D348" s="157" t="s">
        <v>1577</v>
      </c>
      <c r="E348" s="194"/>
      <c r="F348" s="192"/>
      <c r="G348" s="148">
        <v>29000</v>
      </c>
      <c r="H348" s="148"/>
      <c r="I348" s="198"/>
      <c r="J348" s="192"/>
      <c r="K348" s="148">
        <f t="shared" si="23"/>
        <v>29000</v>
      </c>
      <c r="L348" s="192"/>
    </row>
    <row r="349" spans="1:12" x14ac:dyDescent="0.25">
      <c r="A349" s="197">
        <v>79</v>
      </c>
      <c r="B349" s="160" t="s">
        <v>1168</v>
      </c>
      <c r="C349" s="197" t="s">
        <v>63</v>
      </c>
      <c r="D349" s="157" t="s">
        <v>1578</v>
      </c>
      <c r="E349" s="194"/>
      <c r="F349" s="192"/>
      <c r="G349" s="148">
        <v>35000</v>
      </c>
      <c r="H349" s="148"/>
      <c r="I349" s="198"/>
      <c r="J349" s="192"/>
      <c r="K349" s="148">
        <f t="shared" si="23"/>
        <v>35000</v>
      </c>
      <c r="L349" s="192"/>
    </row>
    <row r="350" spans="1:12" x14ac:dyDescent="0.25">
      <c r="A350" s="197">
        <v>80</v>
      </c>
      <c r="B350" s="160" t="s">
        <v>1169</v>
      </c>
      <c r="C350" s="197" t="s">
        <v>46</v>
      </c>
      <c r="D350" s="157" t="s">
        <v>1579</v>
      </c>
      <c r="E350" s="194"/>
      <c r="F350" s="192"/>
      <c r="G350" s="148">
        <v>55000</v>
      </c>
      <c r="H350" s="148"/>
      <c r="I350" s="198"/>
      <c r="J350" s="192"/>
      <c r="K350" s="148">
        <f t="shared" si="23"/>
        <v>55000</v>
      </c>
    </row>
    <row r="351" spans="1:12" x14ac:dyDescent="0.25">
      <c r="A351" s="197">
        <v>81</v>
      </c>
      <c r="B351" s="160" t="s">
        <v>1170</v>
      </c>
      <c r="C351" s="197" t="s">
        <v>46</v>
      </c>
      <c r="D351" s="157" t="s">
        <v>1580</v>
      </c>
      <c r="E351" s="199"/>
      <c r="F351" s="197"/>
      <c r="G351" s="148">
        <v>125000</v>
      </c>
      <c r="H351" s="148"/>
      <c r="I351" s="198"/>
      <c r="J351" s="197"/>
      <c r="K351" s="148">
        <f t="shared" si="23"/>
        <v>125000</v>
      </c>
    </row>
    <row r="352" spans="1:12" x14ac:dyDescent="0.25">
      <c r="A352" s="197">
        <v>82</v>
      </c>
      <c r="B352" s="160" t="s">
        <v>1171</v>
      </c>
      <c r="C352" s="197" t="s">
        <v>46</v>
      </c>
      <c r="D352" s="157" t="s">
        <v>1581</v>
      </c>
      <c r="E352" s="199"/>
      <c r="F352" s="197"/>
      <c r="G352" s="148">
        <v>175000</v>
      </c>
      <c r="H352" s="148"/>
      <c r="I352" s="198"/>
      <c r="J352" s="197"/>
      <c r="K352" s="148">
        <f t="shared" si="23"/>
        <v>175000</v>
      </c>
    </row>
    <row r="353" spans="1:11" x14ac:dyDescent="0.25">
      <c r="A353" s="197">
        <v>83</v>
      </c>
      <c r="B353" s="160" t="s">
        <v>1172</v>
      </c>
      <c r="C353" s="197" t="s">
        <v>46</v>
      </c>
      <c r="D353" s="157" t="s">
        <v>1582</v>
      </c>
      <c r="E353" s="199"/>
      <c r="F353" s="197"/>
      <c r="G353" s="148">
        <v>250000</v>
      </c>
      <c r="H353" s="148"/>
      <c r="I353" s="198"/>
      <c r="J353" s="197"/>
      <c r="K353" s="148">
        <f t="shared" si="23"/>
        <v>250000</v>
      </c>
    </row>
    <row r="354" spans="1:11" x14ac:dyDescent="0.25">
      <c r="A354" s="197">
        <v>84</v>
      </c>
      <c r="B354" s="160" t="s">
        <v>1173</v>
      </c>
      <c r="C354" s="197" t="s">
        <v>46</v>
      </c>
      <c r="D354" s="157" t="s">
        <v>1583</v>
      </c>
      <c r="E354" s="199"/>
      <c r="F354" s="197"/>
      <c r="G354" s="148">
        <v>300000</v>
      </c>
      <c r="H354" s="148"/>
      <c r="I354" s="198"/>
      <c r="J354" s="197"/>
      <c r="K354" s="148">
        <f t="shared" si="23"/>
        <v>300000</v>
      </c>
    </row>
    <row r="355" spans="1:11" x14ac:dyDescent="0.25">
      <c r="A355" s="197">
        <v>85</v>
      </c>
      <c r="B355" s="193" t="s">
        <v>1174</v>
      </c>
      <c r="C355" s="197" t="s">
        <v>162</v>
      </c>
      <c r="D355" s="157" t="s">
        <v>1584</v>
      </c>
      <c r="E355" s="199"/>
      <c r="F355" s="197"/>
      <c r="G355" s="148">
        <v>500000</v>
      </c>
      <c r="H355" s="148"/>
      <c r="I355" s="198"/>
      <c r="J355" s="197"/>
      <c r="K355" s="148">
        <f t="shared" si="23"/>
        <v>500000</v>
      </c>
    </row>
    <row r="356" spans="1:11" x14ac:dyDescent="0.25">
      <c r="A356" s="197">
        <v>86</v>
      </c>
      <c r="B356" s="193" t="s">
        <v>1175</v>
      </c>
      <c r="C356" s="197" t="s">
        <v>162</v>
      </c>
      <c r="D356" s="157" t="s">
        <v>1585</v>
      </c>
      <c r="E356" s="199"/>
      <c r="F356" s="197"/>
      <c r="G356" s="148">
        <v>575000</v>
      </c>
      <c r="H356" s="148"/>
      <c r="I356" s="198"/>
      <c r="J356" s="197"/>
      <c r="K356" s="148">
        <f t="shared" si="23"/>
        <v>575000</v>
      </c>
    </row>
    <row r="357" spans="1:11" x14ac:dyDescent="0.25">
      <c r="A357" s="197">
        <v>87</v>
      </c>
      <c r="B357" s="193" t="s">
        <v>1176</v>
      </c>
      <c r="C357" s="197" t="s">
        <v>162</v>
      </c>
      <c r="D357" s="157" t="s">
        <v>1586</v>
      </c>
      <c r="E357" s="199"/>
      <c r="F357" s="197"/>
      <c r="G357" s="148">
        <v>140000</v>
      </c>
      <c r="H357" s="148"/>
      <c r="I357" s="198"/>
      <c r="J357" s="197"/>
      <c r="K357" s="148">
        <f t="shared" si="23"/>
        <v>140000</v>
      </c>
    </row>
    <row r="358" spans="1:11" x14ac:dyDescent="0.25">
      <c r="A358" s="197">
        <v>88</v>
      </c>
      <c r="B358" s="193" t="s">
        <v>1177</v>
      </c>
      <c r="C358" s="197" t="s">
        <v>40</v>
      </c>
      <c r="D358" s="157" t="s">
        <v>1587</v>
      </c>
      <c r="E358" s="199"/>
      <c r="F358" s="197"/>
      <c r="G358" s="148">
        <v>24750</v>
      </c>
      <c r="H358" s="148"/>
      <c r="I358" s="198"/>
      <c r="J358" s="197"/>
      <c r="K358" s="148">
        <f t="shared" si="23"/>
        <v>24750</v>
      </c>
    </row>
    <row r="359" spans="1:11" x14ac:dyDescent="0.25">
      <c r="A359" s="197">
        <v>89</v>
      </c>
      <c r="B359" s="160" t="s">
        <v>1178</v>
      </c>
      <c r="C359" s="197" t="s">
        <v>40</v>
      </c>
      <c r="D359" s="157" t="s">
        <v>1588</v>
      </c>
      <c r="E359" s="199"/>
      <c r="F359" s="197"/>
      <c r="G359" s="148">
        <v>26350</v>
      </c>
      <c r="H359" s="148"/>
      <c r="I359" s="198"/>
      <c r="J359" s="197"/>
      <c r="K359" s="148">
        <f t="shared" si="23"/>
        <v>26350</v>
      </c>
    </row>
    <row r="360" spans="1:11" x14ac:dyDescent="0.25">
      <c r="A360" s="197">
        <v>90</v>
      </c>
      <c r="B360" s="160" t="s">
        <v>1179</v>
      </c>
      <c r="C360" s="197" t="s">
        <v>40</v>
      </c>
      <c r="D360" s="157" t="s">
        <v>1589</v>
      </c>
      <c r="E360" s="199"/>
      <c r="F360" s="197"/>
      <c r="G360" s="148">
        <v>26350</v>
      </c>
      <c r="H360" s="148"/>
      <c r="I360" s="198"/>
      <c r="J360" s="197"/>
      <c r="K360" s="148">
        <f t="shared" si="23"/>
        <v>26350</v>
      </c>
    </row>
    <row r="361" spans="1:11" x14ac:dyDescent="0.25">
      <c r="A361" s="197">
        <v>91</v>
      </c>
      <c r="B361" s="160" t="s">
        <v>1180</v>
      </c>
      <c r="C361" s="197" t="s">
        <v>40</v>
      </c>
      <c r="D361" s="157" t="s">
        <v>1590</v>
      </c>
      <c r="E361" s="199"/>
      <c r="F361" s="197"/>
      <c r="G361" s="148">
        <v>26350</v>
      </c>
      <c r="H361" s="148"/>
      <c r="I361" s="198"/>
      <c r="J361" s="197"/>
      <c r="K361" s="148">
        <f t="shared" si="23"/>
        <v>26350</v>
      </c>
    </row>
    <row r="362" spans="1:11" x14ac:dyDescent="0.25">
      <c r="A362" s="197">
        <v>92</v>
      </c>
      <c r="B362" s="160" t="s">
        <v>1181</v>
      </c>
      <c r="C362" s="197"/>
      <c r="D362" s="157"/>
      <c r="E362" s="199"/>
      <c r="F362" s="197"/>
      <c r="G362" s="148"/>
      <c r="H362" s="148"/>
      <c r="I362" s="198"/>
      <c r="J362" s="197"/>
      <c r="K362" s="148">
        <f t="shared" si="23"/>
        <v>0</v>
      </c>
    </row>
    <row r="363" spans="1:11" x14ac:dyDescent="0.25">
      <c r="A363" s="197">
        <v>93</v>
      </c>
      <c r="B363" s="161" t="s">
        <v>1861</v>
      </c>
      <c r="C363" s="205" t="s">
        <v>61</v>
      </c>
      <c r="D363" s="162"/>
      <c r="E363" s="204"/>
      <c r="F363" s="205"/>
      <c r="G363" s="163">
        <v>146600</v>
      </c>
      <c r="H363" s="163"/>
      <c r="I363" s="203"/>
      <c r="J363" s="205"/>
      <c r="K363" s="163"/>
    </row>
    <row r="364" spans="1:11" x14ac:dyDescent="0.25">
      <c r="A364" s="197">
        <v>94</v>
      </c>
      <c r="B364" s="160" t="s">
        <v>1862</v>
      </c>
      <c r="C364" s="197" t="s">
        <v>61</v>
      </c>
      <c r="D364" s="157"/>
      <c r="E364" s="199"/>
      <c r="F364" s="197"/>
      <c r="G364" s="148">
        <v>222000</v>
      </c>
      <c r="H364" s="148"/>
      <c r="I364" s="198"/>
      <c r="J364" s="197"/>
      <c r="K364" s="148"/>
    </row>
    <row r="365" spans="1:11" x14ac:dyDescent="0.25">
      <c r="A365" s="197">
        <v>95</v>
      </c>
      <c r="B365" s="160" t="s">
        <v>1863</v>
      </c>
      <c r="C365" s="197" t="s">
        <v>61</v>
      </c>
      <c r="D365" s="157"/>
      <c r="E365" s="199"/>
      <c r="F365" s="197"/>
      <c r="G365" s="148">
        <v>315000</v>
      </c>
      <c r="H365" s="148"/>
      <c r="I365" s="198"/>
      <c r="J365" s="197"/>
      <c r="K365" s="148"/>
    </row>
    <row r="366" spans="1:11" x14ac:dyDescent="0.25">
      <c r="A366" s="197">
        <v>96</v>
      </c>
      <c r="B366" s="160" t="s">
        <v>1858</v>
      </c>
      <c r="C366" s="197" t="s">
        <v>61</v>
      </c>
      <c r="D366" s="157"/>
      <c r="E366" s="199"/>
      <c r="F366" s="197"/>
      <c r="G366" s="148">
        <v>425000</v>
      </c>
      <c r="H366" s="148"/>
      <c r="I366" s="198"/>
      <c r="J366" s="197"/>
      <c r="K366" s="148"/>
    </row>
    <row r="367" spans="1:11" x14ac:dyDescent="0.25">
      <c r="A367" s="197">
        <v>97</v>
      </c>
      <c r="B367" s="160" t="s">
        <v>1864</v>
      </c>
      <c r="C367" s="197" t="s">
        <v>61</v>
      </c>
      <c r="D367" s="157"/>
      <c r="E367" s="199"/>
      <c r="F367" s="197"/>
      <c r="G367" s="148">
        <v>555000</v>
      </c>
      <c r="H367" s="148"/>
      <c r="I367" s="198"/>
      <c r="J367" s="197"/>
      <c r="K367" s="148"/>
    </row>
    <row r="368" spans="1:11" x14ac:dyDescent="0.25">
      <c r="A368" s="197">
        <v>98</v>
      </c>
      <c r="B368" s="160" t="s">
        <v>1865</v>
      </c>
      <c r="C368" s="197" t="s">
        <v>61</v>
      </c>
      <c r="D368" s="157"/>
      <c r="E368" s="199"/>
      <c r="F368" s="197"/>
      <c r="G368" s="148">
        <v>720000</v>
      </c>
      <c r="H368" s="148"/>
      <c r="I368" s="198"/>
      <c r="J368" s="197"/>
      <c r="K368" s="148"/>
    </row>
    <row r="369" spans="1:12" x14ac:dyDescent="0.25">
      <c r="A369" s="197">
        <v>99</v>
      </c>
      <c r="B369" s="160" t="s">
        <v>1866</v>
      </c>
      <c r="C369" s="197" t="s">
        <v>61</v>
      </c>
      <c r="D369" s="157"/>
      <c r="E369" s="199"/>
      <c r="F369" s="197"/>
      <c r="G369" s="148">
        <v>888000</v>
      </c>
      <c r="H369" s="148"/>
      <c r="I369" s="198"/>
      <c r="J369" s="197"/>
      <c r="K369" s="148"/>
    </row>
    <row r="370" spans="1:12" x14ac:dyDescent="0.25">
      <c r="A370" s="197">
        <v>100</v>
      </c>
      <c r="B370" s="160" t="s">
        <v>1859</v>
      </c>
      <c r="C370" s="197" t="s">
        <v>61</v>
      </c>
      <c r="D370" s="157"/>
      <c r="E370" s="199"/>
      <c r="F370" s="197"/>
      <c r="G370" s="148">
        <v>1100000</v>
      </c>
      <c r="H370" s="148"/>
      <c r="I370" s="198"/>
      <c r="J370" s="197"/>
      <c r="K370" s="148"/>
    </row>
    <row r="371" spans="1:12" x14ac:dyDescent="0.25">
      <c r="A371" s="197">
        <v>101</v>
      </c>
      <c r="B371" s="160" t="s">
        <v>1860</v>
      </c>
      <c r="C371" s="197" t="s">
        <v>61</v>
      </c>
      <c r="D371" s="157"/>
      <c r="E371" s="199"/>
      <c r="F371" s="197"/>
      <c r="G371" s="148">
        <v>1295000</v>
      </c>
      <c r="H371" s="148"/>
      <c r="I371" s="198"/>
      <c r="J371" s="197"/>
      <c r="K371" s="148"/>
    </row>
    <row r="372" spans="1:12" x14ac:dyDescent="0.25">
      <c r="A372" s="197">
        <v>102</v>
      </c>
      <c r="B372" s="160" t="s">
        <v>2094</v>
      </c>
      <c r="C372" s="197" t="s">
        <v>46</v>
      </c>
      <c r="D372" s="157"/>
      <c r="E372" s="199"/>
      <c r="F372" s="197"/>
      <c r="G372" s="148">
        <v>10445518</v>
      </c>
      <c r="H372" s="148"/>
      <c r="I372" s="198"/>
      <c r="J372" s="197"/>
      <c r="K372" s="148">
        <f t="shared" ref="K372" si="24">+G372+$C$7*J372</f>
        <v>10445518</v>
      </c>
    </row>
    <row r="373" spans="1:12" x14ac:dyDescent="0.25">
      <c r="A373" s="197"/>
      <c r="B373" s="193"/>
      <c r="C373" s="192"/>
      <c r="D373" s="157"/>
      <c r="E373" s="194"/>
      <c r="F373" s="192"/>
      <c r="G373" s="200"/>
      <c r="H373" s="200"/>
      <c r="I373" s="198"/>
      <c r="J373" s="192"/>
      <c r="K373" s="200"/>
    </row>
    <row r="374" spans="1:12" ht="13" x14ac:dyDescent="0.3">
      <c r="A374" s="144" t="s">
        <v>8</v>
      </c>
      <c r="B374" s="172" t="s">
        <v>1182</v>
      </c>
      <c r="C374" s="197"/>
      <c r="D374" s="157"/>
      <c r="E374" s="199"/>
      <c r="F374" s="197"/>
      <c r="G374" s="200"/>
      <c r="H374" s="200"/>
      <c r="I374" s="198"/>
      <c r="J374" s="197"/>
      <c r="K374" s="200"/>
    </row>
    <row r="375" spans="1:12" ht="13" x14ac:dyDescent="0.3">
      <c r="A375" s="144"/>
      <c r="B375" s="172"/>
      <c r="C375" s="197" t="s">
        <v>63</v>
      </c>
      <c r="D375" s="157" t="s">
        <v>1591</v>
      </c>
      <c r="E375" s="199"/>
      <c r="F375" s="197"/>
      <c r="G375" s="200">
        <v>1600</v>
      </c>
      <c r="H375" s="200"/>
      <c r="I375" s="198"/>
      <c r="J375" s="197"/>
      <c r="K375" s="148">
        <f t="shared" ref="K375:K432" si="25">+G375+$C$7*J375</f>
        <v>1600</v>
      </c>
    </row>
    <row r="376" spans="1:12" x14ac:dyDescent="0.25">
      <c r="A376" s="197">
        <v>1</v>
      </c>
      <c r="B376" s="160" t="s">
        <v>1183</v>
      </c>
      <c r="C376" s="146" t="s">
        <v>63</v>
      </c>
      <c r="D376" s="157" t="s">
        <v>1592</v>
      </c>
      <c r="E376" s="199"/>
      <c r="F376" s="197"/>
      <c r="G376" s="148">
        <v>2900</v>
      </c>
      <c r="H376" s="148"/>
      <c r="I376" s="198"/>
      <c r="J376" s="197"/>
      <c r="K376" s="148">
        <f t="shared" si="25"/>
        <v>2900</v>
      </c>
      <c r="L376" s="193"/>
    </row>
    <row r="377" spans="1:12" x14ac:dyDescent="0.25">
      <c r="A377" s="197">
        <v>2</v>
      </c>
      <c r="B377" s="160" t="s">
        <v>1184</v>
      </c>
      <c r="C377" s="197" t="s">
        <v>63</v>
      </c>
      <c r="D377" s="157" t="s">
        <v>1593</v>
      </c>
      <c r="E377" s="199"/>
      <c r="F377" s="197"/>
      <c r="G377" s="148">
        <v>4400</v>
      </c>
      <c r="H377" s="148"/>
      <c r="I377" s="198"/>
      <c r="J377" s="197"/>
      <c r="K377" s="148">
        <f t="shared" si="25"/>
        <v>4400</v>
      </c>
      <c r="L377" s="193"/>
    </row>
    <row r="378" spans="1:12" x14ac:dyDescent="0.25">
      <c r="A378" s="197">
        <v>3</v>
      </c>
      <c r="B378" s="160" t="s">
        <v>1185</v>
      </c>
      <c r="C378" s="197" t="s">
        <v>63</v>
      </c>
      <c r="D378" s="157" t="s">
        <v>1594</v>
      </c>
      <c r="E378" s="199"/>
      <c r="F378" s="197"/>
      <c r="G378" s="148">
        <v>8400</v>
      </c>
      <c r="H378" s="148"/>
      <c r="I378" s="198"/>
      <c r="J378" s="197"/>
      <c r="K378" s="148">
        <f t="shared" si="25"/>
        <v>8400</v>
      </c>
      <c r="L378" s="193"/>
    </row>
    <row r="379" spans="1:12" x14ac:dyDescent="0.25">
      <c r="A379" s="197">
        <v>4</v>
      </c>
      <c r="B379" s="160" t="s">
        <v>1186</v>
      </c>
      <c r="C379" s="197" t="s">
        <v>63</v>
      </c>
      <c r="D379" s="157" t="s">
        <v>1595</v>
      </c>
      <c r="E379" s="199"/>
      <c r="F379" s="197"/>
      <c r="G379" s="148">
        <v>12400</v>
      </c>
      <c r="H379" s="148"/>
      <c r="I379" s="198"/>
      <c r="J379" s="197"/>
      <c r="K379" s="148">
        <f t="shared" si="25"/>
        <v>12400</v>
      </c>
      <c r="L379" s="193"/>
    </row>
    <row r="380" spans="1:12" x14ac:dyDescent="0.25">
      <c r="A380" s="197">
        <v>5</v>
      </c>
      <c r="B380" s="160" t="s">
        <v>1187</v>
      </c>
      <c r="C380" s="197" t="s">
        <v>63</v>
      </c>
      <c r="D380" s="157" t="s">
        <v>1596</v>
      </c>
      <c r="E380" s="199"/>
      <c r="F380" s="197"/>
      <c r="G380" s="148">
        <v>17000</v>
      </c>
      <c r="H380" s="148"/>
      <c r="I380" s="198"/>
      <c r="J380" s="197"/>
      <c r="K380" s="148">
        <f t="shared" si="25"/>
        <v>17000</v>
      </c>
      <c r="L380" s="193"/>
    </row>
    <row r="381" spans="1:12" x14ac:dyDescent="0.25">
      <c r="A381" s="197">
        <v>6</v>
      </c>
      <c r="B381" s="160" t="s">
        <v>1188</v>
      </c>
      <c r="C381" s="197" t="s">
        <v>63</v>
      </c>
      <c r="D381" s="157" t="s">
        <v>1597</v>
      </c>
      <c r="E381" s="199"/>
      <c r="F381" s="197"/>
      <c r="G381" s="148">
        <v>27600</v>
      </c>
      <c r="H381" s="148"/>
      <c r="I381" s="198"/>
      <c r="J381" s="197"/>
      <c r="K381" s="148">
        <f t="shared" si="25"/>
        <v>27600</v>
      </c>
      <c r="L381" s="193"/>
    </row>
    <row r="382" spans="1:12" x14ac:dyDescent="0.25">
      <c r="A382" s="197">
        <v>7</v>
      </c>
      <c r="B382" s="160" t="s">
        <v>1189</v>
      </c>
      <c r="C382" s="197" t="s">
        <v>63</v>
      </c>
      <c r="D382" s="157" t="s">
        <v>1598</v>
      </c>
      <c r="E382" s="199"/>
      <c r="F382" s="197"/>
      <c r="G382" s="148">
        <v>46500</v>
      </c>
      <c r="H382" s="148"/>
      <c r="I382" s="198"/>
      <c r="J382" s="197"/>
      <c r="K382" s="148">
        <f t="shared" si="25"/>
        <v>46500</v>
      </c>
      <c r="L382" s="193"/>
    </row>
    <row r="383" spans="1:12" x14ac:dyDescent="0.25">
      <c r="A383" s="197">
        <v>8</v>
      </c>
      <c r="B383" s="160" t="s">
        <v>1190</v>
      </c>
      <c r="C383" s="197" t="s">
        <v>63</v>
      </c>
      <c r="D383" s="157" t="s">
        <v>1599</v>
      </c>
      <c r="E383" s="199"/>
      <c r="F383" s="197"/>
      <c r="G383" s="148">
        <v>88300</v>
      </c>
      <c r="H383" s="148"/>
      <c r="I383" s="198"/>
      <c r="J383" s="197"/>
      <c r="K383" s="148">
        <f t="shared" si="25"/>
        <v>88300</v>
      </c>
      <c r="L383" s="193"/>
    </row>
    <row r="384" spans="1:12" x14ac:dyDescent="0.25">
      <c r="A384" s="197">
        <v>9</v>
      </c>
      <c r="B384" s="160" t="s">
        <v>1191</v>
      </c>
      <c r="C384" s="197" t="s">
        <v>63</v>
      </c>
      <c r="D384" s="157" t="s">
        <v>1600</v>
      </c>
      <c r="E384" s="199"/>
      <c r="F384" s="197"/>
      <c r="G384" s="148">
        <v>152300</v>
      </c>
      <c r="H384" s="148"/>
      <c r="I384" s="198"/>
      <c r="J384" s="197"/>
      <c r="K384" s="148">
        <f t="shared" si="25"/>
        <v>152300</v>
      </c>
      <c r="L384" s="193"/>
    </row>
    <row r="385" spans="1:12" x14ac:dyDescent="0.25">
      <c r="A385" s="197">
        <v>10</v>
      </c>
      <c r="B385" s="160" t="s">
        <v>1192</v>
      </c>
      <c r="C385" s="197" t="s">
        <v>63</v>
      </c>
      <c r="D385" s="157" t="s">
        <v>1601</v>
      </c>
      <c r="E385" s="199"/>
      <c r="F385" s="197"/>
      <c r="G385" s="148">
        <v>97600</v>
      </c>
      <c r="H385" s="148"/>
      <c r="I385" s="198"/>
      <c r="J385" s="197"/>
      <c r="K385" s="148">
        <f t="shared" si="25"/>
        <v>97600</v>
      </c>
      <c r="L385" s="193"/>
    </row>
    <row r="386" spans="1:12" x14ac:dyDescent="0.25">
      <c r="A386" s="197">
        <v>11</v>
      </c>
      <c r="B386" s="160" t="s">
        <v>1193</v>
      </c>
      <c r="C386" s="197" t="s">
        <v>63</v>
      </c>
      <c r="D386" s="157" t="s">
        <v>1602</v>
      </c>
      <c r="E386" s="199"/>
      <c r="F386" s="197"/>
      <c r="G386" s="148">
        <v>219500</v>
      </c>
      <c r="H386" s="148"/>
      <c r="I386" s="198"/>
      <c r="J386" s="197"/>
      <c r="K386" s="148">
        <f t="shared" si="25"/>
        <v>219500</v>
      </c>
      <c r="L386" s="218"/>
    </row>
    <row r="387" spans="1:12" x14ac:dyDescent="0.25">
      <c r="A387" s="197">
        <v>12</v>
      </c>
      <c r="B387" s="160" t="s">
        <v>1194</v>
      </c>
      <c r="C387" s="197" t="s">
        <v>63</v>
      </c>
      <c r="D387" s="157" t="s">
        <v>1603</v>
      </c>
      <c r="E387" s="199"/>
      <c r="F387" s="197"/>
      <c r="G387" s="148">
        <v>390600</v>
      </c>
      <c r="H387" s="148"/>
      <c r="I387" s="198"/>
      <c r="J387" s="197"/>
      <c r="K387" s="148">
        <f t="shared" si="25"/>
        <v>390600</v>
      </c>
      <c r="L387" s="218"/>
    </row>
    <row r="388" spans="1:12" x14ac:dyDescent="0.25">
      <c r="A388" s="197">
        <v>13</v>
      </c>
      <c r="B388" s="160" t="s">
        <v>1195</v>
      </c>
      <c r="C388" s="197" t="s">
        <v>63</v>
      </c>
      <c r="D388" s="157" t="s">
        <v>1604</v>
      </c>
      <c r="E388" s="199"/>
      <c r="F388" s="197"/>
      <c r="G388" s="148">
        <v>550000</v>
      </c>
      <c r="H388" s="148"/>
      <c r="I388" s="198"/>
      <c r="J388" s="197"/>
      <c r="K388" s="148">
        <f t="shared" si="25"/>
        <v>550000</v>
      </c>
      <c r="L388" s="218"/>
    </row>
    <row r="389" spans="1:12" x14ac:dyDescent="0.25">
      <c r="A389" s="197">
        <v>14</v>
      </c>
      <c r="B389" s="160" t="s">
        <v>1196</v>
      </c>
      <c r="C389" s="197" t="s">
        <v>63</v>
      </c>
      <c r="D389" s="157" t="s">
        <v>1605</v>
      </c>
      <c r="E389" s="199"/>
      <c r="F389" s="197"/>
      <c r="G389" s="148">
        <v>732000</v>
      </c>
      <c r="H389" s="148"/>
      <c r="I389" s="198"/>
      <c r="J389" s="197"/>
      <c r="K389" s="148">
        <f t="shared" si="25"/>
        <v>732000</v>
      </c>
      <c r="L389" s="218"/>
    </row>
    <row r="390" spans="1:12" x14ac:dyDescent="0.25">
      <c r="A390" s="197">
        <v>15</v>
      </c>
      <c r="B390" s="160" t="s">
        <v>1197</v>
      </c>
      <c r="C390" s="197" t="s">
        <v>63</v>
      </c>
      <c r="D390" s="157" t="s">
        <v>1606</v>
      </c>
      <c r="E390" s="199"/>
      <c r="F390" s="197"/>
      <c r="G390" s="148">
        <v>940000</v>
      </c>
      <c r="H390" s="148"/>
      <c r="I390" s="198"/>
      <c r="J390" s="197"/>
      <c r="K390" s="148">
        <f t="shared" si="25"/>
        <v>940000</v>
      </c>
      <c r="L390" s="218"/>
    </row>
    <row r="391" spans="1:12" x14ac:dyDescent="0.25">
      <c r="A391" s="197">
        <v>16</v>
      </c>
      <c r="B391" s="160" t="s">
        <v>1198</v>
      </c>
      <c r="C391" s="197" t="s">
        <v>63</v>
      </c>
      <c r="D391" s="157" t="s">
        <v>1607</v>
      </c>
      <c r="E391" s="199"/>
      <c r="F391" s="197"/>
      <c r="G391" s="148">
        <v>1730000</v>
      </c>
      <c r="H391" s="148"/>
      <c r="I391" s="198"/>
      <c r="J391" s="197"/>
      <c r="K391" s="148">
        <f t="shared" si="25"/>
        <v>1730000</v>
      </c>
      <c r="L391" s="218"/>
    </row>
    <row r="392" spans="1:12" x14ac:dyDescent="0.25">
      <c r="A392" s="197">
        <v>17</v>
      </c>
      <c r="B392" s="160" t="s">
        <v>1199</v>
      </c>
      <c r="C392" s="197" t="s">
        <v>63</v>
      </c>
      <c r="D392" s="157" t="s">
        <v>1608</v>
      </c>
      <c r="E392" s="199"/>
      <c r="F392" s="197"/>
      <c r="G392" s="148">
        <v>2585000</v>
      </c>
      <c r="H392" s="148"/>
      <c r="I392" s="198"/>
      <c r="J392" s="197"/>
      <c r="K392" s="148">
        <f t="shared" si="25"/>
        <v>2585000</v>
      </c>
      <c r="L392" s="218"/>
    </row>
    <row r="393" spans="1:12" x14ac:dyDescent="0.25">
      <c r="A393" s="197">
        <v>18</v>
      </c>
      <c r="B393" s="160" t="s">
        <v>1200</v>
      </c>
      <c r="C393" s="197" t="s">
        <v>63</v>
      </c>
      <c r="D393" s="157" t="s">
        <v>1609</v>
      </c>
      <c r="E393" s="199"/>
      <c r="F393" s="197"/>
      <c r="G393" s="148">
        <v>3460000</v>
      </c>
      <c r="H393" s="148"/>
      <c r="I393" s="198"/>
      <c r="J393" s="197"/>
      <c r="K393" s="148">
        <f t="shared" si="25"/>
        <v>3460000</v>
      </c>
      <c r="L393" s="218"/>
    </row>
    <row r="394" spans="1:12" x14ac:dyDescent="0.25">
      <c r="A394" s="197">
        <v>19</v>
      </c>
      <c r="B394" s="160" t="s">
        <v>1201</v>
      </c>
      <c r="C394" s="197" t="s">
        <v>63</v>
      </c>
      <c r="D394" s="157" t="s">
        <v>1610</v>
      </c>
      <c r="E394" s="199"/>
      <c r="F394" s="197"/>
      <c r="G394" s="148">
        <v>4320000</v>
      </c>
      <c r="H394" s="148"/>
      <c r="I394" s="198"/>
      <c r="J394" s="197"/>
      <c r="K394" s="148">
        <f t="shared" si="25"/>
        <v>4320000</v>
      </c>
      <c r="L394" s="218"/>
    </row>
    <row r="395" spans="1:12" x14ac:dyDescent="0.25">
      <c r="A395" s="197">
        <v>20</v>
      </c>
      <c r="B395" s="160" t="s">
        <v>1202</v>
      </c>
      <c r="C395" s="197" t="s">
        <v>63</v>
      </c>
      <c r="D395" s="157" t="s">
        <v>1611</v>
      </c>
      <c r="E395" s="199"/>
      <c r="F395" s="197"/>
      <c r="G395" s="148">
        <v>5190000</v>
      </c>
      <c r="H395" s="148"/>
      <c r="I395" s="198"/>
      <c r="J395" s="197"/>
      <c r="K395" s="148">
        <f t="shared" si="25"/>
        <v>5190000</v>
      </c>
      <c r="L395" s="218"/>
    </row>
    <row r="396" spans="1:12" x14ac:dyDescent="0.25">
      <c r="A396" s="197">
        <v>21</v>
      </c>
      <c r="B396" s="160" t="s">
        <v>1203</v>
      </c>
      <c r="C396" s="197" t="s">
        <v>63</v>
      </c>
      <c r="D396" s="157" t="s">
        <v>1612</v>
      </c>
      <c r="E396" s="199"/>
      <c r="F396" s="197"/>
      <c r="G396" s="148">
        <v>18700</v>
      </c>
      <c r="H396" s="148"/>
      <c r="I396" s="198"/>
      <c r="J396" s="197"/>
      <c r="K396" s="148">
        <f t="shared" si="25"/>
        <v>18700</v>
      </c>
      <c r="L396" s="218"/>
    </row>
    <row r="397" spans="1:12" x14ac:dyDescent="0.25">
      <c r="A397" s="197">
        <v>22</v>
      </c>
      <c r="B397" s="160" t="s">
        <v>1204</v>
      </c>
      <c r="C397" s="197" t="s">
        <v>63</v>
      </c>
      <c r="D397" s="157" t="s">
        <v>1613</v>
      </c>
      <c r="E397" s="199"/>
      <c r="F397" s="197"/>
      <c r="G397" s="148">
        <v>18133.333333333332</v>
      </c>
      <c r="H397" s="148"/>
      <c r="I397" s="198"/>
      <c r="J397" s="197"/>
      <c r="K397" s="148">
        <f t="shared" si="25"/>
        <v>18133.333333333332</v>
      </c>
    </row>
    <row r="398" spans="1:12" x14ac:dyDescent="0.25">
      <c r="A398" s="197">
        <v>23</v>
      </c>
      <c r="B398" s="160" t="s">
        <v>1205</v>
      </c>
      <c r="C398" s="197" t="s">
        <v>63</v>
      </c>
      <c r="D398" s="157" t="s">
        <v>1614</v>
      </c>
      <c r="E398" s="199"/>
      <c r="F398" s="197"/>
      <c r="G398" s="148">
        <v>25600</v>
      </c>
      <c r="H398" s="148"/>
      <c r="I398" s="198"/>
      <c r="J398" s="197"/>
      <c r="K398" s="148">
        <f t="shared" si="25"/>
        <v>25600</v>
      </c>
    </row>
    <row r="399" spans="1:12" x14ac:dyDescent="0.25">
      <c r="A399" s="197">
        <v>24</v>
      </c>
      <c r="B399" s="160" t="s">
        <v>1206</v>
      </c>
      <c r="C399" s="197" t="s">
        <v>63</v>
      </c>
      <c r="D399" s="157" t="s">
        <v>1615</v>
      </c>
      <c r="E399" s="199"/>
      <c r="F399" s="197"/>
      <c r="G399" s="148">
        <v>52283.333333333336</v>
      </c>
      <c r="H399" s="148"/>
      <c r="I399" s="198"/>
      <c r="J399" s="197"/>
      <c r="K399" s="148">
        <f t="shared" si="25"/>
        <v>52283.333333333336</v>
      </c>
    </row>
    <row r="400" spans="1:12" x14ac:dyDescent="0.25">
      <c r="A400" s="197">
        <v>25</v>
      </c>
      <c r="B400" s="160" t="s">
        <v>1207</v>
      </c>
      <c r="C400" s="197" t="s">
        <v>63</v>
      </c>
      <c r="D400" s="157" t="s">
        <v>1616</v>
      </c>
      <c r="E400" s="199"/>
      <c r="F400" s="197"/>
      <c r="G400" s="148">
        <v>64016.666666666664</v>
      </c>
      <c r="H400" s="148"/>
      <c r="I400" s="198"/>
      <c r="J400" s="197"/>
      <c r="K400" s="148">
        <f t="shared" si="25"/>
        <v>64016.666666666664</v>
      </c>
    </row>
    <row r="401" spans="1:12" x14ac:dyDescent="0.25">
      <c r="A401" s="197">
        <v>26</v>
      </c>
      <c r="B401" s="160" t="s">
        <v>1208</v>
      </c>
      <c r="C401" s="197" t="s">
        <v>63</v>
      </c>
      <c r="D401" s="157" t="s">
        <v>1617</v>
      </c>
      <c r="E401" s="199"/>
      <c r="F401" s="197"/>
      <c r="G401" s="148">
        <v>81800</v>
      </c>
      <c r="H401" s="148"/>
      <c r="I401" s="198"/>
      <c r="J401" s="197"/>
      <c r="K401" s="148">
        <f t="shared" si="25"/>
        <v>81800</v>
      </c>
      <c r="L401" s="219"/>
    </row>
    <row r="402" spans="1:12" x14ac:dyDescent="0.25">
      <c r="A402" s="197">
        <v>27</v>
      </c>
      <c r="B402" s="160" t="s">
        <v>1209</v>
      </c>
      <c r="C402" s="197" t="s">
        <v>63</v>
      </c>
      <c r="D402" s="157" t="s">
        <v>1618</v>
      </c>
      <c r="E402" s="199"/>
      <c r="F402" s="197"/>
      <c r="G402" s="148">
        <v>106700</v>
      </c>
      <c r="H402" s="148"/>
      <c r="I402" s="198"/>
      <c r="J402" s="197"/>
      <c r="K402" s="148">
        <f t="shared" si="25"/>
        <v>106700</v>
      </c>
      <c r="L402" s="219"/>
    </row>
    <row r="403" spans="1:12" x14ac:dyDescent="0.25">
      <c r="A403" s="197">
        <v>28</v>
      </c>
      <c r="B403" s="160" t="s">
        <v>1210</v>
      </c>
      <c r="C403" s="197" t="s">
        <v>63</v>
      </c>
      <c r="D403" s="157" t="s">
        <v>1619</v>
      </c>
      <c r="E403" s="199"/>
      <c r="F403" s="197"/>
      <c r="G403" s="148">
        <v>155600</v>
      </c>
      <c r="H403" s="148"/>
      <c r="I403" s="198"/>
      <c r="J403" s="197"/>
      <c r="K403" s="148">
        <f t="shared" si="25"/>
        <v>155600</v>
      </c>
      <c r="L403" s="219"/>
    </row>
    <row r="404" spans="1:12" x14ac:dyDescent="0.25">
      <c r="A404" s="197">
        <v>29</v>
      </c>
      <c r="B404" s="160" t="s">
        <v>1211</v>
      </c>
      <c r="C404" s="197" t="s">
        <v>63</v>
      </c>
      <c r="D404" s="157" t="s">
        <v>1620</v>
      </c>
      <c r="E404" s="199"/>
      <c r="F404" s="197"/>
      <c r="G404" s="148">
        <v>14150</v>
      </c>
      <c r="H404" s="148"/>
      <c r="I404" s="198"/>
      <c r="J404" s="197"/>
      <c r="K404" s="148">
        <f t="shared" si="25"/>
        <v>14150</v>
      </c>
      <c r="L404" s="219"/>
    </row>
    <row r="405" spans="1:12" x14ac:dyDescent="0.25">
      <c r="A405" s="197">
        <v>30</v>
      </c>
      <c r="B405" s="160" t="s">
        <v>1212</v>
      </c>
      <c r="C405" s="197" t="s">
        <v>63</v>
      </c>
      <c r="D405" s="157" t="s">
        <v>1621</v>
      </c>
      <c r="E405" s="199"/>
      <c r="F405" s="197"/>
      <c r="G405" s="148">
        <v>19455</v>
      </c>
      <c r="H405" s="148"/>
      <c r="I405" s="198"/>
      <c r="J405" s="197"/>
      <c r="K405" s="148">
        <f t="shared" si="25"/>
        <v>19455</v>
      </c>
    </row>
    <row r="406" spans="1:12" x14ac:dyDescent="0.25">
      <c r="A406" s="197">
        <v>31</v>
      </c>
      <c r="B406" s="160" t="s">
        <v>1213</v>
      </c>
      <c r="C406" s="197" t="s">
        <v>63</v>
      </c>
      <c r="D406" s="157" t="s">
        <v>1622</v>
      </c>
      <c r="E406" s="199"/>
      <c r="F406" s="197"/>
      <c r="G406" s="148">
        <v>26630</v>
      </c>
      <c r="H406" s="148"/>
      <c r="I406" s="198"/>
      <c r="J406" s="197"/>
      <c r="K406" s="148">
        <f t="shared" si="25"/>
        <v>26630</v>
      </c>
    </row>
    <row r="407" spans="1:12" x14ac:dyDescent="0.25">
      <c r="A407" s="197">
        <v>32</v>
      </c>
      <c r="B407" s="160" t="s">
        <v>1214</v>
      </c>
      <c r="C407" s="197" t="s">
        <v>63</v>
      </c>
      <c r="D407" s="157" t="s">
        <v>1623</v>
      </c>
      <c r="E407" s="199"/>
      <c r="F407" s="197"/>
      <c r="G407" s="148">
        <v>39990</v>
      </c>
      <c r="H407" s="148"/>
      <c r="I407" s="198"/>
      <c r="J407" s="197"/>
      <c r="K407" s="148">
        <f t="shared" si="25"/>
        <v>39990</v>
      </c>
    </row>
    <row r="408" spans="1:12" x14ac:dyDescent="0.25">
      <c r="A408" s="197">
        <v>33</v>
      </c>
      <c r="B408" s="160" t="s">
        <v>1215</v>
      </c>
      <c r="C408" s="197" t="s">
        <v>63</v>
      </c>
      <c r="D408" s="157" t="s">
        <v>1624</v>
      </c>
      <c r="E408" s="199"/>
      <c r="F408" s="197"/>
      <c r="G408" s="148">
        <v>45925</v>
      </c>
      <c r="H408" s="148"/>
      <c r="I408" s="198"/>
      <c r="J408" s="197"/>
      <c r="K408" s="148">
        <f t="shared" si="25"/>
        <v>45925</v>
      </c>
    </row>
    <row r="409" spans="1:12" x14ac:dyDescent="0.25">
      <c r="A409" s="197">
        <v>34</v>
      </c>
      <c r="B409" s="160" t="s">
        <v>1216</v>
      </c>
      <c r="C409" s="197" t="s">
        <v>63</v>
      </c>
      <c r="D409" s="157" t="s">
        <v>1625</v>
      </c>
      <c r="E409" s="199"/>
      <c r="F409" s="197"/>
      <c r="G409" s="148">
        <v>58610</v>
      </c>
      <c r="H409" s="148"/>
      <c r="I409" s="198"/>
      <c r="J409" s="197"/>
      <c r="K409" s="148">
        <f t="shared" si="25"/>
        <v>58610</v>
      </c>
    </row>
    <row r="410" spans="1:12" x14ac:dyDescent="0.25">
      <c r="A410" s="197">
        <v>35</v>
      </c>
      <c r="B410" s="160" t="s">
        <v>1217</v>
      </c>
      <c r="C410" s="197" t="s">
        <v>63</v>
      </c>
      <c r="D410" s="157" t="s">
        <v>1626</v>
      </c>
      <c r="E410" s="199"/>
      <c r="F410" s="197"/>
      <c r="G410" s="148">
        <v>85705</v>
      </c>
      <c r="H410" s="148"/>
      <c r="I410" s="198"/>
      <c r="J410" s="197"/>
      <c r="K410" s="148">
        <f t="shared" si="25"/>
        <v>85705</v>
      </c>
    </row>
    <row r="411" spans="1:12" x14ac:dyDescent="0.25">
      <c r="A411" s="197">
        <v>36</v>
      </c>
      <c r="B411" s="160" t="s">
        <v>1218</v>
      </c>
      <c r="C411" s="197" t="s">
        <v>63</v>
      </c>
      <c r="D411" s="157" t="s">
        <v>1627</v>
      </c>
      <c r="E411" s="199"/>
      <c r="F411" s="197"/>
      <c r="G411" s="148">
        <v>115580</v>
      </c>
      <c r="H411" s="148"/>
      <c r="I411" s="198"/>
      <c r="J411" s="197"/>
      <c r="K411" s="148">
        <f t="shared" si="25"/>
        <v>115580</v>
      </c>
    </row>
    <row r="412" spans="1:12" x14ac:dyDescent="0.25">
      <c r="A412" s="197">
        <v>37</v>
      </c>
      <c r="B412" s="160" t="s">
        <v>1219</v>
      </c>
      <c r="C412" s="197" t="s">
        <v>63</v>
      </c>
      <c r="D412" s="157" t="s">
        <v>1628</v>
      </c>
      <c r="E412" s="199"/>
      <c r="F412" s="197"/>
      <c r="G412" s="148">
        <v>75000</v>
      </c>
      <c r="H412" s="148"/>
      <c r="I412" s="198"/>
      <c r="J412" s="197"/>
      <c r="K412" s="148">
        <f t="shared" si="25"/>
        <v>75000</v>
      </c>
    </row>
    <row r="413" spans="1:12" x14ac:dyDescent="0.25">
      <c r="A413" s="197">
        <v>38</v>
      </c>
      <c r="B413" s="160" t="s">
        <v>1220</v>
      </c>
      <c r="C413" s="197" t="s">
        <v>63</v>
      </c>
      <c r="D413" s="157" t="s">
        <v>1629</v>
      </c>
      <c r="E413" s="199"/>
      <c r="F413" s="197"/>
      <c r="G413" s="148">
        <v>115000</v>
      </c>
      <c r="H413" s="148"/>
      <c r="I413" s="198"/>
      <c r="J413" s="197"/>
      <c r="K413" s="148">
        <f t="shared" si="25"/>
        <v>115000</v>
      </c>
    </row>
    <row r="414" spans="1:12" x14ac:dyDescent="0.25">
      <c r="A414" s="197">
        <v>39</v>
      </c>
      <c r="B414" s="160" t="s">
        <v>1221</v>
      </c>
      <c r="C414" s="197" t="s">
        <v>63</v>
      </c>
      <c r="D414" s="157" t="s">
        <v>1630</v>
      </c>
      <c r="E414" s="199"/>
      <c r="F414" s="197"/>
      <c r="G414" s="148">
        <v>125000</v>
      </c>
      <c r="H414" s="148"/>
      <c r="I414" s="198"/>
      <c r="J414" s="197"/>
      <c r="K414" s="148">
        <f t="shared" si="25"/>
        <v>125000</v>
      </c>
    </row>
    <row r="415" spans="1:12" x14ac:dyDescent="0.25">
      <c r="A415" s="197">
        <v>40</v>
      </c>
      <c r="B415" s="160" t="s">
        <v>1222</v>
      </c>
      <c r="C415" s="197" t="s">
        <v>63</v>
      </c>
      <c r="D415" s="157" t="s">
        <v>1631</v>
      </c>
      <c r="E415" s="199"/>
      <c r="F415" s="197"/>
      <c r="G415" s="148">
        <v>231000</v>
      </c>
      <c r="H415" s="148"/>
      <c r="I415" s="198"/>
      <c r="J415" s="197"/>
      <c r="K415" s="148">
        <f t="shared" si="25"/>
        <v>231000</v>
      </c>
    </row>
    <row r="416" spans="1:12" x14ac:dyDescent="0.25">
      <c r="A416" s="197">
        <v>41</v>
      </c>
      <c r="B416" s="160" t="s">
        <v>1223</v>
      </c>
      <c r="C416" s="197" t="s">
        <v>63</v>
      </c>
      <c r="D416" s="157" t="s">
        <v>1632</v>
      </c>
      <c r="E416" s="199"/>
      <c r="F416" s="197"/>
      <c r="G416" s="148">
        <v>290500</v>
      </c>
      <c r="H416" s="148"/>
      <c r="I416" s="198"/>
      <c r="J416" s="197"/>
      <c r="K416" s="148">
        <f t="shared" si="25"/>
        <v>290500</v>
      </c>
    </row>
    <row r="417" spans="1:11" x14ac:dyDescent="0.25">
      <c r="A417" s="197">
        <v>42</v>
      </c>
      <c r="B417" s="160" t="s">
        <v>1224</v>
      </c>
      <c r="C417" s="197" t="s">
        <v>63</v>
      </c>
      <c r="D417" s="157" t="s">
        <v>1633</v>
      </c>
      <c r="E417" s="199"/>
      <c r="F417" s="197"/>
      <c r="G417" s="148">
        <v>335500</v>
      </c>
      <c r="H417" s="148"/>
      <c r="I417" s="198"/>
      <c r="J417" s="197"/>
      <c r="K417" s="148">
        <f t="shared" si="25"/>
        <v>335500</v>
      </c>
    </row>
    <row r="418" spans="1:11" x14ac:dyDescent="0.25">
      <c r="A418" s="197">
        <v>43</v>
      </c>
      <c r="B418" s="160" t="s">
        <v>1225</v>
      </c>
      <c r="C418" s="197" t="s">
        <v>63</v>
      </c>
      <c r="D418" s="157" t="s">
        <v>1634</v>
      </c>
      <c r="E418" s="199"/>
      <c r="F418" s="197"/>
      <c r="G418" s="148">
        <v>522000</v>
      </c>
      <c r="H418" s="148"/>
      <c r="I418" s="198"/>
      <c r="J418" s="197"/>
      <c r="K418" s="148">
        <f t="shared" si="25"/>
        <v>522000</v>
      </c>
    </row>
    <row r="419" spans="1:11" x14ac:dyDescent="0.25">
      <c r="A419" s="197">
        <v>44</v>
      </c>
      <c r="B419" s="160" t="s">
        <v>1226</v>
      </c>
      <c r="C419" s="197" t="s">
        <v>63</v>
      </c>
      <c r="D419" s="157" t="s">
        <v>1635</v>
      </c>
      <c r="E419" s="199"/>
      <c r="F419" s="197"/>
      <c r="G419" s="148">
        <v>787500</v>
      </c>
      <c r="H419" s="148"/>
      <c r="I419" s="198"/>
      <c r="J419" s="197"/>
      <c r="K419" s="148">
        <f t="shared" si="25"/>
        <v>787500</v>
      </c>
    </row>
    <row r="420" spans="1:11" x14ac:dyDescent="0.25">
      <c r="A420" s="197">
        <v>45</v>
      </c>
      <c r="B420" s="160" t="s">
        <v>1227</v>
      </c>
      <c r="C420" s="197" t="s">
        <v>63</v>
      </c>
      <c r="D420" s="157" t="s">
        <v>1636</v>
      </c>
      <c r="E420" s="199"/>
      <c r="F420" s="197"/>
      <c r="G420" s="148">
        <v>960000</v>
      </c>
      <c r="H420" s="148"/>
      <c r="I420" s="198"/>
      <c r="J420" s="197"/>
      <c r="K420" s="148">
        <f t="shared" si="25"/>
        <v>960000</v>
      </c>
    </row>
    <row r="421" spans="1:11" x14ac:dyDescent="0.25">
      <c r="A421" s="197">
        <v>46</v>
      </c>
      <c r="B421" s="160" t="s">
        <v>1228</v>
      </c>
      <c r="C421" s="197" t="s">
        <v>63</v>
      </c>
      <c r="D421" s="157" t="s">
        <v>1637</v>
      </c>
      <c r="E421" s="199"/>
      <c r="F421" s="197"/>
      <c r="G421" s="148">
        <v>1635000</v>
      </c>
      <c r="H421" s="148"/>
      <c r="I421" s="198"/>
      <c r="J421" s="197"/>
      <c r="K421" s="148">
        <f t="shared" si="25"/>
        <v>1635000</v>
      </c>
    </row>
    <row r="422" spans="1:11" x14ac:dyDescent="0.25">
      <c r="A422" s="197">
        <v>47</v>
      </c>
      <c r="B422" s="160" t="s">
        <v>1229</v>
      </c>
      <c r="C422" s="197" t="s">
        <v>63</v>
      </c>
      <c r="D422" s="157" t="s">
        <v>1638</v>
      </c>
      <c r="E422" s="199"/>
      <c r="F422" s="197"/>
      <c r="G422" s="148">
        <v>2602000</v>
      </c>
      <c r="H422" s="148"/>
      <c r="I422" s="198"/>
      <c r="J422" s="197"/>
      <c r="K422" s="148">
        <f t="shared" si="25"/>
        <v>2602000</v>
      </c>
    </row>
    <row r="423" spans="1:11" x14ac:dyDescent="0.25">
      <c r="A423" s="197">
        <v>48</v>
      </c>
      <c r="B423" s="160" t="s">
        <v>1230</v>
      </c>
      <c r="C423" s="197" t="s">
        <v>46</v>
      </c>
      <c r="D423" s="157" t="s">
        <v>1639</v>
      </c>
      <c r="E423" s="199"/>
      <c r="F423" s="197"/>
      <c r="G423" s="148">
        <v>750000</v>
      </c>
      <c r="H423" s="148"/>
      <c r="I423" s="198"/>
      <c r="J423" s="197"/>
      <c r="K423" s="148">
        <f t="shared" si="25"/>
        <v>750000</v>
      </c>
    </row>
    <row r="424" spans="1:11" x14ac:dyDescent="0.25">
      <c r="A424" s="197">
        <v>49</v>
      </c>
      <c r="B424" s="161" t="s">
        <v>1878</v>
      </c>
      <c r="C424" s="205" t="s">
        <v>63</v>
      </c>
      <c r="D424" s="162"/>
      <c r="E424" s="204"/>
      <c r="F424" s="205"/>
      <c r="G424" s="163">
        <v>87600</v>
      </c>
      <c r="H424" s="163"/>
      <c r="I424" s="203"/>
      <c r="J424" s="205"/>
      <c r="K424" s="163">
        <f t="shared" si="25"/>
        <v>87600</v>
      </c>
    </row>
    <row r="425" spans="1:11" x14ac:dyDescent="0.25">
      <c r="A425" s="197">
        <v>50</v>
      </c>
      <c r="B425" s="161" t="s">
        <v>1879</v>
      </c>
      <c r="C425" s="205" t="s">
        <v>114</v>
      </c>
      <c r="D425" s="162"/>
      <c r="E425" s="204"/>
      <c r="F425" s="205"/>
      <c r="G425" s="163">
        <v>288600</v>
      </c>
      <c r="H425" s="163"/>
      <c r="I425" s="203"/>
      <c r="J425" s="205"/>
      <c r="K425" s="163">
        <f t="shared" si="25"/>
        <v>288600</v>
      </c>
    </row>
    <row r="426" spans="1:11" x14ac:dyDescent="0.25">
      <c r="A426" s="197">
        <v>51</v>
      </c>
      <c r="B426" s="161" t="s">
        <v>1880</v>
      </c>
      <c r="C426" s="205" t="s">
        <v>114</v>
      </c>
      <c r="D426" s="162"/>
      <c r="E426" s="204"/>
      <c r="F426" s="205"/>
      <c r="G426" s="163">
        <v>37300</v>
      </c>
      <c r="H426" s="163"/>
      <c r="I426" s="203"/>
      <c r="J426" s="205"/>
      <c r="K426" s="163">
        <f t="shared" si="25"/>
        <v>37300</v>
      </c>
    </row>
    <row r="427" spans="1:11" x14ac:dyDescent="0.25">
      <c r="A427" s="197">
        <v>52</v>
      </c>
      <c r="B427" s="160" t="s">
        <v>1231</v>
      </c>
      <c r="C427" s="146" t="s">
        <v>46</v>
      </c>
      <c r="D427" s="157" t="s">
        <v>1640</v>
      </c>
      <c r="E427" s="199"/>
      <c r="F427" s="197"/>
      <c r="G427" s="148">
        <v>1500000</v>
      </c>
      <c r="H427" s="148"/>
      <c r="I427" s="198"/>
      <c r="J427" s="197"/>
      <c r="K427" s="148">
        <f t="shared" si="25"/>
        <v>1500000</v>
      </c>
    </row>
    <row r="428" spans="1:11" x14ac:dyDescent="0.25">
      <c r="A428" s="197">
        <v>53</v>
      </c>
      <c r="B428" s="160" t="s">
        <v>1232</v>
      </c>
      <c r="C428" s="146" t="s">
        <v>46</v>
      </c>
      <c r="D428" s="157" t="s">
        <v>1641</v>
      </c>
      <c r="E428" s="199"/>
      <c r="F428" s="197"/>
      <c r="G428" s="148">
        <v>3250000</v>
      </c>
      <c r="H428" s="148"/>
      <c r="I428" s="198"/>
      <c r="J428" s="197"/>
      <c r="K428" s="148">
        <f t="shared" si="25"/>
        <v>3250000</v>
      </c>
    </row>
    <row r="429" spans="1:11" x14ac:dyDescent="0.25">
      <c r="A429" s="197">
        <v>54</v>
      </c>
      <c r="B429" s="160" t="s">
        <v>1233</v>
      </c>
      <c r="C429" s="146"/>
      <c r="D429" s="157"/>
      <c r="E429" s="199"/>
      <c r="F429" s="197"/>
      <c r="G429" s="148"/>
      <c r="H429" s="148"/>
      <c r="I429" s="198"/>
      <c r="J429" s="197"/>
      <c r="K429" s="148">
        <f t="shared" si="25"/>
        <v>0</v>
      </c>
    </row>
    <row r="430" spans="1:11" x14ac:dyDescent="0.25">
      <c r="A430" s="197">
        <v>55</v>
      </c>
      <c r="B430" s="160" t="s">
        <v>2082</v>
      </c>
      <c r="C430" s="146" t="s">
        <v>63</v>
      </c>
      <c r="D430" s="157"/>
      <c r="E430" s="199"/>
      <c r="F430" s="197"/>
      <c r="G430" s="148">
        <v>327921</v>
      </c>
      <c r="H430" s="148"/>
      <c r="I430" s="198"/>
      <c r="J430" s="197"/>
      <c r="K430" s="148">
        <f t="shared" si="25"/>
        <v>327921</v>
      </c>
    </row>
    <row r="431" spans="1:11" x14ac:dyDescent="0.25">
      <c r="A431" s="197">
        <v>56</v>
      </c>
      <c r="B431" s="160" t="s">
        <v>2083</v>
      </c>
      <c r="C431" s="146" t="s">
        <v>63</v>
      </c>
      <c r="D431" s="157"/>
      <c r="E431" s="199"/>
      <c r="F431" s="197"/>
      <c r="G431" s="148">
        <v>165000</v>
      </c>
      <c r="H431" s="148"/>
      <c r="I431" s="198"/>
      <c r="J431" s="197"/>
      <c r="K431" s="148">
        <f t="shared" si="25"/>
        <v>165000</v>
      </c>
    </row>
    <row r="432" spans="1:11" x14ac:dyDescent="0.25">
      <c r="A432" s="197">
        <v>57</v>
      </c>
      <c r="B432" s="160" t="s">
        <v>2084</v>
      </c>
      <c r="C432" s="146" t="s">
        <v>63</v>
      </c>
      <c r="D432" s="157"/>
      <c r="E432" s="199"/>
      <c r="F432" s="197"/>
      <c r="G432" s="148">
        <v>69375</v>
      </c>
      <c r="H432" s="148"/>
      <c r="I432" s="198"/>
      <c r="J432" s="197"/>
      <c r="K432" s="148">
        <f t="shared" si="25"/>
        <v>69375</v>
      </c>
    </row>
    <row r="433" spans="1:11" x14ac:dyDescent="0.25">
      <c r="A433" s="197">
        <v>58</v>
      </c>
      <c r="B433" s="160" t="s">
        <v>2081</v>
      </c>
      <c r="C433" s="146" t="s">
        <v>114</v>
      </c>
      <c r="D433" s="157"/>
      <c r="E433" s="199"/>
      <c r="F433" s="197"/>
      <c r="G433" s="148">
        <f>550000</f>
        <v>550000</v>
      </c>
      <c r="H433" s="148"/>
      <c r="I433" s="198"/>
      <c r="J433" s="197"/>
      <c r="K433" s="148">
        <f>+G433+$C$7*J433</f>
        <v>550000</v>
      </c>
    </row>
    <row r="434" spans="1:11" x14ac:dyDescent="0.25">
      <c r="A434" s="197">
        <v>59</v>
      </c>
      <c r="B434" s="160" t="s">
        <v>2090</v>
      </c>
      <c r="C434" s="146" t="s">
        <v>114</v>
      </c>
      <c r="D434" s="157"/>
      <c r="E434" s="199"/>
      <c r="F434" s="197"/>
      <c r="G434" s="148">
        <v>93000</v>
      </c>
      <c r="H434" s="148"/>
      <c r="I434" s="198"/>
      <c r="J434" s="197"/>
      <c r="K434" s="148"/>
    </row>
    <row r="435" spans="1:11" x14ac:dyDescent="0.25">
      <c r="A435" s="197"/>
      <c r="B435" s="160"/>
      <c r="C435" s="146"/>
      <c r="D435" s="157"/>
      <c r="E435" s="199"/>
      <c r="F435" s="197"/>
      <c r="G435" s="148"/>
      <c r="H435" s="148" t="s">
        <v>442</v>
      </c>
      <c r="I435" s="198" t="s">
        <v>1970</v>
      </c>
      <c r="J435" s="197"/>
      <c r="K435" s="148"/>
    </row>
    <row r="436" spans="1:11" ht="13" x14ac:dyDescent="0.3">
      <c r="A436" s="144" t="s">
        <v>1234</v>
      </c>
      <c r="B436" s="172" t="s">
        <v>1235</v>
      </c>
      <c r="C436" s="197"/>
      <c r="D436" s="157"/>
      <c r="E436" s="199"/>
      <c r="F436" s="197"/>
      <c r="G436" s="200"/>
      <c r="H436" s="200"/>
      <c r="I436" s="198"/>
      <c r="J436" s="197"/>
      <c r="K436" s="200"/>
    </row>
    <row r="437" spans="1:11" x14ac:dyDescent="0.25">
      <c r="A437" s="197"/>
      <c r="B437" s="193"/>
      <c r="C437" s="197" t="s">
        <v>1237</v>
      </c>
      <c r="D437" s="157" t="s">
        <v>1642</v>
      </c>
      <c r="E437" s="199"/>
      <c r="F437" s="197"/>
      <c r="G437" s="148">
        <v>450000</v>
      </c>
      <c r="H437" s="148"/>
      <c r="I437" s="198"/>
      <c r="J437" s="197"/>
      <c r="K437" s="148">
        <f t="shared" ref="K437:K507" si="26">+G437+$C$7*J437</f>
        <v>450000</v>
      </c>
    </row>
    <row r="438" spans="1:11" x14ac:dyDescent="0.25">
      <c r="A438" s="197">
        <v>1</v>
      </c>
      <c r="B438" s="160" t="s">
        <v>1236</v>
      </c>
      <c r="C438" s="197" t="s">
        <v>1237</v>
      </c>
      <c r="D438" s="157" t="s">
        <v>1643</v>
      </c>
      <c r="E438" s="199"/>
      <c r="F438" s="197"/>
      <c r="G438" s="148">
        <v>750000</v>
      </c>
      <c r="H438" s="148"/>
      <c r="I438" s="198"/>
      <c r="J438" s="197"/>
      <c r="K438" s="148">
        <f t="shared" si="26"/>
        <v>750000</v>
      </c>
    </row>
    <row r="439" spans="1:11" x14ac:dyDescent="0.25">
      <c r="A439" s="197">
        <v>2</v>
      </c>
      <c r="B439" s="160" t="s">
        <v>1238</v>
      </c>
      <c r="C439" s="197" t="s">
        <v>1240</v>
      </c>
      <c r="D439" s="157" t="s">
        <v>1644</v>
      </c>
      <c r="E439" s="199"/>
      <c r="F439" s="197"/>
      <c r="G439" s="148">
        <v>110000</v>
      </c>
      <c r="H439" s="148"/>
      <c r="I439" s="198"/>
      <c r="J439" s="197"/>
      <c r="K439" s="148">
        <f t="shared" si="26"/>
        <v>110000</v>
      </c>
    </row>
    <row r="440" spans="1:11" x14ac:dyDescent="0.25">
      <c r="A440" s="197">
        <v>3</v>
      </c>
      <c r="B440" s="160" t="s">
        <v>1239</v>
      </c>
      <c r="C440" s="197" t="s">
        <v>1240</v>
      </c>
      <c r="D440" s="157" t="s">
        <v>1645</v>
      </c>
      <c r="E440" s="199"/>
      <c r="F440" s="197"/>
      <c r="G440" s="148">
        <v>180000</v>
      </c>
      <c r="H440" s="148"/>
      <c r="I440" s="198"/>
      <c r="J440" s="197"/>
      <c r="K440" s="148">
        <f t="shared" si="26"/>
        <v>180000</v>
      </c>
    </row>
    <row r="441" spans="1:11" x14ac:dyDescent="0.25">
      <c r="A441" s="197">
        <v>4</v>
      </c>
      <c r="B441" s="160" t="s">
        <v>1241</v>
      </c>
      <c r="C441" s="197" t="s">
        <v>46</v>
      </c>
      <c r="D441" s="157" t="s">
        <v>1646</v>
      </c>
      <c r="E441" s="199"/>
      <c r="F441" s="197"/>
      <c r="G441" s="148">
        <v>200000</v>
      </c>
      <c r="H441" s="148"/>
      <c r="I441" s="198"/>
      <c r="J441" s="197"/>
      <c r="K441" s="148">
        <f t="shared" si="26"/>
        <v>200000</v>
      </c>
    </row>
    <row r="442" spans="1:11" x14ac:dyDescent="0.25">
      <c r="A442" s="197">
        <v>5</v>
      </c>
      <c r="B442" s="160" t="s">
        <v>1242</v>
      </c>
      <c r="C442" s="146" t="s">
        <v>46</v>
      </c>
      <c r="D442" s="157" t="s">
        <v>1647</v>
      </c>
      <c r="E442" s="199"/>
      <c r="F442" s="197"/>
      <c r="G442" s="148">
        <v>100000</v>
      </c>
      <c r="H442" s="148"/>
      <c r="I442" s="198"/>
      <c r="J442" s="197"/>
      <c r="K442" s="148">
        <f t="shared" si="26"/>
        <v>100000</v>
      </c>
    </row>
    <row r="443" spans="1:11" x14ac:dyDescent="0.25">
      <c r="A443" s="197">
        <v>6</v>
      </c>
      <c r="B443" s="160" t="s">
        <v>1243</v>
      </c>
      <c r="C443" s="146" t="s">
        <v>46</v>
      </c>
      <c r="D443" s="157" t="s">
        <v>1648</v>
      </c>
      <c r="E443" s="199"/>
      <c r="F443" s="197"/>
      <c r="G443" s="148">
        <v>25000</v>
      </c>
      <c r="H443" s="148"/>
      <c r="I443" s="198"/>
      <c r="J443" s="197"/>
      <c r="K443" s="148">
        <f t="shared" si="26"/>
        <v>25000</v>
      </c>
    </row>
    <row r="444" spans="1:11" x14ac:dyDescent="0.25">
      <c r="A444" s="197">
        <v>7</v>
      </c>
      <c r="B444" s="160" t="s">
        <v>1244</v>
      </c>
      <c r="C444" s="146" t="s">
        <v>1240</v>
      </c>
      <c r="D444" s="157" t="s">
        <v>1649</v>
      </c>
      <c r="E444" s="199"/>
      <c r="F444" s="197"/>
      <c r="G444" s="148">
        <v>190000</v>
      </c>
      <c r="H444" s="148"/>
      <c r="I444" s="198"/>
      <c r="J444" s="197"/>
      <c r="K444" s="148">
        <f t="shared" si="26"/>
        <v>190000</v>
      </c>
    </row>
    <row r="445" spans="1:11" x14ac:dyDescent="0.25">
      <c r="A445" s="197">
        <v>8</v>
      </c>
      <c r="B445" s="160" t="s">
        <v>1825</v>
      </c>
      <c r="C445" s="146" t="s">
        <v>1237</v>
      </c>
      <c r="D445" s="157" t="s">
        <v>1650</v>
      </c>
      <c r="E445" s="199"/>
      <c r="F445" s="197"/>
      <c r="G445" s="168">
        <v>160000</v>
      </c>
      <c r="H445" s="168"/>
      <c r="I445" s="210"/>
      <c r="J445" s="197"/>
      <c r="K445" s="148">
        <f t="shared" si="26"/>
        <v>160000</v>
      </c>
    </row>
    <row r="446" spans="1:11" x14ac:dyDescent="0.25">
      <c r="A446" s="197">
        <v>9</v>
      </c>
      <c r="B446" s="160" t="s">
        <v>1826</v>
      </c>
      <c r="C446" s="146"/>
      <c r="D446" s="157"/>
      <c r="E446" s="199"/>
      <c r="F446" s="197"/>
      <c r="G446" s="168">
        <v>275000</v>
      </c>
      <c r="H446" s="168"/>
      <c r="I446" s="210"/>
      <c r="J446" s="197"/>
      <c r="K446" s="148">
        <f t="shared" si="26"/>
        <v>275000</v>
      </c>
    </row>
    <row r="447" spans="1:11" x14ac:dyDescent="0.25">
      <c r="A447" s="197">
        <v>10</v>
      </c>
      <c r="B447" s="161" t="s">
        <v>1827</v>
      </c>
      <c r="C447" s="165" t="s">
        <v>253</v>
      </c>
      <c r="D447" s="162"/>
      <c r="E447" s="204"/>
      <c r="F447" s="205"/>
      <c r="G447" s="163">
        <v>1332979.1599999999</v>
      </c>
      <c r="H447" s="163"/>
      <c r="I447" s="203"/>
      <c r="J447" s="205"/>
      <c r="K447" s="163">
        <f t="shared" si="26"/>
        <v>1332979.1599999999</v>
      </c>
    </row>
    <row r="448" spans="1:11" x14ac:dyDescent="0.25">
      <c r="A448" s="197">
        <v>11</v>
      </c>
      <c r="B448" s="160" t="s">
        <v>1828</v>
      </c>
      <c r="C448" s="146"/>
      <c r="D448" s="157"/>
      <c r="E448" s="199"/>
      <c r="F448" s="197"/>
      <c r="G448" s="168">
        <v>540000</v>
      </c>
      <c r="H448" s="168"/>
      <c r="I448" s="210"/>
      <c r="J448" s="197"/>
      <c r="K448" s="168">
        <f t="shared" si="26"/>
        <v>540000</v>
      </c>
    </row>
    <row r="449" spans="1:12" x14ac:dyDescent="0.25">
      <c r="A449" s="197">
        <v>12</v>
      </c>
      <c r="B449" s="193" t="s">
        <v>1245</v>
      </c>
      <c r="C449" s="197" t="s">
        <v>1240</v>
      </c>
      <c r="D449" s="157" t="s">
        <v>1651</v>
      </c>
      <c r="E449" s="199"/>
      <c r="F449" s="197"/>
      <c r="G449" s="148">
        <v>200000</v>
      </c>
      <c r="H449" s="148"/>
      <c r="I449" s="198"/>
      <c r="J449" s="197"/>
      <c r="K449" s="148">
        <f t="shared" si="26"/>
        <v>200000</v>
      </c>
    </row>
    <row r="450" spans="1:12" x14ac:dyDescent="0.25">
      <c r="A450" s="197">
        <v>13</v>
      </c>
      <c r="B450" s="160" t="s">
        <v>1246</v>
      </c>
      <c r="C450" s="197" t="s">
        <v>1240</v>
      </c>
      <c r="D450" s="157" t="s">
        <v>1652</v>
      </c>
      <c r="E450" s="199"/>
      <c r="F450" s="197"/>
      <c r="G450" s="148">
        <v>270000</v>
      </c>
      <c r="H450" s="148"/>
      <c r="I450" s="198"/>
      <c r="J450" s="197"/>
      <c r="K450" s="148">
        <f t="shared" si="26"/>
        <v>270000</v>
      </c>
      <c r="L450" s="151"/>
    </row>
    <row r="451" spans="1:12" x14ac:dyDescent="0.25">
      <c r="A451" s="197">
        <v>14</v>
      </c>
      <c r="B451" s="193" t="s">
        <v>1247</v>
      </c>
      <c r="C451" s="197" t="s">
        <v>1240</v>
      </c>
      <c r="D451" s="157" t="s">
        <v>1653</v>
      </c>
      <c r="E451" s="199"/>
      <c r="F451" s="197"/>
      <c r="G451" s="148">
        <v>375000</v>
      </c>
      <c r="H451" s="148"/>
      <c r="I451" s="198"/>
      <c r="J451" s="197"/>
      <c r="K451" s="148">
        <f t="shared" si="26"/>
        <v>375000</v>
      </c>
      <c r="L451" s="151"/>
    </row>
    <row r="452" spans="1:12" x14ac:dyDescent="0.25">
      <c r="A452" s="197">
        <v>15</v>
      </c>
      <c r="B452" s="193" t="s">
        <v>1248</v>
      </c>
      <c r="C452" s="197" t="s">
        <v>1237</v>
      </c>
      <c r="D452" s="157" t="s">
        <v>1654</v>
      </c>
      <c r="E452" s="199"/>
      <c r="F452" s="197"/>
      <c r="G452" s="148">
        <v>470800</v>
      </c>
      <c r="H452" s="148"/>
      <c r="I452" s="198"/>
      <c r="J452" s="197"/>
      <c r="K452" s="148">
        <f t="shared" si="26"/>
        <v>470800</v>
      </c>
    </row>
    <row r="453" spans="1:12" x14ac:dyDescent="0.25">
      <c r="A453" s="197">
        <v>16</v>
      </c>
      <c r="B453" s="193" t="s">
        <v>1249</v>
      </c>
      <c r="C453" s="197" t="s">
        <v>1237</v>
      </c>
      <c r="D453" s="157" t="s">
        <v>1655</v>
      </c>
      <c r="E453" s="199"/>
      <c r="F453" s="197"/>
      <c r="G453" s="148">
        <v>539000</v>
      </c>
      <c r="H453" s="148"/>
      <c r="I453" s="198"/>
      <c r="J453" s="197"/>
      <c r="K453" s="148">
        <f t="shared" si="26"/>
        <v>539000</v>
      </c>
    </row>
    <row r="454" spans="1:12" x14ac:dyDescent="0.25">
      <c r="A454" s="197">
        <v>17</v>
      </c>
      <c r="B454" s="193" t="s">
        <v>1250</v>
      </c>
      <c r="C454" s="197" t="s">
        <v>253</v>
      </c>
      <c r="D454" s="157" t="s">
        <v>1656</v>
      </c>
      <c r="E454" s="199"/>
      <c r="F454" s="197"/>
      <c r="G454" s="148">
        <v>80000</v>
      </c>
      <c r="H454" s="148"/>
      <c r="I454" s="198"/>
      <c r="J454" s="197"/>
      <c r="K454" s="148">
        <f t="shared" si="26"/>
        <v>80000</v>
      </c>
    </row>
    <row r="455" spans="1:12" x14ac:dyDescent="0.25">
      <c r="A455" s="197">
        <v>18</v>
      </c>
      <c r="B455" s="209" t="s">
        <v>573</v>
      </c>
      <c r="C455" s="205" t="s">
        <v>253</v>
      </c>
      <c r="D455" s="162"/>
      <c r="E455" s="204"/>
      <c r="F455" s="205"/>
      <c r="G455" s="163">
        <v>932909.79</v>
      </c>
      <c r="H455" s="163"/>
      <c r="I455" s="203"/>
      <c r="J455" s="205"/>
      <c r="K455" s="163">
        <f t="shared" si="26"/>
        <v>932909.79</v>
      </c>
    </row>
    <row r="456" spans="1:12" x14ac:dyDescent="0.25">
      <c r="A456" s="197">
        <v>19</v>
      </c>
      <c r="B456" s="160" t="s">
        <v>1251</v>
      </c>
      <c r="C456" s="146" t="s">
        <v>253</v>
      </c>
      <c r="D456" s="157" t="s">
        <v>1657</v>
      </c>
      <c r="E456" s="199"/>
      <c r="F456" s="197"/>
      <c r="G456" s="148">
        <v>168000</v>
      </c>
      <c r="H456" s="148"/>
      <c r="I456" s="198"/>
      <c r="J456" s="197"/>
      <c r="K456" s="148">
        <f t="shared" si="26"/>
        <v>168000</v>
      </c>
    </row>
    <row r="457" spans="1:12" x14ac:dyDescent="0.25">
      <c r="A457" s="197">
        <v>20</v>
      </c>
      <c r="B457" s="161" t="s">
        <v>1836</v>
      </c>
      <c r="C457" s="205" t="s">
        <v>253</v>
      </c>
      <c r="D457" s="162" t="s">
        <v>1658</v>
      </c>
      <c r="E457" s="204"/>
      <c r="F457" s="205"/>
      <c r="G457" s="163">
        <v>1053489.6200000001</v>
      </c>
      <c r="H457" s="163"/>
      <c r="I457" s="203"/>
      <c r="J457" s="205"/>
      <c r="K457" s="163">
        <f t="shared" si="26"/>
        <v>1053489.6200000001</v>
      </c>
    </row>
    <row r="458" spans="1:12" x14ac:dyDescent="0.25">
      <c r="A458" s="197">
        <v>21</v>
      </c>
      <c r="B458" s="161" t="s">
        <v>1837</v>
      </c>
      <c r="C458" s="205" t="s">
        <v>253</v>
      </c>
      <c r="D458" s="162" t="s">
        <v>1659</v>
      </c>
      <c r="E458" s="204"/>
      <c r="F458" s="205"/>
      <c r="G458" s="163">
        <v>565678.43999999994</v>
      </c>
      <c r="H458" s="163"/>
      <c r="I458" s="203"/>
      <c r="J458" s="205"/>
      <c r="K458" s="163">
        <f t="shared" si="26"/>
        <v>565678.43999999994</v>
      </c>
    </row>
    <row r="459" spans="1:12" x14ac:dyDescent="0.25">
      <c r="A459" s="197">
        <v>22</v>
      </c>
      <c r="B459" s="167" t="s">
        <v>1253</v>
      </c>
      <c r="C459" s="146" t="s">
        <v>1237</v>
      </c>
      <c r="D459" s="157" t="s">
        <v>1660</v>
      </c>
      <c r="E459" s="194"/>
      <c r="F459" s="192"/>
      <c r="G459" s="148">
        <v>135000</v>
      </c>
      <c r="H459" s="148"/>
      <c r="I459" s="198"/>
      <c r="J459" s="192"/>
      <c r="K459" s="148">
        <f t="shared" si="26"/>
        <v>135000</v>
      </c>
    </row>
    <row r="460" spans="1:12" x14ac:dyDescent="0.25">
      <c r="A460" s="197">
        <v>23</v>
      </c>
      <c r="B460" s="207" t="s">
        <v>1857</v>
      </c>
      <c r="C460" s="205" t="s">
        <v>253</v>
      </c>
      <c r="D460" s="162" t="s">
        <v>1661</v>
      </c>
      <c r="E460" s="169"/>
      <c r="F460" s="165"/>
      <c r="G460" s="163">
        <v>81883</v>
      </c>
      <c r="H460" s="163"/>
      <c r="I460" s="203"/>
      <c r="J460" s="165"/>
      <c r="K460" s="163">
        <f t="shared" si="26"/>
        <v>81883</v>
      </c>
    </row>
    <row r="461" spans="1:12" x14ac:dyDescent="0.25">
      <c r="A461" s="197">
        <v>24</v>
      </c>
      <c r="B461" s="207" t="s">
        <v>472</v>
      </c>
      <c r="C461" s="205" t="s">
        <v>253</v>
      </c>
      <c r="D461" s="162"/>
      <c r="E461" s="169"/>
      <c r="F461" s="165"/>
      <c r="G461" s="163">
        <v>493079</v>
      </c>
      <c r="H461" s="163"/>
      <c r="I461" s="203"/>
      <c r="J461" s="165"/>
      <c r="K461" s="163">
        <f t="shared" si="26"/>
        <v>493079</v>
      </c>
    </row>
    <row r="462" spans="1:12" x14ac:dyDescent="0.25">
      <c r="A462" s="197">
        <v>25</v>
      </c>
      <c r="B462" s="193" t="s">
        <v>1254</v>
      </c>
      <c r="C462" s="197" t="s">
        <v>1237</v>
      </c>
      <c r="D462" s="157" t="s">
        <v>1662</v>
      </c>
      <c r="E462" s="199"/>
      <c r="F462" s="197"/>
      <c r="G462" s="148">
        <v>385000</v>
      </c>
      <c r="H462" s="148"/>
      <c r="I462" s="198"/>
      <c r="J462" s="197"/>
      <c r="K462" s="148">
        <f t="shared" si="26"/>
        <v>385000</v>
      </c>
    </row>
    <row r="463" spans="1:12" x14ac:dyDescent="0.25">
      <c r="A463" s="197">
        <v>26</v>
      </c>
      <c r="B463" s="193" t="s">
        <v>1255</v>
      </c>
      <c r="C463" s="146" t="s">
        <v>1240</v>
      </c>
      <c r="D463" s="157" t="s">
        <v>1663</v>
      </c>
      <c r="E463" s="199"/>
      <c r="F463" s="197"/>
      <c r="G463" s="148">
        <v>340000</v>
      </c>
      <c r="H463" s="148"/>
      <c r="I463" s="198"/>
      <c r="J463" s="197"/>
      <c r="K463" s="148">
        <f t="shared" si="26"/>
        <v>340000</v>
      </c>
    </row>
    <row r="464" spans="1:12" x14ac:dyDescent="0.25">
      <c r="A464" s="197">
        <v>27</v>
      </c>
      <c r="B464" s="160" t="s">
        <v>1256</v>
      </c>
      <c r="C464" s="197" t="s">
        <v>1237</v>
      </c>
      <c r="D464" s="157" t="s">
        <v>1664</v>
      </c>
      <c r="E464" s="199"/>
      <c r="F464" s="197"/>
      <c r="G464" s="148">
        <v>168000</v>
      </c>
      <c r="H464" s="148"/>
      <c r="I464" s="198"/>
      <c r="J464" s="197"/>
      <c r="K464" s="148">
        <f t="shared" si="26"/>
        <v>168000</v>
      </c>
    </row>
    <row r="465" spans="1:11" x14ac:dyDescent="0.25">
      <c r="A465" s="197">
        <v>28</v>
      </c>
      <c r="B465" s="160" t="s">
        <v>1257</v>
      </c>
      <c r="C465" s="197" t="s">
        <v>1237</v>
      </c>
      <c r="D465" s="157" t="s">
        <v>1665</v>
      </c>
      <c r="E465" s="199"/>
      <c r="F465" s="197"/>
      <c r="G465" s="148">
        <v>225000</v>
      </c>
      <c r="H465" s="148"/>
      <c r="I465" s="198"/>
      <c r="J465" s="197"/>
      <c r="K465" s="148">
        <f t="shared" si="26"/>
        <v>225000</v>
      </c>
    </row>
    <row r="466" spans="1:11" x14ac:dyDescent="0.25">
      <c r="A466" s="197">
        <v>29</v>
      </c>
      <c r="B466" s="160" t="s">
        <v>1258</v>
      </c>
      <c r="C466" s="197" t="s">
        <v>1237</v>
      </c>
      <c r="D466" s="157" t="s">
        <v>1666</v>
      </c>
      <c r="E466" s="199"/>
      <c r="F466" s="197"/>
      <c r="G466" s="148">
        <v>100000</v>
      </c>
      <c r="H466" s="148"/>
      <c r="I466" s="198"/>
      <c r="J466" s="197"/>
      <c r="K466" s="148">
        <f t="shared" si="26"/>
        <v>100000</v>
      </c>
    </row>
    <row r="467" spans="1:11" x14ac:dyDescent="0.25">
      <c r="A467" s="197">
        <v>30</v>
      </c>
      <c r="B467" s="209" t="s">
        <v>723</v>
      </c>
      <c r="C467" s="205" t="s">
        <v>1237</v>
      </c>
      <c r="D467" s="162" t="s">
        <v>1667</v>
      </c>
      <c r="E467" s="204"/>
      <c r="F467" s="205"/>
      <c r="G467" s="163">
        <v>75000</v>
      </c>
      <c r="H467" s="163"/>
      <c r="I467" s="203"/>
      <c r="J467" s="205"/>
      <c r="K467" s="163">
        <f t="shared" si="26"/>
        <v>75000</v>
      </c>
    </row>
    <row r="468" spans="1:11" x14ac:dyDescent="0.25">
      <c r="A468" s="197">
        <v>31</v>
      </c>
      <c r="B468" s="193" t="s">
        <v>1259</v>
      </c>
      <c r="C468" s="197" t="s">
        <v>1237</v>
      </c>
      <c r="D468" s="157" t="s">
        <v>1668</v>
      </c>
      <c r="E468" s="199"/>
      <c r="F468" s="197"/>
      <c r="G468" s="148">
        <v>850000</v>
      </c>
      <c r="H468" s="148"/>
      <c r="I468" s="198"/>
      <c r="J468" s="197"/>
      <c r="K468" s="148">
        <f t="shared" si="26"/>
        <v>850000</v>
      </c>
    </row>
    <row r="469" spans="1:11" x14ac:dyDescent="0.25">
      <c r="A469" s="197">
        <v>32</v>
      </c>
      <c r="B469" s="193" t="s">
        <v>1260</v>
      </c>
      <c r="C469" s="197" t="s">
        <v>1237</v>
      </c>
      <c r="D469" s="157" t="s">
        <v>1669</v>
      </c>
      <c r="E469" s="199"/>
      <c r="F469" s="197"/>
      <c r="G469" s="148">
        <v>735000</v>
      </c>
      <c r="H469" s="148"/>
      <c r="I469" s="198"/>
      <c r="J469" s="197"/>
      <c r="K469" s="148">
        <f t="shared" si="26"/>
        <v>735000</v>
      </c>
    </row>
    <row r="470" spans="1:11" x14ac:dyDescent="0.25">
      <c r="A470" s="197">
        <v>33</v>
      </c>
      <c r="B470" s="193" t="s">
        <v>1261</v>
      </c>
      <c r="C470" s="197" t="s">
        <v>1237</v>
      </c>
      <c r="D470" s="157" t="s">
        <v>1670</v>
      </c>
      <c r="E470" s="199"/>
      <c r="F470" s="197"/>
      <c r="G470" s="148">
        <v>134750</v>
      </c>
      <c r="H470" s="148"/>
      <c r="I470" s="198"/>
      <c r="J470" s="197"/>
      <c r="K470" s="148">
        <f t="shared" si="26"/>
        <v>134750</v>
      </c>
    </row>
    <row r="471" spans="1:11" x14ac:dyDescent="0.25">
      <c r="A471" s="197">
        <v>34</v>
      </c>
      <c r="B471" s="160" t="s">
        <v>1891</v>
      </c>
      <c r="C471" s="197" t="s">
        <v>1237</v>
      </c>
      <c r="D471" s="157" t="s">
        <v>1671</v>
      </c>
      <c r="E471" s="147"/>
      <c r="F471" s="146"/>
      <c r="G471" s="148">
        <v>400000</v>
      </c>
      <c r="H471" s="148"/>
      <c r="I471" s="198"/>
      <c r="J471" s="146"/>
      <c r="K471" s="148">
        <f t="shared" si="26"/>
        <v>400000</v>
      </c>
    </row>
    <row r="472" spans="1:11" x14ac:dyDescent="0.25">
      <c r="A472" s="197">
        <v>35</v>
      </c>
      <c r="B472" s="161" t="s">
        <v>1829</v>
      </c>
      <c r="C472" s="205" t="s">
        <v>1237</v>
      </c>
      <c r="D472" s="162" t="s">
        <v>1672</v>
      </c>
      <c r="E472" s="169"/>
      <c r="F472" s="165"/>
      <c r="G472" s="163">
        <v>126984</v>
      </c>
      <c r="H472" s="163"/>
      <c r="I472" s="203"/>
      <c r="J472" s="165"/>
      <c r="K472" s="163">
        <f t="shared" si="26"/>
        <v>126984</v>
      </c>
    </row>
    <row r="473" spans="1:11" x14ac:dyDescent="0.25">
      <c r="A473" s="197">
        <v>36</v>
      </c>
      <c r="B473" s="186" t="s">
        <v>1882</v>
      </c>
      <c r="C473" s="197" t="s">
        <v>473</v>
      </c>
      <c r="D473" s="157" t="s">
        <v>1673</v>
      </c>
      <c r="E473" s="147"/>
      <c r="F473" s="146"/>
      <c r="G473" s="148">
        <v>382800</v>
      </c>
      <c r="H473" s="148"/>
      <c r="I473" s="198"/>
      <c r="J473" s="146"/>
      <c r="K473" s="148">
        <f t="shared" si="26"/>
        <v>382800</v>
      </c>
    </row>
    <row r="474" spans="1:11" x14ac:dyDescent="0.25">
      <c r="A474" s="197">
        <v>37</v>
      </c>
      <c r="B474" s="186" t="s">
        <v>1883</v>
      </c>
      <c r="C474" s="197" t="s">
        <v>253</v>
      </c>
      <c r="D474" s="157"/>
      <c r="E474" s="147"/>
      <c r="F474" s="146"/>
      <c r="G474" s="148"/>
      <c r="H474" s="148"/>
      <c r="I474" s="198"/>
      <c r="J474" s="146"/>
      <c r="K474" s="148"/>
    </row>
    <row r="475" spans="1:11" x14ac:dyDescent="0.25">
      <c r="A475" s="197">
        <v>38</v>
      </c>
      <c r="B475" s="208" t="s">
        <v>497</v>
      </c>
      <c r="C475" s="205" t="s">
        <v>253</v>
      </c>
      <c r="D475" s="162"/>
      <c r="E475" s="204"/>
      <c r="F475" s="205"/>
      <c r="G475" s="163">
        <v>965734</v>
      </c>
      <c r="H475" s="163"/>
      <c r="I475" s="203"/>
      <c r="J475" s="205"/>
      <c r="K475" s="163">
        <f t="shared" si="26"/>
        <v>965734</v>
      </c>
    </row>
    <row r="476" spans="1:11" x14ac:dyDescent="0.25">
      <c r="A476" s="197">
        <v>39</v>
      </c>
      <c r="B476" s="160" t="s">
        <v>1263</v>
      </c>
      <c r="C476" s="146" t="s">
        <v>1237</v>
      </c>
      <c r="D476" s="157" t="s">
        <v>1674</v>
      </c>
      <c r="E476" s="199"/>
      <c r="F476" s="197"/>
      <c r="G476" s="148">
        <v>225000</v>
      </c>
      <c r="H476" s="148"/>
      <c r="I476" s="198"/>
      <c r="J476" s="197"/>
      <c r="K476" s="148">
        <f t="shared" si="26"/>
        <v>225000</v>
      </c>
    </row>
    <row r="477" spans="1:11" x14ac:dyDescent="0.25">
      <c r="A477" s="197">
        <v>40</v>
      </c>
      <c r="B477" s="160" t="s">
        <v>1264</v>
      </c>
      <c r="C477" s="197" t="s">
        <v>1237</v>
      </c>
      <c r="D477" s="157" t="s">
        <v>1675</v>
      </c>
      <c r="E477" s="199"/>
      <c r="F477" s="197"/>
      <c r="G477" s="148">
        <v>442000</v>
      </c>
      <c r="H477" s="148"/>
      <c r="I477" s="198"/>
      <c r="J477" s="197"/>
      <c r="K477" s="148">
        <f t="shared" si="26"/>
        <v>442000</v>
      </c>
    </row>
    <row r="478" spans="1:11" x14ac:dyDescent="0.25">
      <c r="A478" s="197">
        <v>41</v>
      </c>
      <c r="B478" s="193" t="s">
        <v>1265</v>
      </c>
      <c r="C478" s="197" t="s">
        <v>1237</v>
      </c>
      <c r="D478" s="157" t="s">
        <v>1676</v>
      </c>
      <c r="E478" s="199"/>
      <c r="F478" s="197"/>
      <c r="G478" s="148">
        <v>830000</v>
      </c>
      <c r="H478" s="148"/>
      <c r="I478" s="198"/>
      <c r="J478" s="197"/>
      <c r="K478" s="148">
        <f t="shared" si="26"/>
        <v>830000</v>
      </c>
    </row>
    <row r="479" spans="1:11" x14ac:dyDescent="0.25">
      <c r="A479" s="197">
        <v>42</v>
      </c>
      <c r="B479" s="193" t="s">
        <v>1266</v>
      </c>
      <c r="C479" s="197" t="s">
        <v>1237</v>
      </c>
      <c r="D479" s="157" t="s">
        <v>1677</v>
      </c>
      <c r="E479" s="199"/>
      <c r="F479" s="197"/>
      <c r="G479" s="148">
        <v>200000</v>
      </c>
      <c r="H479" s="148"/>
      <c r="I479" s="198"/>
      <c r="J479" s="197"/>
      <c r="K479" s="148">
        <f t="shared" si="26"/>
        <v>200000</v>
      </c>
    </row>
    <row r="480" spans="1:11" x14ac:dyDescent="0.25">
      <c r="A480" s="197">
        <v>43</v>
      </c>
      <c r="B480" s="160" t="s">
        <v>1267</v>
      </c>
      <c r="C480" s="197" t="s">
        <v>1237</v>
      </c>
      <c r="D480" s="157" t="s">
        <v>1678</v>
      </c>
      <c r="E480" s="199"/>
      <c r="F480" s="197"/>
      <c r="G480" s="148">
        <v>250000</v>
      </c>
      <c r="H480" s="148"/>
      <c r="I480" s="198"/>
      <c r="J480" s="197"/>
      <c r="K480" s="148">
        <f t="shared" si="26"/>
        <v>250000</v>
      </c>
    </row>
    <row r="481" spans="1:11" x14ac:dyDescent="0.25">
      <c r="A481" s="197">
        <v>44</v>
      </c>
      <c r="B481" s="160" t="s">
        <v>1832</v>
      </c>
      <c r="C481" s="197" t="s">
        <v>1237</v>
      </c>
      <c r="D481" s="157"/>
      <c r="E481" s="199"/>
      <c r="F481" s="197"/>
      <c r="G481" s="148">
        <v>3500000</v>
      </c>
      <c r="H481" s="148"/>
      <c r="I481" s="198"/>
      <c r="J481" s="197"/>
      <c r="K481" s="148">
        <f t="shared" si="26"/>
        <v>3500000</v>
      </c>
    </row>
    <row r="482" spans="1:11" x14ac:dyDescent="0.25">
      <c r="A482" s="197">
        <v>45</v>
      </c>
      <c r="B482" s="160" t="s">
        <v>1832</v>
      </c>
      <c r="C482" s="197" t="s">
        <v>253</v>
      </c>
      <c r="D482" s="157"/>
      <c r="E482" s="199"/>
      <c r="F482" s="197"/>
      <c r="G482" s="148">
        <f>G481/8</f>
        <v>437500</v>
      </c>
      <c r="H482" s="148"/>
      <c r="I482" s="198"/>
      <c r="J482" s="197"/>
      <c r="K482" s="148"/>
    </row>
    <row r="483" spans="1:11" x14ac:dyDescent="0.25">
      <c r="A483" s="197">
        <v>46</v>
      </c>
      <c r="B483" s="160" t="s">
        <v>1831</v>
      </c>
      <c r="C483" s="197" t="s">
        <v>1237</v>
      </c>
      <c r="D483" s="157"/>
      <c r="E483" s="199"/>
      <c r="F483" s="197"/>
      <c r="G483" s="148">
        <v>5100000</v>
      </c>
      <c r="H483" s="148"/>
      <c r="I483" s="198"/>
      <c r="J483" s="197"/>
      <c r="K483" s="148"/>
    </row>
    <row r="484" spans="1:11" x14ac:dyDescent="0.25">
      <c r="A484" s="197">
        <v>47</v>
      </c>
      <c r="B484" s="160" t="s">
        <v>1831</v>
      </c>
      <c r="C484" s="197" t="s">
        <v>253</v>
      </c>
      <c r="D484" s="157"/>
      <c r="E484" s="199"/>
      <c r="F484" s="197"/>
      <c r="G484" s="148">
        <f>G483/8</f>
        <v>637500</v>
      </c>
      <c r="H484" s="148"/>
      <c r="I484" s="198"/>
      <c r="J484" s="197"/>
      <c r="K484" s="148"/>
    </row>
    <row r="485" spans="1:11" x14ac:dyDescent="0.25">
      <c r="A485" s="197">
        <v>48</v>
      </c>
      <c r="B485" s="160" t="s">
        <v>1830</v>
      </c>
      <c r="C485" s="197" t="s">
        <v>1237</v>
      </c>
      <c r="D485" s="157"/>
      <c r="E485" s="199"/>
      <c r="F485" s="197"/>
      <c r="G485" s="148">
        <v>7500000</v>
      </c>
      <c r="H485" s="148"/>
      <c r="I485" s="198"/>
      <c r="J485" s="197"/>
      <c r="K485" s="148"/>
    </row>
    <row r="486" spans="1:11" x14ac:dyDescent="0.25">
      <c r="A486" s="197">
        <v>49</v>
      </c>
      <c r="B486" s="161" t="s">
        <v>1830</v>
      </c>
      <c r="C486" s="205" t="s">
        <v>253</v>
      </c>
      <c r="D486" s="162"/>
      <c r="E486" s="204"/>
      <c r="F486" s="205"/>
      <c r="G486" s="163">
        <f>G485/8</f>
        <v>937500</v>
      </c>
      <c r="H486" s="163"/>
      <c r="I486" s="203"/>
      <c r="J486" s="205"/>
      <c r="K486" s="163"/>
    </row>
    <row r="487" spans="1:11" x14ac:dyDescent="0.25">
      <c r="A487" s="197">
        <v>50</v>
      </c>
      <c r="B487" s="160" t="s">
        <v>1268</v>
      </c>
      <c r="C487" s="197" t="s">
        <v>1237</v>
      </c>
      <c r="D487" s="157" t="s">
        <v>1679</v>
      </c>
      <c r="E487" s="199"/>
      <c r="F487" s="197"/>
      <c r="G487" s="148">
        <v>750000</v>
      </c>
      <c r="H487" s="148"/>
      <c r="I487" s="198"/>
      <c r="J487" s="197"/>
      <c r="K487" s="148">
        <f t="shared" si="26"/>
        <v>750000</v>
      </c>
    </row>
    <row r="488" spans="1:11" x14ac:dyDescent="0.25">
      <c r="A488" s="197">
        <v>51</v>
      </c>
      <c r="B488" s="160" t="s">
        <v>1269</v>
      </c>
      <c r="C488" s="197" t="s">
        <v>1237</v>
      </c>
      <c r="D488" s="157" t="s">
        <v>1680</v>
      </c>
      <c r="E488" s="199"/>
      <c r="F488" s="197"/>
      <c r="G488" s="148">
        <v>750000</v>
      </c>
      <c r="H488" s="148"/>
      <c r="I488" s="198"/>
      <c r="J488" s="197"/>
      <c r="K488" s="148">
        <f t="shared" si="26"/>
        <v>750000</v>
      </c>
    </row>
    <row r="489" spans="1:11" x14ac:dyDescent="0.25">
      <c r="A489" s="197">
        <v>52</v>
      </c>
      <c r="B489" s="160" t="s">
        <v>1270</v>
      </c>
      <c r="C489" s="197" t="s">
        <v>1237</v>
      </c>
      <c r="D489" s="157" t="s">
        <v>1681</v>
      </c>
      <c r="E489" s="199"/>
      <c r="F489" s="197"/>
      <c r="G489" s="148">
        <v>750000</v>
      </c>
      <c r="H489" s="148"/>
      <c r="I489" s="198"/>
      <c r="J489" s="197"/>
      <c r="K489" s="148">
        <f t="shared" si="26"/>
        <v>750000</v>
      </c>
    </row>
    <row r="490" spans="1:11" x14ac:dyDescent="0.25">
      <c r="A490" s="197">
        <v>53</v>
      </c>
      <c r="B490" s="160" t="s">
        <v>1271</v>
      </c>
      <c r="C490" s="197" t="s">
        <v>1240</v>
      </c>
      <c r="D490" s="157" t="s">
        <v>1682</v>
      </c>
      <c r="E490" s="199"/>
      <c r="F490" s="197"/>
      <c r="G490" s="148">
        <v>400000</v>
      </c>
      <c r="H490" s="148"/>
      <c r="I490" s="198"/>
      <c r="J490" s="197"/>
      <c r="K490" s="148">
        <f t="shared" si="26"/>
        <v>400000</v>
      </c>
    </row>
    <row r="491" spans="1:11" x14ac:dyDescent="0.25">
      <c r="A491" s="197">
        <v>54</v>
      </c>
      <c r="B491" s="161" t="s">
        <v>625</v>
      </c>
      <c r="C491" s="205" t="s">
        <v>253</v>
      </c>
      <c r="D491" s="162"/>
      <c r="E491" s="204"/>
      <c r="F491" s="205"/>
      <c r="G491" s="163">
        <v>692640</v>
      </c>
      <c r="H491" s="163"/>
      <c r="I491" s="203"/>
      <c r="J491" s="205"/>
      <c r="K491" s="163">
        <f t="shared" si="26"/>
        <v>692640</v>
      </c>
    </row>
    <row r="492" spans="1:11" x14ac:dyDescent="0.25">
      <c r="A492" s="197">
        <v>55</v>
      </c>
      <c r="B492" s="160" t="s">
        <v>1272</v>
      </c>
      <c r="C492" s="146" t="s">
        <v>1240</v>
      </c>
      <c r="D492" s="157" t="s">
        <v>1683</v>
      </c>
      <c r="E492" s="199"/>
      <c r="F492" s="197"/>
      <c r="G492" s="148">
        <v>700000</v>
      </c>
      <c r="H492" s="148"/>
      <c r="I492" s="198"/>
      <c r="J492" s="197"/>
      <c r="K492" s="148">
        <f t="shared" si="26"/>
        <v>700000</v>
      </c>
    </row>
    <row r="493" spans="1:11" x14ac:dyDescent="0.25">
      <c r="A493" s="197">
        <v>56</v>
      </c>
      <c r="B493" s="160" t="s">
        <v>1273</v>
      </c>
      <c r="C493" s="146" t="s">
        <v>1237</v>
      </c>
      <c r="D493" s="157" t="s">
        <v>1684</v>
      </c>
      <c r="E493" s="199"/>
      <c r="F493" s="197"/>
      <c r="G493" s="148">
        <v>1200000</v>
      </c>
      <c r="H493" s="148"/>
      <c r="I493" s="198"/>
      <c r="J493" s="197"/>
      <c r="K493" s="148">
        <f t="shared" si="26"/>
        <v>1200000</v>
      </c>
    </row>
    <row r="494" spans="1:11" x14ac:dyDescent="0.25">
      <c r="A494" s="197">
        <v>57</v>
      </c>
      <c r="B494" s="160" t="s">
        <v>1274</v>
      </c>
      <c r="C494" s="146" t="s">
        <v>1237</v>
      </c>
      <c r="D494" s="157" t="s">
        <v>1685</v>
      </c>
      <c r="E494" s="199"/>
      <c r="F494" s="197"/>
      <c r="G494" s="148">
        <v>150000</v>
      </c>
      <c r="H494" s="148"/>
      <c r="I494" s="198"/>
      <c r="J494" s="197"/>
      <c r="K494" s="148">
        <f t="shared" si="26"/>
        <v>150000</v>
      </c>
    </row>
    <row r="495" spans="1:11" x14ac:dyDescent="0.25">
      <c r="A495" s="197">
        <v>58</v>
      </c>
      <c r="B495" s="193" t="s">
        <v>1275</v>
      </c>
      <c r="C495" s="197" t="s">
        <v>1237</v>
      </c>
      <c r="D495" s="157" t="s">
        <v>1686</v>
      </c>
      <c r="E495" s="199"/>
      <c r="F495" s="197"/>
      <c r="G495" s="148">
        <v>850000</v>
      </c>
      <c r="H495" s="148"/>
      <c r="I495" s="198"/>
      <c r="J495" s="197"/>
      <c r="K495" s="148">
        <f t="shared" si="26"/>
        <v>850000</v>
      </c>
    </row>
    <row r="496" spans="1:11" x14ac:dyDescent="0.25">
      <c r="A496" s="197">
        <v>59</v>
      </c>
      <c r="B496" s="160" t="s">
        <v>1276</v>
      </c>
      <c r="C496" s="197" t="s">
        <v>1237</v>
      </c>
      <c r="D496" s="157" t="s">
        <v>1687</v>
      </c>
      <c r="E496" s="147"/>
      <c r="F496" s="146"/>
      <c r="G496" s="148">
        <v>1550000</v>
      </c>
      <c r="H496" s="148"/>
      <c r="I496" s="198"/>
      <c r="J496" s="146"/>
      <c r="K496" s="148">
        <f t="shared" si="26"/>
        <v>1550000</v>
      </c>
    </row>
    <row r="497" spans="1:12" x14ac:dyDescent="0.25">
      <c r="A497" s="197">
        <v>60</v>
      </c>
      <c r="B497" s="160" t="s">
        <v>1277</v>
      </c>
      <c r="C497" s="197" t="s">
        <v>1237</v>
      </c>
      <c r="D497" s="157" t="s">
        <v>1688</v>
      </c>
      <c r="E497" s="147"/>
      <c r="F497" s="146"/>
      <c r="G497" s="148">
        <v>2750000</v>
      </c>
      <c r="H497" s="148"/>
      <c r="I497" s="198"/>
      <c r="J497" s="146"/>
      <c r="K497" s="148">
        <f t="shared" si="26"/>
        <v>2750000</v>
      </c>
    </row>
    <row r="498" spans="1:12" x14ac:dyDescent="0.25">
      <c r="A498" s="197">
        <v>61</v>
      </c>
      <c r="B498" s="160" t="s">
        <v>1278</v>
      </c>
      <c r="C498" s="197" t="s">
        <v>1237</v>
      </c>
      <c r="D498" s="157" t="s">
        <v>1689</v>
      </c>
      <c r="E498" s="147"/>
      <c r="F498" s="146"/>
      <c r="G498" s="148">
        <v>785000</v>
      </c>
      <c r="H498" s="148"/>
      <c r="I498" s="198"/>
      <c r="J498" s="146"/>
      <c r="K498" s="148">
        <f t="shared" si="26"/>
        <v>785000</v>
      </c>
    </row>
    <row r="499" spans="1:12" x14ac:dyDescent="0.25">
      <c r="A499" s="197">
        <v>62</v>
      </c>
      <c r="B499" s="160" t="s">
        <v>1279</v>
      </c>
      <c r="C499" s="197" t="s">
        <v>1237</v>
      </c>
      <c r="D499" s="157" t="s">
        <v>1690</v>
      </c>
      <c r="E499" s="147"/>
      <c r="F499" s="146"/>
      <c r="G499" s="148">
        <v>450000</v>
      </c>
      <c r="H499" s="148"/>
      <c r="I499" s="198"/>
      <c r="J499" s="146"/>
      <c r="K499" s="148">
        <f t="shared" si="26"/>
        <v>450000</v>
      </c>
    </row>
    <row r="500" spans="1:12" x14ac:dyDescent="0.25">
      <c r="A500" s="197">
        <v>63</v>
      </c>
      <c r="B500" s="208" t="s">
        <v>865</v>
      </c>
      <c r="C500" s="205" t="s">
        <v>1237</v>
      </c>
      <c r="D500" s="162" t="s">
        <v>1691</v>
      </c>
      <c r="E500" s="204"/>
      <c r="F500" s="205"/>
      <c r="G500" s="163">
        <v>144300</v>
      </c>
      <c r="H500" s="163"/>
      <c r="I500" s="203"/>
      <c r="J500" s="205"/>
      <c r="K500" s="163">
        <f t="shared" si="26"/>
        <v>144300</v>
      </c>
    </row>
    <row r="501" spans="1:12" x14ac:dyDescent="0.25">
      <c r="A501" s="197">
        <v>64</v>
      </c>
      <c r="B501" s="161" t="s">
        <v>499</v>
      </c>
      <c r="C501" s="205" t="s">
        <v>1240</v>
      </c>
      <c r="D501" s="162" t="s">
        <v>1692</v>
      </c>
      <c r="E501" s="204"/>
      <c r="F501" s="205"/>
      <c r="G501" s="163">
        <v>85595.87</v>
      </c>
      <c r="H501" s="163"/>
      <c r="I501" s="203"/>
      <c r="J501" s="205"/>
      <c r="K501" s="163">
        <f t="shared" si="26"/>
        <v>85595.87</v>
      </c>
    </row>
    <row r="502" spans="1:12" x14ac:dyDescent="0.25">
      <c r="A502" s="197">
        <v>65</v>
      </c>
      <c r="B502" s="161" t="s">
        <v>490</v>
      </c>
      <c r="C502" s="205" t="s">
        <v>253</v>
      </c>
      <c r="D502" s="162"/>
      <c r="E502" s="204"/>
      <c r="F502" s="205"/>
      <c r="G502" s="163">
        <v>630424.13</v>
      </c>
      <c r="H502" s="163"/>
      <c r="I502" s="203"/>
      <c r="J502" s="205"/>
      <c r="K502" s="163">
        <f t="shared" si="26"/>
        <v>630424.13</v>
      </c>
    </row>
    <row r="503" spans="1:12" x14ac:dyDescent="0.25">
      <c r="A503" s="197">
        <v>66</v>
      </c>
      <c r="B503" s="208" t="s">
        <v>498</v>
      </c>
      <c r="C503" s="165" t="s">
        <v>1240</v>
      </c>
      <c r="D503" s="162" t="s">
        <v>1693</v>
      </c>
      <c r="E503" s="204"/>
      <c r="F503" s="205"/>
      <c r="G503" s="163">
        <v>543500.19999999995</v>
      </c>
      <c r="H503" s="163"/>
      <c r="I503" s="203"/>
      <c r="J503" s="205"/>
      <c r="K503" s="163">
        <f t="shared" si="26"/>
        <v>543500.19999999995</v>
      </c>
    </row>
    <row r="504" spans="1:12" x14ac:dyDescent="0.25">
      <c r="A504" s="197">
        <v>67</v>
      </c>
      <c r="B504" s="207" t="s">
        <v>501</v>
      </c>
      <c r="C504" s="165" t="s">
        <v>1237</v>
      </c>
      <c r="D504" s="162" t="s">
        <v>1694</v>
      </c>
      <c r="E504" s="204"/>
      <c r="F504" s="205"/>
      <c r="G504" s="163">
        <v>759675.86</v>
      </c>
      <c r="H504" s="163"/>
      <c r="I504" s="203"/>
      <c r="J504" s="205"/>
      <c r="K504" s="163">
        <f t="shared" si="26"/>
        <v>759675.86</v>
      </c>
    </row>
    <row r="505" spans="1:12" x14ac:dyDescent="0.25">
      <c r="A505" s="197">
        <v>68</v>
      </c>
      <c r="B505" s="160" t="s">
        <v>1280</v>
      </c>
      <c r="C505" s="197"/>
      <c r="D505" s="157"/>
      <c r="E505" s="199"/>
      <c r="F505" s="197"/>
      <c r="G505" s="148"/>
      <c r="H505" s="148"/>
      <c r="I505" s="198"/>
      <c r="J505" s="197"/>
      <c r="K505" s="148">
        <f t="shared" si="26"/>
        <v>0</v>
      </c>
    </row>
    <row r="506" spans="1:12" x14ac:dyDescent="0.25">
      <c r="A506" s="197">
        <v>69</v>
      </c>
      <c r="B506" s="161" t="s">
        <v>915</v>
      </c>
      <c r="C506" s="205" t="s">
        <v>253</v>
      </c>
      <c r="D506" s="162"/>
      <c r="E506" s="204"/>
      <c r="F506" s="205"/>
      <c r="G506" s="163">
        <v>818191.38</v>
      </c>
      <c r="H506" s="163"/>
      <c r="I506" s="203"/>
      <c r="J506" s="205"/>
      <c r="K506" s="163">
        <f t="shared" si="26"/>
        <v>818191.38</v>
      </c>
    </row>
    <row r="507" spans="1:12" x14ac:dyDescent="0.25">
      <c r="A507" s="197">
        <v>70</v>
      </c>
      <c r="B507" s="208" t="s">
        <v>603</v>
      </c>
      <c r="C507" s="205" t="s">
        <v>253</v>
      </c>
      <c r="D507" s="162"/>
      <c r="E507" s="204"/>
      <c r="F507" s="205"/>
      <c r="G507" s="163">
        <f>ALAT!K46</f>
        <v>489468.66924812773</v>
      </c>
      <c r="H507" s="163"/>
      <c r="I507" s="203"/>
      <c r="J507" s="205"/>
      <c r="K507" s="163">
        <f t="shared" si="26"/>
        <v>489468.66924812773</v>
      </c>
    </row>
    <row r="508" spans="1:12" x14ac:dyDescent="0.25">
      <c r="A508" s="197"/>
      <c r="B508" s="160"/>
      <c r="C508" s="197"/>
      <c r="D508" s="157"/>
      <c r="E508" s="199"/>
      <c r="F508" s="197"/>
      <c r="G508" s="148"/>
      <c r="H508" s="148"/>
      <c r="I508" s="198"/>
      <c r="J508" s="197"/>
      <c r="K508" s="148"/>
    </row>
    <row r="509" spans="1:12" x14ac:dyDescent="0.25">
      <c r="A509" s="197"/>
      <c r="B509" s="193"/>
      <c r="C509" s="197"/>
      <c r="D509" s="157"/>
      <c r="E509" s="199"/>
      <c r="F509" s="197"/>
      <c r="G509" s="148"/>
      <c r="H509" s="148"/>
      <c r="I509" s="198"/>
      <c r="J509" s="197"/>
      <c r="K509" s="148"/>
    </row>
    <row r="510" spans="1:12" ht="13" x14ac:dyDescent="0.3">
      <c r="A510" s="178" t="s">
        <v>1281</v>
      </c>
      <c r="B510" s="172" t="s">
        <v>1282</v>
      </c>
      <c r="C510" s="192"/>
      <c r="D510" s="158"/>
      <c r="E510" s="194"/>
      <c r="F510" s="192"/>
      <c r="G510" s="201"/>
      <c r="H510" s="201"/>
      <c r="I510" s="198"/>
      <c r="J510" s="192"/>
      <c r="K510" s="201"/>
    </row>
    <row r="511" spans="1:12" ht="13" x14ac:dyDescent="0.3">
      <c r="A511" s="178"/>
      <c r="B511" s="172"/>
      <c r="C511" s="192"/>
      <c r="D511" s="158"/>
      <c r="E511" s="194"/>
      <c r="F511" s="192"/>
      <c r="G511" s="201"/>
      <c r="H511" s="201"/>
      <c r="I511" s="198"/>
      <c r="J511" s="192"/>
      <c r="K511" s="201"/>
    </row>
    <row r="512" spans="1:12" x14ac:dyDescent="0.25">
      <c r="A512" s="226" t="s">
        <v>1283</v>
      </c>
      <c r="B512" s="227" t="s">
        <v>1284</v>
      </c>
      <c r="C512" s="149" t="s">
        <v>46</v>
      </c>
      <c r="D512" s="158" t="s">
        <v>1695</v>
      </c>
      <c r="E512" s="151"/>
      <c r="F512" s="149"/>
      <c r="G512" s="152">
        <v>52250</v>
      </c>
      <c r="H512" s="152"/>
      <c r="I512" s="198"/>
      <c r="J512" s="149"/>
      <c r="K512" s="148">
        <f t="shared" ref="K512:K531" si="27">+G512+$C$7*J512</f>
        <v>52250</v>
      </c>
      <c r="L512" s="151"/>
    </row>
    <row r="513" spans="1:12" x14ac:dyDescent="0.25">
      <c r="A513" s="146">
        <v>1</v>
      </c>
      <c r="B513" s="193" t="s">
        <v>1285</v>
      </c>
      <c r="C513" s="197" t="s">
        <v>1237</v>
      </c>
      <c r="D513" s="157" t="s">
        <v>1696</v>
      </c>
      <c r="E513" s="199"/>
      <c r="F513" s="197"/>
      <c r="G513" s="148">
        <v>20000</v>
      </c>
      <c r="H513" s="148"/>
      <c r="I513" s="198"/>
      <c r="J513" s="197"/>
      <c r="K513" s="148">
        <f t="shared" si="27"/>
        <v>20000</v>
      </c>
      <c r="L513" s="151"/>
    </row>
    <row r="514" spans="1:12" x14ac:dyDescent="0.25">
      <c r="A514" s="146">
        <v>2</v>
      </c>
      <c r="B514" s="207" t="s">
        <v>1894</v>
      </c>
      <c r="C514" s="205" t="s">
        <v>253</v>
      </c>
      <c r="D514" s="162" t="s">
        <v>1697</v>
      </c>
      <c r="E514" s="204"/>
      <c r="F514" s="205"/>
      <c r="G514" s="163">
        <v>115440</v>
      </c>
      <c r="H514" s="163"/>
      <c r="I514" s="203"/>
      <c r="J514" s="205"/>
      <c r="K514" s="163">
        <f t="shared" si="27"/>
        <v>115440</v>
      </c>
      <c r="L514" s="151"/>
    </row>
    <row r="515" spans="1:12" x14ac:dyDescent="0.25">
      <c r="A515" s="146">
        <v>3</v>
      </c>
      <c r="B515" s="193" t="s">
        <v>1286</v>
      </c>
      <c r="C515" s="197" t="s">
        <v>46</v>
      </c>
      <c r="D515" s="157" t="s">
        <v>1698</v>
      </c>
      <c r="E515" s="199"/>
      <c r="F515" s="197"/>
      <c r="G515" s="148">
        <v>17500</v>
      </c>
      <c r="H515" s="148"/>
      <c r="I515" s="198"/>
      <c r="J515" s="197"/>
      <c r="K515" s="148">
        <f t="shared" si="27"/>
        <v>17500</v>
      </c>
    </row>
    <row r="516" spans="1:12" x14ac:dyDescent="0.25">
      <c r="A516" s="146">
        <v>4</v>
      </c>
      <c r="B516" s="160" t="s">
        <v>1287</v>
      </c>
      <c r="C516" s="146" t="s">
        <v>46</v>
      </c>
      <c r="D516" s="157" t="s">
        <v>1699</v>
      </c>
      <c r="E516" s="199"/>
      <c r="F516" s="197"/>
      <c r="G516" s="148">
        <v>2500000</v>
      </c>
      <c r="H516" s="148"/>
      <c r="I516" s="198"/>
      <c r="J516" s="197"/>
      <c r="K516" s="148">
        <f t="shared" si="27"/>
        <v>2500000</v>
      </c>
      <c r="L516" s="151"/>
    </row>
    <row r="517" spans="1:12" x14ac:dyDescent="0.25">
      <c r="A517" s="146"/>
      <c r="B517" s="160" t="s">
        <v>1854</v>
      </c>
      <c r="C517" s="146" t="s">
        <v>473</v>
      </c>
      <c r="D517" s="157"/>
      <c r="E517" s="199"/>
      <c r="F517" s="197"/>
      <c r="G517" s="148">
        <v>50000</v>
      </c>
      <c r="H517" s="148"/>
      <c r="I517" s="198"/>
      <c r="J517" s="197"/>
      <c r="K517" s="148">
        <f t="shared" si="27"/>
        <v>50000</v>
      </c>
      <c r="L517" s="151"/>
    </row>
    <row r="518" spans="1:12" x14ac:dyDescent="0.25">
      <c r="A518" s="146">
        <v>5</v>
      </c>
      <c r="B518" s="193" t="s">
        <v>1288</v>
      </c>
      <c r="C518" s="197" t="s">
        <v>1237</v>
      </c>
      <c r="D518" s="157" t="s">
        <v>1700</v>
      </c>
      <c r="E518" s="199"/>
      <c r="F518" s="197"/>
      <c r="G518" s="148">
        <v>250000</v>
      </c>
      <c r="H518" s="148"/>
      <c r="I518" s="198"/>
      <c r="J518" s="197"/>
      <c r="K518" s="148">
        <f t="shared" si="27"/>
        <v>250000</v>
      </c>
      <c r="L518" s="151"/>
    </row>
    <row r="519" spans="1:12" x14ac:dyDescent="0.25">
      <c r="A519" s="146">
        <v>6</v>
      </c>
      <c r="B519" s="160" t="s">
        <v>1289</v>
      </c>
      <c r="C519" s="197" t="s">
        <v>46</v>
      </c>
      <c r="D519" s="157" t="s">
        <v>1701</v>
      </c>
      <c r="E519" s="199"/>
      <c r="F519" s="197"/>
      <c r="G519" s="148">
        <v>5000</v>
      </c>
      <c r="H519" s="148"/>
      <c r="I519" s="198"/>
      <c r="J519" s="197"/>
      <c r="K519" s="148">
        <f t="shared" si="27"/>
        <v>5000</v>
      </c>
      <c r="L519" s="151"/>
    </row>
    <row r="520" spans="1:12" x14ac:dyDescent="0.25">
      <c r="A520" s="146">
        <v>7</v>
      </c>
      <c r="B520" s="193" t="s">
        <v>1290</v>
      </c>
      <c r="C520" s="197" t="s">
        <v>760</v>
      </c>
      <c r="D520" s="157" t="s">
        <v>1702</v>
      </c>
      <c r="E520" s="199"/>
      <c r="F520" s="197"/>
      <c r="G520" s="148">
        <v>12000</v>
      </c>
      <c r="H520" s="148"/>
      <c r="I520" s="198"/>
      <c r="J520" s="197"/>
      <c r="K520" s="148">
        <f t="shared" si="27"/>
        <v>12000</v>
      </c>
      <c r="L520" s="151"/>
    </row>
    <row r="521" spans="1:12" x14ac:dyDescent="0.25">
      <c r="A521" s="146">
        <v>8</v>
      </c>
      <c r="B521" s="193" t="s">
        <v>1291</v>
      </c>
      <c r="C521" s="197" t="s">
        <v>760</v>
      </c>
      <c r="D521" s="157" t="s">
        <v>1703</v>
      </c>
      <c r="E521" s="199"/>
      <c r="F521" s="197"/>
      <c r="G521" s="148">
        <v>120000</v>
      </c>
      <c r="H521" s="148"/>
      <c r="I521" s="198"/>
      <c r="J521" s="197"/>
      <c r="K521" s="148">
        <f t="shared" si="27"/>
        <v>120000</v>
      </c>
      <c r="L521" s="151"/>
    </row>
    <row r="522" spans="1:12" x14ac:dyDescent="0.25">
      <c r="A522" s="146">
        <v>9</v>
      </c>
      <c r="B522" s="160" t="s">
        <v>1292</v>
      </c>
      <c r="C522" s="197" t="s">
        <v>46</v>
      </c>
      <c r="D522" s="157" t="s">
        <v>1704</v>
      </c>
      <c r="E522" s="147"/>
      <c r="F522" s="146"/>
      <c r="G522" s="148">
        <v>25000</v>
      </c>
      <c r="H522" s="148"/>
      <c r="I522" s="198"/>
      <c r="J522" s="146"/>
      <c r="K522" s="148">
        <f t="shared" si="27"/>
        <v>25000</v>
      </c>
      <c r="L522" s="151"/>
    </row>
    <row r="523" spans="1:12" x14ac:dyDescent="0.25">
      <c r="A523" s="146">
        <v>10</v>
      </c>
      <c r="B523" s="160" t="s">
        <v>1293</v>
      </c>
      <c r="C523" s="197" t="s">
        <v>46</v>
      </c>
      <c r="D523" s="157" t="s">
        <v>1705</v>
      </c>
      <c r="E523" s="199"/>
      <c r="F523" s="197"/>
      <c r="G523" s="148">
        <v>1500</v>
      </c>
      <c r="H523" s="148"/>
      <c r="I523" s="198"/>
      <c r="J523" s="197"/>
      <c r="K523" s="148">
        <f t="shared" si="27"/>
        <v>1500</v>
      </c>
      <c r="L523" s="151"/>
    </row>
    <row r="524" spans="1:12" x14ac:dyDescent="0.25">
      <c r="A524" s="146">
        <v>11</v>
      </c>
      <c r="B524" s="193" t="s">
        <v>1294</v>
      </c>
      <c r="C524" s="197" t="s">
        <v>46</v>
      </c>
      <c r="D524" s="157" t="s">
        <v>1706</v>
      </c>
      <c r="E524" s="199"/>
      <c r="F524" s="197"/>
      <c r="G524" s="148">
        <v>5000</v>
      </c>
      <c r="H524" s="148"/>
      <c r="I524" s="198"/>
      <c r="J524" s="197"/>
      <c r="K524" s="148">
        <f t="shared" si="27"/>
        <v>5000</v>
      </c>
      <c r="L524" s="151"/>
    </row>
    <row r="525" spans="1:12" x14ac:dyDescent="0.25">
      <c r="A525" s="146">
        <v>12</v>
      </c>
      <c r="B525" s="160" t="s">
        <v>1295</v>
      </c>
      <c r="C525" s="197" t="s">
        <v>46</v>
      </c>
      <c r="D525" s="157" t="s">
        <v>1707</v>
      </c>
      <c r="E525" s="199"/>
      <c r="F525" s="197"/>
      <c r="G525" s="148">
        <v>251150</v>
      </c>
      <c r="H525" s="148"/>
      <c r="I525" s="198"/>
      <c r="J525" s="197"/>
      <c r="K525" s="148">
        <f t="shared" si="27"/>
        <v>251150</v>
      </c>
      <c r="L525" s="151"/>
    </row>
    <row r="526" spans="1:12" x14ac:dyDescent="0.25">
      <c r="A526" s="146">
        <v>13</v>
      </c>
      <c r="B526" s="160" t="s">
        <v>1296</v>
      </c>
      <c r="C526" s="197" t="s">
        <v>46</v>
      </c>
      <c r="D526" s="157" t="s">
        <v>1708</v>
      </c>
      <c r="E526" s="199"/>
      <c r="F526" s="197"/>
      <c r="G526" s="148">
        <v>225000</v>
      </c>
      <c r="H526" s="148"/>
      <c r="I526" s="198"/>
      <c r="J526" s="197"/>
      <c r="K526" s="148">
        <f t="shared" si="27"/>
        <v>225000</v>
      </c>
      <c r="L526" s="151"/>
    </row>
    <row r="527" spans="1:12" x14ac:dyDescent="0.25">
      <c r="A527" s="146">
        <v>14</v>
      </c>
      <c r="B527" s="160" t="s">
        <v>1297</v>
      </c>
      <c r="C527" s="146" t="s">
        <v>46</v>
      </c>
      <c r="D527" s="157" t="s">
        <v>1709</v>
      </c>
      <c r="E527" s="199"/>
      <c r="F527" s="197"/>
      <c r="G527" s="148">
        <v>100000</v>
      </c>
      <c r="H527" s="148"/>
      <c r="I527" s="198"/>
      <c r="J527" s="197"/>
      <c r="K527" s="148">
        <f t="shared" si="27"/>
        <v>100000</v>
      </c>
      <c r="L527" s="151"/>
    </row>
    <row r="528" spans="1:12" x14ac:dyDescent="0.25">
      <c r="A528" s="146">
        <v>15</v>
      </c>
      <c r="B528" s="160" t="s">
        <v>1298</v>
      </c>
      <c r="C528" s="197" t="s">
        <v>46</v>
      </c>
      <c r="D528" s="157" t="s">
        <v>1710</v>
      </c>
      <c r="E528" s="147"/>
      <c r="F528" s="146"/>
      <c r="G528" s="148">
        <v>12000</v>
      </c>
      <c r="H528" s="148"/>
      <c r="I528" s="198"/>
      <c r="J528" s="146"/>
      <c r="K528" s="148">
        <f t="shared" si="27"/>
        <v>12000</v>
      </c>
      <c r="L528" s="151"/>
    </row>
    <row r="529" spans="1:12" x14ac:dyDescent="0.25">
      <c r="A529" s="146">
        <v>16</v>
      </c>
      <c r="B529" s="193" t="s">
        <v>1299</v>
      </c>
      <c r="C529" s="197" t="s">
        <v>1237</v>
      </c>
      <c r="D529" s="157" t="s">
        <v>1711</v>
      </c>
      <c r="E529" s="147"/>
      <c r="F529" s="146"/>
      <c r="G529" s="148">
        <v>15000</v>
      </c>
      <c r="H529" s="148"/>
      <c r="I529" s="198"/>
      <c r="J529" s="146"/>
      <c r="K529" s="148">
        <f t="shared" si="27"/>
        <v>15000</v>
      </c>
      <c r="L529" s="151"/>
    </row>
    <row r="530" spans="1:12" x14ac:dyDescent="0.25">
      <c r="A530" s="146">
        <v>17</v>
      </c>
      <c r="B530" s="193" t="s">
        <v>1300</v>
      </c>
      <c r="C530" s="197" t="s">
        <v>46</v>
      </c>
      <c r="D530" s="157" t="s">
        <v>1712</v>
      </c>
      <c r="E530" s="147"/>
      <c r="F530" s="146"/>
      <c r="G530" s="148">
        <v>10000</v>
      </c>
      <c r="H530" s="148"/>
      <c r="I530" s="198"/>
      <c r="J530" s="146"/>
      <c r="K530" s="148">
        <f t="shared" si="27"/>
        <v>10000</v>
      </c>
      <c r="L530" s="151"/>
    </row>
    <row r="531" spans="1:12" x14ac:dyDescent="0.25">
      <c r="A531" s="146">
        <v>18</v>
      </c>
      <c r="B531" s="193" t="s">
        <v>1069</v>
      </c>
      <c r="C531" s="197"/>
      <c r="D531" s="157"/>
      <c r="E531" s="199"/>
      <c r="F531" s="197"/>
      <c r="G531" s="148"/>
      <c r="H531" s="148"/>
      <c r="I531" s="198"/>
      <c r="J531" s="197"/>
      <c r="K531" s="148">
        <f t="shared" si="27"/>
        <v>0</v>
      </c>
      <c r="L531" s="151"/>
    </row>
    <row r="532" spans="1:12" x14ac:dyDescent="0.25">
      <c r="A532" s="146"/>
      <c r="B532" s="207" t="s">
        <v>896</v>
      </c>
      <c r="C532" s="197"/>
      <c r="D532" s="157"/>
      <c r="E532" s="220"/>
      <c r="F532" s="197"/>
      <c r="G532" s="148"/>
      <c r="H532" s="148"/>
      <c r="I532" s="198"/>
      <c r="J532" s="197"/>
      <c r="K532" s="148"/>
      <c r="L532" s="151"/>
    </row>
    <row r="533" spans="1:12" x14ac:dyDescent="0.25">
      <c r="A533" s="146"/>
      <c r="B533" s="207" t="s">
        <v>900</v>
      </c>
      <c r="C533" s="197"/>
      <c r="D533" s="157"/>
      <c r="E533" s="220"/>
      <c r="F533" s="197"/>
      <c r="G533" s="148"/>
      <c r="H533" s="148"/>
      <c r="I533" s="198"/>
      <c r="J533" s="197"/>
      <c r="K533" s="148"/>
      <c r="L533" s="151"/>
    </row>
    <row r="534" spans="1:12" x14ac:dyDescent="0.25">
      <c r="A534" s="146"/>
      <c r="B534" s="161" t="s">
        <v>901</v>
      </c>
      <c r="C534" s="149"/>
      <c r="D534" s="158"/>
      <c r="E534" s="151"/>
      <c r="F534" s="149"/>
      <c r="G534" s="152"/>
      <c r="H534" s="152"/>
      <c r="I534" s="198"/>
      <c r="J534" s="149"/>
      <c r="K534" s="152"/>
      <c r="L534" s="151"/>
    </row>
    <row r="535" spans="1:12" x14ac:dyDescent="0.25">
      <c r="A535" s="197"/>
      <c r="B535" s="193" t="s">
        <v>728</v>
      </c>
      <c r="C535" s="146" t="s">
        <v>253</v>
      </c>
      <c r="D535" s="157"/>
      <c r="E535" s="199"/>
      <c r="F535" s="197"/>
      <c r="G535" s="148">
        <v>50000</v>
      </c>
      <c r="H535" s="148"/>
      <c r="I535" s="198"/>
      <c r="J535" s="197"/>
      <c r="K535" s="148">
        <f>+G535+$C$7*J535</f>
        <v>50000</v>
      </c>
    </row>
    <row r="536" spans="1:12" x14ac:dyDescent="0.25">
      <c r="A536" s="146"/>
      <c r="B536" s="167"/>
      <c r="C536" s="149"/>
      <c r="D536" s="158"/>
      <c r="E536" s="151"/>
      <c r="F536" s="149"/>
      <c r="G536" s="177"/>
      <c r="H536" s="177"/>
      <c r="I536" s="198"/>
      <c r="J536" s="149"/>
      <c r="K536" s="152"/>
      <c r="L536" s="151"/>
    </row>
    <row r="537" spans="1:12" x14ac:dyDescent="0.25">
      <c r="A537" s="226" t="s">
        <v>1301</v>
      </c>
      <c r="B537" s="227" t="s">
        <v>1302</v>
      </c>
      <c r="C537" s="149"/>
      <c r="D537" s="158"/>
      <c r="E537" s="151"/>
      <c r="F537" s="149"/>
      <c r="G537" s="152"/>
      <c r="H537" s="152"/>
      <c r="I537" s="198"/>
      <c r="J537" s="149"/>
      <c r="K537" s="152"/>
      <c r="L537" s="151"/>
    </row>
    <row r="538" spans="1:12" ht="13" x14ac:dyDescent="0.3">
      <c r="A538" s="144"/>
      <c r="B538" s="172"/>
      <c r="C538" s="192" t="s">
        <v>46</v>
      </c>
      <c r="D538" s="158" t="s">
        <v>1713</v>
      </c>
      <c r="F538" s="192"/>
      <c r="G538" s="201">
        <v>2000</v>
      </c>
      <c r="H538" s="201"/>
      <c r="I538" s="198"/>
      <c r="J538" s="192"/>
      <c r="K538" s="148">
        <f t="shared" ref="K538:K618" si="28">+G538+$C$7*J538</f>
        <v>2000</v>
      </c>
    </row>
    <row r="539" spans="1:12" x14ac:dyDescent="0.25">
      <c r="A539" s="197">
        <v>1</v>
      </c>
      <c r="B539" s="160" t="s">
        <v>1303</v>
      </c>
      <c r="C539" s="146" t="s">
        <v>61</v>
      </c>
      <c r="D539" s="157" t="s">
        <v>1714</v>
      </c>
      <c r="F539" s="192"/>
      <c r="G539" s="148">
        <v>50000</v>
      </c>
      <c r="H539" s="148"/>
      <c r="I539" s="198"/>
      <c r="J539" s="192"/>
      <c r="K539" s="148">
        <f t="shared" si="28"/>
        <v>50000</v>
      </c>
    </row>
    <row r="540" spans="1:12" x14ac:dyDescent="0.25">
      <c r="A540" s="197">
        <v>2</v>
      </c>
      <c r="B540" s="160" t="s">
        <v>1304</v>
      </c>
      <c r="C540" s="146" t="s">
        <v>61</v>
      </c>
      <c r="D540" s="157" t="s">
        <v>1715</v>
      </c>
      <c r="F540" s="192"/>
      <c r="G540" s="148">
        <v>40000</v>
      </c>
      <c r="H540" s="148"/>
      <c r="I540" s="198"/>
      <c r="J540" s="192"/>
      <c r="K540" s="148">
        <f t="shared" si="28"/>
        <v>40000</v>
      </c>
    </row>
    <row r="541" spans="1:12" x14ac:dyDescent="0.25">
      <c r="A541" s="197">
        <v>3</v>
      </c>
      <c r="B541" s="160" t="s">
        <v>1305</v>
      </c>
      <c r="C541" s="146" t="s">
        <v>61</v>
      </c>
      <c r="D541" s="157" t="s">
        <v>1716</v>
      </c>
      <c r="F541" s="192"/>
      <c r="G541" s="148">
        <v>7500</v>
      </c>
      <c r="H541" s="148"/>
      <c r="I541" s="198"/>
      <c r="J541" s="192"/>
      <c r="K541" s="148">
        <f t="shared" si="28"/>
        <v>7500</v>
      </c>
    </row>
    <row r="542" spans="1:12" x14ac:dyDescent="0.25">
      <c r="A542" s="197">
        <v>4</v>
      </c>
      <c r="B542" s="160" t="s">
        <v>1306</v>
      </c>
      <c r="C542" s="146" t="s">
        <v>40</v>
      </c>
      <c r="D542" s="157" t="s">
        <v>1717</v>
      </c>
      <c r="F542" s="192"/>
      <c r="G542" s="148">
        <v>9130</v>
      </c>
      <c r="H542" s="148"/>
      <c r="I542" s="198"/>
      <c r="J542" s="192"/>
      <c r="K542" s="148">
        <f t="shared" si="28"/>
        <v>9130</v>
      </c>
    </row>
    <row r="543" spans="1:12" x14ac:dyDescent="0.25">
      <c r="A543" s="197">
        <v>5</v>
      </c>
      <c r="B543" s="160" t="s">
        <v>1307</v>
      </c>
      <c r="C543" s="197" t="s">
        <v>1308</v>
      </c>
      <c r="D543" s="157" t="s">
        <v>1718</v>
      </c>
      <c r="E543" s="199"/>
      <c r="F543" s="197"/>
      <c r="G543" s="148">
        <v>6500</v>
      </c>
      <c r="H543" s="148"/>
      <c r="I543" s="198"/>
      <c r="J543" s="197"/>
      <c r="K543" s="148">
        <f t="shared" si="28"/>
        <v>6500</v>
      </c>
    </row>
    <row r="544" spans="1:12" x14ac:dyDescent="0.25">
      <c r="A544" s="197">
        <v>6</v>
      </c>
      <c r="B544" s="160" t="s">
        <v>1971</v>
      </c>
      <c r="C544" s="197" t="s">
        <v>1308</v>
      </c>
      <c r="D544" s="157" t="s">
        <v>1719</v>
      </c>
      <c r="E544" s="199"/>
      <c r="F544" s="197"/>
      <c r="G544" s="317">
        <v>11750</v>
      </c>
      <c r="H544" s="148"/>
      <c r="I544" s="198"/>
      <c r="J544" s="197"/>
      <c r="K544" s="148">
        <f t="shared" si="28"/>
        <v>11750</v>
      </c>
    </row>
    <row r="545" spans="1:11" x14ac:dyDescent="0.25">
      <c r="A545" s="197">
        <v>7</v>
      </c>
      <c r="B545" s="160" t="s">
        <v>1369</v>
      </c>
      <c r="C545" s="197" t="s">
        <v>1308</v>
      </c>
      <c r="D545" s="157" t="s">
        <v>1720</v>
      </c>
      <c r="E545" s="199"/>
      <c r="F545" s="197"/>
      <c r="G545" s="317">
        <v>14500</v>
      </c>
      <c r="H545" s="148"/>
      <c r="I545" s="198"/>
      <c r="J545" s="197"/>
      <c r="K545" s="148">
        <f t="shared" si="28"/>
        <v>14500</v>
      </c>
    </row>
    <row r="546" spans="1:11" x14ac:dyDescent="0.25">
      <c r="A546" s="197">
        <v>8</v>
      </c>
      <c r="B546" s="160" t="s">
        <v>1309</v>
      </c>
      <c r="C546" s="197" t="s">
        <v>61</v>
      </c>
      <c r="D546" s="157" t="s">
        <v>1721</v>
      </c>
      <c r="E546" s="220"/>
      <c r="F546" s="197"/>
      <c r="G546" s="148">
        <v>2600</v>
      </c>
      <c r="H546" s="148"/>
      <c r="I546" s="198"/>
      <c r="J546" s="197"/>
      <c r="K546" s="148">
        <f t="shared" si="28"/>
        <v>2600</v>
      </c>
    </row>
    <row r="547" spans="1:11" x14ac:dyDescent="0.25">
      <c r="A547" s="197">
        <v>9</v>
      </c>
      <c r="B547" s="167" t="s">
        <v>1310</v>
      </c>
      <c r="C547" s="197" t="s">
        <v>61</v>
      </c>
      <c r="D547" s="157" t="s">
        <v>1722</v>
      </c>
      <c r="F547" s="192"/>
      <c r="G547" s="148">
        <v>2000</v>
      </c>
      <c r="H547" s="148"/>
      <c r="I547" s="198"/>
      <c r="J547" s="192"/>
      <c r="K547" s="148">
        <f t="shared" si="28"/>
        <v>2000</v>
      </c>
    </row>
    <row r="548" spans="1:11" x14ac:dyDescent="0.25">
      <c r="A548" s="197">
        <v>10</v>
      </c>
      <c r="B548" s="167" t="s">
        <v>1311</v>
      </c>
      <c r="C548" s="197" t="s">
        <v>61</v>
      </c>
      <c r="D548" s="157" t="s">
        <v>1723</v>
      </c>
      <c r="F548" s="192"/>
      <c r="G548" s="148">
        <v>1250</v>
      </c>
      <c r="H548" s="148"/>
      <c r="I548" s="198"/>
      <c r="J548" s="192"/>
      <c r="K548" s="148">
        <f t="shared" si="28"/>
        <v>1250</v>
      </c>
    </row>
    <row r="549" spans="1:11" x14ac:dyDescent="0.25">
      <c r="A549" s="197">
        <v>11</v>
      </c>
      <c r="B549" s="167" t="s">
        <v>1312</v>
      </c>
      <c r="C549" s="197" t="s">
        <v>40</v>
      </c>
      <c r="D549" s="157" t="s">
        <v>1724</v>
      </c>
      <c r="F549" s="192"/>
      <c r="G549" s="148">
        <v>45500</v>
      </c>
      <c r="H549" s="148"/>
      <c r="I549" s="198"/>
      <c r="J549" s="192"/>
      <c r="K549" s="148">
        <f t="shared" si="28"/>
        <v>45500</v>
      </c>
    </row>
    <row r="550" spans="1:11" x14ac:dyDescent="0.25">
      <c r="A550" s="197">
        <v>12</v>
      </c>
      <c r="B550" s="167" t="s">
        <v>1313</v>
      </c>
      <c r="C550" s="146" t="s">
        <v>40</v>
      </c>
      <c r="D550" s="157" t="s">
        <v>1725</v>
      </c>
      <c r="F550" s="192"/>
      <c r="G550" s="148">
        <v>37450</v>
      </c>
      <c r="H550" s="148"/>
      <c r="I550" s="198"/>
      <c r="J550" s="192"/>
      <c r="K550" s="148">
        <f t="shared" si="28"/>
        <v>37450</v>
      </c>
    </row>
    <row r="551" spans="1:11" x14ac:dyDescent="0.25">
      <c r="A551" s="197">
        <v>13</v>
      </c>
      <c r="B551" s="161" t="s">
        <v>1968</v>
      </c>
      <c r="C551" s="205" t="s">
        <v>40</v>
      </c>
      <c r="D551" s="162" t="s">
        <v>1726</v>
      </c>
      <c r="E551" s="204"/>
      <c r="F551" s="205"/>
      <c r="G551" s="163">
        <v>59940</v>
      </c>
      <c r="H551" s="163"/>
      <c r="I551" s="203"/>
      <c r="J551" s="205"/>
      <c r="K551" s="163">
        <f t="shared" si="28"/>
        <v>59940</v>
      </c>
    </row>
    <row r="552" spans="1:11" x14ac:dyDescent="0.25">
      <c r="A552" s="197">
        <v>14</v>
      </c>
      <c r="B552" s="160" t="s">
        <v>1314</v>
      </c>
      <c r="C552" s="197" t="s">
        <v>40</v>
      </c>
      <c r="D552" s="157" t="s">
        <v>1727</v>
      </c>
      <c r="E552" s="199"/>
      <c r="F552" s="197"/>
      <c r="G552" s="148">
        <v>25200</v>
      </c>
      <c r="H552" s="148"/>
      <c r="I552" s="198"/>
      <c r="J552" s="197"/>
      <c r="K552" s="148">
        <f t="shared" si="28"/>
        <v>25200</v>
      </c>
    </row>
    <row r="553" spans="1:11" x14ac:dyDescent="0.25">
      <c r="A553" s="197">
        <v>15</v>
      </c>
      <c r="B553" s="160" t="s">
        <v>1315</v>
      </c>
      <c r="C553" s="197" t="s">
        <v>40</v>
      </c>
      <c r="D553" s="157" t="s">
        <v>1728</v>
      </c>
      <c r="E553" s="199"/>
      <c r="F553" s="197"/>
      <c r="G553" s="148">
        <v>250000</v>
      </c>
      <c r="H553" s="148"/>
      <c r="I553" s="198"/>
      <c r="J553" s="197"/>
      <c r="K553" s="148">
        <f t="shared" si="28"/>
        <v>250000</v>
      </c>
    </row>
    <row r="554" spans="1:11" x14ac:dyDescent="0.25">
      <c r="A554" s="197">
        <v>16</v>
      </c>
      <c r="B554" s="160" t="s">
        <v>1316</v>
      </c>
      <c r="C554" s="197" t="s">
        <v>46</v>
      </c>
      <c r="D554" s="157" t="s">
        <v>1729</v>
      </c>
      <c r="E554" s="199"/>
      <c r="F554" s="197"/>
      <c r="G554" s="148">
        <v>10000</v>
      </c>
      <c r="H554" s="148"/>
      <c r="I554" s="198"/>
      <c r="J554" s="197"/>
      <c r="K554" s="148">
        <f t="shared" si="28"/>
        <v>10000</v>
      </c>
    </row>
    <row r="555" spans="1:11" x14ac:dyDescent="0.25">
      <c r="A555" s="197">
        <v>17</v>
      </c>
      <c r="B555" s="160" t="s">
        <v>1317</v>
      </c>
      <c r="C555" s="146" t="s">
        <v>1308</v>
      </c>
      <c r="D555" s="157" t="s">
        <v>1730</v>
      </c>
      <c r="E555" s="199"/>
      <c r="F555" s="197"/>
      <c r="G555" s="148">
        <v>25000</v>
      </c>
      <c r="H555" s="148"/>
      <c r="I555" s="198"/>
      <c r="J555" s="197"/>
      <c r="K555" s="148">
        <f t="shared" si="28"/>
        <v>25000</v>
      </c>
    </row>
    <row r="556" spans="1:11" x14ac:dyDescent="0.25">
      <c r="A556" s="197">
        <v>18</v>
      </c>
      <c r="B556" s="160" t="s">
        <v>1318</v>
      </c>
      <c r="C556" s="197" t="s">
        <v>46</v>
      </c>
      <c r="D556" s="157" t="s">
        <v>1731</v>
      </c>
      <c r="E556" s="199"/>
      <c r="F556" s="197"/>
      <c r="G556" s="148">
        <v>75000</v>
      </c>
      <c r="H556" s="148"/>
      <c r="I556" s="198"/>
      <c r="J556" s="197"/>
      <c r="K556" s="148">
        <f t="shared" si="28"/>
        <v>75000</v>
      </c>
    </row>
    <row r="557" spans="1:11" x14ac:dyDescent="0.25">
      <c r="A557" s="197">
        <v>19</v>
      </c>
      <c r="B557" s="160" t="s">
        <v>1319</v>
      </c>
      <c r="C557" s="146" t="s">
        <v>1321</v>
      </c>
      <c r="D557" s="157" t="s">
        <v>1732</v>
      </c>
      <c r="E557" s="199"/>
      <c r="F557" s="197"/>
      <c r="G557" s="148">
        <v>55000</v>
      </c>
      <c r="H557" s="148"/>
      <c r="I557" s="198"/>
      <c r="J557" s="197"/>
      <c r="K557" s="148">
        <f t="shared" si="28"/>
        <v>55000</v>
      </c>
    </row>
    <row r="558" spans="1:11" x14ac:dyDescent="0.25">
      <c r="A558" s="197">
        <v>20</v>
      </c>
      <c r="B558" s="160" t="s">
        <v>1320</v>
      </c>
      <c r="C558" s="146" t="s">
        <v>1321</v>
      </c>
      <c r="D558" s="157" t="s">
        <v>1733</v>
      </c>
      <c r="E558" s="199"/>
      <c r="F558" s="197"/>
      <c r="G558" s="148">
        <v>75000</v>
      </c>
      <c r="H558" s="148"/>
      <c r="I558" s="198"/>
      <c r="J558" s="197"/>
      <c r="K558" s="148">
        <f t="shared" si="28"/>
        <v>75000</v>
      </c>
    </row>
    <row r="559" spans="1:11" x14ac:dyDescent="0.25">
      <c r="A559" s="197">
        <v>21</v>
      </c>
      <c r="B559" s="160" t="s">
        <v>1322</v>
      </c>
      <c r="C559" s="146" t="s">
        <v>61</v>
      </c>
      <c r="D559" s="157" t="s">
        <v>1734</v>
      </c>
      <c r="E559" s="199"/>
      <c r="F559" s="197"/>
      <c r="G559" s="148">
        <v>1500</v>
      </c>
      <c r="H559" s="148"/>
      <c r="I559" s="198"/>
      <c r="J559" s="197"/>
      <c r="K559" s="148">
        <f t="shared" si="28"/>
        <v>1500</v>
      </c>
    </row>
    <row r="560" spans="1:11" x14ac:dyDescent="0.25">
      <c r="A560" s="197">
        <v>22</v>
      </c>
      <c r="B560" s="160" t="s">
        <v>1323</v>
      </c>
      <c r="C560" s="146" t="s">
        <v>61</v>
      </c>
      <c r="D560" s="157" t="s">
        <v>1735</v>
      </c>
      <c r="E560" s="199"/>
      <c r="F560" s="197"/>
      <c r="G560" s="148">
        <v>6500</v>
      </c>
      <c r="H560" s="148"/>
      <c r="I560" s="198"/>
      <c r="J560" s="197"/>
      <c r="K560" s="148">
        <f t="shared" si="28"/>
        <v>6500</v>
      </c>
    </row>
    <row r="561" spans="1:11" x14ac:dyDescent="0.25">
      <c r="A561" s="197">
        <v>23</v>
      </c>
      <c r="B561" s="167" t="s">
        <v>1324</v>
      </c>
      <c r="C561" s="197" t="s">
        <v>61</v>
      </c>
      <c r="D561" s="157" t="s">
        <v>1736</v>
      </c>
      <c r="E561" s="194"/>
      <c r="F561" s="192"/>
      <c r="G561" s="148">
        <v>250</v>
      </c>
      <c r="H561" s="148"/>
      <c r="I561" s="198"/>
      <c r="J561" s="192"/>
      <c r="K561" s="148">
        <f t="shared" si="28"/>
        <v>250</v>
      </c>
    </row>
    <row r="562" spans="1:11" x14ac:dyDescent="0.25">
      <c r="A562" s="197">
        <v>24</v>
      </c>
      <c r="B562" s="167" t="s">
        <v>1325</v>
      </c>
      <c r="C562" s="197" t="s">
        <v>713</v>
      </c>
      <c r="D562" s="157" t="s">
        <v>1737</v>
      </c>
      <c r="E562" s="194"/>
      <c r="F562" s="192"/>
      <c r="G562" s="148">
        <v>60000</v>
      </c>
      <c r="H562" s="148"/>
      <c r="I562" s="198"/>
      <c r="J562" s="192"/>
      <c r="K562" s="148">
        <f t="shared" si="28"/>
        <v>60000</v>
      </c>
    </row>
    <row r="563" spans="1:11" x14ac:dyDescent="0.25">
      <c r="A563" s="197">
        <v>25</v>
      </c>
      <c r="B563" s="167" t="s">
        <v>1326</v>
      </c>
      <c r="C563" s="197" t="s">
        <v>713</v>
      </c>
      <c r="D563" s="157" t="s">
        <v>1738</v>
      </c>
      <c r="E563" s="194"/>
      <c r="F563" s="192"/>
      <c r="G563" s="148">
        <v>120500</v>
      </c>
      <c r="H563" s="148"/>
      <c r="I563" s="198"/>
      <c r="J563" s="192"/>
      <c r="K563" s="148">
        <f t="shared" si="28"/>
        <v>120500</v>
      </c>
    </row>
    <row r="564" spans="1:11" x14ac:dyDescent="0.25">
      <c r="A564" s="197">
        <v>26</v>
      </c>
      <c r="B564" s="167" t="s">
        <v>1327</v>
      </c>
      <c r="C564" s="197" t="s">
        <v>713</v>
      </c>
      <c r="D564" s="157" t="s">
        <v>1739</v>
      </c>
      <c r="E564" s="194"/>
      <c r="F564" s="192"/>
      <c r="G564" s="148">
        <v>225000</v>
      </c>
      <c r="H564" s="148"/>
      <c r="I564" s="198"/>
      <c r="J564" s="192"/>
      <c r="K564" s="148">
        <f t="shared" si="28"/>
        <v>225000</v>
      </c>
    </row>
    <row r="565" spans="1:11" x14ac:dyDescent="0.25">
      <c r="A565" s="197">
        <v>27</v>
      </c>
      <c r="B565" s="167" t="s">
        <v>1328</v>
      </c>
      <c r="C565" s="197" t="s">
        <v>162</v>
      </c>
      <c r="D565" s="157" t="s">
        <v>1740</v>
      </c>
      <c r="E565" s="194"/>
      <c r="F565" s="192"/>
      <c r="G565" s="148">
        <v>3500</v>
      </c>
      <c r="H565" s="148"/>
      <c r="I565" s="198"/>
      <c r="J565" s="192"/>
      <c r="K565" s="148">
        <f t="shared" si="28"/>
        <v>3500</v>
      </c>
    </row>
    <row r="566" spans="1:11" x14ac:dyDescent="0.25">
      <c r="A566" s="197">
        <v>28</v>
      </c>
      <c r="B566" s="167" t="s">
        <v>1846</v>
      </c>
      <c r="C566" s="197" t="s">
        <v>713</v>
      </c>
      <c r="D566" s="157"/>
      <c r="E566" s="194"/>
      <c r="F566" s="192"/>
      <c r="G566" s="148">
        <v>5700</v>
      </c>
      <c r="H566" s="148"/>
      <c r="I566" s="198"/>
      <c r="J566" s="192"/>
      <c r="K566" s="148">
        <f t="shared" si="28"/>
        <v>5700</v>
      </c>
    </row>
    <row r="567" spans="1:11" x14ac:dyDescent="0.25">
      <c r="A567" s="197">
        <v>29</v>
      </c>
      <c r="B567" s="167" t="s">
        <v>1840</v>
      </c>
      <c r="C567" s="197" t="s">
        <v>713</v>
      </c>
      <c r="D567" s="157"/>
      <c r="E567" s="194"/>
      <c r="F567" s="192"/>
      <c r="G567" s="148">
        <v>6500</v>
      </c>
      <c r="H567" s="148"/>
      <c r="I567" s="198"/>
      <c r="J567" s="192"/>
      <c r="K567" s="148">
        <f t="shared" si="28"/>
        <v>6500</v>
      </c>
    </row>
    <row r="568" spans="1:11" x14ac:dyDescent="0.25">
      <c r="A568" s="197">
        <v>30</v>
      </c>
      <c r="B568" s="167" t="s">
        <v>1850</v>
      </c>
      <c r="C568" s="197" t="s">
        <v>713</v>
      </c>
      <c r="D568" s="157"/>
      <c r="E568" s="194"/>
      <c r="F568" s="192"/>
      <c r="G568" s="148">
        <v>9250</v>
      </c>
      <c r="H568" s="148"/>
      <c r="I568" s="198"/>
      <c r="J568" s="192"/>
      <c r="K568" s="148">
        <f t="shared" si="28"/>
        <v>9250</v>
      </c>
    </row>
    <row r="569" spans="1:11" x14ac:dyDescent="0.25">
      <c r="A569" s="197">
        <v>31</v>
      </c>
      <c r="B569" s="161" t="s">
        <v>1847</v>
      </c>
      <c r="C569" s="205" t="s">
        <v>713</v>
      </c>
      <c r="D569" s="162"/>
      <c r="E569" s="221"/>
      <c r="F569" s="217"/>
      <c r="G569" s="163">
        <v>138750</v>
      </c>
      <c r="H569" s="163"/>
      <c r="I569" s="203"/>
      <c r="J569" s="217"/>
      <c r="K569" s="163">
        <f t="shared" si="28"/>
        <v>138750</v>
      </c>
    </row>
    <row r="570" spans="1:11" x14ac:dyDescent="0.25">
      <c r="A570" s="197">
        <v>32</v>
      </c>
      <c r="B570" s="167" t="s">
        <v>1841</v>
      </c>
      <c r="C570" s="197" t="s">
        <v>713</v>
      </c>
      <c r="D570" s="157"/>
      <c r="E570" s="194"/>
      <c r="F570" s="192"/>
      <c r="G570" s="148">
        <v>15000</v>
      </c>
      <c r="H570" s="148"/>
      <c r="I570" s="198"/>
      <c r="J570" s="192"/>
      <c r="K570" s="148">
        <f t="shared" si="28"/>
        <v>15000</v>
      </c>
    </row>
    <row r="571" spans="1:11" x14ac:dyDescent="0.25">
      <c r="A571" s="197">
        <v>33</v>
      </c>
      <c r="B571" s="167" t="s">
        <v>1848</v>
      </c>
      <c r="C571" s="197" t="s">
        <v>713</v>
      </c>
      <c r="D571" s="157"/>
      <c r="E571" s="194"/>
      <c r="F571" s="192"/>
      <c r="G571" s="148">
        <v>26200</v>
      </c>
      <c r="H571" s="148"/>
      <c r="I571" s="198"/>
      <c r="J571" s="192"/>
      <c r="K571" s="148">
        <f t="shared" si="28"/>
        <v>26200</v>
      </c>
    </row>
    <row r="572" spans="1:11" x14ac:dyDescent="0.25">
      <c r="A572" s="197">
        <v>34</v>
      </c>
      <c r="B572" s="167" t="s">
        <v>1849</v>
      </c>
      <c r="C572" s="197" t="s">
        <v>713</v>
      </c>
      <c r="D572" s="157"/>
      <c r="E572" s="194"/>
      <c r="F572" s="192"/>
      <c r="G572" s="148">
        <v>18750</v>
      </c>
      <c r="H572" s="148"/>
      <c r="I572" s="198"/>
      <c r="J572" s="192"/>
      <c r="K572" s="148">
        <f t="shared" si="28"/>
        <v>18750</v>
      </c>
    </row>
    <row r="573" spans="1:11" x14ac:dyDescent="0.25">
      <c r="A573" s="197">
        <v>35</v>
      </c>
      <c r="B573" s="167" t="s">
        <v>1842</v>
      </c>
      <c r="C573" s="197" t="s">
        <v>713</v>
      </c>
      <c r="D573" s="157"/>
      <c r="E573" s="194"/>
      <c r="F573" s="192"/>
      <c r="G573" s="148">
        <v>25700</v>
      </c>
      <c r="H573" s="148"/>
      <c r="I573" s="198"/>
      <c r="J573" s="192"/>
      <c r="K573" s="148">
        <f t="shared" si="28"/>
        <v>25700</v>
      </c>
    </row>
    <row r="574" spans="1:11" x14ac:dyDescent="0.25">
      <c r="A574" s="197">
        <v>36</v>
      </c>
      <c r="B574" s="167" t="s">
        <v>1843</v>
      </c>
      <c r="C574" s="197" t="s">
        <v>713</v>
      </c>
      <c r="D574" s="157"/>
      <c r="E574" s="194"/>
      <c r="F574" s="192"/>
      <c r="G574" s="148">
        <v>22500</v>
      </c>
      <c r="H574" s="148"/>
      <c r="I574" s="198"/>
      <c r="J574" s="192"/>
      <c r="K574" s="148">
        <f t="shared" si="28"/>
        <v>22500</v>
      </c>
    </row>
    <row r="575" spans="1:11" x14ac:dyDescent="0.25">
      <c r="A575" s="197">
        <v>37</v>
      </c>
      <c r="B575" s="161" t="s">
        <v>1844</v>
      </c>
      <c r="C575" s="205" t="s">
        <v>713</v>
      </c>
      <c r="D575" s="162"/>
      <c r="E575" s="221"/>
      <c r="F575" s="217"/>
      <c r="G575" s="163">
        <v>138750</v>
      </c>
      <c r="H575" s="163"/>
      <c r="I575" s="203"/>
      <c r="J575" s="217"/>
      <c r="K575" s="163">
        <f t="shared" si="28"/>
        <v>138750</v>
      </c>
    </row>
    <row r="576" spans="1:11" x14ac:dyDescent="0.25">
      <c r="A576" s="197">
        <v>38</v>
      </c>
      <c r="B576" s="167" t="s">
        <v>1845</v>
      </c>
      <c r="C576" s="197" t="s">
        <v>713</v>
      </c>
      <c r="D576" s="157"/>
      <c r="E576" s="194"/>
      <c r="F576" s="192"/>
      <c r="G576" s="148">
        <v>60000</v>
      </c>
      <c r="H576" s="148"/>
      <c r="I576" s="198"/>
      <c r="J576" s="192"/>
      <c r="K576" s="148">
        <f t="shared" si="28"/>
        <v>60000</v>
      </c>
    </row>
    <row r="577" spans="1:11" x14ac:dyDescent="0.25">
      <c r="A577" s="197">
        <v>39</v>
      </c>
      <c r="B577" s="167" t="s">
        <v>1851</v>
      </c>
      <c r="C577" s="197" t="s">
        <v>713</v>
      </c>
      <c r="D577" s="157"/>
      <c r="E577" s="194"/>
      <c r="F577" s="192"/>
      <c r="G577" s="148">
        <v>75000</v>
      </c>
      <c r="H577" s="148"/>
      <c r="I577" s="198"/>
      <c r="J577" s="192"/>
      <c r="K577" s="148">
        <f t="shared" si="28"/>
        <v>75000</v>
      </c>
    </row>
    <row r="578" spans="1:11" x14ac:dyDescent="0.25">
      <c r="A578" s="197">
        <v>40</v>
      </c>
      <c r="B578" s="167" t="s">
        <v>1852</v>
      </c>
      <c r="C578" s="197" t="s">
        <v>713</v>
      </c>
      <c r="D578" s="157"/>
      <c r="E578" s="194"/>
      <c r="F578" s="192"/>
      <c r="G578" s="148"/>
      <c r="H578" s="148"/>
      <c r="I578" s="198"/>
      <c r="J578" s="192"/>
      <c r="K578" s="148">
        <f t="shared" si="28"/>
        <v>0</v>
      </c>
    </row>
    <row r="579" spans="1:11" x14ac:dyDescent="0.25">
      <c r="A579" s="197">
        <v>41</v>
      </c>
      <c r="B579" s="167" t="s">
        <v>1853</v>
      </c>
      <c r="C579" s="197" t="s">
        <v>713</v>
      </c>
      <c r="D579" s="157"/>
      <c r="E579" s="194"/>
      <c r="F579" s="192"/>
      <c r="G579" s="148"/>
      <c r="H579" s="148"/>
      <c r="I579" s="198"/>
      <c r="J579" s="192"/>
      <c r="K579" s="148">
        <f t="shared" si="28"/>
        <v>0</v>
      </c>
    </row>
    <row r="580" spans="1:11" x14ac:dyDescent="0.25">
      <c r="A580" s="197">
        <v>42</v>
      </c>
      <c r="B580" s="209" t="s">
        <v>759</v>
      </c>
      <c r="C580" s="205" t="s">
        <v>760</v>
      </c>
      <c r="D580" s="162"/>
      <c r="E580" s="221"/>
      <c r="F580" s="217"/>
      <c r="G580" s="163">
        <v>250000</v>
      </c>
      <c r="H580" s="163"/>
      <c r="I580" s="203"/>
      <c r="J580" s="217"/>
      <c r="K580" s="163">
        <f t="shared" si="28"/>
        <v>250000</v>
      </c>
    </row>
    <row r="581" spans="1:11" x14ac:dyDescent="0.25">
      <c r="A581" s="197">
        <v>43</v>
      </c>
      <c r="B581" s="167" t="s">
        <v>1969</v>
      </c>
      <c r="C581" s="197" t="s">
        <v>760</v>
      </c>
      <c r="D581" s="157"/>
      <c r="E581" s="194"/>
      <c r="F581" s="192"/>
      <c r="G581" s="148">
        <v>18624000</v>
      </c>
      <c r="H581" s="148"/>
      <c r="I581" s="198"/>
      <c r="J581" s="192"/>
      <c r="K581" s="148">
        <f t="shared" si="28"/>
        <v>18624000</v>
      </c>
    </row>
    <row r="582" spans="1:11" x14ac:dyDescent="0.25">
      <c r="A582" s="197">
        <v>44</v>
      </c>
      <c r="B582" s="161" t="s">
        <v>721</v>
      </c>
      <c r="C582" s="205" t="s">
        <v>162</v>
      </c>
      <c r="D582" s="162"/>
      <c r="E582" s="221"/>
      <c r="F582" s="217"/>
      <c r="G582" s="163">
        <v>123</v>
      </c>
      <c r="H582" s="163"/>
      <c r="I582" s="203"/>
      <c r="J582" s="217"/>
      <c r="K582" s="163">
        <f t="shared" si="28"/>
        <v>123</v>
      </c>
    </row>
    <row r="583" spans="1:11" x14ac:dyDescent="0.25">
      <c r="A583" s="197">
        <v>45</v>
      </c>
      <c r="B583" s="167" t="s">
        <v>1329</v>
      </c>
      <c r="C583" s="197" t="s">
        <v>1237</v>
      </c>
      <c r="D583" s="157" t="s">
        <v>1741</v>
      </c>
      <c r="E583" s="194"/>
      <c r="F583" s="192"/>
      <c r="G583" s="148">
        <v>250000</v>
      </c>
      <c r="H583" s="148"/>
      <c r="I583" s="198"/>
      <c r="J583" s="192"/>
      <c r="K583" s="148">
        <f t="shared" si="28"/>
        <v>250000</v>
      </c>
    </row>
    <row r="584" spans="1:11" x14ac:dyDescent="0.25">
      <c r="A584" s="197">
        <v>46</v>
      </c>
      <c r="B584" s="167" t="s">
        <v>1330</v>
      </c>
      <c r="C584" s="197" t="s">
        <v>46</v>
      </c>
      <c r="D584" s="157" t="s">
        <v>1742</v>
      </c>
      <c r="E584" s="194"/>
      <c r="F584" s="192"/>
      <c r="G584" s="148">
        <v>2500</v>
      </c>
      <c r="H584" s="148"/>
      <c r="I584" s="198"/>
      <c r="J584" s="192"/>
      <c r="K584" s="148">
        <f t="shared" si="28"/>
        <v>2500</v>
      </c>
    </row>
    <row r="585" spans="1:11" x14ac:dyDescent="0.25">
      <c r="A585" s="197">
        <v>47</v>
      </c>
      <c r="B585" s="161" t="s">
        <v>1867</v>
      </c>
      <c r="C585" s="205" t="s">
        <v>713</v>
      </c>
      <c r="D585" s="162" t="s">
        <v>1743</v>
      </c>
      <c r="E585" s="204"/>
      <c r="F585" s="205"/>
      <c r="G585" s="163">
        <v>6660</v>
      </c>
      <c r="H585" s="163"/>
      <c r="I585" s="203"/>
      <c r="J585" s="205"/>
      <c r="K585" s="163">
        <f t="shared" si="28"/>
        <v>6660</v>
      </c>
    </row>
    <row r="586" spans="1:11" x14ac:dyDescent="0.25">
      <c r="A586" s="197">
        <v>48</v>
      </c>
      <c r="B586" s="160" t="s">
        <v>1332</v>
      </c>
      <c r="C586" s="146" t="s">
        <v>61</v>
      </c>
      <c r="D586" s="157" t="s">
        <v>1744</v>
      </c>
      <c r="E586" s="220"/>
      <c r="F586" s="197"/>
      <c r="G586" s="148">
        <v>3500</v>
      </c>
      <c r="H586" s="148"/>
      <c r="I586" s="198"/>
      <c r="J586" s="197"/>
      <c r="K586" s="148">
        <f t="shared" si="28"/>
        <v>3500</v>
      </c>
    </row>
    <row r="587" spans="1:11" x14ac:dyDescent="0.25">
      <c r="A587" s="197">
        <v>49</v>
      </c>
      <c r="B587" s="160" t="s">
        <v>1333</v>
      </c>
      <c r="C587" s="146" t="s">
        <v>61</v>
      </c>
      <c r="D587" s="157" t="s">
        <v>1745</v>
      </c>
      <c r="E587" s="199"/>
      <c r="F587" s="197"/>
      <c r="G587" s="148">
        <v>1850</v>
      </c>
      <c r="H587" s="148"/>
      <c r="I587" s="198"/>
      <c r="J587" s="197"/>
      <c r="K587" s="148">
        <f t="shared" si="28"/>
        <v>1850</v>
      </c>
    </row>
    <row r="588" spans="1:11" x14ac:dyDescent="0.25">
      <c r="A588" s="197">
        <v>50</v>
      </c>
      <c r="B588" s="160" t="s">
        <v>1334</v>
      </c>
      <c r="C588" s="146" t="s">
        <v>61</v>
      </c>
      <c r="D588" s="157" t="s">
        <v>1746</v>
      </c>
      <c r="E588" s="199"/>
      <c r="F588" s="197"/>
      <c r="G588" s="148">
        <v>1000</v>
      </c>
      <c r="H588" s="148"/>
      <c r="I588" s="198"/>
      <c r="J588" s="197"/>
      <c r="K588" s="148">
        <f t="shared" si="28"/>
        <v>1000</v>
      </c>
    </row>
    <row r="589" spans="1:11" x14ac:dyDescent="0.25">
      <c r="A589" s="197">
        <v>51</v>
      </c>
      <c r="B589" s="160" t="s">
        <v>1335</v>
      </c>
      <c r="C589" s="146" t="s">
        <v>61</v>
      </c>
      <c r="D589" s="157" t="s">
        <v>1747</v>
      </c>
      <c r="E589" s="199"/>
      <c r="F589" s="197"/>
      <c r="G589" s="148">
        <v>500</v>
      </c>
      <c r="H589" s="148"/>
      <c r="I589" s="198"/>
      <c r="J589" s="197"/>
      <c r="K589" s="148">
        <f t="shared" si="28"/>
        <v>500</v>
      </c>
    </row>
    <row r="590" spans="1:11" x14ac:dyDescent="0.25">
      <c r="A590" s="197">
        <v>52</v>
      </c>
      <c r="B590" s="160" t="s">
        <v>1336</v>
      </c>
      <c r="C590" s="146" t="s">
        <v>61</v>
      </c>
      <c r="D590" s="157" t="s">
        <v>1748</v>
      </c>
      <c r="E590" s="199"/>
      <c r="F590" s="197"/>
      <c r="G590" s="148">
        <v>250</v>
      </c>
      <c r="H590" s="148"/>
      <c r="I590" s="198"/>
      <c r="J590" s="197"/>
      <c r="K590" s="148">
        <f t="shared" si="28"/>
        <v>250</v>
      </c>
    </row>
    <row r="591" spans="1:11" x14ac:dyDescent="0.25">
      <c r="A591" s="197">
        <v>53</v>
      </c>
      <c r="B591" s="160" t="s">
        <v>1337</v>
      </c>
      <c r="C591" s="146" t="s">
        <v>61</v>
      </c>
      <c r="D591" s="157" t="s">
        <v>1749</v>
      </c>
      <c r="E591" s="199"/>
      <c r="F591" s="197"/>
      <c r="G591" s="148">
        <v>200</v>
      </c>
      <c r="H591" s="148"/>
      <c r="I591" s="198"/>
      <c r="J591" s="197"/>
      <c r="K591" s="148">
        <f t="shared" si="28"/>
        <v>200</v>
      </c>
    </row>
    <row r="592" spans="1:11" x14ac:dyDescent="0.25">
      <c r="A592" s="197">
        <v>54</v>
      </c>
      <c r="B592" s="160" t="s">
        <v>1338</v>
      </c>
      <c r="C592" s="146" t="s">
        <v>1321</v>
      </c>
      <c r="D592" s="157" t="s">
        <v>1750</v>
      </c>
      <c r="E592" s="199"/>
      <c r="F592" s="197"/>
      <c r="G592" s="148">
        <v>120000</v>
      </c>
      <c r="H592" s="148"/>
      <c r="I592" s="198"/>
      <c r="J592" s="197"/>
      <c r="K592" s="148">
        <f t="shared" si="28"/>
        <v>120000</v>
      </c>
    </row>
    <row r="593" spans="1:12" x14ac:dyDescent="0.25">
      <c r="A593" s="197">
        <v>55</v>
      </c>
      <c r="B593" s="160" t="s">
        <v>1339</v>
      </c>
      <c r="C593" s="146" t="s">
        <v>1321</v>
      </c>
      <c r="D593" s="157" t="s">
        <v>1751</v>
      </c>
      <c r="E593" s="199"/>
      <c r="F593" s="197"/>
      <c r="G593" s="148">
        <v>75000</v>
      </c>
      <c r="H593" s="148"/>
      <c r="I593" s="198"/>
      <c r="J593" s="197"/>
      <c r="K593" s="148">
        <f t="shared" si="28"/>
        <v>75000</v>
      </c>
    </row>
    <row r="594" spans="1:12" x14ac:dyDescent="0.25">
      <c r="A594" s="197">
        <v>56</v>
      </c>
      <c r="B594" s="160" t="s">
        <v>1340</v>
      </c>
      <c r="C594" s="146" t="s">
        <v>40</v>
      </c>
      <c r="D594" s="157" t="s">
        <v>1752</v>
      </c>
      <c r="E594" s="199"/>
      <c r="F594" s="197"/>
      <c r="G594" s="148">
        <v>30000</v>
      </c>
      <c r="H594" s="148"/>
      <c r="I594" s="198"/>
      <c r="J594" s="197"/>
      <c r="K594" s="148">
        <f t="shared" si="28"/>
        <v>30000</v>
      </c>
    </row>
    <row r="595" spans="1:12" x14ac:dyDescent="0.25">
      <c r="A595" s="197">
        <v>57</v>
      </c>
      <c r="B595" s="160" t="s">
        <v>1341</v>
      </c>
      <c r="C595" s="146" t="s">
        <v>46</v>
      </c>
      <c r="D595" s="157" t="s">
        <v>1753</v>
      </c>
      <c r="E595" s="199"/>
      <c r="F595" s="197"/>
      <c r="G595" s="148">
        <v>7500</v>
      </c>
      <c r="H595" s="148"/>
      <c r="I595" s="198"/>
      <c r="J595" s="197"/>
      <c r="K595" s="148">
        <f t="shared" si="28"/>
        <v>7500</v>
      </c>
    </row>
    <row r="596" spans="1:12" x14ac:dyDescent="0.25">
      <c r="A596" s="197">
        <v>58</v>
      </c>
      <c r="B596" s="167" t="s">
        <v>1342</v>
      </c>
      <c r="C596" s="197" t="s">
        <v>46</v>
      </c>
      <c r="D596" s="157" t="s">
        <v>1754</v>
      </c>
      <c r="E596" s="194"/>
      <c r="F596" s="192"/>
      <c r="G596" s="148">
        <v>10000</v>
      </c>
      <c r="H596" s="148"/>
      <c r="I596" s="198"/>
      <c r="J596" s="192"/>
      <c r="K596" s="148">
        <f t="shared" si="28"/>
        <v>10000</v>
      </c>
      <c r="L596" s="151" t="s">
        <v>1343</v>
      </c>
    </row>
    <row r="597" spans="1:12" x14ac:dyDescent="0.25">
      <c r="A597" s="197">
        <v>59</v>
      </c>
      <c r="B597" s="167" t="s">
        <v>1344</v>
      </c>
      <c r="C597" s="197" t="s">
        <v>46</v>
      </c>
      <c r="D597" s="157" t="s">
        <v>1755</v>
      </c>
      <c r="E597" s="194"/>
      <c r="F597" s="192"/>
      <c r="G597" s="148">
        <v>13500</v>
      </c>
      <c r="H597" s="148"/>
      <c r="I597" s="198"/>
      <c r="J597" s="192"/>
      <c r="K597" s="148">
        <f t="shared" si="28"/>
        <v>13500</v>
      </c>
      <c r="L597" s="151" t="s">
        <v>1343</v>
      </c>
    </row>
    <row r="598" spans="1:12" x14ac:dyDescent="0.25">
      <c r="A598" s="197">
        <v>60</v>
      </c>
      <c r="B598" s="167" t="s">
        <v>1345</v>
      </c>
      <c r="C598" s="197" t="s">
        <v>46</v>
      </c>
      <c r="D598" s="157" t="s">
        <v>1756</v>
      </c>
      <c r="E598" s="194"/>
      <c r="F598" s="192"/>
      <c r="G598" s="148">
        <v>17500</v>
      </c>
      <c r="H598" s="148"/>
      <c r="I598" s="198"/>
      <c r="J598" s="192"/>
      <c r="K598" s="148">
        <f t="shared" si="28"/>
        <v>17500</v>
      </c>
      <c r="L598" s="151" t="s">
        <v>1343</v>
      </c>
    </row>
    <row r="599" spans="1:12" x14ac:dyDescent="0.25">
      <c r="A599" s="197">
        <v>61</v>
      </c>
      <c r="B599" s="167" t="s">
        <v>1346</v>
      </c>
      <c r="C599" s="197" t="s">
        <v>46</v>
      </c>
      <c r="D599" s="157" t="s">
        <v>1757</v>
      </c>
      <c r="E599" s="194"/>
      <c r="F599" s="192"/>
      <c r="G599" s="148">
        <v>11500</v>
      </c>
      <c r="H599" s="148"/>
      <c r="I599" s="198"/>
      <c r="J599" s="192"/>
      <c r="K599" s="148">
        <f t="shared" si="28"/>
        <v>11500</v>
      </c>
      <c r="L599" s="151" t="s">
        <v>1343</v>
      </c>
    </row>
    <row r="600" spans="1:12" x14ac:dyDescent="0.25">
      <c r="A600" s="197">
        <v>62</v>
      </c>
      <c r="B600" s="167" t="s">
        <v>1347</v>
      </c>
      <c r="C600" s="197" t="s">
        <v>46</v>
      </c>
      <c r="D600" s="157" t="s">
        <v>1758</v>
      </c>
      <c r="E600" s="194"/>
      <c r="F600" s="192"/>
      <c r="G600" s="148">
        <v>6750</v>
      </c>
      <c r="H600" s="148"/>
      <c r="I600" s="198"/>
      <c r="J600" s="192"/>
      <c r="K600" s="148">
        <f t="shared" si="28"/>
        <v>6750</v>
      </c>
      <c r="L600" s="151" t="s">
        <v>1343</v>
      </c>
    </row>
    <row r="601" spans="1:12" x14ac:dyDescent="0.25">
      <c r="A601" s="197">
        <v>63</v>
      </c>
      <c r="B601" s="167" t="s">
        <v>1348</v>
      </c>
      <c r="C601" s="197" t="s">
        <v>1350</v>
      </c>
      <c r="D601" s="157" t="s">
        <v>1759</v>
      </c>
      <c r="E601" s="194"/>
      <c r="F601" s="192"/>
      <c r="G601" s="148">
        <v>120000000</v>
      </c>
      <c r="H601" s="148"/>
      <c r="I601" s="198"/>
      <c r="J601" s="192"/>
      <c r="K601" s="148">
        <f t="shared" si="28"/>
        <v>120000000</v>
      </c>
      <c r="L601" s="151" t="s">
        <v>1343</v>
      </c>
    </row>
    <row r="602" spans="1:12" x14ac:dyDescent="0.25">
      <c r="A602" s="197">
        <v>64</v>
      </c>
      <c r="B602" s="167" t="s">
        <v>1349</v>
      </c>
      <c r="C602" s="197" t="s">
        <v>1308</v>
      </c>
      <c r="D602" s="157" t="s">
        <v>1760</v>
      </c>
      <c r="E602" s="194"/>
      <c r="F602" s="192"/>
      <c r="G602" s="148">
        <v>40000</v>
      </c>
      <c r="H602" s="148"/>
      <c r="I602" s="198"/>
      <c r="J602" s="192"/>
      <c r="K602" s="148">
        <f t="shared" si="28"/>
        <v>40000</v>
      </c>
      <c r="L602" s="151" t="s">
        <v>1343</v>
      </c>
    </row>
    <row r="603" spans="1:12" x14ac:dyDescent="0.25">
      <c r="A603" s="197">
        <v>65</v>
      </c>
      <c r="B603" s="161" t="s">
        <v>215</v>
      </c>
      <c r="C603" s="205" t="s">
        <v>1308</v>
      </c>
      <c r="D603" s="162" t="s">
        <v>1761</v>
      </c>
      <c r="E603" s="204"/>
      <c r="F603" s="205"/>
      <c r="G603" s="163">
        <v>34410</v>
      </c>
      <c r="H603" s="163"/>
      <c r="I603" s="203"/>
      <c r="J603" s="205"/>
      <c r="K603" s="163">
        <f t="shared" si="28"/>
        <v>34410</v>
      </c>
    </row>
    <row r="604" spans="1:12" x14ac:dyDescent="0.25">
      <c r="A604" s="197">
        <v>66</v>
      </c>
      <c r="B604" s="160" t="s">
        <v>1351</v>
      </c>
      <c r="C604" s="197" t="s">
        <v>46</v>
      </c>
      <c r="D604" s="157" t="s">
        <v>1762</v>
      </c>
      <c r="E604" s="199"/>
      <c r="F604" s="197"/>
      <c r="G604" s="148">
        <v>10000000</v>
      </c>
      <c r="H604" s="148"/>
      <c r="I604" s="198"/>
      <c r="J604" s="197"/>
      <c r="K604" s="148">
        <f t="shared" si="28"/>
        <v>10000000</v>
      </c>
    </row>
    <row r="605" spans="1:12" x14ac:dyDescent="0.25">
      <c r="A605" s="197">
        <v>67</v>
      </c>
      <c r="B605" s="160" t="s">
        <v>1352</v>
      </c>
      <c r="C605" s="197" t="s">
        <v>46</v>
      </c>
      <c r="D605" s="157" t="s">
        <v>1763</v>
      </c>
      <c r="E605" s="199"/>
      <c r="F605" s="197"/>
      <c r="G605" s="148">
        <v>40000000</v>
      </c>
      <c r="H605" s="148"/>
      <c r="I605" s="198"/>
      <c r="J605" s="197"/>
      <c r="K605" s="148">
        <f t="shared" si="28"/>
        <v>40000000</v>
      </c>
    </row>
    <row r="606" spans="1:12" x14ac:dyDescent="0.25">
      <c r="A606" s="197">
        <v>68</v>
      </c>
      <c r="B606" s="160" t="s">
        <v>1353</v>
      </c>
      <c r="C606" s="197" t="s">
        <v>46</v>
      </c>
      <c r="D606" s="157" t="s">
        <v>1764</v>
      </c>
      <c r="E606" s="199"/>
      <c r="F606" s="197"/>
      <c r="G606" s="148">
        <v>100000000</v>
      </c>
      <c r="H606" s="148"/>
      <c r="I606" s="198"/>
      <c r="J606" s="197"/>
      <c r="K606" s="148">
        <f t="shared" si="28"/>
        <v>100000000</v>
      </c>
    </row>
    <row r="607" spans="1:12" x14ac:dyDescent="0.25">
      <c r="A607" s="197">
        <v>69</v>
      </c>
      <c r="B607" s="160" t="s">
        <v>1354</v>
      </c>
      <c r="C607" s="197" t="s">
        <v>1308</v>
      </c>
      <c r="D607" s="157" t="s">
        <v>1765</v>
      </c>
      <c r="E607" s="199"/>
      <c r="F607" s="197"/>
      <c r="G607" s="148">
        <v>30250</v>
      </c>
      <c r="H607" s="148"/>
      <c r="I607" s="198"/>
      <c r="J607" s="197"/>
      <c r="K607" s="148">
        <f t="shared" si="28"/>
        <v>30250</v>
      </c>
    </row>
    <row r="608" spans="1:12" x14ac:dyDescent="0.25">
      <c r="A608" s="197">
        <v>70</v>
      </c>
      <c r="B608" s="160" t="s">
        <v>1355</v>
      </c>
      <c r="C608" s="197" t="s">
        <v>1308</v>
      </c>
      <c r="D608" s="157" t="s">
        <v>1766</v>
      </c>
      <c r="E608" s="199"/>
      <c r="F608" s="197"/>
      <c r="G608" s="148">
        <v>37500</v>
      </c>
      <c r="H608" s="148"/>
      <c r="I608" s="198"/>
      <c r="J608" s="197"/>
      <c r="K608" s="148">
        <f t="shared" si="28"/>
        <v>37500</v>
      </c>
    </row>
    <row r="609" spans="1:12" x14ac:dyDescent="0.25">
      <c r="A609" s="197">
        <v>71</v>
      </c>
      <c r="B609" s="160" t="s">
        <v>1356</v>
      </c>
      <c r="C609" s="197" t="s">
        <v>1308</v>
      </c>
      <c r="D609" s="157" t="s">
        <v>1767</v>
      </c>
      <c r="E609" s="220"/>
      <c r="F609" s="197"/>
      <c r="G609" s="148">
        <v>38500</v>
      </c>
      <c r="H609" s="148"/>
      <c r="I609" s="198"/>
      <c r="J609" s="197"/>
      <c r="K609" s="148">
        <f t="shared" si="28"/>
        <v>38500</v>
      </c>
    </row>
    <row r="610" spans="1:12" x14ac:dyDescent="0.25">
      <c r="A610" s="197">
        <v>72</v>
      </c>
      <c r="B610" s="160" t="s">
        <v>1357</v>
      </c>
      <c r="C610" s="197" t="s">
        <v>46</v>
      </c>
      <c r="D610" s="157" t="s">
        <v>1768</v>
      </c>
      <c r="E610" s="220"/>
      <c r="F610" s="197"/>
      <c r="G610" s="148">
        <v>1000000</v>
      </c>
      <c r="H610" s="148"/>
      <c r="I610" s="198"/>
      <c r="J610" s="197"/>
      <c r="K610" s="148">
        <f t="shared" si="28"/>
        <v>1000000</v>
      </c>
    </row>
    <row r="611" spans="1:12" x14ac:dyDescent="0.25">
      <c r="A611" s="197">
        <v>73</v>
      </c>
      <c r="B611" s="160" t="s">
        <v>1358</v>
      </c>
      <c r="C611" s="197" t="s">
        <v>46</v>
      </c>
      <c r="D611" s="157" t="s">
        <v>1769</v>
      </c>
      <c r="E611" s="220"/>
      <c r="F611" s="197"/>
      <c r="G611" s="148">
        <v>75000</v>
      </c>
      <c r="H611" s="148"/>
      <c r="I611" s="198"/>
      <c r="J611" s="197"/>
      <c r="K611" s="148">
        <f t="shared" si="28"/>
        <v>75000</v>
      </c>
    </row>
    <row r="612" spans="1:12" x14ac:dyDescent="0.25">
      <c r="A612" s="197">
        <v>74</v>
      </c>
      <c r="B612" s="160" t="s">
        <v>1359</v>
      </c>
      <c r="C612" s="146" t="s">
        <v>1350</v>
      </c>
      <c r="D612" s="157" t="s">
        <v>1770</v>
      </c>
      <c r="E612" s="220"/>
      <c r="F612" s="197"/>
      <c r="G612" s="148">
        <v>1000000</v>
      </c>
      <c r="H612" s="148"/>
      <c r="I612" s="198"/>
      <c r="J612" s="197"/>
      <c r="K612" s="148">
        <f t="shared" si="28"/>
        <v>1000000</v>
      </c>
    </row>
    <row r="613" spans="1:12" x14ac:dyDescent="0.25">
      <c r="A613" s="197">
        <v>75</v>
      </c>
      <c r="B613" s="160" t="s">
        <v>1360</v>
      </c>
      <c r="C613" s="197" t="s">
        <v>46</v>
      </c>
      <c r="D613" s="157" t="s">
        <v>1771</v>
      </c>
      <c r="E613" s="220"/>
      <c r="F613" s="197"/>
      <c r="G613" s="148">
        <v>300000</v>
      </c>
      <c r="H613" s="148"/>
      <c r="I613" s="198"/>
      <c r="J613" s="197"/>
      <c r="K613" s="148">
        <f t="shared" si="28"/>
        <v>300000</v>
      </c>
    </row>
    <row r="614" spans="1:12" x14ac:dyDescent="0.25">
      <c r="A614" s="197">
        <v>76</v>
      </c>
      <c r="B614" s="160" t="s">
        <v>1361</v>
      </c>
      <c r="C614" s="197" t="s">
        <v>61</v>
      </c>
      <c r="D614" s="157" t="s">
        <v>1772</v>
      </c>
      <c r="E614" s="220"/>
      <c r="F614" s="197"/>
      <c r="G614" s="148">
        <v>16500</v>
      </c>
      <c r="H614" s="148"/>
      <c r="I614" s="198"/>
      <c r="J614" s="197"/>
      <c r="K614" s="148">
        <f t="shared" si="28"/>
        <v>16500</v>
      </c>
    </row>
    <row r="615" spans="1:12" x14ac:dyDescent="0.25">
      <c r="A615" s="197">
        <v>77</v>
      </c>
      <c r="B615" s="167" t="s">
        <v>1362</v>
      </c>
      <c r="C615" s="197" t="s">
        <v>61</v>
      </c>
      <c r="D615" s="157" t="s">
        <v>1773</v>
      </c>
      <c r="F615" s="192"/>
      <c r="G615" s="148">
        <v>12500</v>
      </c>
      <c r="H615" s="148"/>
      <c r="I615" s="198"/>
      <c r="J615" s="192"/>
      <c r="K615" s="148">
        <f t="shared" si="28"/>
        <v>12500</v>
      </c>
      <c r="L615" s="151" t="s">
        <v>1343</v>
      </c>
    </row>
    <row r="616" spans="1:12" x14ac:dyDescent="0.25">
      <c r="A616" s="197">
        <v>78</v>
      </c>
      <c r="B616" s="167" t="s">
        <v>1363</v>
      </c>
      <c r="C616" s="197" t="s">
        <v>1365</v>
      </c>
      <c r="D616" s="157" t="s">
        <v>1774</v>
      </c>
      <c r="F616" s="192"/>
      <c r="G616" s="148">
        <v>1000000</v>
      </c>
      <c r="H616" s="148"/>
      <c r="I616" s="198"/>
      <c r="J616" s="192"/>
      <c r="K616" s="148">
        <f t="shared" si="28"/>
        <v>1000000</v>
      </c>
      <c r="L616" s="151" t="s">
        <v>1343</v>
      </c>
    </row>
    <row r="617" spans="1:12" x14ac:dyDescent="0.25">
      <c r="A617" s="197">
        <v>79</v>
      </c>
      <c r="B617" s="160" t="s">
        <v>1364</v>
      </c>
      <c r="C617" s="146" t="s">
        <v>1365</v>
      </c>
      <c r="D617" s="157" t="s">
        <v>1775</v>
      </c>
      <c r="E617" s="220"/>
      <c r="F617" s="197"/>
      <c r="G617" s="148">
        <v>250000</v>
      </c>
      <c r="H617" s="148"/>
      <c r="I617" s="198"/>
      <c r="J617" s="197"/>
      <c r="K617" s="148">
        <f t="shared" si="28"/>
        <v>250000</v>
      </c>
      <c r="L617" s="151" t="s">
        <v>1343</v>
      </c>
    </row>
    <row r="618" spans="1:12" x14ac:dyDescent="0.25">
      <c r="A618" s="197">
        <v>80</v>
      </c>
      <c r="B618" s="160" t="s">
        <v>1366</v>
      </c>
      <c r="C618" s="146" t="s">
        <v>1365</v>
      </c>
      <c r="D618" s="157" t="s">
        <v>1776</v>
      </c>
      <c r="E618" s="220"/>
      <c r="F618" s="197"/>
      <c r="G618" s="148">
        <v>5000000</v>
      </c>
      <c r="H618" s="148"/>
      <c r="I618" s="198"/>
      <c r="J618" s="197"/>
      <c r="K618" s="148">
        <f t="shared" si="28"/>
        <v>5000000</v>
      </c>
      <c r="L618" s="151" t="s">
        <v>1343</v>
      </c>
    </row>
    <row r="619" spans="1:12" x14ac:dyDescent="0.25">
      <c r="A619" s="197">
        <v>81</v>
      </c>
      <c r="B619" s="160" t="s">
        <v>1367</v>
      </c>
      <c r="C619" s="146" t="s">
        <v>1308</v>
      </c>
      <c r="D619" s="157" t="s">
        <v>1777</v>
      </c>
      <c r="E619" s="220"/>
      <c r="F619" s="197"/>
      <c r="G619" s="148">
        <v>5500</v>
      </c>
      <c r="H619" s="148"/>
      <c r="I619" s="198"/>
      <c r="J619" s="197"/>
      <c r="K619" s="148">
        <f t="shared" ref="K619:K630" si="29">+G619+$C$7*J619</f>
        <v>5500</v>
      </c>
      <c r="L619" s="151" t="s">
        <v>1343</v>
      </c>
    </row>
    <row r="620" spans="1:12" x14ac:dyDescent="0.25">
      <c r="A620" s="197">
        <v>82</v>
      </c>
      <c r="B620" s="160" t="s">
        <v>1368</v>
      </c>
      <c r="C620" s="146" t="s">
        <v>1308</v>
      </c>
      <c r="D620" s="157" t="s">
        <v>1778</v>
      </c>
      <c r="E620" s="220"/>
      <c r="F620" s="197"/>
      <c r="G620" s="148">
        <v>10800</v>
      </c>
      <c r="H620" s="148"/>
      <c r="I620" s="198"/>
      <c r="J620" s="197"/>
      <c r="K620" s="148">
        <f t="shared" si="29"/>
        <v>10800</v>
      </c>
    </row>
    <row r="621" spans="1:12" x14ac:dyDescent="0.25">
      <c r="A621" s="197">
        <v>83</v>
      </c>
      <c r="B621" s="160" t="s">
        <v>1369</v>
      </c>
      <c r="C621" s="197" t="s">
        <v>162</v>
      </c>
      <c r="D621" s="157" t="s">
        <v>1779</v>
      </c>
      <c r="E621" s="220"/>
      <c r="F621" s="197"/>
      <c r="G621" s="148">
        <v>2500</v>
      </c>
      <c r="H621" s="148"/>
      <c r="I621" s="198"/>
      <c r="J621" s="197"/>
      <c r="K621" s="148">
        <f t="shared" si="29"/>
        <v>2500</v>
      </c>
    </row>
    <row r="622" spans="1:12" x14ac:dyDescent="0.25">
      <c r="A622" s="197">
        <v>84</v>
      </c>
      <c r="B622" s="160" t="s">
        <v>1370</v>
      </c>
      <c r="C622" s="197" t="s">
        <v>1372</v>
      </c>
      <c r="D622" s="157" t="s">
        <v>1780</v>
      </c>
      <c r="E622" s="220"/>
      <c r="F622" s="197"/>
      <c r="G622" s="148">
        <v>35000</v>
      </c>
      <c r="H622" s="148"/>
      <c r="I622" s="198"/>
      <c r="J622" s="197"/>
      <c r="K622" s="148">
        <f t="shared" si="29"/>
        <v>35000</v>
      </c>
    </row>
    <row r="623" spans="1:12" x14ac:dyDescent="0.25">
      <c r="A623" s="197">
        <v>85</v>
      </c>
      <c r="B623" s="208" t="s">
        <v>855</v>
      </c>
      <c r="C623" s="205" t="s">
        <v>167</v>
      </c>
      <c r="D623" s="162"/>
      <c r="E623" s="222"/>
      <c r="F623" s="205"/>
      <c r="G623" s="163">
        <v>34000</v>
      </c>
      <c r="H623" s="163"/>
      <c r="I623" s="203"/>
      <c r="J623" s="205"/>
      <c r="K623" s="163">
        <f t="shared" si="29"/>
        <v>34000</v>
      </c>
    </row>
    <row r="624" spans="1:12" x14ac:dyDescent="0.25">
      <c r="A624" s="197">
        <v>86</v>
      </c>
      <c r="B624" s="160" t="s">
        <v>1371</v>
      </c>
      <c r="C624" s="146" t="s">
        <v>1372</v>
      </c>
      <c r="D624" s="157" t="s">
        <v>1781</v>
      </c>
      <c r="E624" s="220"/>
      <c r="F624" s="197"/>
      <c r="G624" s="148">
        <v>40000</v>
      </c>
      <c r="H624" s="148"/>
      <c r="I624" s="198"/>
      <c r="J624" s="197"/>
      <c r="K624" s="148">
        <f t="shared" si="29"/>
        <v>40000</v>
      </c>
      <c r="L624" s="151" t="s">
        <v>1343</v>
      </c>
    </row>
    <row r="625" spans="1:12" x14ac:dyDescent="0.25">
      <c r="A625" s="197">
        <v>87</v>
      </c>
      <c r="B625" s="160" t="s">
        <v>1373</v>
      </c>
      <c r="C625" s="146" t="s">
        <v>162</v>
      </c>
      <c r="D625" s="157" t="s">
        <v>1782</v>
      </c>
      <c r="E625" s="220"/>
      <c r="F625" s="197"/>
      <c r="G625" s="148">
        <v>75000</v>
      </c>
      <c r="H625" s="148"/>
      <c r="I625" s="198"/>
      <c r="J625" s="197"/>
      <c r="K625" s="148">
        <f t="shared" si="29"/>
        <v>75000</v>
      </c>
      <c r="L625" s="151" t="s">
        <v>1343</v>
      </c>
    </row>
    <row r="626" spans="1:12" x14ac:dyDescent="0.25">
      <c r="A626" s="197">
        <v>88</v>
      </c>
      <c r="B626" s="193" t="s">
        <v>1374</v>
      </c>
      <c r="C626" s="197" t="s">
        <v>162</v>
      </c>
      <c r="D626" s="157" t="s">
        <v>1783</v>
      </c>
      <c r="E626" s="199"/>
      <c r="F626" s="197"/>
      <c r="G626" s="148">
        <v>90000</v>
      </c>
      <c r="H626" s="148"/>
      <c r="I626" s="198"/>
      <c r="J626" s="197"/>
      <c r="K626" s="148">
        <f t="shared" si="29"/>
        <v>90000</v>
      </c>
    </row>
    <row r="627" spans="1:12" x14ac:dyDescent="0.25">
      <c r="A627" s="197">
        <v>89</v>
      </c>
      <c r="B627" s="193" t="s">
        <v>1375</v>
      </c>
      <c r="C627" s="197" t="s">
        <v>162</v>
      </c>
      <c r="D627" s="157" t="s">
        <v>1784</v>
      </c>
      <c r="E627" s="199"/>
      <c r="F627" s="197"/>
      <c r="G627" s="148">
        <v>115000</v>
      </c>
      <c r="H627" s="148"/>
      <c r="I627" s="198"/>
      <c r="J627" s="197"/>
      <c r="K627" s="148">
        <f t="shared" si="29"/>
        <v>115000</v>
      </c>
    </row>
    <row r="628" spans="1:12" x14ac:dyDescent="0.25">
      <c r="A628" s="197">
        <v>90</v>
      </c>
      <c r="B628" s="193" t="s">
        <v>1376</v>
      </c>
      <c r="C628" s="197" t="s">
        <v>162</v>
      </c>
      <c r="D628" s="157" t="s">
        <v>1785</v>
      </c>
      <c r="E628" s="199"/>
      <c r="F628" s="197"/>
      <c r="G628" s="148">
        <v>125000</v>
      </c>
      <c r="H628" s="148"/>
      <c r="I628" s="198"/>
      <c r="J628" s="197"/>
      <c r="K628" s="148">
        <f t="shared" si="29"/>
        <v>125000</v>
      </c>
    </row>
    <row r="629" spans="1:12" x14ac:dyDescent="0.25">
      <c r="A629" s="197">
        <v>91</v>
      </c>
      <c r="B629" s="193" t="s">
        <v>1377</v>
      </c>
      <c r="C629" s="197" t="s">
        <v>162</v>
      </c>
      <c r="D629" s="157" t="e">
        <f>+#REF!</f>
        <v>#REF!</v>
      </c>
      <c r="E629" s="199"/>
      <c r="F629" s="197"/>
      <c r="G629" s="148" t="e">
        <f>+#REF!</f>
        <v>#REF!</v>
      </c>
      <c r="H629" s="148"/>
      <c r="I629" s="198"/>
      <c r="J629" s="197"/>
      <c r="K629" s="148" t="e">
        <f>+G629+$C$7*J629</f>
        <v>#REF!</v>
      </c>
    </row>
    <row r="630" spans="1:12" x14ac:dyDescent="0.25">
      <c r="A630" s="197">
        <v>92</v>
      </c>
      <c r="B630" s="193" t="s">
        <v>2056</v>
      </c>
      <c r="C630" s="197" t="s">
        <v>1308</v>
      </c>
      <c r="D630" s="157"/>
      <c r="E630" s="199"/>
      <c r="F630" s="197"/>
      <c r="G630" s="148">
        <v>40000</v>
      </c>
      <c r="H630" s="148"/>
      <c r="I630" s="198"/>
      <c r="J630" s="197"/>
      <c r="K630" s="148">
        <f t="shared" si="29"/>
        <v>40000</v>
      </c>
    </row>
    <row r="631" spans="1:12" x14ac:dyDescent="0.25">
      <c r="A631" s="197"/>
      <c r="B631" s="193"/>
      <c r="C631" s="197"/>
      <c r="D631" s="157"/>
      <c r="E631" s="199"/>
      <c r="F631" s="197"/>
      <c r="G631" s="148"/>
      <c r="H631" s="148"/>
      <c r="I631" s="198"/>
      <c r="J631" s="197"/>
      <c r="K631" s="148"/>
    </row>
    <row r="632" spans="1:12" x14ac:dyDescent="0.25">
      <c r="A632" s="197"/>
      <c r="B632" s="193"/>
      <c r="C632" s="197"/>
      <c r="D632" s="157"/>
      <c r="E632" s="199"/>
      <c r="F632" s="197"/>
      <c r="G632" s="148"/>
      <c r="H632" s="148"/>
      <c r="I632" s="198"/>
      <c r="J632" s="197"/>
      <c r="K632" s="148"/>
    </row>
    <row r="633" spans="1:12" x14ac:dyDescent="0.25">
      <c r="A633" s="226" t="s">
        <v>1788</v>
      </c>
      <c r="B633" s="227" t="s">
        <v>1895</v>
      </c>
      <c r="C633" s="197"/>
      <c r="D633" s="157"/>
      <c r="E633" s="199"/>
      <c r="F633" s="197"/>
      <c r="G633" s="148"/>
      <c r="H633" s="148"/>
      <c r="I633" s="198"/>
      <c r="J633" s="197"/>
      <c r="K633" s="148"/>
    </row>
    <row r="634" spans="1:12" x14ac:dyDescent="0.25">
      <c r="A634" s="197">
        <v>1</v>
      </c>
      <c r="B634" s="193" t="s">
        <v>1896</v>
      </c>
      <c r="C634" s="197" t="s">
        <v>43</v>
      </c>
      <c r="D634" s="157"/>
      <c r="E634" s="199"/>
      <c r="F634" s="197"/>
      <c r="G634" s="148">
        <f>'REKAP HSP'!D69</f>
        <v>1646535.2</v>
      </c>
      <c r="H634" s="148"/>
      <c r="I634" s="198"/>
      <c r="J634" s="197"/>
      <c r="K634" s="148">
        <f t="shared" ref="K634:K672" si="30">+G634+$C$7*J634</f>
        <v>1646535.2</v>
      </c>
    </row>
    <row r="635" spans="1:12" x14ac:dyDescent="0.25">
      <c r="A635" s="197">
        <v>2</v>
      </c>
      <c r="B635" s="193" t="s">
        <v>1897</v>
      </c>
      <c r="C635" s="197" t="s">
        <v>43</v>
      </c>
      <c r="D635" s="157"/>
      <c r="E635" s="199"/>
      <c r="F635" s="197"/>
      <c r="G635" s="148">
        <f>'REKAP HSP'!D70</f>
        <v>1883928.2</v>
      </c>
      <c r="H635" s="148"/>
      <c r="I635" s="198"/>
      <c r="J635" s="197"/>
      <c r="K635" s="148">
        <f t="shared" si="30"/>
        <v>1883928.2</v>
      </c>
    </row>
    <row r="636" spans="1:12" x14ac:dyDescent="0.25">
      <c r="A636" s="197">
        <v>3</v>
      </c>
      <c r="B636" s="193" t="s">
        <v>1898</v>
      </c>
      <c r="C636" s="197" t="s">
        <v>43</v>
      </c>
      <c r="D636" s="157"/>
      <c r="E636" s="199"/>
      <c r="F636" s="197"/>
      <c r="G636" s="148">
        <f>'REKAP HSP'!D71</f>
        <v>1584660.5911999999</v>
      </c>
      <c r="H636" s="148"/>
      <c r="I636" s="198"/>
      <c r="J636" s="197"/>
      <c r="K636" s="148">
        <f t="shared" si="30"/>
        <v>1584660.5911999999</v>
      </c>
    </row>
    <row r="637" spans="1:12" x14ac:dyDescent="0.25">
      <c r="A637" s="197">
        <v>4</v>
      </c>
      <c r="B637" s="193" t="s">
        <v>1899</v>
      </c>
      <c r="C637" s="197" t="s">
        <v>43</v>
      </c>
      <c r="D637" s="157"/>
      <c r="E637" s="199"/>
      <c r="F637" s="197"/>
      <c r="G637" s="148">
        <f>'REKAP HSP'!D72</f>
        <v>1867384.5911999999</v>
      </c>
      <c r="H637" s="148"/>
      <c r="I637" s="198"/>
      <c r="J637" s="197"/>
      <c r="K637" s="148">
        <f t="shared" si="30"/>
        <v>1867384.5911999999</v>
      </c>
    </row>
    <row r="638" spans="1:12" x14ac:dyDescent="0.25">
      <c r="A638" s="197">
        <v>5</v>
      </c>
      <c r="B638" s="193" t="s">
        <v>1900</v>
      </c>
      <c r="C638" s="197" t="s">
        <v>43</v>
      </c>
      <c r="D638" s="157"/>
      <c r="E638" s="199"/>
      <c r="F638" s="197"/>
      <c r="G638" s="148">
        <f>'REKAP HSP'!D73</f>
        <v>1540374.8</v>
      </c>
      <c r="H638" s="148"/>
      <c r="I638" s="198"/>
      <c r="J638" s="197"/>
      <c r="K638" s="148">
        <f t="shared" si="30"/>
        <v>1540374.8</v>
      </c>
    </row>
    <row r="639" spans="1:12" x14ac:dyDescent="0.25">
      <c r="A639" s="197">
        <v>6</v>
      </c>
      <c r="B639" s="193" t="s">
        <v>1901</v>
      </c>
      <c r="C639" s="197" t="s">
        <v>43</v>
      </c>
      <c r="D639" s="157"/>
      <c r="E639" s="199"/>
      <c r="F639" s="197"/>
      <c r="G639" s="148">
        <f>'REKAP HSP'!D74</f>
        <v>1777767.8</v>
      </c>
      <c r="H639" s="148"/>
      <c r="I639" s="198"/>
      <c r="J639" s="197"/>
      <c r="K639" s="148">
        <f t="shared" si="30"/>
        <v>1777767.8</v>
      </c>
    </row>
    <row r="640" spans="1:12" x14ac:dyDescent="0.25">
      <c r="A640" s="197">
        <v>7</v>
      </c>
      <c r="B640" s="193" t="s">
        <v>1902</v>
      </c>
      <c r="C640" s="197" t="s">
        <v>43</v>
      </c>
      <c r="D640" s="157"/>
      <c r="E640" s="199"/>
      <c r="F640" s="197"/>
      <c r="G640" s="148">
        <f>'REKAP HSP'!D75</f>
        <v>1478500.1912</v>
      </c>
      <c r="H640" s="148"/>
      <c r="I640" s="198"/>
      <c r="J640" s="197"/>
      <c r="K640" s="148">
        <f t="shared" si="30"/>
        <v>1478500.1912</v>
      </c>
    </row>
    <row r="641" spans="1:11" x14ac:dyDescent="0.25">
      <c r="A641" s="197">
        <v>8</v>
      </c>
      <c r="B641" s="193" t="s">
        <v>1903</v>
      </c>
      <c r="C641" s="197" t="s">
        <v>43</v>
      </c>
      <c r="D641" s="157"/>
      <c r="E641" s="199"/>
      <c r="F641" s="197"/>
      <c r="G641" s="148">
        <f>'REKAP HSP'!D76</f>
        <v>1761224.1912</v>
      </c>
      <c r="H641" s="148"/>
      <c r="I641" s="198"/>
      <c r="J641" s="197"/>
      <c r="K641" s="148">
        <f t="shared" si="30"/>
        <v>1761224.1912</v>
      </c>
    </row>
    <row r="642" spans="1:11" x14ac:dyDescent="0.25">
      <c r="A642" s="197">
        <v>9</v>
      </c>
      <c r="B642" s="193" t="s">
        <v>1904</v>
      </c>
      <c r="C642" s="197" t="s">
        <v>43</v>
      </c>
      <c r="D642" s="157"/>
      <c r="E642" s="199"/>
      <c r="F642" s="197"/>
      <c r="G642" s="148">
        <f>'REKAP HSP'!D77</f>
        <v>1457546.6</v>
      </c>
      <c r="H642" s="148"/>
      <c r="I642" s="198"/>
      <c r="J642" s="197"/>
      <c r="K642" s="148">
        <f t="shared" si="30"/>
        <v>1457546.6</v>
      </c>
    </row>
    <row r="643" spans="1:11" x14ac:dyDescent="0.25">
      <c r="A643" s="197">
        <v>10</v>
      </c>
      <c r="B643" s="193" t="s">
        <v>1905</v>
      </c>
      <c r="C643" s="197" t="s">
        <v>43</v>
      </c>
      <c r="D643" s="157"/>
      <c r="E643" s="199"/>
      <c r="F643" s="197"/>
      <c r="G643" s="148">
        <f>'REKAP HSP'!D78</f>
        <v>1395671.9912</v>
      </c>
      <c r="H643" s="148"/>
      <c r="I643" s="198"/>
      <c r="J643" s="197"/>
      <c r="K643" s="148">
        <f t="shared" si="30"/>
        <v>1395671.9912</v>
      </c>
    </row>
    <row r="644" spans="1:11" x14ac:dyDescent="0.25">
      <c r="A644" s="197">
        <v>11</v>
      </c>
      <c r="B644" s="193" t="s">
        <v>1913</v>
      </c>
      <c r="C644" s="197" t="s">
        <v>43</v>
      </c>
      <c r="D644" s="157"/>
      <c r="E644" s="199"/>
      <c r="F644" s="197"/>
      <c r="G644" s="148">
        <f>'REKAP HSP'!D79</f>
        <v>46723.16</v>
      </c>
      <c r="H644" s="148"/>
      <c r="I644" s="198"/>
      <c r="J644" s="197"/>
      <c r="K644" s="148">
        <f t="shared" si="30"/>
        <v>46723.16</v>
      </c>
    </row>
    <row r="645" spans="1:11" x14ac:dyDescent="0.25">
      <c r="A645" s="197">
        <v>12</v>
      </c>
      <c r="B645" s="193" t="s">
        <v>1906</v>
      </c>
      <c r="C645" s="197" t="s">
        <v>43</v>
      </c>
      <c r="D645" s="157"/>
      <c r="E645" s="199"/>
      <c r="F645" s="197"/>
      <c r="G645" s="148">
        <f>'REKAP HSP'!D80</f>
        <v>1485290.352</v>
      </c>
      <c r="H645" s="148"/>
      <c r="I645" s="198"/>
      <c r="J645" s="197"/>
      <c r="K645" s="148">
        <f t="shared" si="30"/>
        <v>1485290.352</v>
      </c>
    </row>
    <row r="646" spans="1:11" x14ac:dyDescent="0.25">
      <c r="A646" s="197">
        <v>13</v>
      </c>
      <c r="B646" s="193" t="s">
        <v>1906</v>
      </c>
      <c r="C646" s="197" t="s">
        <v>43</v>
      </c>
      <c r="D646" s="157"/>
      <c r="E646" s="199"/>
      <c r="F646" s="197"/>
      <c r="G646" s="148">
        <f>'REKAP HSP'!D81</f>
        <v>1725595.852</v>
      </c>
      <c r="H646" s="148"/>
      <c r="I646" s="198"/>
      <c r="J646" s="197"/>
      <c r="K646" s="148">
        <f t="shared" si="30"/>
        <v>1725595.852</v>
      </c>
    </row>
    <row r="647" spans="1:11" x14ac:dyDescent="0.25">
      <c r="A647" s="197">
        <v>14</v>
      </c>
      <c r="B647" s="193" t="s">
        <v>1907</v>
      </c>
      <c r="C647" s="197" t="s">
        <v>43</v>
      </c>
      <c r="D647" s="157"/>
      <c r="E647" s="199"/>
      <c r="F647" s="197"/>
      <c r="G647" s="148">
        <f>'REKAP HSP'!D82</f>
        <v>1378274.456</v>
      </c>
      <c r="H647" s="148"/>
      <c r="I647" s="198"/>
      <c r="J647" s="197"/>
      <c r="K647" s="148">
        <f t="shared" si="30"/>
        <v>1378274.456</v>
      </c>
    </row>
    <row r="648" spans="1:11" x14ac:dyDescent="0.25">
      <c r="A648" s="197">
        <v>15</v>
      </c>
      <c r="B648" s="193" t="s">
        <v>1908</v>
      </c>
      <c r="C648" s="197" t="s">
        <v>43</v>
      </c>
      <c r="D648" s="157"/>
      <c r="E648" s="199"/>
      <c r="F648" s="197"/>
      <c r="G648" s="148">
        <f>'REKAP HSP'!D83</f>
        <v>1603087.9080000001</v>
      </c>
      <c r="H648" s="148"/>
      <c r="I648" s="198"/>
      <c r="J648" s="197"/>
      <c r="K648" s="148">
        <f t="shared" si="30"/>
        <v>1603087.9080000001</v>
      </c>
    </row>
    <row r="649" spans="1:11" x14ac:dyDescent="0.25">
      <c r="A649" s="197">
        <v>16</v>
      </c>
      <c r="B649" s="193" t="s">
        <v>1909</v>
      </c>
      <c r="C649" s="197" t="s">
        <v>43</v>
      </c>
      <c r="D649" s="157"/>
      <c r="E649" s="199"/>
      <c r="F649" s="197"/>
      <c r="G649" s="148">
        <f>'REKAP HSP'!D84</f>
        <v>1408994.28</v>
      </c>
      <c r="H649" s="148"/>
      <c r="I649" s="198"/>
      <c r="J649" s="197"/>
      <c r="K649" s="148">
        <f t="shared" si="30"/>
        <v>1408994.28</v>
      </c>
    </row>
    <row r="650" spans="1:11" x14ac:dyDescent="0.25">
      <c r="A650" s="197">
        <v>17</v>
      </c>
      <c r="B650" s="193" t="s">
        <v>1910</v>
      </c>
      <c r="C650" s="197" t="s">
        <v>43</v>
      </c>
      <c r="D650" s="157"/>
      <c r="E650" s="199"/>
      <c r="F650" s="197"/>
      <c r="G650" s="148">
        <f>'REKAP HSP'!D85</f>
        <v>1286486.3360000001</v>
      </c>
      <c r="H650" s="148"/>
      <c r="I650" s="198"/>
      <c r="J650" s="197"/>
      <c r="K650" s="148">
        <f t="shared" si="30"/>
        <v>1286486.3360000001</v>
      </c>
    </row>
    <row r="651" spans="1:11" x14ac:dyDescent="0.25">
      <c r="A651" s="197">
        <v>18</v>
      </c>
      <c r="B651" s="193" t="s">
        <v>1911</v>
      </c>
      <c r="C651" s="197" t="s">
        <v>43</v>
      </c>
      <c r="D651" s="157"/>
      <c r="E651" s="199"/>
      <c r="F651" s="197"/>
      <c r="G651" s="148">
        <f>'REKAP HSP'!D86</f>
        <v>1357841.4839999999</v>
      </c>
      <c r="H651" s="148"/>
      <c r="I651" s="198"/>
      <c r="J651" s="197"/>
      <c r="K651" s="148">
        <f t="shared" si="30"/>
        <v>1357841.4839999999</v>
      </c>
    </row>
    <row r="652" spans="1:11" x14ac:dyDescent="0.25">
      <c r="A652" s="197">
        <v>19</v>
      </c>
      <c r="B652" s="193" t="s">
        <v>1912</v>
      </c>
      <c r="C652" s="197" t="s">
        <v>43</v>
      </c>
      <c r="D652" s="157"/>
      <c r="E652" s="199"/>
      <c r="F652" s="197"/>
      <c r="G652" s="148">
        <f>'REKAP HSP'!D87</f>
        <v>1235333.54</v>
      </c>
      <c r="H652" s="148"/>
      <c r="I652" s="198"/>
      <c r="J652" s="197"/>
      <c r="K652" s="148">
        <f t="shared" si="30"/>
        <v>1235333.54</v>
      </c>
    </row>
    <row r="653" spans="1:11" x14ac:dyDescent="0.25">
      <c r="A653" s="197"/>
      <c r="B653" s="193" t="s">
        <v>1918</v>
      </c>
      <c r="C653" s="197" t="s">
        <v>713</v>
      </c>
      <c r="D653" s="157"/>
      <c r="E653" s="199"/>
      <c r="F653" s="197"/>
      <c r="G653" s="148">
        <v>105735.6</v>
      </c>
      <c r="H653" s="148"/>
      <c r="I653" s="198"/>
      <c r="J653" s="197"/>
      <c r="K653" s="148">
        <f t="shared" si="30"/>
        <v>105735.6</v>
      </c>
    </row>
    <row r="654" spans="1:11" x14ac:dyDescent="0.25">
      <c r="A654" s="197"/>
      <c r="B654" s="193" t="s">
        <v>1919</v>
      </c>
      <c r="C654" s="197" t="s">
        <v>713</v>
      </c>
      <c r="D654" s="157"/>
      <c r="E654" s="199"/>
      <c r="F654" s="197"/>
      <c r="G654" s="148">
        <v>192580.15</v>
      </c>
      <c r="H654" s="148"/>
      <c r="I654" s="198"/>
      <c r="J654" s="197"/>
      <c r="K654" s="148">
        <f t="shared" si="30"/>
        <v>192580.15</v>
      </c>
    </row>
    <row r="655" spans="1:11" x14ac:dyDescent="0.25">
      <c r="A655" s="197"/>
      <c r="B655" s="193" t="s">
        <v>1920</v>
      </c>
      <c r="C655" s="197" t="s">
        <v>713</v>
      </c>
      <c r="D655" s="157"/>
      <c r="E655" s="199"/>
      <c r="F655" s="197"/>
      <c r="G655" s="148">
        <v>119577</v>
      </c>
      <c r="H655" s="148"/>
      <c r="I655" s="198"/>
      <c r="J655" s="197"/>
      <c r="K655" s="148">
        <f t="shared" si="30"/>
        <v>119577</v>
      </c>
    </row>
    <row r="656" spans="1:11" x14ac:dyDescent="0.25">
      <c r="A656" s="197"/>
      <c r="B656" s="193" t="s">
        <v>1921</v>
      </c>
      <c r="C656" s="197" t="s">
        <v>713</v>
      </c>
      <c r="D656" s="157"/>
      <c r="E656" s="199"/>
      <c r="F656" s="197"/>
      <c r="G656" s="148">
        <v>221104.75</v>
      </c>
      <c r="H656" s="148"/>
      <c r="I656" s="198"/>
      <c r="J656" s="197"/>
      <c r="K656" s="148">
        <f t="shared" si="30"/>
        <v>221104.75</v>
      </c>
    </row>
    <row r="657" spans="1:11" x14ac:dyDescent="0.25">
      <c r="A657" s="197"/>
      <c r="B657" s="193" t="s">
        <v>1922</v>
      </c>
      <c r="C657" s="197" t="s">
        <v>713</v>
      </c>
      <c r="D657" s="157"/>
      <c r="E657" s="199"/>
      <c r="F657" s="197"/>
      <c r="G657" s="148">
        <v>114512.4</v>
      </c>
      <c r="H657" s="148"/>
      <c r="I657" s="198"/>
      <c r="J657" s="197"/>
      <c r="K657" s="148">
        <f t="shared" si="30"/>
        <v>114512.4</v>
      </c>
    </row>
    <row r="658" spans="1:11" x14ac:dyDescent="0.25">
      <c r="A658" s="197"/>
      <c r="B658" s="193" t="s">
        <v>1923</v>
      </c>
      <c r="C658" s="197" t="s">
        <v>713</v>
      </c>
      <c r="D658" s="157"/>
      <c r="E658" s="199"/>
      <c r="F658" s="197"/>
      <c r="G658" s="148">
        <v>196291.20000000001</v>
      </c>
      <c r="H658" s="148"/>
      <c r="I658" s="198"/>
      <c r="J658" s="197"/>
      <c r="K658" s="148">
        <f t="shared" si="30"/>
        <v>196291.20000000001</v>
      </c>
    </row>
    <row r="659" spans="1:11" x14ac:dyDescent="0.25">
      <c r="A659" s="197"/>
      <c r="B659" s="193" t="s">
        <v>1915</v>
      </c>
      <c r="C659" s="197" t="s">
        <v>713</v>
      </c>
      <c r="D659" s="157"/>
      <c r="E659" s="199"/>
      <c r="F659" s="197"/>
      <c r="G659" s="148">
        <v>117944</v>
      </c>
      <c r="H659" s="148"/>
      <c r="I659" s="198"/>
      <c r="J659" s="197"/>
      <c r="K659" s="148">
        <f t="shared" si="30"/>
        <v>117944</v>
      </c>
    </row>
    <row r="660" spans="1:11" x14ac:dyDescent="0.25">
      <c r="A660" s="197"/>
      <c r="B660" s="193" t="s">
        <v>1924</v>
      </c>
      <c r="C660" s="197" t="s">
        <v>713</v>
      </c>
      <c r="D660" s="157"/>
      <c r="E660" s="199"/>
      <c r="F660" s="197"/>
      <c r="G660" s="148">
        <v>210606.4</v>
      </c>
      <c r="H660" s="148"/>
      <c r="I660" s="198"/>
      <c r="J660" s="197"/>
      <c r="K660" s="148">
        <f t="shared" si="30"/>
        <v>210606.4</v>
      </c>
    </row>
    <row r="661" spans="1:11" x14ac:dyDescent="0.25">
      <c r="A661" s="197"/>
      <c r="B661" s="193" t="s">
        <v>1925</v>
      </c>
      <c r="C661" s="197" t="s">
        <v>713</v>
      </c>
      <c r="D661" s="157"/>
      <c r="E661" s="199"/>
      <c r="F661" s="197"/>
      <c r="G661" s="148">
        <v>115207</v>
      </c>
      <c r="H661" s="148"/>
      <c r="I661" s="198"/>
      <c r="J661" s="197"/>
      <c r="K661" s="148">
        <f t="shared" si="30"/>
        <v>115207</v>
      </c>
    </row>
    <row r="662" spans="1:11" x14ac:dyDescent="0.25">
      <c r="A662" s="197"/>
      <c r="B662" s="193" t="s">
        <v>1926</v>
      </c>
      <c r="C662" s="197" t="s">
        <v>713</v>
      </c>
      <c r="D662" s="157"/>
      <c r="E662" s="199"/>
      <c r="F662" s="197"/>
      <c r="G662" s="148">
        <v>5980</v>
      </c>
      <c r="H662" s="148"/>
      <c r="I662" s="198"/>
      <c r="J662" s="197"/>
      <c r="K662" s="148">
        <f t="shared" si="30"/>
        <v>5980</v>
      </c>
    </row>
    <row r="663" spans="1:11" x14ac:dyDescent="0.25">
      <c r="A663" s="197"/>
      <c r="B663" s="193" t="s">
        <v>1927</v>
      </c>
      <c r="C663" s="197" t="s">
        <v>713</v>
      </c>
      <c r="D663" s="157"/>
      <c r="E663" s="199"/>
      <c r="F663" s="197"/>
      <c r="G663" s="148">
        <v>8970</v>
      </c>
      <c r="H663" s="148"/>
      <c r="I663" s="198"/>
      <c r="J663" s="197"/>
      <c r="K663" s="148">
        <f t="shared" si="30"/>
        <v>8970</v>
      </c>
    </row>
    <row r="664" spans="1:11" x14ac:dyDescent="0.25">
      <c r="A664" s="197"/>
      <c r="B664" s="193" t="s">
        <v>1917</v>
      </c>
      <c r="C664" s="197" t="s">
        <v>43</v>
      </c>
      <c r="D664" s="157"/>
      <c r="E664" s="199"/>
      <c r="F664" s="197"/>
      <c r="G664" s="148">
        <v>947792.53258928575</v>
      </c>
      <c r="H664" s="148"/>
      <c r="I664" s="198"/>
      <c r="J664" s="197"/>
      <c r="K664" s="148">
        <f t="shared" si="30"/>
        <v>947792.53258928575</v>
      </c>
    </row>
    <row r="665" spans="1:11" x14ac:dyDescent="0.25">
      <c r="A665" s="197"/>
      <c r="B665" s="193" t="s">
        <v>1928</v>
      </c>
      <c r="C665" s="197" t="s">
        <v>43</v>
      </c>
      <c r="D665" s="157"/>
      <c r="E665" s="199"/>
      <c r="F665" s="197"/>
      <c r="G665" s="148">
        <v>1008335.6276785715</v>
      </c>
      <c r="H665" s="148"/>
      <c r="I665" s="198"/>
      <c r="J665" s="197"/>
      <c r="K665" s="148">
        <f t="shared" si="30"/>
        <v>1008335.6276785715</v>
      </c>
    </row>
    <row r="666" spans="1:11" x14ac:dyDescent="0.25">
      <c r="A666" s="197"/>
      <c r="B666" s="193" t="s">
        <v>1929</v>
      </c>
      <c r="C666" s="197" t="s">
        <v>43</v>
      </c>
      <c r="D666" s="157"/>
      <c r="E666" s="199"/>
      <c r="F666" s="197"/>
      <c r="G666" s="148">
        <v>1216210.9419642859</v>
      </c>
      <c r="H666" s="148"/>
      <c r="I666" s="198"/>
      <c r="J666" s="197"/>
      <c r="K666" s="148">
        <f t="shared" si="30"/>
        <v>1216210.9419642859</v>
      </c>
    </row>
    <row r="667" spans="1:11" x14ac:dyDescent="0.25">
      <c r="A667" s="197"/>
      <c r="B667" s="193" t="s">
        <v>1930</v>
      </c>
      <c r="C667" s="197" t="s">
        <v>43</v>
      </c>
      <c r="D667" s="157"/>
      <c r="E667" s="199"/>
      <c r="F667" s="197"/>
      <c r="G667" s="148">
        <v>1297146.299107143</v>
      </c>
      <c r="H667" s="148"/>
      <c r="I667" s="198"/>
      <c r="J667" s="197"/>
      <c r="K667" s="148">
        <f t="shared" si="30"/>
        <v>1297146.299107143</v>
      </c>
    </row>
    <row r="668" spans="1:11" x14ac:dyDescent="0.25">
      <c r="A668" s="197"/>
      <c r="B668" s="193" t="s">
        <v>1916</v>
      </c>
      <c r="C668" s="197" t="s">
        <v>43</v>
      </c>
      <c r="D668" s="157"/>
      <c r="E668" s="199"/>
      <c r="F668" s="197"/>
      <c r="G668" s="148">
        <v>1559293.3169642859</v>
      </c>
      <c r="H668" s="148"/>
      <c r="I668" s="198"/>
      <c r="J668" s="197"/>
      <c r="K668" s="148">
        <f t="shared" si="30"/>
        <v>1559293.3169642859</v>
      </c>
    </row>
    <row r="669" spans="1:11" x14ac:dyDescent="0.25">
      <c r="A669" s="197"/>
      <c r="B669" s="193"/>
      <c r="C669" s="197"/>
      <c r="D669" s="157"/>
      <c r="E669" s="199"/>
      <c r="F669" s="197"/>
      <c r="G669" s="148"/>
      <c r="H669" s="148"/>
      <c r="I669" s="198"/>
      <c r="J669" s="197"/>
      <c r="K669" s="148">
        <f t="shared" si="30"/>
        <v>0</v>
      </c>
    </row>
    <row r="670" spans="1:11" x14ac:dyDescent="0.25">
      <c r="A670" s="197"/>
      <c r="B670" s="193"/>
      <c r="C670" s="197"/>
      <c r="D670" s="157"/>
      <c r="E670" s="199"/>
      <c r="F670" s="197"/>
      <c r="G670" s="148"/>
      <c r="H670" s="148"/>
      <c r="I670" s="198"/>
      <c r="J670" s="197"/>
      <c r="K670" s="148">
        <f t="shared" si="30"/>
        <v>0</v>
      </c>
    </row>
    <row r="671" spans="1:11" x14ac:dyDescent="0.25">
      <c r="A671" s="197"/>
      <c r="B671" s="193"/>
      <c r="C671" s="197"/>
      <c r="D671" s="157"/>
      <c r="E671" s="199"/>
      <c r="F671" s="197"/>
      <c r="G671" s="148"/>
      <c r="H671" s="148"/>
      <c r="I671" s="198"/>
      <c r="J671" s="197"/>
      <c r="K671" s="148">
        <f t="shared" si="30"/>
        <v>0</v>
      </c>
    </row>
    <row r="672" spans="1:11" x14ac:dyDescent="0.25">
      <c r="A672" s="197"/>
      <c r="B672" s="193"/>
      <c r="C672" s="197"/>
      <c r="D672" s="157"/>
      <c r="E672" s="199"/>
      <c r="F672" s="197"/>
      <c r="G672" s="148"/>
      <c r="H672" s="148"/>
      <c r="I672" s="198"/>
      <c r="J672" s="197"/>
      <c r="K672" s="148">
        <f t="shared" si="30"/>
        <v>0</v>
      </c>
    </row>
    <row r="673" spans="1:11" x14ac:dyDescent="0.25">
      <c r="A673" s="197"/>
      <c r="B673" s="193"/>
      <c r="C673" s="197"/>
      <c r="D673" s="157"/>
      <c r="E673" s="199"/>
      <c r="F673" s="197"/>
      <c r="G673" s="148"/>
      <c r="H673" s="148"/>
      <c r="I673" s="198"/>
      <c r="J673" s="197"/>
      <c r="K673" s="148"/>
    </row>
    <row r="674" spans="1:11" x14ac:dyDescent="0.25">
      <c r="A674" s="211"/>
      <c r="B674" s="212"/>
      <c r="C674" s="211"/>
      <c r="D674" s="159"/>
      <c r="E674" s="213"/>
      <c r="F674" s="211"/>
      <c r="G674" s="154"/>
      <c r="H674" s="154"/>
      <c r="I674" s="223"/>
      <c r="J674" s="211"/>
      <c r="K674" s="154"/>
    </row>
    <row r="675" spans="1:11" x14ac:dyDescent="0.25">
      <c r="A675" s="151" t="s">
        <v>1378</v>
      </c>
      <c r="I675" s="184"/>
    </row>
  </sheetData>
  <mergeCells count="4">
    <mergeCell ref="H12:J12"/>
    <mergeCell ref="H13:J13"/>
    <mergeCell ref="A3:L3"/>
    <mergeCell ref="A4:L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DFBBE-E236-46EB-844C-D97D99F453E0}">
  <dimension ref="B1:C152"/>
  <sheetViews>
    <sheetView workbookViewId="0">
      <pane xSplit="2" ySplit="2" topLeftCell="C117" activePane="bottomRight" state="frozen"/>
      <selection activeCell="C147" sqref="C147"/>
      <selection pane="topRight" activeCell="C147" sqref="C147"/>
      <selection pane="bottomLeft" activeCell="C147" sqref="C147"/>
      <selection pane="bottomRight" activeCell="B137" sqref="B137"/>
    </sheetView>
  </sheetViews>
  <sheetFormatPr defaultColWidth="8.81640625" defaultRowHeight="12.5" x14ac:dyDescent="0.25"/>
  <cols>
    <col min="1" max="1" width="8.81640625" style="57"/>
    <col min="2" max="2" width="8.81640625" style="62"/>
    <col min="3" max="3" width="23.90625" style="57" bestFit="1" customWidth="1"/>
    <col min="4" max="16384" width="8.81640625" style="57"/>
  </cols>
  <sheetData>
    <row r="1" spans="2:3" ht="15.5" x14ac:dyDescent="0.35">
      <c r="B1" s="55" t="s">
        <v>15</v>
      </c>
      <c r="C1" s="56" t="s">
        <v>406</v>
      </c>
    </row>
    <row r="2" spans="2:3" ht="5.5" customHeight="1" x14ac:dyDescent="0.35">
      <c r="B2" s="55"/>
      <c r="C2" s="56"/>
    </row>
    <row r="3" spans="2:3" ht="13" x14ac:dyDescent="0.3">
      <c r="B3" s="58">
        <v>11</v>
      </c>
      <c r="C3" s="59" t="s">
        <v>257</v>
      </c>
    </row>
    <row r="4" spans="2:3" x14ac:dyDescent="0.25">
      <c r="B4" s="60">
        <v>1101</v>
      </c>
      <c r="C4" s="61" t="s">
        <v>275</v>
      </c>
    </row>
    <row r="5" spans="2:3" x14ac:dyDescent="0.25">
      <c r="B5" s="62">
        <v>1102</v>
      </c>
      <c r="C5" s="57" t="s">
        <v>276</v>
      </c>
    </row>
    <row r="6" spans="2:3" x14ac:dyDescent="0.25">
      <c r="B6" s="62">
        <v>1103</v>
      </c>
      <c r="C6" s="57" t="s">
        <v>277</v>
      </c>
    </row>
    <row r="7" spans="2:3" x14ac:dyDescent="0.25">
      <c r="B7" s="62">
        <v>1104</v>
      </c>
      <c r="C7" s="57" t="s">
        <v>278</v>
      </c>
    </row>
    <row r="8" spans="2:3" x14ac:dyDescent="0.25">
      <c r="B8" s="60">
        <v>1105</v>
      </c>
      <c r="C8" s="61" t="s">
        <v>279</v>
      </c>
    </row>
    <row r="9" spans="2:3" x14ac:dyDescent="0.25">
      <c r="B9" s="62">
        <v>1106</v>
      </c>
      <c r="C9" s="57" t="s">
        <v>280</v>
      </c>
    </row>
    <row r="10" spans="2:3" x14ac:dyDescent="0.25">
      <c r="B10" s="60">
        <v>1107</v>
      </c>
      <c r="C10" s="61" t="s">
        <v>281</v>
      </c>
    </row>
    <row r="11" spans="2:3" x14ac:dyDescent="0.25">
      <c r="B11" s="62">
        <v>1108</v>
      </c>
      <c r="C11" s="57" t="s">
        <v>282</v>
      </c>
    </row>
    <row r="12" spans="2:3" x14ac:dyDescent="0.25">
      <c r="B12" s="62">
        <v>1109</v>
      </c>
      <c r="C12" s="57" t="s">
        <v>283</v>
      </c>
    </row>
    <row r="13" spans="2:3" x14ac:dyDescent="0.25">
      <c r="B13" s="62">
        <v>1110</v>
      </c>
      <c r="C13" s="57" t="s">
        <v>284</v>
      </c>
    </row>
    <row r="14" spans="2:3" x14ac:dyDescent="0.25">
      <c r="B14" s="60">
        <v>1111</v>
      </c>
      <c r="C14" s="61" t="s">
        <v>285</v>
      </c>
    </row>
    <row r="15" spans="2:3" x14ac:dyDescent="0.25">
      <c r="B15" s="62">
        <v>1112</v>
      </c>
      <c r="C15" s="57" t="s">
        <v>286</v>
      </c>
    </row>
    <row r="16" spans="2:3" x14ac:dyDescent="0.25">
      <c r="B16" s="62">
        <v>1113</v>
      </c>
      <c r="C16" s="57" t="s">
        <v>287</v>
      </c>
    </row>
    <row r="17" spans="2:3" x14ac:dyDescent="0.25">
      <c r="B17" s="62">
        <v>1114</v>
      </c>
      <c r="C17" s="57" t="s">
        <v>288</v>
      </c>
    </row>
    <row r="18" spans="2:3" x14ac:dyDescent="0.25">
      <c r="B18" s="60">
        <v>1115</v>
      </c>
      <c r="C18" s="61" t="s">
        <v>289</v>
      </c>
    </row>
    <row r="19" spans="2:3" x14ac:dyDescent="0.25">
      <c r="B19" s="60">
        <v>1116</v>
      </c>
      <c r="C19" s="61" t="s">
        <v>290</v>
      </c>
    </row>
    <row r="20" spans="2:3" x14ac:dyDescent="0.25">
      <c r="B20" s="62">
        <v>1117</v>
      </c>
      <c r="C20" s="57" t="s">
        <v>291</v>
      </c>
    </row>
    <row r="21" spans="2:3" x14ac:dyDescent="0.25">
      <c r="B21" s="62">
        <v>1118</v>
      </c>
      <c r="C21" s="57" t="s">
        <v>292</v>
      </c>
    </row>
    <row r="22" spans="2:3" x14ac:dyDescent="0.25">
      <c r="B22" s="62">
        <v>1171</v>
      </c>
      <c r="C22" s="57" t="s">
        <v>293</v>
      </c>
    </row>
    <row r="23" spans="2:3" x14ac:dyDescent="0.25">
      <c r="B23" s="62">
        <v>1172</v>
      </c>
      <c r="C23" s="57" t="s">
        <v>294</v>
      </c>
    </row>
    <row r="24" spans="2:3" x14ac:dyDescent="0.25">
      <c r="B24" s="62">
        <v>1173</v>
      </c>
      <c r="C24" s="57" t="s">
        <v>295</v>
      </c>
    </row>
    <row r="25" spans="2:3" x14ac:dyDescent="0.25">
      <c r="B25" s="62">
        <v>1174</v>
      </c>
      <c r="C25" s="57" t="s">
        <v>296</v>
      </c>
    </row>
    <row r="26" spans="2:3" x14ac:dyDescent="0.25">
      <c r="B26" s="62">
        <v>1175</v>
      </c>
      <c r="C26" s="57" t="s">
        <v>297</v>
      </c>
    </row>
    <row r="27" spans="2:3" ht="13" x14ac:dyDescent="0.3">
      <c r="B27" s="58">
        <v>12</v>
      </c>
      <c r="C27" s="59" t="s">
        <v>258</v>
      </c>
    </row>
    <row r="28" spans="2:3" x14ac:dyDescent="0.25">
      <c r="B28" s="62">
        <v>1201</v>
      </c>
      <c r="C28" s="57" t="s">
        <v>298</v>
      </c>
    </row>
    <row r="29" spans="2:3" x14ac:dyDescent="0.25">
      <c r="B29" s="62">
        <v>1202</v>
      </c>
      <c r="C29" s="57" t="s">
        <v>299</v>
      </c>
    </row>
    <row r="30" spans="2:3" x14ac:dyDescent="0.25">
      <c r="B30" s="62">
        <v>1203</v>
      </c>
      <c r="C30" s="57" t="s">
        <v>300</v>
      </c>
    </row>
    <row r="31" spans="2:3" x14ac:dyDescent="0.25">
      <c r="B31" s="62">
        <v>1204</v>
      </c>
      <c r="C31" s="57" t="s">
        <v>301</v>
      </c>
    </row>
    <row r="32" spans="2:3" x14ac:dyDescent="0.25">
      <c r="B32" s="62">
        <v>1205</v>
      </c>
      <c r="C32" s="57" t="s">
        <v>302</v>
      </c>
    </row>
    <row r="33" spans="2:3" x14ac:dyDescent="0.25">
      <c r="B33" s="62">
        <v>1206</v>
      </c>
      <c r="C33" s="57" t="s">
        <v>303</v>
      </c>
    </row>
    <row r="34" spans="2:3" x14ac:dyDescent="0.25">
      <c r="B34" s="62">
        <v>1207</v>
      </c>
      <c r="C34" s="57" t="s">
        <v>304</v>
      </c>
    </row>
    <row r="35" spans="2:3" x14ac:dyDescent="0.25">
      <c r="B35" s="62">
        <v>1208</v>
      </c>
      <c r="C35" s="57" t="s">
        <v>305</v>
      </c>
    </row>
    <row r="36" spans="2:3" x14ac:dyDescent="0.25">
      <c r="B36" s="62">
        <v>1209</v>
      </c>
      <c r="C36" s="57" t="s">
        <v>306</v>
      </c>
    </row>
    <row r="37" spans="2:3" x14ac:dyDescent="0.25">
      <c r="B37" s="62">
        <v>1210</v>
      </c>
      <c r="C37" s="57" t="s">
        <v>307</v>
      </c>
    </row>
    <row r="38" spans="2:3" x14ac:dyDescent="0.25">
      <c r="B38" s="62">
        <v>1211</v>
      </c>
      <c r="C38" s="57" t="s">
        <v>308</v>
      </c>
    </row>
    <row r="39" spans="2:3" x14ac:dyDescent="0.25">
      <c r="B39" s="62">
        <v>1212</v>
      </c>
      <c r="C39" s="57" t="s">
        <v>309</v>
      </c>
    </row>
    <row r="40" spans="2:3" x14ac:dyDescent="0.25">
      <c r="B40" s="62">
        <v>1213</v>
      </c>
      <c r="C40" s="57" t="s">
        <v>310</v>
      </c>
    </row>
    <row r="41" spans="2:3" x14ac:dyDescent="0.25">
      <c r="B41" s="62">
        <v>1214</v>
      </c>
      <c r="C41" s="57" t="s">
        <v>311</v>
      </c>
    </row>
    <row r="42" spans="2:3" x14ac:dyDescent="0.25">
      <c r="B42" s="62">
        <v>1215</v>
      </c>
      <c r="C42" s="57" t="s">
        <v>312</v>
      </c>
    </row>
    <row r="43" spans="2:3" x14ac:dyDescent="0.25">
      <c r="B43" s="62">
        <v>1216</v>
      </c>
      <c r="C43" s="57" t="s">
        <v>313</v>
      </c>
    </row>
    <row r="44" spans="2:3" x14ac:dyDescent="0.25">
      <c r="B44" s="62">
        <v>1217</v>
      </c>
      <c r="C44" s="57" t="s">
        <v>314</v>
      </c>
    </row>
    <row r="45" spans="2:3" x14ac:dyDescent="0.25">
      <c r="B45" s="62">
        <v>1218</v>
      </c>
      <c r="C45" s="57" t="s">
        <v>315</v>
      </c>
    </row>
    <row r="46" spans="2:3" x14ac:dyDescent="0.25">
      <c r="B46" s="62">
        <v>1219</v>
      </c>
      <c r="C46" s="57" t="s">
        <v>316</v>
      </c>
    </row>
    <row r="47" spans="2:3" x14ac:dyDescent="0.25">
      <c r="B47" s="62">
        <v>1220</v>
      </c>
      <c r="C47" s="57" t="s">
        <v>317</v>
      </c>
    </row>
    <row r="48" spans="2:3" x14ac:dyDescent="0.25">
      <c r="B48" s="62">
        <v>1221</v>
      </c>
      <c r="C48" s="57" t="s">
        <v>318</v>
      </c>
    </row>
    <row r="49" spans="2:3" x14ac:dyDescent="0.25">
      <c r="B49" s="62">
        <v>1222</v>
      </c>
      <c r="C49" s="57" t="s">
        <v>319</v>
      </c>
    </row>
    <row r="50" spans="2:3" x14ac:dyDescent="0.25">
      <c r="B50" s="62">
        <v>1223</v>
      </c>
      <c r="C50" s="57" t="s">
        <v>320</v>
      </c>
    </row>
    <row r="51" spans="2:3" x14ac:dyDescent="0.25">
      <c r="B51" s="62">
        <v>1224</v>
      </c>
      <c r="C51" s="57" t="s">
        <v>321</v>
      </c>
    </row>
    <row r="52" spans="2:3" x14ac:dyDescent="0.25">
      <c r="B52" s="62">
        <v>1225</v>
      </c>
      <c r="C52" s="57" t="s">
        <v>322</v>
      </c>
    </row>
    <row r="53" spans="2:3" x14ac:dyDescent="0.25">
      <c r="B53" s="62">
        <v>1271</v>
      </c>
      <c r="C53" s="57" t="s">
        <v>323</v>
      </c>
    </row>
    <row r="54" spans="2:3" x14ac:dyDescent="0.25">
      <c r="B54" s="62">
        <v>1272</v>
      </c>
      <c r="C54" s="57" t="s">
        <v>324</v>
      </c>
    </row>
    <row r="55" spans="2:3" x14ac:dyDescent="0.25">
      <c r="B55" s="62">
        <v>1273</v>
      </c>
      <c r="C55" s="57" t="s">
        <v>325</v>
      </c>
    </row>
    <row r="56" spans="2:3" x14ac:dyDescent="0.25">
      <c r="B56" s="62">
        <v>1274</v>
      </c>
      <c r="C56" s="57" t="s">
        <v>326</v>
      </c>
    </row>
    <row r="57" spans="2:3" x14ac:dyDescent="0.25">
      <c r="B57" s="62">
        <v>1275</v>
      </c>
      <c r="C57" s="57" t="s">
        <v>327</v>
      </c>
    </row>
    <row r="58" spans="2:3" x14ac:dyDescent="0.25">
      <c r="B58" s="62">
        <v>1276</v>
      </c>
      <c r="C58" s="57" t="s">
        <v>328</v>
      </c>
    </row>
    <row r="59" spans="2:3" x14ac:dyDescent="0.25">
      <c r="B59" s="62">
        <v>1277</v>
      </c>
      <c r="C59" s="57" t="s">
        <v>329</v>
      </c>
    </row>
    <row r="60" spans="2:3" x14ac:dyDescent="0.25">
      <c r="B60" s="62">
        <v>1278</v>
      </c>
      <c r="C60" s="57" t="s">
        <v>330</v>
      </c>
    </row>
    <row r="61" spans="2:3" ht="13" x14ac:dyDescent="0.3">
      <c r="B61" s="58">
        <v>13</v>
      </c>
      <c r="C61" s="59" t="s">
        <v>259</v>
      </c>
    </row>
    <row r="62" spans="2:3" ht="13" x14ac:dyDescent="0.3">
      <c r="B62" s="58">
        <v>14</v>
      </c>
      <c r="C62" s="59" t="s">
        <v>254</v>
      </c>
    </row>
    <row r="63" spans="2:3" x14ac:dyDescent="0.25">
      <c r="B63" s="62">
        <v>1401</v>
      </c>
      <c r="C63" s="57" t="s">
        <v>331</v>
      </c>
    </row>
    <row r="64" spans="2:3" x14ac:dyDescent="0.25">
      <c r="B64" s="62">
        <v>1402</v>
      </c>
      <c r="C64" s="57" t="s">
        <v>332</v>
      </c>
    </row>
    <row r="65" spans="2:3" x14ac:dyDescent="0.25">
      <c r="B65" s="62">
        <v>1403</v>
      </c>
      <c r="C65" s="57" t="s">
        <v>333</v>
      </c>
    </row>
    <row r="66" spans="2:3" x14ac:dyDescent="0.25">
      <c r="B66" s="62">
        <v>1404</v>
      </c>
      <c r="C66" s="57" t="s">
        <v>334</v>
      </c>
    </row>
    <row r="67" spans="2:3" x14ac:dyDescent="0.25">
      <c r="B67" s="62">
        <v>1405</v>
      </c>
      <c r="C67" s="57" t="s">
        <v>335</v>
      </c>
    </row>
    <row r="68" spans="2:3" x14ac:dyDescent="0.25">
      <c r="B68" s="62">
        <v>1406</v>
      </c>
      <c r="C68" s="57" t="s">
        <v>336</v>
      </c>
    </row>
    <row r="69" spans="2:3" x14ac:dyDescent="0.25">
      <c r="B69" s="62">
        <v>1407</v>
      </c>
      <c r="C69" s="57" t="s">
        <v>337</v>
      </c>
    </row>
    <row r="70" spans="2:3" x14ac:dyDescent="0.25">
      <c r="B70" s="62">
        <v>1408</v>
      </c>
      <c r="C70" s="57" t="s">
        <v>338</v>
      </c>
    </row>
    <row r="71" spans="2:3" x14ac:dyDescent="0.25">
      <c r="B71" s="62">
        <v>1409</v>
      </c>
      <c r="C71" s="57" t="s">
        <v>339</v>
      </c>
    </row>
    <row r="72" spans="2:3" x14ac:dyDescent="0.25">
      <c r="B72" s="62">
        <v>1410</v>
      </c>
      <c r="C72" s="57" t="s">
        <v>340</v>
      </c>
    </row>
    <row r="73" spans="2:3" x14ac:dyDescent="0.25">
      <c r="B73" s="62">
        <v>1471</v>
      </c>
      <c r="C73" s="57" t="s">
        <v>341</v>
      </c>
    </row>
    <row r="74" spans="2:3" x14ac:dyDescent="0.25">
      <c r="B74" s="62">
        <v>1473</v>
      </c>
      <c r="C74" s="57" t="s">
        <v>342</v>
      </c>
    </row>
    <row r="75" spans="2:3" ht="13" x14ac:dyDescent="0.3">
      <c r="B75" s="58">
        <v>15</v>
      </c>
      <c r="C75" s="59" t="s">
        <v>255</v>
      </c>
    </row>
    <row r="76" spans="2:3" x14ac:dyDescent="0.25">
      <c r="B76" s="62">
        <v>1501</v>
      </c>
      <c r="C76" s="57" t="s">
        <v>391</v>
      </c>
    </row>
    <row r="77" spans="2:3" x14ac:dyDescent="0.25">
      <c r="B77" s="62">
        <v>1502</v>
      </c>
      <c r="C77" s="57" t="s">
        <v>392</v>
      </c>
    </row>
    <row r="78" spans="2:3" x14ac:dyDescent="0.25">
      <c r="B78" s="62">
        <v>1503</v>
      </c>
      <c r="C78" s="57" t="s">
        <v>393</v>
      </c>
    </row>
    <row r="79" spans="2:3" x14ac:dyDescent="0.25">
      <c r="B79" s="62">
        <v>1504</v>
      </c>
      <c r="C79" s="57" t="s">
        <v>394</v>
      </c>
    </row>
    <row r="80" spans="2:3" x14ac:dyDescent="0.25">
      <c r="B80" s="62">
        <v>1505</v>
      </c>
      <c r="C80" s="57" t="s">
        <v>395</v>
      </c>
    </row>
    <row r="81" spans="2:3" x14ac:dyDescent="0.25">
      <c r="B81" s="62">
        <v>1506</v>
      </c>
      <c r="C81" s="57" t="s">
        <v>396</v>
      </c>
    </row>
    <row r="82" spans="2:3" x14ac:dyDescent="0.25">
      <c r="B82" s="62">
        <v>1507</v>
      </c>
      <c r="C82" s="57" t="s">
        <v>397</v>
      </c>
    </row>
    <row r="83" spans="2:3" x14ac:dyDescent="0.25">
      <c r="B83" s="62">
        <v>1508</v>
      </c>
      <c r="C83" s="57" t="s">
        <v>398</v>
      </c>
    </row>
    <row r="84" spans="2:3" x14ac:dyDescent="0.25">
      <c r="B84" s="62">
        <v>1509</v>
      </c>
      <c r="C84" s="57" t="s">
        <v>399</v>
      </c>
    </row>
    <row r="85" spans="2:3" x14ac:dyDescent="0.25">
      <c r="B85" s="62">
        <v>1571</v>
      </c>
      <c r="C85" s="57" t="s">
        <v>400</v>
      </c>
    </row>
    <row r="86" spans="2:3" x14ac:dyDescent="0.25">
      <c r="B86" s="62">
        <v>1572</v>
      </c>
      <c r="C86" s="57" t="s">
        <v>401</v>
      </c>
    </row>
    <row r="87" spans="2:3" ht="13" x14ac:dyDescent="0.3">
      <c r="B87" s="58">
        <v>16</v>
      </c>
      <c r="C87" s="59" t="s">
        <v>260</v>
      </c>
    </row>
    <row r="88" spans="2:3" x14ac:dyDescent="0.25">
      <c r="B88" s="62">
        <v>1601</v>
      </c>
      <c r="C88" s="57" t="s">
        <v>343</v>
      </c>
    </row>
    <row r="89" spans="2:3" x14ac:dyDescent="0.25">
      <c r="B89" s="62">
        <v>1602</v>
      </c>
      <c r="C89" s="57" t="s">
        <v>344</v>
      </c>
    </row>
    <row r="90" spans="2:3" x14ac:dyDescent="0.25">
      <c r="B90" s="62">
        <v>1603</v>
      </c>
      <c r="C90" s="57" t="s">
        <v>345</v>
      </c>
    </row>
    <row r="91" spans="2:3" x14ac:dyDescent="0.25">
      <c r="B91" s="62">
        <v>1604</v>
      </c>
      <c r="C91" s="57" t="s">
        <v>346</v>
      </c>
    </row>
    <row r="92" spans="2:3" x14ac:dyDescent="0.25">
      <c r="B92" s="62">
        <v>1605</v>
      </c>
      <c r="C92" s="57" t="s">
        <v>347</v>
      </c>
    </row>
    <row r="93" spans="2:3" x14ac:dyDescent="0.25">
      <c r="B93" s="62">
        <v>1606</v>
      </c>
      <c r="C93" s="57" t="s">
        <v>348</v>
      </c>
    </row>
    <row r="94" spans="2:3" x14ac:dyDescent="0.25">
      <c r="B94" s="62">
        <v>1607</v>
      </c>
      <c r="C94" s="57" t="s">
        <v>349</v>
      </c>
    </row>
    <row r="95" spans="2:3" x14ac:dyDescent="0.25">
      <c r="B95" s="62">
        <v>1608</v>
      </c>
      <c r="C95" s="57" t="s">
        <v>343</v>
      </c>
    </row>
    <row r="96" spans="2:3" x14ac:dyDescent="0.25">
      <c r="B96" s="62">
        <v>1609</v>
      </c>
      <c r="C96" s="57" t="s">
        <v>343</v>
      </c>
    </row>
    <row r="97" spans="2:3" x14ac:dyDescent="0.25">
      <c r="B97" s="62">
        <v>1610</v>
      </c>
      <c r="C97" s="57" t="s">
        <v>350</v>
      </c>
    </row>
    <row r="98" spans="2:3" x14ac:dyDescent="0.25">
      <c r="B98" s="62">
        <v>1611</v>
      </c>
      <c r="C98" s="57" t="s">
        <v>351</v>
      </c>
    </row>
    <row r="99" spans="2:3" x14ac:dyDescent="0.25">
      <c r="B99" s="62">
        <v>1612</v>
      </c>
      <c r="C99" s="57" t="s">
        <v>352</v>
      </c>
    </row>
    <row r="100" spans="2:3" x14ac:dyDescent="0.25">
      <c r="B100" s="62">
        <v>1613</v>
      </c>
      <c r="C100" s="57" t="s">
        <v>353</v>
      </c>
    </row>
    <row r="101" spans="2:3" x14ac:dyDescent="0.25">
      <c r="B101" s="62">
        <v>1671</v>
      </c>
      <c r="C101" s="57" t="s">
        <v>354</v>
      </c>
    </row>
    <row r="102" spans="2:3" x14ac:dyDescent="0.25">
      <c r="B102" s="62">
        <v>1672</v>
      </c>
      <c r="C102" s="57" t="s">
        <v>355</v>
      </c>
    </row>
    <row r="103" spans="2:3" x14ac:dyDescent="0.25">
      <c r="B103" s="62">
        <v>1673</v>
      </c>
      <c r="C103" s="57" t="s">
        <v>356</v>
      </c>
    </row>
    <row r="104" spans="2:3" x14ac:dyDescent="0.25">
      <c r="B104" s="62">
        <v>1674</v>
      </c>
      <c r="C104" s="57" t="s">
        <v>357</v>
      </c>
    </row>
    <row r="105" spans="2:3" ht="13" x14ac:dyDescent="0.3">
      <c r="B105" s="58">
        <v>17</v>
      </c>
      <c r="C105" s="59" t="s">
        <v>256</v>
      </c>
    </row>
    <row r="106" spans="2:3" ht="13" x14ac:dyDescent="0.3">
      <c r="B106" s="58">
        <v>18</v>
      </c>
      <c r="C106" s="59" t="s">
        <v>261</v>
      </c>
    </row>
    <row r="107" spans="2:3" x14ac:dyDescent="0.25">
      <c r="B107" s="62">
        <v>1801</v>
      </c>
      <c r="C107" s="57" t="s">
        <v>358</v>
      </c>
    </row>
    <row r="108" spans="2:3" x14ac:dyDescent="0.25">
      <c r="B108" s="62">
        <v>1802</v>
      </c>
      <c r="C108" s="57" t="s">
        <v>359</v>
      </c>
    </row>
    <row r="109" spans="2:3" x14ac:dyDescent="0.25">
      <c r="B109" s="62">
        <v>1803</v>
      </c>
      <c r="C109" s="57" t="s">
        <v>360</v>
      </c>
    </row>
    <row r="110" spans="2:3" x14ac:dyDescent="0.25">
      <c r="B110" s="62">
        <v>1804</v>
      </c>
      <c r="C110" s="57" t="s">
        <v>361</v>
      </c>
    </row>
    <row r="111" spans="2:3" x14ac:dyDescent="0.25">
      <c r="B111" s="62">
        <v>1805</v>
      </c>
      <c r="C111" s="57" t="s">
        <v>362</v>
      </c>
    </row>
    <row r="112" spans="2:3" x14ac:dyDescent="0.25">
      <c r="B112" s="62">
        <v>1806</v>
      </c>
      <c r="C112" s="57" t="s">
        <v>363</v>
      </c>
    </row>
    <row r="113" spans="2:3" x14ac:dyDescent="0.25">
      <c r="B113" s="62">
        <v>1807</v>
      </c>
      <c r="C113" s="57" t="s">
        <v>364</v>
      </c>
    </row>
    <row r="114" spans="2:3" x14ac:dyDescent="0.25">
      <c r="B114" s="62">
        <v>1808</v>
      </c>
      <c r="C114" s="57" t="s">
        <v>365</v>
      </c>
    </row>
    <row r="115" spans="2:3" x14ac:dyDescent="0.25">
      <c r="B115" s="62">
        <v>1809</v>
      </c>
      <c r="C115" s="57" t="s">
        <v>366</v>
      </c>
    </row>
    <row r="116" spans="2:3" x14ac:dyDescent="0.25">
      <c r="B116" s="62">
        <v>1810</v>
      </c>
      <c r="C116" s="57" t="s">
        <v>367</v>
      </c>
    </row>
    <row r="117" spans="2:3" x14ac:dyDescent="0.25">
      <c r="B117" s="62">
        <v>1811</v>
      </c>
      <c r="C117" s="57" t="s">
        <v>368</v>
      </c>
    </row>
    <row r="118" spans="2:3" x14ac:dyDescent="0.25">
      <c r="B118" s="62">
        <v>1812</v>
      </c>
      <c r="C118" s="57" t="s">
        <v>369</v>
      </c>
    </row>
    <row r="119" spans="2:3" x14ac:dyDescent="0.25">
      <c r="B119" s="62">
        <v>1813</v>
      </c>
      <c r="C119" s="57" t="s">
        <v>370</v>
      </c>
    </row>
    <row r="120" spans="2:3" x14ac:dyDescent="0.25">
      <c r="B120" s="62">
        <v>1871</v>
      </c>
      <c r="C120" s="57" t="s">
        <v>371</v>
      </c>
    </row>
    <row r="121" spans="2:3" x14ac:dyDescent="0.25">
      <c r="B121" s="62">
        <v>1872</v>
      </c>
      <c r="C121" s="57" t="s">
        <v>372</v>
      </c>
    </row>
    <row r="122" spans="2:3" ht="13" x14ac:dyDescent="0.3">
      <c r="B122" s="58">
        <v>19</v>
      </c>
      <c r="C122" s="59" t="s">
        <v>262</v>
      </c>
    </row>
    <row r="123" spans="2:3" ht="13" x14ac:dyDescent="0.3">
      <c r="B123" s="58">
        <v>21</v>
      </c>
      <c r="C123" s="59" t="s">
        <v>263</v>
      </c>
    </row>
    <row r="124" spans="2:3" ht="13" x14ac:dyDescent="0.3">
      <c r="B124" s="58">
        <v>31</v>
      </c>
      <c r="C124" s="59" t="s">
        <v>264</v>
      </c>
    </row>
    <row r="125" spans="2:3" ht="13" x14ac:dyDescent="0.3">
      <c r="B125" s="58">
        <v>32</v>
      </c>
      <c r="C125" s="59" t="s">
        <v>265</v>
      </c>
    </row>
    <row r="126" spans="2:3" ht="13" x14ac:dyDescent="0.3">
      <c r="B126" s="58">
        <v>33</v>
      </c>
      <c r="C126" s="59" t="s">
        <v>266</v>
      </c>
    </row>
    <row r="127" spans="2:3" ht="13" x14ac:dyDescent="0.3">
      <c r="B127" s="58">
        <v>34</v>
      </c>
      <c r="C127" s="59" t="s">
        <v>267</v>
      </c>
    </row>
    <row r="128" spans="2:3" ht="13" x14ac:dyDescent="0.3">
      <c r="B128" s="58">
        <v>35</v>
      </c>
      <c r="C128" s="59" t="s">
        <v>268</v>
      </c>
    </row>
    <row r="129" spans="2:3" ht="13" x14ac:dyDescent="0.3">
      <c r="B129" s="58">
        <v>36</v>
      </c>
      <c r="C129" s="59" t="s">
        <v>269</v>
      </c>
    </row>
    <row r="130" spans="2:3" ht="13" x14ac:dyDescent="0.3">
      <c r="B130" s="58">
        <v>61</v>
      </c>
      <c r="C130" s="59" t="s">
        <v>270</v>
      </c>
    </row>
    <row r="131" spans="2:3" ht="13" x14ac:dyDescent="0.3">
      <c r="B131" s="58">
        <v>62</v>
      </c>
      <c r="C131" s="59" t="s">
        <v>271</v>
      </c>
    </row>
    <row r="132" spans="2:3" ht="13" x14ac:dyDescent="0.3">
      <c r="B132" s="58">
        <v>63</v>
      </c>
      <c r="C132" s="59" t="s">
        <v>272</v>
      </c>
    </row>
    <row r="133" spans="2:3" x14ac:dyDescent="0.25">
      <c r="B133" s="62">
        <v>6301</v>
      </c>
      <c r="C133" s="57" t="s">
        <v>378</v>
      </c>
    </row>
    <row r="134" spans="2:3" x14ac:dyDescent="0.25">
      <c r="B134" s="62">
        <v>6302</v>
      </c>
      <c r="C134" s="57" t="s">
        <v>379</v>
      </c>
    </row>
    <row r="135" spans="2:3" x14ac:dyDescent="0.25">
      <c r="B135" s="62">
        <v>6303</v>
      </c>
      <c r="C135" s="57" t="s">
        <v>380</v>
      </c>
    </row>
    <row r="136" spans="2:3" x14ac:dyDescent="0.25">
      <c r="B136" s="62">
        <v>6304</v>
      </c>
      <c r="C136" s="57" t="s">
        <v>381</v>
      </c>
    </row>
    <row r="137" spans="2:3" x14ac:dyDescent="0.25">
      <c r="B137" s="62">
        <v>6305</v>
      </c>
      <c r="C137" s="57" t="s">
        <v>382</v>
      </c>
    </row>
    <row r="138" spans="2:3" x14ac:dyDescent="0.25">
      <c r="B138" s="62">
        <v>6306</v>
      </c>
      <c r="C138" s="57" t="s">
        <v>383</v>
      </c>
    </row>
    <row r="139" spans="2:3" x14ac:dyDescent="0.25">
      <c r="B139" s="62">
        <v>6307</v>
      </c>
      <c r="C139" s="57" t="s">
        <v>384</v>
      </c>
    </row>
    <row r="140" spans="2:3" x14ac:dyDescent="0.25">
      <c r="B140" s="62">
        <v>6308</v>
      </c>
      <c r="C140" s="57" t="s">
        <v>385</v>
      </c>
    </row>
    <row r="141" spans="2:3" x14ac:dyDescent="0.25">
      <c r="B141" s="62">
        <v>6309</v>
      </c>
      <c r="C141" s="57" t="s">
        <v>386</v>
      </c>
    </row>
    <row r="142" spans="2:3" x14ac:dyDescent="0.25">
      <c r="B142" s="62">
        <v>6310</v>
      </c>
      <c r="C142" s="57" t="s">
        <v>387</v>
      </c>
    </row>
    <row r="143" spans="2:3" x14ac:dyDescent="0.25">
      <c r="B143" s="62">
        <v>6311</v>
      </c>
      <c r="C143" s="57" t="s">
        <v>388</v>
      </c>
    </row>
    <row r="144" spans="2:3" x14ac:dyDescent="0.25">
      <c r="B144" s="62">
        <v>6371</v>
      </c>
      <c r="C144" s="57" t="s">
        <v>389</v>
      </c>
    </row>
    <row r="145" spans="2:3" x14ac:dyDescent="0.25">
      <c r="B145" s="62">
        <v>6372</v>
      </c>
      <c r="C145" s="57" t="s">
        <v>390</v>
      </c>
    </row>
    <row r="146" spans="2:3" ht="13" x14ac:dyDescent="0.3">
      <c r="B146" s="58">
        <v>64</v>
      </c>
      <c r="C146" s="59" t="s">
        <v>273</v>
      </c>
    </row>
    <row r="147" spans="2:3" ht="13" x14ac:dyDescent="0.3">
      <c r="B147" s="58">
        <v>65</v>
      </c>
      <c r="C147" s="59" t="s">
        <v>274</v>
      </c>
    </row>
    <row r="148" spans="2:3" x14ac:dyDescent="0.25">
      <c r="B148" s="62">
        <v>6501</v>
      </c>
      <c r="C148" s="57" t="s">
        <v>373</v>
      </c>
    </row>
    <row r="149" spans="2:3" x14ac:dyDescent="0.25">
      <c r="B149" s="62">
        <v>6502</v>
      </c>
      <c r="C149" s="57" t="s">
        <v>374</v>
      </c>
    </row>
    <row r="150" spans="2:3" x14ac:dyDescent="0.25">
      <c r="B150" s="62">
        <v>6503</v>
      </c>
      <c r="C150" s="57" t="s">
        <v>375</v>
      </c>
    </row>
    <row r="151" spans="2:3" x14ac:dyDescent="0.25">
      <c r="B151" s="62">
        <v>6504</v>
      </c>
      <c r="C151" s="57" t="s">
        <v>376</v>
      </c>
    </row>
    <row r="152" spans="2:3" x14ac:dyDescent="0.25">
      <c r="B152" s="62">
        <v>6571</v>
      </c>
      <c r="C152" s="57" t="s">
        <v>377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22561-7C72-4F03-96E8-00E808D2B9DA}">
  <dimension ref="A1:P53"/>
  <sheetViews>
    <sheetView zoomScale="70" zoomScaleNormal="70" workbookViewId="0">
      <selection activeCell="F17" sqref="F17"/>
    </sheetView>
  </sheetViews>
  <sheetFormatPr defaultRowHeight="14.5" x14ac:dyDescent="0.35"/>
  <cols>
    <col min="1" max="1" width="7.81640625" customWidth="1"/>
    <col min="2" max="2" width="50" customWidth="1"/>
    <col min="3" max="3" width="8" bestFit="1" customWidth="1"/>
    <col min="4" max="4" width="10.81640625" bestFit="1" customWidth="1"/>
    <col min="5" max="5" width="14.81640625" bestFit="1" customWidth="1"/>
    <col min="6" max="7" width="14.81640625" customWidth="1"/>
    <col min="8" max="8" width="14.81640625" bestFit="1" customWidth="1"/>
    <col min="9" max="9" width="14.81640625" customWidth="1"/>
    <col min="10" max="10" width="14.81640625" bestFit="1" customWidth="1"/>
    <col min="11" max="12" width="14.81640625" customWidth="1"/>
    <col min="13" max="13" width="14.81640625" bestFit="1" customWidth="1"/>
    <col min="14" max="14" width="15.54296875" customWidth="1"/>
    <col min="15" max="15" width="4.453125" bestFit="1" customWidth="1"/>
    <col min="16" max="16" width="17.453125" customWidth="1"/>
  </cols>
  <sheetData>
    <row r="1" spans="1:16" ht="20" x14ac:dyDescent="0.4">
      <c r="A1" s="477" t="s">
        <v>1972</v>
      </c>
      <c r="B1" s="477"/>
      <c r="C1" s="477"/>
      <c r="D1" s="477"/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</row>
    <row r="2" spans="1:16" x14ac:dyDescent="0.35">
      <c r="A2" s="318"/>
      <c r="B2" s="319"/>
      <c r="C2" s="318"/>
      <c r="D2" s="318"/>
      <c r="E2" s="320"/>
      <c r="F2" s="320"/>
      <c r="G2" s="320"/>
      <c r="H2" s="320"/>
      <c r="I2" s="320"/>
      <c r="J2" s="318"/>
      <c r="K2" s="318"/>
      <c r="L2" s="318"/>
      <c r="M2" s="318"/>
      <c r="N2" s="318"/>
      <c r="O2" s="318"/>
      <c r="P2" s="318"/>
    </row>
    <row r="3" spans="1:16" ht="15.5" x14ac:dyDescent="0.35">
      <c r="A3" s="321" t="s">
        <v>2057</v>
      </c>
      <c r="B3" s="322"/>
      <c r="C3" s="323"/>
      <c r="D3" s="323"/>
      <c r="E3" s="320"/>
      <c r="F3" s="320"/>
      <c r="G3" s="320"/>
      <c r="H3" s="320"/>
      <c r="I3" s="320"/>
      <c r="J3" s="323"/>
      <c r="K3" s="323"/>
      <c r="L3" s="323"/>
      <c r="M3" s="323"/>
      <c r="N3" s="323"/>
      <c r="O3" s="323"/>
      <c r="P3" s="323"/>
    </row>
    <row r="4" spans="1:16" ht="15.5" x14ac:dyDescent="0.35">
      <c r="A4" s="321" t="s">
        <v>1973</v>
      </c>
      <c r="B4" s="324"/>
      <c r="C4" s="323"/>
      <c r="D4" s="323"/>
      <c r="E4" s="320"/>
      <c r="F4" s="320"/>
      <c r="G4" s="320"/>
      <c r="H4" s="320"/>
      <c r="I4" s="320"/>
      <c r="J4" s="321"/>
      <c r="K4" s="321"/>
      <c r="L4" s="321"/>
      <c r="M4" s="321"/>
      <c r="N4" s="321"/>
      <c r="O4" s="321"/>
      <c r="P4" s="325" t="s">
        <v>1974</v>
      </c>
    </row>
    <row r="5" spans="1:16" ht="16" thickBot="1" x14ac:dyDescent="0.4">
      <c r="A5" s="323"/>
      <c r="B5" s="326"/>
      <c r="C5" s="323"/>
      <c r="D5" s="323"/>
      <c r="E5" s="323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</row>
    <row r="6" spans="1:16" ht="16" thickTop="1" x14ac:dyDescent="0.35">
      <c r="A6" s="327"/>
      <c r="B6" s="328"/>
      <c r="C6" s="329"/>
      <c r="D6" s="329"/>
      <c r="E6" s="478" t="s">
        <v>1975</v>
      </c>
      <c r="F6" s="478"/>
      <c r="G6" s="478"/>
      <c r="H6" s="479"/>
      <c r="I6" s="479"/>
      <c r="J6" s="479"/>
      <c r="K6" s="479"/>
      <c r="L6" s="479"/>
      <c r="M6" s="479"/>
      <c r="N6" s="479"/>
      <c r="O6" s="482" t="s">
        <v>1976</v>
      </c>
      <c r="P6" s="483"/>
    </row>
    <row r="7" spans="1:16" ht="15.5" x14ac:dyDescent="0.35">
      <c r="A7" s="330" t="s">
        <v>1977</v>
      </c>
      <c r="B7" s="331" t="s">
        <v>1978</v>
      </c>
      <c r="C7" s="332" t="s">
        <v>15</v>
      </c>
      <c r="D7" s="332" t="s">
        <v>14</v>
      </c>
      <c r="E7" s="480"/>
      <c r="F7" s="480"/>
      <c r="G7" s="480"/>
      <c r="H7" s="480"/>
      <c r="I7" s="480"/>
      <c r="J7" s="480"/>
      <c r="K7" s="480"/>
      <c r="L7" s="480"/>
      <c r="M7" s="480"/>
      <c r="N7" s="480"/>
      <c r="O7" s="484"/>
      <c r="P7" s="485"/>
    </row>
    <row r="8" spans="1:16" ht="16" thickBot="1" x14ac:dyDescent="0.4">
      <c r="A8" s="333"/>
      <c r="B8" s="334"/>
      <c r="C8" s="335"/>
      <c r="D8" s="335"/>
      <c r="E8" s="481"/>
      <c r="F8" s="481"/>
      <c r="G8" s="481"/>
      <c r="H8" s="481"/>
      <c r="I8" s="481"/>
      <c r="J8" s="481"/>
      <c r="K8" s="481"/>
      <c r="L8" s="481"/>
      <c r="M8" s="481"/>
      <c r="N8" s="481"/>
      <c r="O8" s="486"/>
      <c r="P8" s="487"/>
    </row>
    <row r="9" spans="1:16" ht="16" thickTop="1" x14ac:dyDescent="0.35">
      <c r="A9" s="336"/>
      <c r="B9" s="337"/>
      <c r="C9" s="338"/>
      <c r="D9" s="338"/>
      <c r="E9" s="339"/>
      <c r="F9" s="339"/>
      <c r="G9" s="339"/>
      <c r="H9" s="339"/>
      <c r="I9" s="339"/>
      <c r="J9" s="339"/>
      <c r="K9" s="339"/>
      <c r="L9" s="339"/>
      <c r="M9" s="339"/>
      <c r="N9" s="339"/>
      <c r="O9" s="340"/>
      <c r="P9" s="341"/>
    </row>
    <row r="10" spans="1:16" ht="15.5" x14ac:dyDescent="0.35">
      <c r="A10" s="342" t="s">
        <v>1979</v>
      </c>
      <c r="B10" s="343" t="s">
        <v>1980</v>
      </c>
      <c r="C10" s="344"/>
      <c r="D10" s="345"/>
      <c r="E10" s="346" t="s">
        <v>1981</v>
      </c>
      <c r="F10" s="346" t="s">
        <v>1981</v>
      </c>
      <c r="G10" s="404" t="s">
        <v>2067</v>
      </c>
      <c r="H10" s="488" t="s">
        <v>1982</v>
      </c>
      <c r="I10" s="490" t="s">
        <v>2061</v>
      </c>
      <c r="J10" s="488" t="s">
        <v>593</v>
      </c>
      <c r="K10" s="402" t="s">
        <v>2062</v>
      </c>
      <c r="L10" s="402" t="s">
        <v>2065</v>
      </c>
      <c r="M10" s="490" t="s">
        <v>1983</v>
      </c>
      <c r="N10" s="488" t="s">
        <v>1984</v>
      </c>
      <c r="O10" s="347"/>
      <c r="P10" s="348"/>
    </row>
    <row r="11" spans="1:16" ht="31" x14ac:dyDescent="0.35">
      <c r="A11" s="342" t="s">
        <v>1985</v>
      </c>
      <c r="B11" s="343" t="s">
        <v>1986</v>
      </c>
      <c r="C11" s="344"/>
      <c r="D11" s="345"/>
      <c r="E11" s="346" t="s">
        <v>1987</v>
      </c>
      <c r="F11" s="346" t="s">
        <v>2058</v>
      </c>
      <c r="G11" s="405" t="s">
        <v>2068</v>
      </c>
      <c r="H11" s="489"/>
      <c r="I11" s="489"/>
      <c r="J11" s="489"/>
      <c r="K11" s="403" t="s">
        <v>2063</v>
      </c>
      <c r="L11" s="403" t="s">
        <v>2063</v>
      </c>
      <c r="M11" s="491"/>
      <c r="N11" s="489"/>
      <c r="O11" s="347"/>
      <c r="P11" s="348"/>
    </row>
    <row r="12" spans="1:16" ht="15.5" x14ac:dyDescent="0.35">
      <c r="A12" s="349" t="s">
        <v>1988</v>
      </c>
      <c r="B12" s="350" t="s">
        <v>1989</v>
      </c>
      <c r="C12" s="351"/>
      <c r="D12" s="352" t="s">
        <v>1990</v>
      </c>
      <c r="E12" s="346" t="s">
        <v>1991</v>
      </c>
      <c r="F12" s="346" t="s">
        <v>2059</v>
      </c>
      <c r="G12" s="346" t="s">
        <v>2069</v>
      </c>
      <c r="H12" s="353" t="s">
        <v>1992</v>
      </c>
      <c r="I12" s="353" t="s">
        <v>2060</v>
      </c>
      <c r="J12" s="354" t="s">
        <v>1993</v>
      </c>
      <c r="K12" s="354" t="s">
        <v>2064</v>
      </c>
      <c r="L12" s="354" t="s">
        <v>2066</v>
      </c>
      <c r="M12" s="354" t="s">
        <v>1994</v>
      </c>
      <c r="N12" s="354" t="s">
        <v>1995</v>
      </c>
      <c r="O12" s="351"/>
      <c r="P12" s="355"/>
    </row>
    <row r="13" spans="1:16" ht="15.5" x14ac:dyDescent="0.35">
      <c r="A13" s="356" t="s">
        <v>1996</v>
      </c>
      <c r="B13" s="337" t="s">
        <v>1997</v>
      </c>
      <c r="C13" s="357" t="s">
        <v>1998</v>
      </c>
      <c r="D13" s="352" t="s">
        <v>1999</v>
      </c>
      <c r="E13" s="358">
        <v>133</v>
      </c>
      <c r="F13" s="358">
        <v>153</v>
      </c>
      <c r="G13" s="358">
        <v>150</v>
      </c>
      <c r="H13" s="358">
        <v>100</v>
      </c>
      <c r="I13" s="358">
        <v>130</v>
      </c>
      <c r="J13" s="358">
        <v>155</v>
      </c>
      <c r="K13" s="358">
        <v>130</v>
      </c>
      <c r="L13" s="358">
        <v>150</v>
      </c>
      <c r="M13" s="359">
        <v>82</v>
      </c>
      <c r="N13" s="358">
        <v>100</v>
      </c>
      <c r="O13" s="359"/>
      <c r="P13" s="360"/>
    </row>
    <row r="14" spans="1:16" ht="15.5" x14ac:dyDescent="0.35">
      <c r="A14" s="356" t="s">
        <v>2000</v>
      </c>
      <c r="B14" s="337" t="s">
        <v>2001</v>
      </c>
      <c r="C14" s="357" t="s">
        <v>2002</v>
      </c>
      <c r="D14" s="352" t="s">
        <v>1990</v>
      </c>
      <c r="E14" s="358">
        <v>0.9</v>
      </c>
      <c r="F14" s="358">
        <v>0.9</v>
      </c>
      <c r="G14" s="358">
        <v>20</v>
      </c>
      <c r="H14" s="358">
        <v>4</v>
      </c>
      <c r="I14" s="358">
        <v>6</v>
      </c>
      <c r="J14" s="361" t="s">
        <v>1990</v>
      </c>
      <c r="K14" s="358">
        <v>6</v>
      </c>
      <c r="L14" s="358">
        <v>120</v>
      </c>
      <c r="M14" s="359">
        <v>7.1</v>
      </c>
      <c r="N14" s="358">
        <v>4000</v>
      </c>
      <c r="O14" s="359"/>
      <c r="P14" s="360"/>
    </row>
    <row r="15" spans="1:16" ht="15.5" x14ac:dyDescent="0.35">
      <c r="A15" s="356" t="s">
        <v>2003</v>
      </c>
      <c r="B15" s="337" t="s">
        <v>2004</v>
      </c>
      <c r="C15" s="357" t="s">
        <v>5</v>
      </c>
      <c r="D15" s="352" t="s">
        <v>2005</v>
      </c>
      <c r="E15" s="358">
        <v>5</v>
      </c>
      <c r="F15" s="358">
        <v>5</v>
      </c>
      <c r="G15" s="358">
        <v>5</v>
      </c>
      <c r="H15" s="358">
        <v>5</v>
      </c>
      <c r="I15" s="358">
        <v>5</v>
      </c>
      <c r="J15" s="358">
        <v>5</v>
      </c>
      <c r="K15" s="358">
        <v>8</v>
      </c>
      <c r="L15" s="358">
        <v>10</v>
      </c>
      <c r="M15" s="359">
        <v>5</v>
      </c>
      <c r="N15" s="358">
        <v>5</v>
      </c>
      <c r="O15" s="359"/>
      <c r="P15" s="360"/>
    </row>
    <row r="16" spans="1:16" ht="15.5" x14ac:dyDescent="0.35">
      <c r="A16" s="356" t="s">
        <v>2006</v>
      </c>
      <c r="B16" s="337" t="s">
        <v>2007</v>
      </c>
      <c r="C16" s="357" t="s">
        <v>2008</v>
      </c>
      <c r="D16" s="352" t="s">
        <v>2009</v>
      </c>
      <c r="E16" s="362">
        <v>2000</v>
      </c>
      <c r="F16" s="362">
        <v>2000</v>
      </c>
      <c r="G16" s="362">
        <v>2000</v>
      </c>
      <c r="H16" s="362">
        <v>2000</v>
      </c>
      <c r="I16" s="362">
        <v>2000</v>
      </c>
      <c r="J16" s="362">
        <v>2000</v>
      </c>
      <c r="K16" s="362">
        <v>2000</v>
      </c>
      <c r="L16" s="362">
        <v>2000</v>
      </c>
      <c r="M16" s="363">
        <v>2000</v>
      </c>
      <c r="N16" s="362">
        <v>2000</v>
      </c>
      <c r="O16" s="363"/>
      <c r="P16" s="360"/>
    </row>
    <row r="17" spans="1:16" ht="15.5" x14ac:dyDescent="0.35">
      <c r="A17" s="356" t="s">
        <v>2010</v>
      </c>
      <c r="B17" s="337" t="s">
        <v>2011</v>
      </c>
      <c r="C17" s="357" t="s">
        <v>6</v>
      </c>
      <c r="D17" s="352" t="s">
        <v>2012</v>
      </c>
      <c r="E17" s="362">
        <v>1200000000</v>
      </c>
      <c r="F17" s="362">
        <v>1596476000</v>
      </c>
      <c r="G17" s="362">
        <v>450000000</v>
      </c>
      <c r="H17" s="362">
        <v>425000000</v>
      </c>
      <c r="I17" s="362">
        <v>425000000</v>
      </c>
      <c r="J17" s="362">
        <v>1200000000</v>
      </c>
      <c r="K17" s="362">
        <v>1350000000</v>
      </c>
      <c r="L17" s="362">
        <v>860000000</v>
      </c>
      <c r="M17" s="363">
        <v>918787500</v>
      </c>
      <c r="N17" s="362">
        <v>350000000</v>
      </c>
      <c r="O17" s="363"/>
      <c r="P17" s="360"/>
    </row>
    <row r="18" spans="1:16" ht="15.5" x14ac:dyDescent="0.35">
      <c r="A18" s="336"/>
      <c r="B18" s="337"/>
      <c r="C18" s="364"/>
      <c r="D18" s="338"/>
      <c r="E18" s="362"/>
      <c r="F18" s="362"/>
      <c r="G18" s="362"/>
      <c r="H18" s="362"/>
      <c r="I18" s="362"/>
      <c r="J18" s="362"/>
      <c r="K18" s="362"/>
      <c r="L18" s="362"/>
      <c r="M18" s="363"/>
      <c r="N18" s="362"/>
      <c r="O18" s="363"/>
      <c r="P18" s="360"/>
    </row>
    <row r="19" spans="1:16" ht="15.5" x14ac:dyDescent="0.35">
      <c r="A19" s="330" t="s">
        <v>1940</v>
      </c>
      <c r="B19" s="365" t="s">
        <v>2013</v>
      </c>
      <c r="C19" s="364"/>
      <c r="D19" s="338"/>
      <c r="E19" s="362"/>
      <c r="F19" s="362"/>
      <c r="G19" s="362"/>
      <c r="H19" s="339"/>
      <c r="I19" s="339"/>
      <c r="J19" s="362"/>
      <c r="K19" s="362"/>
      <c r="L19" s="362"/>
      <c r="M19" s="340"/>
      <c r="N19" s="339"/>
      <c r="O19" s="340"/>
      <c r="P19" s="360"/>
    </row>
    <row r="20" spans="1:16" ht="15.5" x14ac:dyDescent="0.35">
      <c r="A20" s="366" t="s">
        <v>2014</v>
      </c>
      <c r="B20" s="337" t="s">
        <v>2015</v>
      </c>
      <c r="C20" s="367" t="s">
        <v>7</v>
      </c>
      <c r="D20" s="357" t="s">
        <v>2012</v>
      </c>
      <c r="E20" s="362">
        <f t="shared" ref="E20:N20" si="0">0.1*E17</f>
        <v>120000000</v>
      </c>
      <c r="F20" s="362">
        <f t="shared" si="0"/>
        <v>159647600</v>
      </c>
      <c r="G20" s="362">
        <f t="shared" si="0"/>
        <v>45000000</v>
      </c>
      <c r="H20" s="362">
        <f t="shared" si="0"/>
        <v>42500000</v>
      </c>
      <c r="I20" s="362">
        <f t="shared" si="0"/>
        <v>42500000</v>
      </c>
      <c r="J20" s="362">
        <f t="shared" si="0"/>
        <v>120000000</v>
      </c>
      <c r="K20" s="362">
        <f t="shared" si="0"/>
        <v>135000000</v>
      </c>
      <c r="L20" s="362">
        <f t="shared" si="0"/>
        <v>86000000</v>
      </c>
      <c r="M20" s="363">
        <f t="shared" si="0"/>
        <v>91878750</v>
      </c>
      <c r="N20" s="362">
        <f t="shared" si="0"/>
        <v>35000000</v>
      </c>
      <c r="O20" s="363"/>
      <c r="P20" s="360"/>
    </row>
    <row r="21" spans="1:16" ht="15.5" x14ac:dyDescent="0.35">
      <c r="A21" s="336"/>
      <c r="B21" s="337"/>
      <c r="C21" s="364"/>
      <c r="D21" s="338"/>
      <c r="E21" s="364"/>
      <c r="F21" s="364"/>
      <c r="G21" s="364"/>
      <c r="H21" s="364"/>
      <c r="I21" s="364"/>
      <c r="J21" s="364"/>
      <c r="K21" s="364"/>
      <c r="L21" s="364"/>
      <c r="M21" s="338"/>
      <c r="N21" s="364"/>
      <c r="O21" s="338" t="s">
        <v>2016</v>
      </c>
      <c r="P21" s="360"/>
    </row>
    <row r="22" spans="1:16" ht="15.5" x14ac:dyDescent="0.35">
      <c r="A22" s="366" t="s">
        <v>2017</v>
      </c>
      <c r="B22" s="337" t="s">
        <v>2018</v>
      </c>
      <c r="C22" s="367" t="s">
        <v>8</v>
      </c>
      <c r="D22" s="357" t="s">
        <v>1990</v>
      </c>
      <c r="E22" s="368">
        <f>($P22*(1+$P22)^E15)/((1+$P22)^E15-1)</f>
        <v>0.26379748079474524</v>
      </c>
      <c r="F22" s="368">
        <f>($P22*(1+$P22)^F15)/((1+$P22)^F15-1)</f>
        <v>0.26379748079474524</v>
      </c>
      <c r="G22" s="368">
        <f>($P22*(1+$P22)^G15)/((1+$P22)^G15-1)</f>
        <v>0.26379748079474524</v>
      </c>
      <c r="H22" s="368">
        <f t="shared" ref="H22:N22" si="1">($P22*(1+$P22)^H15)/((1+$P22)^H15-1)</f>
        <v>0.26379748079474524</v>
      </c>
      <c r="I22" s="368">
        <f t="shared" ref="I22" si="2">($P22*(1+$P22)^I15)/((1+$P22)^I15-1)</f>
        <v>0.26379748079474524</v>
      </c>
      <c r="J22" s="368">
        <f t="shared" si="1"/>
        <v>0.26379748079474524</v>
      </c>
      <c r="K22" s="368">
        <f t="shared" ref="K22:L22" si="3">($P22*(1+$P22)^K15)/((1+$P22)^K15-1)</f>
        <v>0.18744401757481335</v>
      </c>
      <c r="L22" s="368">
        <f t="shared" si="3"/>
        <v>0.16274539488251155</v>
      </c>
      <c r="M22" s="368">
        <f t="shared" si="1"/>
        <v>0.26379748079474524</v>
      </c>
      <c r="N22" s="368">
        <f t="shared" si="1"/>
        <v>0.26379748079474524</v>
      </c>
      <c r="O22" s="369" t="s">
        <v>2019</v>
      </c>
      <c r="P22" s="370">
        <v>0.1</v>
      </c>
    </row>
    <row r="23" spans="1:16" ht="15.5" x14ac:dyDescent="0.35">
      <c r="A23" s="336"/>
      <c r="B23" s="337"/>
      <c r="C23" s="364"/>
      <c r="D23" s="338"/>
      <c r="E23" s="339"/>
      <c r="F23" s="339"/>
      <c r="G23" s="339"/>
      <c r="H23" s="339"/>
      <c r="I23" s="339"/>
      <c r="J23" s="339"/>
      <c r="K23" s="339"/>
      <c r="L23" s="339"/>
      <c r="M23" s="340"/>
      <c r="N23" s="339"/>
      <c r="O23" s="340"/>
      <c r="P23" s="360"/>
    </row>
    <row r="24" spans="1:16" ht="15.5" x14ac:dyDescent="0.35">
      <c r="A24" s="366" t="s">
        <v>1996</v>
      </c>
      <c r="B24" s="337" t="s">
        <v>2020</v>
      </c>
      <c r="C24" s="364"/>
      <c r="D24" s="338"/>
      <c r="E24" s="339"/>
      <c r="F24" s="339"/>
      <c r="G24" s="339"/>
      <c r="H24" s="339"/>
      <c r="I24" s="339"/>
      <c r="J24" s="371"/>
      <c r="K24" s="371"/>
      <c r="L24" s="371"/>
      <c r="M24" s="340"/>
      <c r="N24" s="339"/>
      <c r="O24" s="340"/>
      <c r="P24" s="360"/>
    </row>
    <row r="25" spans="1:16" ht="15.5" x14ac:dyDescent="0.35">
      <c r="A25" s="336"/>
      <c r="B25" s="337" t="s">
        <v>2021</v>
      </c>
      <c r="C25" s="367" t="s">
        <v>9</v>
      </c>
      <c r="D25" s="357" t="s">
        <v>2022</v>
      </c>
      <c r="E25" s="339">
        <f t="shared" ref="E25:N25" si="4">((E17-E20)*E22)/E16</f>
        <v>142450.63962916244</v>
      </c>
      <c r="F25" s="339">
        <f t="shared" si="4"/>
        <v>189515.85612717227</v>
      </c>
      <c r="G25" s="339">
        <f t="shared" si="4"/>
        <v>53418.989860935908</v>
      </c>
      <c r="H25" s="339">
        <f t="shared" si="4"/>
        <v>50451.26820199503</v>
      </c>
      <c r="I25" s="339">
        <f t="shared" si="4"/>
        <v>50451.26820199503</v>
      </c>
      <c r="J25" s="339">
        <f t="shared" si="4"/>
        <v>142450.63962916244</v>
      </c>
      <c r="K25" s="339">
        <f t="shared" si="4"/>
        <v>113872.24067669912</v>
      </c>
      <c r="L25" s="339">
        <f t="shared" si="4"/>
        <v>62982.467819531972</v>
      </c>
      <c r="M25" s="340">
        <f t="shared" si="4"/>
        <v>109068.2225485659</v>
      </c>
      <c r="N25" s="339">
        <f t="shared" si="4"/>
        <v>41548.103225172381</v>
      </c>
      <c r="O25" s="340"/>
      <c r="P25" s="360"/>
    </row>
    <row r="26" spans="1:16" ht="15.5" x14ac:dyDescent="0.35">
      <c r="A26" s="336"/>
      <c r="B26" s="337"/>
      <c r="C26" s="364"/>
      <c r="D26" s="338"/>
      <c r="E26" s="339"/>
      <c r="F26" s="339"/>
      <c r="G26" s="339"/>
      <c r="H26" s="339"/>
      <c r="I26" s="339"/>
      <c r="J26" s="339"/>
      <c r="K26" s="339"/>
      <c r="L26" s="339"/>
      <c r="M26" s="340"/>
      <c r="N26" s="339"/>
      <c r="O26" s="340" t="s">
        <v>2023</v>
      </c>
      <c r="P26" s="360"/>
    </row>
    <row r="27" spans="1:16" ht="15.5" x14ac:dyDescent="0.35">
      <c r="A27" s="336"/>
      <c r="B27" s="337" t="s">
        <v>2024</v>
      </c>
      <c r="C27" s="367" t="s">
        <v>10</v>
      </c>
      <c r="D27" s="357" t="s">
        <v>2022</v>
      </c>
      <c r="E27" s="339">
        <f>$P27*E17/E16</f>
        <v>1200</v>
      </c>
      <c r="F27" s="339">
        <f t="shared" ref="F27:N27" si="5">$P27*F17/F16</f>
        <v>1596.4760000000001</v>
      </c>
      <c r="G27" s="339">
        <f t="shared" ref="G27" si="6">$P27*G17/G16</f>
        <v>450</v>
      </c>
      <c r="H27" s="339">
        <f t="shared" si="5"/>
        <v>425</v>
      </c>
      <c r="I27" s="339">
        <f t="shared" si="5"/>
        <v>425</v>
      </c>
      <c r="J27" s="339">
        <f t="shared" si="5"/>
        <v>1200</v>
      </c>
      <c r="K27" s="339">
        <f t="shared" si="5"/>
        <v>1350</v>
      </c>
      <c r="L27" s="339">
        <f t="shared" ref="L27" si="7">$P27*L17/L16</f>
        <v>860</v>
      </c>
      <c r="M27" s="339">
        <f t="shared" si="5"/>
        <v>918.78750000000002</v>
      </c>
      <c r="N27" s="339">
        <f t="shared" si="5"/>
        <v>350</v>
      </c>
      <c r="O27" s="372" t="s">
        <v>2025</v>
      </c>
      <c r="P27" s="373">
        <v>2E-3</v>
      </c>
    </row>
    <row r="28" spans="1:16" ht="15.5" x14ac:dyDescent="0.35">
      <c r="A28" s="336"/>
      <c r="B28" s="337"/>
      <c r="C28" s="364"/>
      <c r="D28" s="338"/>
      <c r="E28" s="371"/>
      <c r="F28" s="371"/>
      <c r="G28" s="371"/>
      <c r="H28" s="371"/>
      <c r="I28" s="371"/>
      <c r="J28" s="339"/>
      <c r="K28" s="339"/>
      <c r="L28" s="339"/>
      <c r="M28" s="340"/>
      <c r="N28" s="339"/>
      <c r="O28" s="340"/>
      <c r="P28" s="360"/>
    </row>
    <row r="29" spans="1:16" ht="15.5" x14ac:dyDescent="0.35">
      <c r="A29" s="336"/>
      <c r="B29" s="374" t="s">
        <v>2026</v>
      </c>
      <c r="C29" s="354" t="s">
        <v>11</v>
      </c>
      <c r="D29" s="375" t="s">
        <v>2022</v>
      </c>
      <c r="E29" s="376">
        <f t="shared" ref="E29:N29" si="8">E27+E25</f>
        <v>143650.63962916244</v>
      </c>
      <c r="F29" s="376">
        <f t="shared" si="8"/>
        <v>191112.33212717227</v>
      </c>
      <c r="G29" s="376">
        <f t="shared" si="8"/>
        <v>53868.989860935908</v>
      </c>
      <c r="H29" s="376">
        <f t="shared" si="8"/>
        <v>50876.26820199503</v>
      </c>
      <c r="I29" s="376">
        <f t="shared" si="8"/>
        <v>50876.26820199503</v>
      </c>
      <c r="J29" s="376">
        <f t="shared" si="8"/>
        <v>143650.63962916244</v>
      </c>
      <c r="K29" s="376">
        <f t="shared" si="8"/>
        <v>115222.24067669912</v>
      </c>
      <c r="L29" s="376">
        <f t="shared" si="8"/>
        <v>63842.467819531972</v>
      </c>
      <c r="M29" s="377">
        <f t="shared" si="8"/>
        <v>109987.01004856591</v>
      </c>
      <c r="N29" s="376">
        <f t="shared" si="8"/>
        <v>41898.103225172381</v>
      </c>
      <c r="O29" s="378"/>
      <c r="P29" s="360"/>
    </row>
    <row r="30" spans="1:16" ht="15.5" x14ac:dyDescent="0.35">
      <c r="A30" s="336"/>
      <c r="B30" s="337"/>
      <c r="C30" s="364"/>
      <c r="D30" s="338"/>
      <c r="E30" s="339"/>
      <c r="F30" s="339"/>
      <c r="G30" s="339"/>
      <c r="H30" s="339"/>
      <c r="I30" s="339"/>
      <c r="J30" s="371"/>
      <c r="K30" s="371"/>
      <c r="L30" s="371"/>
      <c r="M30" s="320"/>
      <c r="N30" s="371"/>
      <c r="O30" s="379"/>
      <c r="P30" s="360"/>
    </row>
    <row r="31" spans="1:16" ht="15.5" x14ac:dyDescent="0.35">
      <c r="A31" s="330" t="s">
        <v>2027</v>
      </c>
      <c r="B31" s="365" t="s">
        <v>2028</v>
      </c>
      <c r="C31" s="364"/>
      <c r="D31" s="338"/>
      <c r="E31" s="371"/>
      <c r="F31" s="371"/>
      <c r="G31" s="371"/>
      <c r="H31" s="371"/>
      <c r="I31" s="371"/>
      <c r="J31" s="371"/>
      <c r="K31" s="371"/>
      <c r="L31" s="371"/>
      <c r="M31" s="320"/>
      <c r="N31" s="371"/>
      <c r="O31" s="379"/>
      <c r="P31" s="360"/>
    </row>
    <row r="32" spans="1:16" ht="15.5" x14ac:dyDescent="0.35">
      <c r="A32" s="366" t="s">
        <v>1950</v>
      </c>
      <c r="B32" s="380" t="s">
        <v>2053</v>
      </c>
      <c r="C32" s="367" t="s">
        <v>2029</v>
      </c>
      <c r="D32" s="357" t="s">
        <v>2022</v>
      </c>
      <c r="E32" s="381">
        <f>$P32*E13*E50</f>
        <v>231420</v>
      </c>
      <c r="F32" s="381">
        <f>$P32*F13*F50</f>
        <v>266220</v>
      </c>
      <c r="G32" s="381">
        <f>$P32*G13*G50</f>
        <v>261000</v>
      </c>
      <c r="H32" s="381">
        <f t="shared" ref="H32:N32" si="9">$P32*H13*H50</f>
        <v>174000</v>
      </c>
      <c r="I32" s="381">
        <f t="shared" ref="I32" si="10">$P32*I13*I50</f>
        <v>226200</v>
      </c>
      <c r="J32" s="381">
        <f t="shared" si="9"/>
        <v>269699.99999999994</v>
      </c>
      <c r="K32" s="381">
        <f t="shared" ref="K32:L32" si="11">$P32*K13*K50</f>
        <v>226200</v>
      </c>
      <c r="L32" s="381">
        <f t="shared" si="11"/>
        <v>261000</v>
      </c>
      <c r="M32" s="381">
        <f t="shared" si="9"/>
        <v>142680</v>
      </c>
      <c r="N32" s="381">
        <f t="shared" si="9"/>
        <v>174000</v>
      </c>
      <c r="O32" s="382"/>
      <c r="P32" s="383">
        <v>0.12</v>
      </c>
    </row>
    <row r="33" spans="1:16" ht="15.5" x14ac:dyDescent="0.35">
      <c r="A33" s="384"/>
      <c r="B33" s="337"/>
      <c r="C33" s="364"/>
      <c r="D33" s="338"/>
      <c r="E33" s="364"/>
      <c r="F33" s="364"/>
      <c r="G33" s="364"/>
      <c r="H33" s="364"/>
      <c r="I33" s="364"/>
      <c r="J33" s="364"/>
      <c r="K33" s="364"/>
      <c r="L33" s="364"/>
      <c r="M33" s="364"/>
      <c r="N33" s="364"/>
      <c r="O33" s="338"/>
      <c r="P33" s="385"/>
    </row>
    <row r="34" spans="1:16" ht="15.5" x14ac:dyDescent="0.35">
      <c r="A34" s="366" t="s">
        <v>1953</v>
      </c>
      <c r="B34" s="380" t="s">
        <v>2054</v>
      </c>
      <c r="C34" s="386" t="s">
        <v>12</v>
      </c>
      <c r="D34" s="357" t="s">
        <v>2022</v>
      </c>
      <c r="E34" s="387">
        <f>$P34*E13*E51</f>
        <v>18620</v>
      </c>
      <c r="F34" s="387">
        <f>$P34*F13*F51</f>
        <v>21420</v>
      </c>
      <c r="G34" s="387">
        <f>$P34*G13*G51</f>
        <v>21000</v>
      </c>
      <c r="H34" s="387">
        <f t="shared" ref="H34:N34" si="12">$P34*H13*H51</f>
        <v>14000.000000000002</v>
      </c>
      <c r="I34" s="387">
        <f t="shared" ref="I34" si="13">$P34*I13*I51</f>
        <v>18200</v>
      </c>
      <c r="J34" s="387">
        <f t="shared" si="12"/>
        <v>21700</v>
      </c>
      <c r="K34" s="387">
        <f t="shared" ref="K34:L34" si="14">$P34*K13*K51</f>
        <v>18200</v>
      </c>
      <c r="L34" s="387">
        <f t="shared" si="14"/>
        <v>21000</v>
      </c>
      <c r="M34" s="387">
        <f t="shared" si="12"/>
        <v>11480.000000000002</v>
      </c>
      <c r="N34" s="387">
        <f t="shared" si="12"/>
        <v>14000.000000000002</v>
      </c>
      <c r="O34" s="388"/>
      <c r="P34" s="383">
        <v>3.5000000000000001E-3</v>
      </c>
    </row>
    <row r="35" spans="1:16" ht="15.5" x14ac:dyDescent="0.35">
      <c r="A35" s="366"/>
      <c r="B35" s="380"/>
      <c r="C35" s="386"/>
      <c r="D35" s="389"/>
      <c r="E35" s="387"/>
      <c r="F35" s="387"/>
      <c r="G35" s="387"/>
      <c r="H35" s="387"/>
      <c r="I35" s="387"/>
      <c r="J35" s="387"/>
      <c r="K35" s="387"/>
      <c r="L35" s="387"/>
      <c r="M35" s="387"/>
      <c r="N35" s="387"/>
      <c r="O35" s="388"/>
      <c r="P35" s="385"/>
    </row>
    <row r="36" spans="1:16" ht="15.5" x14ac:dyDescent="0.35">
      <c r="A36" s="366"/>
      <c r="B36" s="380" t="s">
        <v>2030</v>
      </c>
      <c r="C36" s="386" t="s">
        <v>2031</v>
      </c>
      <c r="D36" s="357" t="s">
        <v>2022</v>
      </c>
      <c r="E36" s="381">
        <f>$P36*E17/E16</f>
        <v>16800</v>
      </c>
      <c r="F36" s="381">
        <f>$P36*F17/F16</f>
        <v>22350.664000000001</v>
      </c>
      <c r="G36" s="381">
        <f>$P36*G17/G16</f>
        <v>6300</v>
      </c>
      <c r="H36" s="381">
        <f t="shared" ref="H36:N36" si="15">$P36*H17/H16</f>
        <v>5950</v>
      </c>
      <c r="I36" s="381">
        <f t="shared" ref="I36" si="16">$P36*I17/I16</f>
        <v>5950</v>
      </c>
      <c r="J36" s="381">
        <f t="shared" si="15"/>
        <v>16800</v>
      </c>
      <c r="K36" s="381">
        <f t="shared" ref="K36:L36" si="17">$P36*K17/K16</f>
        <v>18900</v>
      </c>
      <c r="L36" s="381">
        <f t="shared" si="17"/>
        <v>12040</v>
      </c>
      <c r="M36" s="381">
        <f t="shared" si="15"/>
        <v>12863.025</v>
      </c>
      <c r="N36" s="381">
        <f t="shared" si="15"/>
        <v>4900</v>
      </c>
      <c r="O36" s="382"/>
      <c r="P36" s="383">
        <v>2.8000000000000001E-2</v>
      </c>
    </row>
    <row r="37" spans="1:16" ht="15.5" x14ac:dyDescent="0.35">
      <c r="A37" s="366"/>
      <c r="B37" s="380"/>
      <c r="C37" s="386"/>
      <c r="D37" s="389"/>
      <c r="E37" s="387"/>
      <c r="F37" s="387"/>
      <c r="G37" s="387"/>
      <c r="H37" s="387"/>
      <c r="I37" s="387"/>
      <c r="J37" s="387"/>
      <c r="K37" s="387"/>
      <c r="L37" s="387"/>
      <c r="M37" s="387"/>
      <c r="N37" s="387"/>
      <c r="O37" s="388"/>
      <c r="P37" s="385"/>
    </row>
    <row r="38" spans="1:16" ht="15.5" x14ac:dyDescent="0.35">
      <c r="A38" s="366" t="s">
        <v>1952</v>
      </c>
      <c r="B38" s="380" t="s">
        <v>2032</v>
      </c>
      <c r="C38" s="386" t="s">
        <v>2033</v>
      </c>
      <c r="D38" s="357" t="s">
        <v>2022</v>
      </c>
      <c r="E38" s="387">
        <f>$P38*E17/E16</f>
        <v>51000</v>
      </c>
      <c r="F38" s="387">
        <f>$P38*F17/F16</f>
        <v>67850.23</v>
      </c>
      <c r="G38" s="387">
        <f>$P38*G17/G16</f>
        <v>19125</v>
      </c>
      <c r="H38" s="387">
        <f t="shared" ref="H38:N38" si="18">$P38*H17/H16</f>
        <v>18062.5</v>
      </c>
      <c r="I38" s="387">
        <f t="shared" ref="I38" si="19">$P38*I17/I16</f>
        <v>18062.5</v>
      </c>
      <c r="J38" s="387">
        <f t="shared" si="18"/>
        <v>51000</v>
      </c>
      <c r="K38" s="387">
        <f t="shared" ref="K38:L38" si="20">$P38*K17/K16</f>
        <v>57375.000000000007</v>
      </c>
      <c r="L38" s="387">
        <f t="shared" si="20"/>
        <v>36550</v>
      </c>
      <c r="M38" s="387">
        <f t="shared" si="18"/>
        <v>39048.46875</v>
      </c>
      <c r="N38" s="387">
        <f t="shared" si="18"/>
        <v>14875.000000000002</v>
      </c>
      <c r="O38" s="388"/>
      <c r="P38" s="383">
        <v>8.5000000000000006E-2</v>
      </c>
    </row>
    <row r="39" spans="1:16" ht="15.5" x14ac:dyDescent="0.35">
      <c r="A39" s="384"/>
      <c r="B39" s="380" t="s">
        <v>2034</v>
      </c>
      <c r="C39" s="390"/>
      <c r="D39" s="391"/>
      <c r="E39" s="371"/>
      <c r="F39" s="371"/>
      <c r="G39" s="371"/>
      <c r="H39" s="387"/>
      <c r="I39" s="387"/>
      <c r="J39" s="371"/>
      <c r="K39" s="371"/>
      <c r="L39" s="371"/>
      <c r="M39" s="388"/>
      <c r="N39" s="339"/>
      <c r="O39" s="340"/>
      <c r="P39" s="392"/>
    </row>
    <row r="40" spans="1:16" ht="15.5" x14ac:dyDescent="0.35">
      <c r="A40" s="384"/>
      <c r="B40" s="337"/>
      <c r="C40" s="364"/>
      <c r="D40" s="338"/>
      <c r="E40" s="339"/>
      <c r="F40" s="339"/>
      <c r="G40" s="339"/>
      <c r="H40" s="364"/>
      <c r="I40" s="364"/>
      <c r="J40" s="339"/>
      <c r="K40" s="339"/>
      <c r="L40" s="339"/>
      <c r="M40" s="388"/>
      <c r="N40" s="364"/>
      <c r="O40" s="338"/>
      <c r="P40" s="392"/>
    </row>
    <row r="41" spans="1:16" ht="15.5" x14ac:dyDescent="0.35">
      <c r="A41" s="366" t="s">
        <v>1955</v>
      </c>
      <c r="B41" s="337" t="s">
        <v>2035</v>
      </c>
      <c r="C41" s="367" t="s">
        <v>2036</v>
      </c>
      <c r="D41" s="357" t="s">
        <v>2022</v>
      </c>
      <c r="E41" s="339">
        <f>HSD!$K$34/7</f>
        <v>35714.285714285717</v>
      </c>
      <c r="F41" s="339">
        <f>HSD!$K$34/7</f>
        <v>35714.285714285717</v>
      </c>
      <c r="G41" s="339">
        <f>HSD!$K$34/7</f>
        <v>35714.285714285717</v>
      </c>
      <c r="H41" s="339">
        <f>HSD!$K$34/7</f>
        <v>35714.285714285717</v>
      </c>
      <c r="I41" s="339">
        <f>HSD!$K$34/7</f>
        <v>35714.285714285717</v>
      </c>
      <c r="J41" s="339">
        <f>HSD!$K$34/7</f>
        <v>35714.285714285717</v>
      </c>
      <c r="K41" s="339">
        <f>HSD!$K$34/7</f>
        <v>35714.285714285717</v>
      </c>
      <c r="L41" s="339">
        <f>HSD!$K$34/7</f>
        <v>35714.285714285717</v>
      </c>
      <c r="M41" s="339">
        <f>HSD!$K$34/7</f>
        <v>35714.285714285717</v>
      </c>
      <c r="N41" s="339">
        <f>HSD!$K$34/7</f>
        <v>35714.285714285717</v>
      </c>
      <c r="O41" s="340"/>
      <c r="P41" s="392"/>
    </row>
    <row r="42" spans="1:16" ht="15.5" x14ac:dyDescent="0.35">
      <c r="A42" s="366" t="s">
        <v>1956</v>
      </c>
      <c r="B42" s="337" t="s">
        <v>2037</v>
      </c>
      <c r="C42" s="367" t="s">
        <v>13</v>
      </c>
      <c r="D42" s="357" t="s">
        <v>2022</v>
      </c>
      <c r="E42" s="339">
        <f>HSD!$K$36/7</f>
        <v>17857.142857142859</v>
      </c>
      <c r="F42" s="339">
        <f>HSD!$K$36/7</f>
        <v>17857.142857142859</v>
      </c>
      <c r="G42" s="339">
        <f>HSD!$K$36/7</f>
        <v>17857.142857142859</v>
      </c>
      <c r="H42" s="339">
        <f>HSD!$K$36/7</f>
        <v>17857.142857142859</v>
      </c>
      <c r="I42" s="339">
        <f>HSD!$K$36/7</f>
        <v>17857.142857142859</v>
      </c>
      <c r="J42" s="339">
        <f>HSD!$K$36/7</f>
        <v>17857.142857142859</v>
      </c>
      <c r="K42" s="339">
        <f>HSD!$K$36/7</f>
        <v>17857.142857142859</v>
      </c>
      <c r="L42" s="339">
        <f>HSD!$K$36/7</f>
        <v>17857.142857142859</v>
      </c>
      <c r="M42" s="339">
        <f>HSD!$K$36/7</f>
        <v>17857.142857142859</v>
      </c>
      <c r="N42" s="339">
        <f>HSD!$K$36/7</f>
        <v>17857.142857142859</v>
      </c>
      <c r="O42" s="340"/>
      <c r="P42" s="392"/>
    </row>
    <row r="43" spans="1:16" ht="15.5" x14ac:dyDescent="0.35">
      <c r="A43" s="366"/>
      <c r="B43" s="337"/>
      <c r="C43" s="367"/>
      <c r="D43" s="357"/>
      <c r="E43" s="371"/>
      <c r="F43" s="371"/>
      <c r="G43" s="371"/>
      <c r="H43" s="339"/>
      <c r="I43" s="339"/>
      <c r="J43" s="371"/>
      <c r="K43" s="371"/>
      <c r="L43" s="371"/>
      <c r="M43" s="340"/>
      <c r="N43" s="371"/>
      <c r="O43" s="379"/>
      <c r="P43" s="392"/>
    </row>
    <row r="44" spans="1:16" ht="15.5" x14ac:dyDescent="0.35">
      <c r="A44" s="393"/>
      <c r="B44" s="365" t="s">
        <v>2038</v>
      </c>
      <c r="C44" s="331" t="s">
        <v>2039</v>
      </c>
      <c r="D44" s="357" t="s">
        <v>2022</v>
      </c>
      <c r="E44" s="394">
        <f t="shared" ref="E44:N44" si="21">SUM(E32:E42)</f>
        <v>371411.42857142858</v>
      </c>
      <c r="F44" s="394">
        <f t="shared" si="21"/>
        <v>431412.32257142855</v>
      </c>
      <c r="G44" s="394">
        <f t="shared" si="21"/>
        <v>360996.42857142858</v>
      </c>
      <c r="H44" s="394">
        <f t="shared" si="21"/>
        <v>265583.92857142858</v>
      </c>
      <c r="I44" s="394">
        <f t="shared" si="21"/>
        <v>321983.92857142858</v>
      </c>
      <c r="J44" s="394">
        <f t="shared" si="21"/>
        <v>412771.42857142852</v>
      </c>
      <c r="K44" s="394">
        <f t="shared" si="21"/>
        <v>374246.42857142858</v>
      </c>
      <c r="L44" s="394">
        <f t="shared" si="21"/>
        <v>384161.42857142858</v>
      </c>
      <c r="M44" s="378">
        <f t="shared" si="21"/>
        <v>259642.92232142857</v>
      </c>
      <c r="N44" s="394">
        <f t="shared" si="21"/>
        <v>261346.42857142858</v>
      </c>
      <c r="O44" s="378"/>
      <c r="P44" s="392"/>
    </row>
    <row r="45" spans="1:16" ht="15.5" x14ac:dyDescent="0.35">
      <c r="A45" s="393"/>
      <c r="B45" s="365"/>
      <c r="C45" s="331"/>
      <c r="D45" s="357"/>
      <c r="E45" s="371"/>
      <c r="F45" s="371"/>
      <c r="G45" s="371"/>
      <c r="H45" s="339"/>
      <c r="I45" s="339"/>
      <c r="J45" s="339"/>
      <c r="K45" s="339"/>
      <c r="L45" s="339"/>
      <c r="M45" s="320"/>
      <c r="N45" s="339"/>
      <c r="O45" s="340"/>
      <c r="P45" s="392"/>
    </row>
    <row r="46" spans="1:16" ht="15.5" x14ac:dyDescent="0.35">
      <c r="A46" s="395" t="s">
        <v>2040</v>
      </c>
      <c r="B46" s="374" t="s">
        <v>2041</v>
      </c>
      <c r="C46" s="354" t="s">
        <v>2042</v>
      </c>
      <c r="D46" s="396" t="s">
        <v>2022</v>
      </c>
      <c r="E46" s="376">
        <f t="shared" ref="E46:N46" si="22">E29+E44</f>
        <v>515062.06820059102</v>
      </c>
      <c r="F46" s="376">
        <f t="shared" si="22"/>
        <v>622524.65469860076</v>
      </c>
      <c r="G46" s="376">
        <f t="shared" si="22"/>
        <v>414865.41843236447</v>
      </c>
      <c r="H46" s="376">
        <f t="shared" si="22"/>
        <v>316460.19677342358</v>
      </c>
      <c r="I46" s="376">
        <f t="shared" si="22"/>
        <v>372860.19677342358</v>
      </c>
      <c r="J46" s="376">
        <f t="shared" si="22"/>
        <v>556422.06820059102</v>
      </c>
      <c r="K46" s="376">
        <f t="shared" si="22"/>
        <v>489468.66924812773</v>
      </c>
      <c r="L46" s="376">
        <f t="shared" si="22"/>
        <v>448003.89639096055</v>
      </c>
      <c r="M46" s="377">
        <f t="shared" si="22"/>
        <v>369629.93236999447</v>
      </c>
      <c r="N46" s="376">
        <f t="shared" si="22"/>
        <v>303244.53179660096</v>
      </c>
      <c r="O46" s="378"/>
      <c r="P46" s="392"/>
    </row>
    <row r="47" spans="1:16" ht="15.5" x14ac:dyDescent="0.35">
      <c r="A47" s="336"/>
      <c r="B47" s="337"/>
      <c r="C47" s="364"/>
      <c r="D47" s="338"/>
      <c r="E47" s="371"/>
      <c r="F47" s="371"/>
      <c r="G47" s="371"/>
      <c r="H47" s="371"/>
      <c r="I47" s="371"/>
      <c r="J47" s="339"/>
      <c r="K47" s="339"/>
      <c r="L47" s="339"/>
      <c r="M47" s="320"/>
      <c r="N47" s="371"/>
      <c r="O47" s="379"/>
      <c r="P47" s="392"/>
    </row>
    <row r="48" spans="1:16" ht="15.5" x14ac:dyDescent="0.35">
      <c r="A48" s="330" t="s">
        <v>2043</v>
      </c>
      <c r="B48" s="365" t="s">
        <v>2044</v>
      </c>
      <c r="C48" s="364"/>
      <c r="D48" s="338"/>
      <c r="E48" s="371"/>
      <c r="F48" s="371"/>
      <c r="G48" s="371"/>
      <c r="H48" s="371"/>
      <c r="I48" s="371"/>
      <c r="J48" s="371"/>
      <c r="K48" s="371"/>
      <c r="L48" s="371"/>
      <c r="M48" s="340"/>
      <c r="N48" s="371"/>
      <c r="O48" s="379"/>
      <c r="P48" s="392"/>
    </row>
    <row r="49" spans="1:16" ht="15.5" x14ac:dyDescent="0.35">
      <c r="A49" s="356" t="s">
        <v>1950</v>
      </c>
      <c r="B49" s="337" t="s">
        <v>2055</v>
      </c>
      <c r="C49" s="367" t="s">
        <v>2045</v>
      </c>
      <c r="D49" s="357" t="s">
        <v>2046</v>
      </c>
      <c r="E49" s="339">
        <f>HSD!$K$544</f>
        <v>11750</v>
      </c>
      <c r="F49" s="339">
        <f>HSD!$K$544</f>
        <v>11750</v>
      </c>
      <c r="G49" s="339">
        <f>HSD!$K$544</f>
        <v>11750</v>
      </c>
      <c r="H49" s="339">
        <f>HSD!$K$544</f>
        <v>11750</v>
      </c>
      <c r="I49" s="339">
        <f>HSD!$K$544</f>
        <v>11750</v>
      </c>
      <c r="J49" s="339">
        <f>HSD!$K$544</f>
        <v>11750</v>
      </c>
      <c r="K49" s="339">
        <f>HSD!$K$544</f>
        <v>11750</v>
      </c>
      <c r="L49" s="339">
        <f>HSD!$K$544</f>
        <v>11750</v>
      </c>
      <c r="M49" s="339">
        <f>HSD!$K$544</f>
        <v>11750</v>
      </c>
      <c r="N49" s="339">
        <f>HSD!$K$544</f>
        <v>11750</v>
      </c>
      <c r="O49" s="340"/>
      <c r="P49" s="392"/>
    </row>
    <row r="50" spans="1:16" ht="15.5" x14ac:dyDescent="0.35">
      <c r="A50" s="356" t="s">
        <v>1953</v>
      </c>
      <c r="B50" s="337" t="s">
        <v>2047</v>
      </c>
      <c r="C50" s="367" t="s">
        <v>2048</v>
      </c>
      <c r="D50" s="357" t="s">
        <v>2046</v>
      </c>
      <c r="E50" s="339">
        <f>HSD!$K$545</f>
        <v>14500</v>
      </c>
      <c r="F50" s="339">
        <f>HSD!$K$545</f>
        <v>14500</v>
      </c>
      <c r="G50" s="339">
        <f>HSD!$K$545</f>
        <v>14500</v>
      </c>
      <c r="H50" s="339">
        <f>HSD!$K$545</f>
        <v>14500</v>
      </c>
      <c r="I50" s="339">
        <f>HSD!$K$545</f>
        <v>14500</v>
      </c>
      <c r="J50" s="339">
        <f>HSD!$K$545</f>
        <v>14500</v>
      </c>
      <c r="K50" s="339">
        <f>HSD!$K$545</f>
        <v>14500</v>
      </c>
      <c r="L50" s="339">
        <f>HSD!$K$545</f>
        <v>14500</v>
      </c>
      <c r="M50" s="339">
        <f>HSD!$K$545</f>
        <v>14500</v>
      </c>
      <c r="N50" s="339">
        <f>HSD!$K$545</f>
        <v>14500</v>
      </c>
      <c r="O50" s="340"/>
      <c r="P50" s="392"/>
    </row>
    <row r="51" spans="1:16" ht="15.5" x14ac:dyDescent="0.35">
      <c r="A51" s="356" t="s">
        <v>1952</v>
      </c>
      <c r="B51" s="337" t="s">
        <v>2049</v>
      </c>
      <c r="C51" s="367" t="s">
        <v>2050</v>
      </c>
      <c r="D51" s="357" t="s">
        <v>2046</v>
      </c>
      <c r="E51" s="339">
        <f>HSD!$K$630</f>
        <v>40000</v>
      </c>
      <c r="F51" s="339">
        <f>HSD!$K$630</f>
        <v>40000</v>
      </c>
      <c r="G51" s="339">
        <f>HSD!$K$630</f>
        <v>40000</v>
      </c>
      <c r="H51" s="339">
        <f>HSD!$K$630</f>
        <v>40000</v>
      </c>
      <c r="I51" s="339">
        <f>HSD!$K$630</f>
        <v>40000</v>
      </c>
      <c r="J51" s="339">
        <f>HSD!$K$630</f>
        <v>40000</v>
      </c>
      <c r="K51" s="339">
        <f>HSD!$K$630</f>
        <v>40000</v>
      </c>
      <c r="L51" s="339">
        <f>HSD!$K$630</f>
        <v>40000</v>
      </c>
      <c r="M51" s="340">
        <f>HSD!$K$630</f>
        <v>40000</v>
      </c>
      <c r="N51" s="339">
        <f>HSD!$K$630</f>
        <v>40000</v>
      </c>
      <c r="O51" s="340"/>
      <c r="P51" s="392"/>
    </row>
    <row r="52" spans="1:16" ht="16" thickBot="1" x14ac:dyDescent="0.4">
      <c r="A52" s="333"/>
      <c r="B52" s="334"/>
      <c r="C52" s="397"/>
      <c r="D52" s="335"/>
      <c r="E52" s="398"/>
      <c r="F52" s="398"/>
      <c r="G52" s="398"/>
      <c r="H52" s="398"/>
      <c r="I52" s="398"/>
      <c r="J52" s="398"/>
      <c r="K52" s="398"/>
      <c r="L52" s="398"/>
      <c r="M52" s="399"/>
      <c r="N52" s="398"/>
      <c r="O52" s="400"/>
      <c r="P52" s="401"/>
    </row>
    <row r="53" spans="1:16" ht="15" thickTop="1" x14ac:dyDescent="0.35"/>
  </sheetData>
  <mergeCells count="8">
    <mergeCell ref="A1:P1"/>
    <mergeCell ref="E6:N8"/>
    <mergeCell ref="O6:P8"/>
    <mergeCell ref="H10:H11"/>
    <mergeCell ref="J10:J11"/>
    <mergeCell ref="M10:M11"/>
    <mergeCell ref="N10:N11"/>
    <mergeCell ref="I10:I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0F833-2680-4E6B-B0CB-3EA09A94C091}">
  <dimension ref="B1:E92"/>
  <sheetViews>
    <sheetView topLeftCell="A70" workbookViewId="0">
      <selection activeCell="E56" sqref="E56"/>
    </sheetView>
  </sheetViews>
  <sheetFormatPr defaultRowHeight="14.5" x14ac:dyDescent="0.35"/>
  <cols>
    <col min="2" max="2" width="65.453125" bestFit="1" customWidth="1"/>
  </cols>
  <sheetData>
    <row r="1" spans="2:5" x14ac:dyDescent="0.35">
      <c r="B1" t="s">
        <v>588</v>
      </c>
    </row>
    <row r="2" spans="2:5" x14ac:dyDescent="0.35">
      <c r="B2" t="s">
        <v>212</v>
      </c>
      <c r="C2" t="s">
        <v>213</v>
      </c>
    </row>
    <row r="3" spans="2:5" x14ac:dyDescent="0.35">
      <c r="B3" t="s">
        <v>1381</v>
      </c>
      <c r="C3" t="s">
        <v>43</v>
      </c>
      <c r="E3" t="s">
        <v>1381</v>
      </c>
    </row>
    <row r="4" spans="2:5" x14ac:dyDescent="0.35">
      <c r="B4" t="s">
        <v>1790</v>
      </c>
      <c r="C4" t="s">
        <v>978</v>
      </c>
      <c r="E4" t="s">
        <v>1790</v>
      </c>
    </row>
    <row r="5" spans="2:5" x14ac:dyDescent="0.35">
      <c r="B5" t="s">
        <v>892</v>
      </c>
      <c r="C5" t="s">
        <v>713</v>
      </c>
    </row>
    <row r="6" spans="2:5" x14ac:dyDescent="0.35">
      <c r="B6" t="s">
        <v>890</v>
      </c>
      <c r="C6" t="s">
        <v>713</v>
      </c>
    </row>
    <row r="7" spans="2:5" x14ac:dyDescent="0.35">
      <c r="B7" t="s">
        <v>47</v>
      </c>
      <c r="C7" t="s">
        <v>46</v>
      </c>
      <c r="E7" t="s">
        <v>1793</v>
      </c>
    </row>
    <row r="8" spans="2:5" x14ac:dyDescent="0.35">
      <c r="B8" t="s">
        <v>35</v>
      </c>
      <c r="C8" t="s">
        <v>43</v>
      </c>
      <c r="E8" t="s">
        <v>1794</v>
      </c>
    </row>
    <row r="9" spans="2:5" x14ac:dyDescent="0.35">
      <c r="B9" t="s">
        <v>707</v>
      </c>
      <c r="C9" t="s">
        <v>43</v>
      </c>
      <c r="E9" t="s">
        <v>1797</v>
      </c>
    </row>
    <row r="10" spans="2:5" x14ac:dyDescent="0.35">
      <c r="B10" t="s">
        <v>706</v>
      </c>
      <c r="C10" t="s">
        <v>43</v>
      </c>
      <c r="E10" t="s">
        <v>706</v>
      </c>
    </row>
    <row r="11" spans="2:5" x14ac:dyDescent="0.35">
      <c r="B11" t="s">
        <v>42</v>
      </c>
      <c r="C11" t="s">
        <v>43</v>
      </c>
      <c r="E11" t="s">
        <v>1800</v>
      </c>
    </row>
    <row r="12" spans="2:5" x14ac:dyDescent="0.35">
      <c r="B12" t="s">
        <v>42</v>
      </c>
      <c r="C12" t="s">
        <v>40</v>
      </c>
      <c r="E12" t="s">
        <v>1800</v>
      </c>
    </row>
    <row r="13" spans="2:5" x14ac:dyDescent="0.35">
      <c r="B13" t="s">
        <v>861</v>
      </c>
      <c r="C13" t="s">
        <v>696</v>
      </c>
      <c r="E13" t="s">
        <v>1801</v>
      </c>
    </row>
    <row r="14" spans="2:5" x14ac:dyDescent="0.35">
      <c r="B14" t="s">
        <v>721</v>
      </c>
      <c r="C14" t="s">
        <v>63</v>
      </c>
      <c r="E14" t="s">
        <v>721</v>
      </c>
    </row>
    <row r="15" spans="2:5" x14ac:dyDescent="0.35">
      <c r="B15" t="s">
        <v>893</v>
      </c>
      <c r="C15" t="s">
        <v>713</v>
      </c>
      <c r="E15" t="s">
        <v>893</v>
      </c>
    </row>
    <row r="16" spans="2:5" x14ac:dyDescent="0.35">
      <c r="B16" t="s">
        <v>108</v>
      </c>
      <c r="C16" t="s">
        <v>59</v>
      </c>
      <c r="E16" s="160" t="s">
        <v>1802</v>
      </c>
    </row>
    <row r="17" spans="2:5" x14ac:dyDescent="0.35">
      <c r="B17" t="s">
        <v>134</v>
      </c>
      <c r="C17" t="s">
        <v>40</v>
      </c>
      <c r="E17" t="s">
        <v>1808</v>
      </c>
    </row>
    <row r="18" spans="2:5" x14ac:dyDescent="0.35">
      <c r="B18" t="s">
        <v>739</v>
      </c>
      <c r="C18" t="s">
        <v>114</v>
      </c>
      <c r="E18" t="s">
        <v>1808</v>
      </c>
    </row>
    <row r="19" spans="2:5" x14ac:dyDescent="0.35">
      <c r="B19" t="s">
        <v>135</v>
      </c>
      <c r="C19" t="s">
        <v>40</v>
      </c>
      <c r="E19" t="s">
        <v>1809</v>
      </c>
    </row>
    <row r="20" spans="2:5" x14ac:dyDescent="0.35">
      <c r="B20" t="s">
        <v>789</v>
      </c>
      <c r="C20" t="s">
        <v>43</v>
      </c>
      <c r="E20" t="s">
        <v>789</v>
      </c>
    </row>
    <row r="21" spans="2:5" x14ac:dyDescent="0.35">
      <c r="B21" t="s">
        <v>790</v>
      </c>
      <c r="C21" t="s">
        <v>43</v>
      </c>
      <c r="E21" s="149" t="s">
        <v>1811</v>
      </c>
    </row>
    <row r="22" spans="2:5" x14ac:dyDescent="0.35">
      <c r="B22" t="s">
        <v>902</v>
      </c>
      <c r="C22" t="s">
        <v>897</v>
      </c>
      <c r="E22" t="s">
        <v>902</v>
      </c>
    </row>
    <row r="23" spans="2:5" x14ac:dyDescent="0.35">
      <c r="B23" t="s">
        <v>903</v>
      </c>
      <c r="C23" t="s">
        <v>897</v>
      </c>
      <c r="E23" t="s">
        <v>903</v>
      </c>
    </row>
    <row r="24" spans="2:5" x14ac:dyDescent="0.35">
      <c r="B24" t="s">
        <v>729</v>
      </c>
      <c r="C24" t="s">
        <v>473</v>
      </c>
      <c r="E24" t="s">
        <v>729</v>
      </c>
    </row>
    <row r="25" spans="2:5" x14ac:dyDescent="0.35">
      <c r="B25" t="s">
        <v>966</v>
      </c>
      <c r="C25" t="s">
        <v>696</v>
      </c>
      <c r="E25" t="s">
        <v>1816</v>
      </c>
    </row>
    <row r="26" spans="2:5" x14ac:dyDescent="0.35">
      <c r="B26" t="s">
        <v>961</v>
      </c>
      <c r="C26" t="s">
        <v>696</v>
      </c>
      <c r="E26" t="s">
        <v>1812</v>
      </c>
    </row>
    <row r="27" spans="2:5" x14ac:dyDescent="0.35">
      <c r="B27" t="s">
        <v>963</v>
      </c>
      <c r="C27" t="s">
        <v>696</v>
      </c>
      <c r="E27" t="s">
        <v>1814</v>
      </c>
    </row>
    <row r="28" spans="2:5" x14ac:dyDescent="0.35">
      <c r="B28" t="s">
        <v>593</v>
      </c>
      <c r="C28" t="s">
        <v>253</v>
      </c>
      <c r="E28" t="s">
        <v>1827</v>
      </c>
    </row>
    <row r="29" spans="2:5" x14ac:dyDescent="0.35">
      <c r="B29" t="s">
        <v>485</v>
      </c>
      <c r="C29" t="s">
        <v>473</v>
      </c>
      <c r="E29" s="149" t="s">
        <v>1262</v>
      </c>
    </row>
    <row r="30" spans="2:5" x14ac:dyDescent="0.35">
      <c r="B30" t="s">
        <v>507</v>
      </c>
      <c r="C30" t="s">
        <v>253</v>
      </c>
      <c r="E30" s="164" t="s">
        <v>1830</v>
      </c>
    </row>
    <row r="31" spans="2:5" x14ac:dyDescent="0.35">
      <c r="B31" t="s">
        <v>499</v>
      </c>
      <c r="C31" t="s">
        <v>253</v>
      </c>
      <c r="E31" t="s">
        <v>499</v>
      </c>
    </row>
    <row r="32" spans="2:5" x14ac:dyDescent="0.35">
      <c r="B32" t="s">
        <v>446</v>
      </c>
      <c r="C32" t="s">
        <v>978</v>
      </c>
      <c r="E32" s="149" t="s">
        <v>1833</v>
      </c>
    </row>
    <row r="33" spans="2:5" x14ac:dyDescent="0.35">
      <c r="B33" t="s">
        <v>573</v>
      </c>
      <c r="C33" t="s">
        <v>253</v>
      </c>
      <c r="E33" t="s">
        <v>573</v>
      </c>
    </row>
    <row r="34" spans="2:5" x14ac:dyDescent="0.35">
      <c r="B34" t="s">
        <v>733</v>
      </c>
      <c r="C34" t="s">
        <v>737</v>
      </c>
      <c r="E34" s="150" t="s">
        <v>1835</v>
      </c>
    </row>
    <row r="35" spans="2:5" x14ac:dyDescent="0.35">
      <c r="B35" t="s">
        <v>489</v>
      </c>
      <c r="C35" t="s">
        <v>253</v>
      </c>
      <c r="E35" s="149" t="s">
        <v>1252</v>
      </c>
    </row>
    <row r="36" spans="2:5" x14ac:dyDescent="0.35">
      <c r="B36" t="s">
        <v>885</v>
      </c>
    </row>
    <row r="37" spans="2:5" x14ac:dyDescent="0.35">
      <c r="B37" t="s">
        <v>490</v>
      </c>
      <c r="C37" t="s">
        <v>253</v>
      </c>
      <c r="E37" t="s">
        <v>490</v>
      </c>
    </row>
    <row r="38" spans="2:5" x14ac:dyDescent="0.35">
      <c r="B38" t="s">
        <v>776</v>
      </c>
      <c r="C38" t="s">
        <v>40</v>
      </c>
      <c r="E38" t="s">
        <v>776</v>
      </c>
    </row>
    <row r="39" spans="2:5" x14ac:dyDescent="0.35">
      <c r="B39" t="s">
        <v>915</v>
      </c>
      <c r="C39" t="s">
        <v>253</v>
      </c>
      <c r="E39" t="s">
        <v>915</v>
      </c>
    </row>
    <row r="40" spans="2:5" x14ac:dyDescent="0.35">
      <c r="B40" t="s">
        <v>714</v>
      </c>
      <c r="C40" t="s">
        <v>713</v>
      </c>
      <c r="E40" s="166" t="s">
        <v>1847</v>
      </c>
    </row>
    <row r="41" spans="2:5" x14ac:dyDescent="0.35">
      <c r="B41" t="s">
        <v>718</v>
      </c>
      <c r="C41" t="s">
        <v>713</v>
      </c>
      <c r="E41" s="166" t="s">
        <v>1844</v>
      </c>
    </row>
    <row r="42" spans="2:5" x14ac:dyDescent="0.35">
      <c r="B42" t="s">
        <v>914</v>
      </c>
      <c r="C42" t="s">
        <v>473</v>
      </c>
      <c r="E42" t="s">
        <v>914</v>
      </c>
    </row>
    <row r="43" spans="2:5" ht="26" x14ac:dyDescent="0.35">
      <c r="B43" t="s">
        <v>112</v>
      </c>
      <c r="C43" t="s">
        <v>59</v>
      </c>
      <c r="E43" s="130" t="s">
        <v>1855</v>
      </c>
    </row>
    <row r="44" spans="2:5" x14ac:dyDescent="0.35">
      <c r="B44" t="s">
        <v>894</v>
      </c>
      <c r="C44" t="s">
        <v>713</v>
      </c>
    </row>
    <row r="45" spans="2:5" x14ac:dyDescent="0.35">
      <c r="B45" t="s">
        <v>247</v>
      </c>
      <c r="C45" t="s">
        <v>40</v>
      </c>
      <c r="E45" s="149" t="s">
        <v>1043</v>
      </c>
    </row>
    <row r="46" spans="2:5" x14ac:dyDescent="0.35">
      <c r="B46" t="s">
        <v>504</v>
      </c>
      <c r="C46" t="s">
        <v>253</v>
      </c>
      <c r="E46" t="s">
        <v>504</v>
      </c>
    </row>
    <row r="47" spans="2:5" x14ac:dyDescent="0.35">
      <c r="B47" t="s">
        <v>472</v>
      </c>
      <c r="C47" t="s">
        <v>473</v>
      </c>
      <c r="E47" t="s">
        <v>472</v>
      </c>
    </row>
    <row r="48" spans="2:5" x14ac:dyDescent="0.35">
      <c r="B48" t="s">
        <v>147</v>
      </c>
      <c r="C48" t="s">
        <v>40</v>
      </c>
      <c r="E48" t="s">
        <v>1861</v>
      </c>
    </row>
    <row r="49" spans="2:5" x14ac:dyDescent="0.35">
      <c r="B49" t="s">
        <v>891</v>
      </c>
      <c r="C49" t="s">
        <v>713</v>
      </c>
    </row>
    <row r="50" spans="2:5" x14ac:dyDescent="0.35">
      <c r="B50" t="s">
        <v>854</v>
      </c>
      <c r="C50" t="s">
        <v>696</v>
      </c>
      <c r="E50" s="153" t="s">
        <v>1331</v>
      </c>
    </row>
    <row r="51" spans="2:5" x14ac:dyDescent="0.35">
      <c r="B51" t="s">
        <v>697</v>
      </c>
      <c r="C51" t="s">
        <v>621</v>
      </c>
      <c r="E51" t="s">
        <v>1869</v>
      </c>
    </row>
    <row r="52" spans="2:5" x14ac:dyDescent="0.35">
      <c r="B52" t="s">
        <v>244</v>
      </c>
      <c r="C52" t="s">
        <v>40</v>
      </c>
      <c r="E52" t="s">
        <v>1870</v>
      </c>
    </row>
    <row r="53" spans="2:5" x14ac:dyDescent="0.35">
      <c r="B53" t="s">
        <v>880</v>
      </c>
      <c r="C53" t="s">
        <v>59</v>
      </c>
      <c r="E53" t="s">
        <v>880</v>
      </c>
    </row>
    <row r="54" spans="2:5" x14ac:dyDescent="0.35">
      <c r="B54" t="s">
        <v>87</v>
      </c>
      <c r="C54" t="s">
        <v>43</v>
      </c>
      <c r="E54" s="149" t="s">
        <v>1873</v>
      </c>
    </row>
    <row r="55" spans="2:5" x14ac:dyDescent="0.35">
      <c r="B55" t="s">
        <v>899</v>
      </c>
    </row>
    <row r="56" spans="2:5" x14ac:dyDescent="0.35">
      <c r="B56" t="s">
        <v>728</v>
      </c>
      <c r="C56" t="s">
        <v>473</v>
      </c>
    </row>
    <row r="57" spans="2:5" x14ac:dyDescent="0.35">
      <c r="B57" t="s">
        <v>723</v>
      </c>
      <c r="C57" t="s">
        <v>473</v>
      </c>
      <c r="E57" t="s">
        <v>723</v>
      </c>
    </row>
    <row r="58" spans="2:5" x14ac:dyDescent="0.35">
      <c r="B58" t="s">
        <v>215</v>
      </c>
      <c r="C58" t="s">
        <v>213</v>
      </c>
      <c r="E58" t="s">
        <v>215</v>
      </c>
    </row>
    <row r="59" spans="2:5" x14ac:dyDescent="0.35">
      <c r="B59" t="s">
        <v>759</v>
      </c>
      <c r="C59" t="s">
        <v>760</v>
      </c>
      <c r="E59" t="s">
        <v>759</v>
      </c>
    </row>
    <row r="60" spans="2:5" x14ac:dyDescent="0.35">
      <c r="B60" t="s">
        <v>456</v>
      </c>
      <c r="C60" t="s">
        <v>713</v>
      </c>
      <c r="E60" t="s">
        <v>456</v>
      </c>
    </row>
    <row r="61" spans="2:5" x14ac:dyDescent="0.35">
      <c r="B61" t="s">
        <v>457</v>
      </c>
      <c r="C61" t="s">
        <v>164</v>
      </c>
      <c r="E61" t="s">
        <v>457</v>
      </c>
    </row>
    <row r="62" spans="2:5" x14ac:dyDescent="0.35">
      <c r="B62" t="s">
        <v>151</v>
      </c>
      <c r="C62" t="s">
        <v>40</v>
      </c>
      <c r="E62" t="s">
        <v>151</v>
      </c>
    </row>
    <row r="63" spans="2:5" x14ac:dyDescent="0.35">
      <c r="B63" t="s">
        <v>1874</v>
      </c>
      <c r="C63" t="s">
        <v>40</v>
      </c>
      <c r="E63" t="s">
        <v>1874</v>
      </c>
    </row>
    <row r="64" spans="2:5" x14ac:dyDescent="0.35">
      <c r="B64" t="s">
        <v>1876</v>
      </c>
      <c r="C64" t="s">
        <v>40</v>
      </c>
      <c r="E64" s="150" t="s">
        <v>1877</v>
      </c>
    </row>
    <row r="65" spans="2:5" x14ac:dyDescent="0.35">
      <c r="B65" t="s">
        <v>904</v>
      </c>
      <c r="C65" t="s">
        <v>905</v>
      </c>
    </row>
    <row r="66" spans="2:5" x14ac:dyDescent="0.35">
      <c r="B66" t="s">
        <v>51</v>
      </c>
      <c r="C66" t="s">
        <v>40</v>
      </c>
      <c r="E66" t="s">
        <v>51</v>
      </c>
    </row>
    <row r="67" spans="2:5" x14ac:dyDescent="0.35">
      <c r="B67" t="s">
        <v>50</v>
      </c>
      <c r="C67" t="s">
        <v>43</v>
      </c>
      <c r="E67" t="s">
        <v>50</v>
      </c>
    </row>
    <row r="68" spans="2:5" x14ac:dyDescent="0.35">
      <c r="B68" t="s">
        <v>49</v>
      </c>
      <c r="C68" t="s">
        <v>43</v>
      </c>
      <c r="E68" t="s">
        <v>49</v>
      </c>
    </row>
    <row r="69" spans="2:5" x14ac:dyDescent="0.35">
      <c r="B69" t="s">
        <v>48</v>
      </c>
      <c r="C69" t="s">
        <v>43</v>
      </c>
      <c r="E69" t="s">
        <v>48</v>
      </c>
    </row>
    <row r="70" spans="2:5" x14ac:dyDescent="0.35">
      <c r="B70" t="s">
        <v>896</v>
      </c>
      <c r="C70" t="s">
        <v>897</v>
      </c>
      <c r="E70" t="s">
        <v>896</v>
      </c>
    </row>
    <row r="71" spans="2:5" x14ac:dyDescent="0.35">
      <c r="B71" t="s">
        <v>900</v>
      </c>
      <c r="C71" t="s">
        <v>897</v>
      </c>
      <c r="E71" t="s">
        <v>900</v>
      </c>
    </row>
    <row r="72" spans="2:5" x14ac:dyDescent="0.35">
      <c r="B72" t="s">
        <v>901</v>
      </c>
      <c r="C72" t="s">
        <v>897</v>
      </c>
      <c r="E72" t="s">
        <v>901</v>
      </c>
    </row>
    <row r="73" spans="2:5" x14ac:dyDescent="0.35">
      <c r="B73" t="s">
        <v>239</v>
      </c>
      <c r="C73" t="s">
        <v>63</v>
      </c>
      <c r="E73" s="160" t="s">
        <v>1878</v>
      </c>
    </row>
    <row r="74" spans="2:5" x14ac:dyDescent="0.35">
      <c r="B74" t="s">
        <v>241</v>
      </c>
      <c r="C74" t="s">
        <v>114</v>
      </c>
      <c r="E74" s="160" t="s">
        <v>1879</v>
      </c>
    </row>
    <row r="75" spans="2:5" x14ac:dyDescent="0.35">
      <c r="B75" t="s">
        <v>237</v>
      </c>
      <c r="C75" t="s">
        <v>114</v>
      </c>
      <c r="E75" s="160" t="s">
        <v>1880</v>
      </c>
    </row>
    <row r="76" spans="2:5" x14ac:dyDescent="0.35">
      <c r="B76" t="s">
        <v>497</v>
      </c>
      <c r="C76" t="s">
        <v>253</v>
      </c>
      <c r="E76" t="s">
        <v>497</v>
      </c>
    </row>
    <row r="77" spans="2:5" x14ac:dyDescent="0.35">
      <c r="B77" t="s">
        <v>625</v>
      </c>
      <c r="C77" t="s">
        <v>253</v>
      </c>
      <c r="E77" t="s">
        <v>625</v>
      </c>
    </row>
    <row r="78" spans="2:5" x14ac:dyDescent="0.35">
      <c r="B78" t="s">
        <v>895</v>
      </c>
      <c r="C78" t="s">
        <v>713</v>
      </c>
    </row>
    <row r="79" spans="2:5" x14ac:dyDescent="0.35">
      <c r="B79" t="s">
        <v>60</v>
      </c>
      <c r="C79" t="s">
        <v>59</v>
      </c>
      <c r="E79" t="s">
        <v>60</v>
      </c>
    </row>
    <row r="80" spans="2:5" x14ac:dyDescent="0.35">
      <c r="B80" t="s">
        <v>65</v>
      </c>
      <c r="C80" t="s">
        <v>61</v>
      </c>
      <c r="E80" s="173" t="s">
        <v>1881</v>
      </c>
    </row>
    <row r="81" spans="2:5" x14ac:dyDescent="0.35">
      <c r="B81" t="s">
        <v>603</v>
      </c>
      <c r="C81" t="s">
        <v>253</v>
      </c>
      <c r="E81" t="s">
        <v>603</v>
      </c>
    </row>
    <row r="82" spans="2:5" x14ac:dyDescent="0.35">
      <c r="B82" t="s">
        <v>1882</v>
      </c>
      <c r="C82" t="s">
        <v>473</v>
      </c>
      <c r="E82" t="s">
        <v>1882</v>
      </c>
    </row>
    <row r="83" spans="2:5" x14ac:dyDescent="0.35">
      <c r="B83" t="s">
        <v>1883</v>
      </c>
      <c r="C83" t="s">
        <v>253</v>
      </c>
      <c r="E83" t="s">
        <v>1883</v>
      </c>
    </row>
    <row r="84" spans="2:5" x14ac:dyDescent="0.35">
      <c r="B84" t="s">
        <v>777</v>
      </c>
      <c r="C84" t="s">
        <v>40</v>
      </c>
      <c r="E84" t="s">
        <v>1839</v>
      </c>
    </row>
    <row r="85" spans="2:5" x14ac:dyDescent="0.35">
      <c r="B85" t="s">
        <v>865</v>
      </c>
      <c r="C85" t="s">
        <v>473</v>
      </c>
      <c r="E85" t="s">
        <v>865</v>
      </c>
    </row>
    <row r="86" spans="2:5" x14ac:dyDescent="0.35">
      <c r="B86" t="s">
        <v>855</v>
      </c>
      <c r="C86" t="s">
        <v>167</v>
      </c>
      <c r="E86" t="s">
        <v>855</v>
      </c>
    </row>
    <row r="87" spans="2:5" x14ac:dyDescent="0.35">
      <c r="B87" t="s">
        <v>52</v>
      </c>
      <c r="C87" t="s">
        <v>253</v>
      </c>
    </row>
    <row r="88" spans="2:5" x14ac:dyDescent="0.35">
      <c r="B88" t="s">
        <v>52</v>
      </c>
      <c r="C88" t="s">
        <v>43</v>
      </c>
      <c r="E88" s="160" t="s">
        <v>1884</v>
      </c>
    </row>
    <row r="89" spans="2:5" x14ac:dyDescent="0.35">
      <c r="B89" t="s">
        <v>950</v>
      </c>
      <c r="C89" t="s">
        <v>696</v>
      </c>
      <c r="E89" t="s">
        <v>950</v>
      </c>
    </row>
    <row r="90" spans="2:5" x14ac:dyDescent="0.35">
      <c r="B90" t="s">
        <v>953</v>
      </c>
      <c r="C90" t="s">
        <v>696</v>
      </c>
      <c r="E90" t="s">
        <v>953</v>
      </c>
    </row>
    <row r="91" spans="2:5" x14ac:dyDescent="0.35">
      <c r="B91" t="s">
        <v>498</v>
      </c>
      <c r="C91" t="s">
        <v>253</v>
      </c>
      <c r="E91" t="s">
        <v>498</v>
      </c>
    </row>
    <row r="92" spans="2:5" x14ac:dyDescent="0.35">
      <c r="B92" t="s">
        <v>501</v>
      </c>
      <c r="C92" t="s">
        <v>253</v>
      </c>
    </row>
  </sheetData>
  <sortState xmlns:xlrd2="http://schemas.microsoft.com/office/spreadsheetml/2017/richdata2" ref="B1:C92">
    <sortCondition ref="B1:B9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161</vt:i4>
      </vt:variant>
    </vt:vector>
  </HeadingPairs>
  <TitlesOfParts>
    <vt:vector size="172" baseType="lpstr">
      <vt:lpstr>COVER</vt:lpstr>
      <vt:lpstr>REKAPITULASI</vt:lpstr>
      <vt:lpstr>BQ</vt:lpstr>
      <vt:lpstr>REKAP HSP</vt:lpstr>
      <vt:lpstr>ANALISA_FIX</vt:lpstr>
      <vt:lpstr>DAFTAR HARGA</vt:lpstr>
      <vt:lpstr>ANALISA</vt:lpstr>
      <vt:lpstr>HSD</vt:lpstr>
      <vt:lpstr>KODE_BPS</vt:lpstr>
      <vt:lpstr>ALAT</vt:lpstr>
      <vt:lpstr>Sheet2</vt:lpstr>
      <vt:lpstr>A.1.01.a1</vt:lpstr>
      <vt:lpstr>A.1.01.b1.1</vt:lpstr>
      <vt:lpstr>A.1.01.b1.2</vt:lpstr>
      <vt:lpstr>A.1.01.b1.3</vt:lpstr>
      <vt:lpstr>A.1.01.b2.1</vt:lpstr>
      <vt:lpstr>A.1.02.1a.1</vt:lpstr>
      <vt:lpstr>A.1.02.1a.6</vt:lpstr>
      <vt:lpstr>A.1.02.1b.1</vt:lpstr>
      <vt:lpstr>A.1.02.1b.6</vt:lpstr>
      <vt:lpstr>A.1.02.1c.1</vt:lpstr>
      <vt:lpstr>A.1.02.1e.1</vt:lpstr>
      <vt:lpstr>A.1.02.2a.1</vt:lpstr>
      <vt:lpstr>A.1.02.2a.6</vt:lpstr>
      <vt:lpstr>A.1.02.2b.1</vt:lpstr>
      <vt:lpstr>A.1.02.2c.1</vt:lpstr>
      <vt:lpstr>A.1.02.2e.1</vt:lpstr>
      <vt:lpstr>A.1.02.3a.1</vt:lpstr>
      <vt:lpstr>A.1.02.3a.2</vt:lpstr>
      <vt:lpstr>A.1.02.3b.1</vt:lpstr>
      <vt:lpstr>A.1.02.3b.2</vt:lpstr>
      <vt:lpstr>A.1.02.3b.5</vt:lpstr>
      <vt:lpstr>A.1.02.3b.7</vt:lpstr>
      <vt:lpstr>A.1.02.3b.8</vt:lpstr>
      <vt:lpstr>A.1.02.3b.9</vt:lpstr>
      <vt:lpstr>A.1.02.3c</vt:lpstr>
      <vt:lpstr>A.1.02.4a.1.a</vt:lpstr>
      <vt:lpstr>A.1.02.4a.1.d</vt:lpstr>
      <vt:lpstr>A.1.02.4a.2.a</vt:lpstr>
      <vt:lpstr>A.1.02.4a.2.d</vt:lpstr>
      <vt:lpstr>A.1.02.4b.2.a</vt:lpstr>
      <vt:lpstr>A.1.02.4b.2.d</vt:lpstr>
      <vt:lpstr>A.1.02.5a.1</vt:lpstr>
      <vt:lpstr>A.1.02.5a.2</vt:lpstr>
      <vt:lpstr>A.1.02.5b.1</vt:lpstr>
      <vt:lpstr>A.1.02.5b.2</vt:lpstr>
      <vt:lpstr>A.1.02.5b.4a</vt:lpstr>
      <vt:lpstr>A.1.02.5b.4b</vt:lpstr>
      <vt:lpstr>A.1.02.5c.1</vt:lpstr>
      <vt:lpstr>A.1.03.1a.1</vt:lpstr>
      <vt:lpstr>A.1.03.1a.2</vt:lpstr>
      <vt:lpstr>A.1.03.1b.1</vt:lpstr>
      <vt:lpstr>A.1.03.1b.2</vt:lpstr>
      <vt:lpstr>A.1.03.1c.1</vt:lpstr>
      <vt:lpstr>A.1.03.2b.1</vt:lpstr>
      <vt:lpstr>A.1.03.2b.2</vt:lpstr>
      <vt:lpstr>A.1.03.2b.4</vt:lpstr>
      <vt:lpstr>A.1.03.2b.5</vt:lpstr>
      <vt:lpstr>A.1.03.2b.6</vt:lpstr>
      <vt:lpstr>A.1.03.2d.1</vt:lpstr>
      <vt:lpstr>A.1.03.2d.2</vt:lpstr>
      <vt:lpstr>A.1.03.2d.4</vt:lpstr>
      <vt:lpstr>A.1.03.2d.5</vt:lpstr>
      <vt:lpstr>A.1.03.2d.6</vt:lpstr>
      <vt:lpstr>A.1.03.2e.1</vt:lpstr>
      <vt:lpstr>A.1.03.2e.2</vt:lpstr>
      <vt:lpstr>A.1.03.2e.4</vt:lpstr>
      <vt:lpstr>A.1.03.2e.5</vt:lpstr>
      <vt:lpstr>A.1.03.2e.6</vt:lpstr>
      <vt:lpstr>A.1.03.2f.1</vt:lpstr>
      <vt:lpstr>A.1.03.2f.2</vt:lpstr>
      <vt:lpstr>A.1.03.2f.4</vt:lpstr>
      <vt:lpstr>A.1.03.2g.1</vt:lpstr>
      <vt:lpstr>A.1.03.2g.3</vt:lpstr>
      <vt:lpstr>A.1.03.2i.1</vt:lpstr>
      <vt:lpstr>A.1.03.2i.2</vt:lpstr>
      <vt:lpstr>A.1.04.1a</vt:lpstr>
      <vt:lpstr>A.1.04.2</vt:lpstr>
      <vt:lpstr>A.1.04.3</vt:lpstr>
      <vt:lpstr>A.1.07.7a</vt:lpstr>
      <vt:lpstr>A.1.08.1a</vt:lpstr>
      <vt:lpstr>A.1.08.1b</vt:lpstr>
      <vt:lpstr>A.1.08.2a</vt:lpstr>
      <vt:lpstr>A.1.08.2b</vt:lpstr>
      <vt:lpstr>A.1.08.3a</vt:lpstr>
      <vt:lpstr>A.1.08.4a</vt:lpstr>
      <vt:lpstr>A.2.01.b1.1</vt:lpstr>
      <vt:lpstr>A.2.01.b1.2</vt:lpstr>
      <vt:lpstr>A.2.01.b1.3</vt:lpstr>
      <vt:lpstr>A.2.01.c1.1</vt:lpstr>
      <vt:lpstr>A.2.01.c1.2</vt:lpstr>
      <vt:lpstr>A.2.02.1a.1</vt:lpstr>
      <vt:lpstr>A.2.02.1a.6</vt:lpstr>
      <vt:lpstr>A.2.02.1b.1</vt:lpstr>
      <vt:lpstr>A.2.02.1b.6</vt:lpstr>
      <vt:lpstr>A.2.02.1c.2</vt:lpstr>
      <vt:lpstr>A.2.02.2a.1</vt:lpstr>
      <vt:lpstr>A.2.02.2a.6</vt:lpstr>
      <vt:lpstr>A.2.02.2b.1</vt:lpstr>
      <vt:lpstr>A.2.02.2c.1</vt:lpstr>
      <vt:lpstr>A.2.02.5c.1</vt:lpstr>
      <vt:lpstr>A.2.02.5c.2</vt:lpstr>
      <vt:lpstr>A.2.02.5d.3</vt:lpstr>
      <vt:lpstr>A.2.03.1b.1</vt:lpstr>
      <vt:lpstr>A.2.03.1c.1</vt:lpstr>
      <vt:lpstr>A.2.03.2j.2</vt:lpstr>
      <vt:lpstr>A.2.06.1</vt:lpstr>
      <vt:lpstr>A.2.06.2</vt:lpstr>
      <vt:lpstr>A.2.06.3</vt:lpstr>
      <vt:lpstr>A.2.08.4a</vt:lpstr>
      <vt:lpstr>A.2.08.6a</vt:lpstr>
      <vt:lpstr>A.3.01.1a.2</vt:lpstr>
      <vt:lpstr>A.3.01.1b.1</vt:lpstr>
      <vt:lpstr>A.3.01.1b.2</vt:lpstr>
      <vt:lpstr>A.3.01.1b.3</vt:lpstr>
      <vt:lpstr>A.3.01.1b.4</vt:lpstr>
      <vt:lpstr>A.3.01.1b.5</vt:lpstr>
      <vt:lpstr>A.3.01.1b.6</vt:lpstr>
      <vt:lpstr>A.3.01.1b.7</vt:lpstr>
      <vt:lpstr>A.3.01.1c.1</vt:lpstr>
      <vt:lpstr>A.3.01.1c.2</vt:lpstr>
      <vt:lpstr>A.3.01.1c.3</vt:lpstr>
      <vt:lpstr>A.3.01.1c.4</vt:lpstr>
      <vt:lpstr>A.3.01.1c.5</vt:lpstr>
      <vt:lpstr>A.3.01.1c.6</vt:lpstr>
      <vt:lpstr>A.3.01.1d.1</vt:lpstr>
      <vt:lpstr>A.3.01.1d.2</vt:lpstr>
      <vt:lpstr>A.3.01.1d.3</vt:lpstr>
      <vt:lpstr>A.3.01.1d.4</vt:lpstr>
      <vt:lpstr>A.3.01.1d.5</vt:lpstr>
      <vt:lpstr>A.3.01.1d.6</vt:lpstr>
      <vt:lpstr>A.3.01.1e.1</vt:lpstr>
      <vt:lpstr>A.3.01.1e.2</vt:lpstr>
      <vt:lpstr>A.3.01.1e.3</vt:lpstr>
      <vt:lpstr>A.3.01.1f.1</vt:lpstr>
      <vt:lpstr>A.3.01.1f.2</vt:lpstr>
      <vt:lpstr>A.3.01.1f.3</vt:lpstr>
      <vt:lpstr>A.3.01.1g.1.a</vt:lpstr>
      <vt:lpstr>A.3.01.1g.1.b</vt:lpstr>
      <vt:lpstr>A.3.01.1g.2.a</vt:lpstr>
      <vt:lpstr>A.3.01.1g.2.b</vt:lpstr>
      <vt:lpstr>A.3.01.1g.3.a</vt:lpstr>
      <vt:lpstr>A.3.01.1g.3.b</vt:lpstr>
      <vt:lpstr>A.3.01.2b.1</vt:lpstr>
      <vt:lpstr>A.3.01.2b.2</vt:lpstr>
      <vt:lpstr>A.3.01.2b.3</vt:lpstr>
      <vt:lpstr>A.3.01.2d.2</vt:lpstr>
      <vt:lpstr>A.3.01.2d.3</vt:lpstr>
      <vt:lpstr>A.3.01.2d.5</vt:lpstr>
      <vt:lpstr>A.3.02.1a</vt:lpstr>
      <vt:lpstr>A.3.02.1b</vt:lpstr>
      <vt:lpstr>A.3.02.1c</vt:lpstr>
      <vt:lpstr>A.3.02.1d.1</vt:lpstr>
      <vt:lpstr>A.3.02.1d.2</vt:lpstr>
      <vt:lpstr>A.3.02.1d.3</vt:lpstr>
      <vt:lpstr>A.3.02.1e.1</vt:lpstr>
      <vt:lpstr>A.3.02.2a.1</vt:lpstr>
      <vt:lpstr>A.3.02.2b.1</vt:lpstr>
      <vt:lpstr>A.3.02.2b.3</vt:lpstr>
      <vt:lpstr>A.3.02.3a</vt:lpstr>
      <vt:lpstr>A.3.02.3b</vt:lpstr>
      <vt:lpstr>A.3.03.2c</vt:lpstr>
      <vt:lpstr>A.3.03.4a</vt:lpstr>
      <vt:lpstr>A.3.05.3a.1.b</vt:lpstr>
      <vt:lpstr>A.3.05.3a.1.c</vt:lpstr>
      <vt:lpstr>A.3.09.2a.1.a</vt:lpstr>
      <vt:lpstr>A.3.09.2a.2.a</vt:lpstr>
      <vt:lpstr>A.3.09.2b.1.a</vt:lpstr>
      <vt:lpstr>A.3.09.2b.2.a</vt:lpstr>
      <vt:lpstr>A.3.09.2b.3.a</vt:lpstr>
      <vt:lpstr>OP</vt:lpstr>
      <vt:lpstr>Papan_proyek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Hafiedh Nugroho</dc:creator>
  <cp:lastModifiedBy>MSI KATANA</cp:lastModifiedBy>
  <cp:lastPrinted>2025-01-23T06:14:21Z</cp:lastPrinted>
  <dcterms:created xsi:type="dcterms:W3CDTF">2024-12-06T14:49:10Z</dcterms:created>
  <dcterms:modified xsi:type="dcterms:W3CDTF">2025-02-18T06:35:38Z</dcterms:modified>
</cp:coreProperties>
</file>