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Hang\Desktop\desktop icons\_MA1S2\RA_BC\SK\20200501 SG\"/>
    </mc:Choice>
  </mc:AlternateContent>
  <xr:revisionPtr revIDLastSave="0" documentId="13_ncr:1_{407CF757-E483-46D7-A687-01EDEC576804}" xr6:coauthVersionLast="45" xr6:coauthVersionMax="45" xr10:uidLastSave="{00000000-0000-0000-0000-000000000000}"/>
  <bookViews>
    <workbookView xWindow="-120" yWindow="-120" windowWidth="29040" windowHeight="15840" xr2:uid="{3A83AEAB-94B4-4CE5-940F-C947AE56A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44" i="1" l="1"/>
  <c r="W44" i="1"/>
  <c r="Q44" i="1"/>
  <c r="K44" i="1"/>
  <c r="E44" i="1"/>
  <c r="AC27" i="1"/>
  <c r="W27" i="1"/>
  <c r="AA31" i="1" s="1"/>
  <c r="Q27" i="1"/>
  <c r="K27" i="1"/>
  <c r="E27" i="1"/>
  <c r="AC13" i="1"/>
  <c r="W13" i="1"/>
  <c r="Q13" i="1"/>
  <c r="K13" i="1"/>
  <c r="E13" i="1"/>
  <c r="AD42" i="1"/>
  <c r="AD41" i="1"/>
  <c r="AD40" i="1"/>
  <c r="AD39" i="1"/>
  <c r="AD38" i="1"/>
  <c r="AD37" i="1"/>
  <c r="AD36" i="1"/>
  <c r="AD44" i="1" s="1"/>
  <c r="R36" i="1"/>
  <c r="R44" i="1" s="1"/>
  <c r="R37" i="1"/>
  <c r="R39" i="1"/>
  <c r="R38" i="1"/>
  <c r="R40" i="1"/>
  <c r="R41" i="1"/>
  <c r="R42" i="1"/>
  <c r="L42" i="1"/>
  <c r="L41" i="1"/>
  <c r="L40" i="1"/>
  <c r="L39" i="1"/>
  <c r="L38" i="1"/>
  <c r="L37" i="1"/>
  <c r="L36" i="1"/>
  <c r="L44" i="1" s="1"/>
  <c r="X36" i="1"/>
  <c r="X37" i="1"/>
  <c r="X39" i="1"/>
  <c r="X38" i="1"/>
  <c r="X40" i="1"/>
  <c r="X41" i="1"/>
  <c r="X42" i="1"/>
  <c r="F42" i="1"/>
  <c r="F41" i="1"/>
  <c r="F40" i="1"/>
  <c r="F39" i="1"/>
  <c r="F38" i="1"/>
  <c r="F37" i="1"/>
  <c r="F36" i="1"/>
  <c r="AD25" i="1"/>
  <c r="AD24" i="1"/>
  <c r="AD23" i="1"/>
  <c r="AD22" i="1"/>
  <c r="AD21" i="1"/>
  <c r="AD20" i="1"/>
  <c r="AD19" i="1"/>
  <c r="X25" i="1"/>
  <c r="X19" i="1"/>
  <c r="X20" i="1"/>
  <c r="X21" i="1"/>
  <c r="X22" i="1"/>
  <c r="X23" i="1"/>
  <c r="X24" i="1"/>
  <c r="R25" i="1"/>
  <c r="R24" i="1"/>
  <c r="R23" i="1"/>
  <c r="R22" i="1"/>
  <c r="R21" i="1"/>
  <c r="R20" i="1"/>
  <c r="R19" i="1"/>
  <c r="R27" i="1" s="1"/>
  <c r="F19" i="1"/>
  <c r="F20" i="1"/>
  <c r="F21" i="1"/>
  <c r="F22" i="1"/>
  <c r="F23" i="1"/>
  <c r="F24" i="1"/>
  <c r="F25" i="1"/>
  <c r="L25" i="1"/>
  <c r="L24" i="1"/>
  <c r="L23" i="1"/>
  <c r="L22" i="1"/>
  <c r="L21" i="1"/>
  <c r="L20" i="1"/>
  <c r="L19" i="1"/>
  <c r="AD11" i="1"/>
  <c r="AD10" i="1"/>
  <c r="AD9" i="1"/>
  <c r="AD8" i="1"/>
  <c r="AD7" i="1"/>
  <c r="AD6" i="1"/>
  <c r="AD5" i="1"/>
  <c r="X44" i="1" l="1"/>
  <c r="AD13" i="1"/>
  <c r="X27" i="1"/>
  <c r="L27" i="1"/>
  <c r="F44" i="1"/>
  <c r="AD27" i="1"/>
  <c r="AC31" i="1" s="1"/>
  <c r="F27" i="1"/>
  <c r="AC48" i="1"/>
  <c r="AA48" i="1"/>
  <c r="X5" i="1"/>
  <c r="X6" i="1"/>
  <c r="X7" i="1"/>
  <c r="X8" i="1"/>
  <c r="X9" i="1"/>
  <c r="X10" i="1"/>
  <c r="X11" i="1"/>
  <c r="R5" i="1"/>
  <c r="R6" i="1"/>
  <c r="R7" i="1"/>
  <c r="R8" i="1"/>
  <c r="R9" i="1"/>
  <c r="R10" i="1"/>
  <c r="R11" i="1"/>
  <c r="F11" i="1"/>
  <c r="F10" i="1"/>
  <c r="F9" i="1"/>
  <c r="F8" i="1"/>
  <c r="F7" i="1"/>
  <c r="F5" i="1"/>
  <c r="F6" i="1"/>
  <c r="X13" i="1" l="1"/>
  <c r="F13" i="1"/>
  <c r="R13" i="1"/>
  <c r="L11" i="1"/>
  <c r="L10" i="1"/>
  <c r="L9" i="1"/>
  <c r="L8" i="1"/>
  <c r="L7" i="1"/>
  <c r="L5" i="1"/>
  <c r="L6" i="1"/>
  <c r="L13" i="1" l="1"/>
</calcChain>
</file>

<file path=xl/sharedStrings.xml><?xml version="1.0" encoding="utf-8"?>
<sst xmlns="http://schemas.openxmlformats.org/spreadsheetml/2006/main" count="207" uniqueCount="32">
  <si>
    <t>Test 1</t>
  </si>
  <si>
    <t>Test 2</t>
  </si>
  <si>
    <t>Test 3</t>
  </si>
  <si>
    <t>1a</t>
  </si>
  <si>
    <t>1b</t>
  </si>
  <si>
    <t>1c</t>
  </si>
  <si>
    <t>1d</t>
  </si>
  <si>
    <t>1e</t>
  </si>
  <si>
    <t>2e</t>
  </si>
  <si>
    <t>2d</t>
  </si>
  <si>
    <t>2c</t>
  </si>
  <si>
    <t>2b</t>
  </si>
  <si>
    <t>2a</t>
  </si>
  <si>
    <t>3a</t>
  </si>
  <si>
    <t>3b</t>
  </si>
  <si>
    <t>3c</t>
  </si>
  <si>
    <t>3e</t>
  </si>
  <si>
    <t>3d</t>
  </si>
  <si>
    <t>&lt;120min</t>
  </si>
  <si>
    <t>&gt;=120min</t>
  </si>
  <si>
    <t>Building no.</t>
  </si>
  <si>
    <t>% pass</t>
  </si>
  <si>
    <t>daylight</t>
  </si>
  <si>
    <t>average</t>
  </si>
  <si>
    <t>avg min/mesh</t>
  </si>
  <si>
    <t>Failed proposal</t>
  </si>
  <si>
    <t>Passed proposals only</t>
  </si>
  <si>
    <t>avg % pass</t>
  </si>
  <si>
    <t>Passed proposal (&gt;90% façade has &gt; 2hr daylight)</t>
  </si>
  <si>
    <t>(mesh no.)</t>
  </si>
  <si>
    <t>min/mesh</t>
  </si>
  <si>
    <t>&gt; Best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</si>
</sst>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11"/>
      <color rgb="FF00B050"/>
      <name val="Arial"/>
      <family val="2"/>
    </font>
    <font>
      <sz val="11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4" fontId="9" fillId="0" borderId="0" xfId="0" applyNumberFormat="1" applyFont="1" applyAlignment="1">
      <alignment horizontal="left"/>
    </xf>
    <xf numFmtId="0" fontId="3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Border="1"/>
    <xf numFmtId="0" fontId="2" fillId="0" borderId="0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5" fillId="0" borderId="0" xfId="0" applyFont="1" applyBorder="1"/>
    <xf numFmtId="164" fontId="5" fillId="0" borderId="0" xfId="0" applyNumberFormat="1" applyFont="1" applyBorder="1"/>
    <xf numFmtId="0" fontId="5" fillId="0" borderId="5" xfId="0" applyFont="1" applyBorder="1"/>
    <xf numFmtId="0" fontId="6" fillId="0" borderId="0" xfId="0" applyFont="1" applyBorder="1"/>
    <xf numFmtId="0" fontId="2" fillId="0" borderId="6" xfId="0" applyFont="1" applyBorder="1"/>
    <xf numFmtId="0" fontId="2" fillId="0" borderId="7" xfId="0" applyFont="1" applyBorder="1"/>
    <xf numFmtId="164" fontId="7" fillId="0" borderId="7" xfId="0" applyNumberFormat="1" applyFont="1" applyBorder="1"/>
    <xf numFmtId="164" fontId="8" fillId="0" borderId="7" xfId="0" applyNumberFormat="1" applyFont="1" applyBorder="1"/>
    <xf numFmtId="0" fontId="5" fillId="0" borderId="8" xfId="0" applyFont="1" applyBorder="1"/>
    <xf numFmtId="0" fontId="5" fillId="0" borderId="2" xfId="0" applyFont="1" applyBorder="1"/>
    <xf numFmtId="164" fontId="7" fillId="0" borderId="0" xfId="0" applyNumberFormat="1" applyFont="1" applyBorder="1"/>
    <xf numFmtId="0" fontId="8" fillId="0" borderId="0" xfId="0" applyFont="1" applyBorder="1"/>
    <xf numFmtId="164" fontId="9" fillId="0" borderId="0" xfId="0" applyNumberFormat="1" applyFont="1" applyBorder="1"/>
    <xf numFmtId="164" fontId="10" fillId="0" borderId="0" xfId="0" applyNumberFormat="1" applyFont="1" applyBorder="1"/>
    <xf numFmtId="0" fontId="7" fillId="0" borderId="0" xfId="0" applyFont="1" applyBorder="1"/>
    <xf numFmtId="0" fontId="9" fillId="0" borderId="0" xfId="0" applyFont="1" applyBorder="1"/>
    <xf numFmtId="0" fontId="10" fillId="0" borderId="0" xfId="0" applyFont="1" applyBorder="1"/>
    <xf numFmtId="0" fontId="0" fillId="0" borderId="0" xfId="0" applyBorder="1"/>
    <xf numFmtId="0" fontId="5" fillId="0" borderId="7" xfId="0" applyFont="1" applyBorder="1"/>
    <xf numFmtId="164" fontId="4" fillId="0" borderId="7" xfId="0" applyNumberFormat="1" applyFont="1" applyBorder="1" applyAlignment="1">
      <alignment horizontal="left"/>
    </xf>
    <xf numFmtId="0" fontId="0" fillId="0" borderId="7" xfId="0" applyBorder="1"/>
    <xf numFmtId="0" fontId="2" fillId="0" borderId="8" xfId="0" applyFont="1" applyBorder="1"/>
    <xf numFmtId="164" fontId="8" fillId="0" borderId="0" xfId="0" applyNumberFormat="1" applyFont="1" applyBorder="1"/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64" fontId="9" fillId="0" borderId="7" xfId="0" applyNumberFormat="1" applyFont="1" applyBorder="1" applyAlignment="1">
      <alignment horizontal="left"/>
    </xf>
    <xf numFmtId="0" fontId="9" fillId="0" borderId="8" xfId="0" applyFont="1" applyBorder="1"/>
    <xf numFmtId="164" fontId="4" fillId="0" borderId="7" xfId="0" applyNumberFormat="1" applyFont="1" applyBorder="1"/>
    <xf numFmtId="164" fontId="9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0EE2C-23D2-4750-8BDE-E560C0B88564}">
  <sheetPr>
    <pageSetUpPr fitToPage="1"/>
  </sheetPr>
  <dimension ref="A1:AK51"/>
  <sheetViews>
    <sheetView tabSelected="1" topLeftCell="A10" zoomScale="85" zoomScaleNormal="85" workbookViewId="0">
      <selection activeCell="AE51" sqref="A1:AE51"/>
    </sheetView>
  </sheetViews>
  <sheetFormatPr defaultRowHeight="15" x14ac:dyDescent="0.25"/>
  <cols>
    <col min="2" max="2" width="3.85546875" bestFit="1" customWidth="1"/>
    <col min="3" max="3" width="12.42578125" bestFit="1" customWidth="1"/>
    <col min="4" max="5" width="11.28515625" bestFit="1" customWidth="1"/>
    <col min="8" max="8" width="3.85546875" bestFit="1" customWidth="1"/>
    <col min="9" max="9" width="12.42578125" bestFit="1" customWidth="1"/>
    <col min="10" max="11" width="11.28515625" bestFit="1" customWidth="1"/>
    <col min="14" max="14" width="3.85546875" bestFit="1" customWidth="1"/>
    <col min="15" max="15" width="12.42578125" bestFit="1" customWidth="1"/>
    <col min="16" max="16" width="11.28515625" bestFit="1" customWidth="1"/>
    <col min="20" max="20" width="3.85546875" bestFit="1" customWidth="1"/>
    <col min="21" max="21" width="12.42578125" bestFit="1" customWidth="1"/>
    <col min="22" max="23" width="11.28515625" bestFit="1" customWidth="1"/>
    <col min="26" max="26" width="3.85546875" bestFit="1" customWidth="1"/>
    <col min="27" max="27" width="12.42578125" bestFit="1" customWidth="1"/>
    <col min="28" max="28" width="11.28515625" bestFit="1" customWidth="1"/>
    <col min="29" max="29" width="10.85546875" customWidth="1"/>
    <col min="31" max="31" width="16.5703125" customWidth="1"/>
    <col min="32" max="32" width="27.7109375" bestFit="1" customWidth="1"/>
  </cols>
  <sheetData>
    <row r="1" spans="1:37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11" t="s">
        <v>0</v>
      </c>
      <c r="B2" s="12"/>
      <c r="C2" s="12"/>
      <c r="D2" s="12" t="s">
        <v>22</v>
      </c>
      <c r="E2" s="12" t="s">
        <v>22</v>
      </c>
      <c r="F2" s="12" t="s">
        <v>22</v>
      </c>
      <c r="G2" s="12"/>
      <c r="H2" s="12"/>
      <c r="I2" s="12"/>
      <c r="J2" s="12" t="s">
        <v>22</v>
      </c>
      <c r="K2" s="12" t="s">
        <v>22</v>
      </c>
      <c r="L2" s="12" t="s">
        <v>22</v>
      </c>
      <c r="M2" s="12"/>
      <c r="N2" s="12"/>
      <c r="O2" s="12"/>
      <c r="P2" s="12" t="s">
        <v>22</v>
      </c>
      <c r="Q2" s="12" t="s">
        <v>22</v>
      </c>
      <c r="R2" s="12" t="s">
        <v>22</v>
      </c>
      <c r="S2" s="12"/>
      <c r="T2" s="12"/>
      <c r="U2" s="12"/>
      <c r="V2" s="12" t="s">
        <v>22</v>
      </c>
      <c r="W2" s="12" t="s">
        <v>22</v>
      </c>
      <c r="X2" s="12" t="s">
        <v>22</v>
      </c>
      <c r="Y2" s="12"/>
      <c r="Z2" s="12"/>
      <c r="AA2" s="12"/>
      <c r="AB2" s="12" t="s">
        <v>22</v>
      </c>
      <c r="AC2" s="12" t="s">
        <v>22</v>
      </c>
      <c r="AD2" s="12" t="s">
        <v>22</v>
      </c>
      <c r="AE2" s="13"/>
      <c r="AF2" s="2"/>
      <c r="AG2" s="2"/>
      <c r="AH2" s="2"/>
      <c r="AI2" s="2"/>
      <c r="AJ2" s="2"/>
      <c r="AK2" s="2"/>
    </row>
    <row r="3" spans="1:37" x14ac:dyDescent="0.25">
      <c r="A3" s="14"/>
      <c r="B3" s="15" t="s">
        <v>3</v>
      </c>
      <c r="C3" s="16" t="s">
        <v>20</v>
      </c>
      <c r="D3" s="16" t="s">
        <v>19</v>
      </c>
      <c r="E3" s="16" t="s">
        <v>18</v>
      </c>
      <c r="F3" s="16" t="s">
        <v>23</v>
      </c>
      <c r="G3" s="16"/>
      <c r="H3" s="15" t="s">
        <v>4</v>
      </c>
      <c r="I3" s="16" t="s">
        <v>20</v>
      </c>
      <c r="J3" s="16" t="s">
        <v>19</v>
      </c>
      <c r="K3" s="16" t="s">
        <v>18</v>
      </c>
      <c r="L3" s="16" t="s">
        <v>23</v>
      </c>
      <c r="M3" s="16"/>
      <c r="N3" s="15" t="s">
        <v>5</v>
      </c>
      <c r="O3" s="16" t="s">
        <v>20</v>
      </c>
      <c r="P3" s="16" t="s">
        <v>19</v>
      </c>
      <c r="Q3" s="16" t="s">
        <v>18</v>
      </c>
      <c r="R3" s="16" t="s">
        <v>23</v>
      </c>
      <c r="S3" s="16"/>
      <c r="T3" s="15" t="s">
        <v>6</v>
      </c>
      <c r="U3" s="16" t="s">
        <v>20</v>
      </c>
      <c r="V3" s="16" t="s">
        <v>19</v>
      </c>
      <c r="W3" s="16" t="s">
        <v>18</v>
      </c>
      <c r="X3" s="16" t="s">
        <v>23</v>
      </c>
      <c r="Y3" s="16"/>
      <c r="Z3" s="15" t="s">
        <v>7</v>
      </c>
      <c r="AA3" s="16" t="s">
        <v>20</v>
      </c>
      <c r="AB3" s="16" t="s">
        <v>19</v>
      </c>
      <c r="AC3" s="16" t="s">
        <v>18</v>
      </c>
      <c r="AD3" s="16" t="s">
        <v>23</v>
      </c>
      <c r="AE3" s="17"/>
      <c r="AF3" s="2"/>
      <c r="AG3" s="2"/>
      <c r="AH3" s="2"/>
      <c r="AI3" s="2"/>
      <c r="AJ3" s="2"/>
      <c r="AK3" s="2"/>
    </row>
    <row r="4" spans="1:37" x14ac:dyDescent="0.25">
      <c r="A4" s="14"/>
      <c r="B4" s="15"/>
      <c r="C4" s="16"/>
      <c r="D4" s="16" t="s">
        <v>29</v>
      </c>
      <c r="E4" s="16" t="s">
        <v>29</v>
      </c>
      <c r="F4" s="16" t="s">
        <v>30</v>
      </c>
      <c r="G4" s="16"/>
      <c r="H4" s="15"/>
      <c r="I4" s="16"/>
      <c r="J4" s="16" t="s">
        <v>29</v>
      </c>
      <c r="K4" s="16" t="s">
        <v>29</v>
      </c>
      <c r="L4" s="16" t="s">
        <v>30</v>
      </c>
      <c r="M4" s="16"/>
      <c r="N4" s="15"/>
      <c r="O4" s="16"/>
      <c r="P4" s="16" t="s">
        <v>29</v>
      </c>
      <c r="Q4" s="16" t="s">
        <v>29</v>
      </c>
      <c r="R4" s="16" t="s">
        <v>30</v>
      </c>
      <c r="S4" s="16"/>
      <c r="T4" s="15"/>
      <c r="U4" s="16"/>
      <c r="V4" s="16" t="s">
        <v>29</v>
      </c>
      <c r="W4" s="16" t="s">
        <v>29</v>
      </c>
      <c r="X4" s="16" t="s">
        <v>30</v>
      </c>
      <c r="Y4" s="16"/>
      <c r="Z4" s="15"/>
      <c r="AA4" s="16"/>
      <c r="AB4" s="16" t="s">
        <v>29</v>
      </c>
      <c r="AC4" s="16" t="s">
        <v>29</v>
      </c>
      <c r="AD4" s="16" t="s">
        <v>30</v>
      </c>
      <c r="AE4" s="17"/>
      <c r="AF4" s="2"/>
      <c r="AG4" s="2"/>
      <c r="AH4" s="2"/>
      <c r="AI4" s="2"/>
      <c r="AJ4" s="2"/>
      <c r="AK4" s="2"/>
    </row>
    <row r="5" spans="1:37" x14ac:dyDescent="0.25">
      <c r="A5" s="14"/>
      <c r="B5" s="16"/>
      <c r="C5" s="16">
        <v>0</v>
      </c>
      <c r="D5" s="16">
        <v>7279</v>
      </c>
      <c r="E5" s="16">
        <v>921</v>
      </c>
      <c r="F5" s="18">
        <f>2216750/8200</f>
        <v>270.33536585365852</v>
      </c>
      <c r="G5" s="16"/>
      <c r="H5" s="16"/>
      <c r="I5" s="16">
        <v>0</v>
      </c>
      <c r="J5" s="16">
        <v>7668</v>
      </c>
      <c r="K5" s="16">
        <v>2582</v>
      </c>
      <c r="L5" s="18">
        <f>2129900/10250</f>
        <v>207.7951219512195</v>
      </c>
      <c r="M5" s="16"/>
      <c r="N5" s="16"/>
      <c r="O5" s="16">
        <v>0</v>
      </c>
      <c r="P5" s="16">
        <v>6195</v>
      </c>
      <c r="Q5" s="16">
        <v>2005</v>
      </c>
      <c r="R5" s="18">
        <f>1847760/8200</f>
        <v>225.33658536585367</v>
      </c>
      <c r="S5" s="16"/>
      <c r="T5" s="16"/>
      <c r="U5" s="16">
        <v>0</v>
      </c>
      <c r="V5" s="16">
        <v>4873</v>
      </c>
      <c r="W5" s="16">
        <v>2302</v>
      </c>
      <c r="X5" s="18">
        <f>1467880/7175</f>
        <v>204.58257839721253</v>
      </c>
      <c r="Y5" s="16"/>
      <c r="Z5" s="16"/>
      <c r="AA5" s="16">
        <v>0</v>
      </c>
      <c r="AB5" s="16">
        <v>3857</v>
      </c>
      <c r="AC5" s="16">
        <v>2293</v>
      </c>
      <c r="AD5" s="18">
        <f>1157410/6150</f>
        <v>188.19674796747967</v>
      </c>
      <c r="AE5" s="17"/>
      <c r="AF5" s="2"/>
      <c r="AG5" s="2"/>
      <c r="AH5" s="2"/>
      <c r="AI5" s="2"/>
      <c r="AJ5" s="2"/>
      <c r="AK5" s="2"/>
    </row>
    <row r="6" spans="1:37" x14ac:dyDescent="0.25">
      <c r="A6" s="14"/>
      <c r="B6" s="16"/>
      <c r="C6" s="16">
        <v>1</v>
      </c>
      <c r="D6" s="16">
        <v>7282</v>
      </c>
      <c r="E6" s="16">
        <v>918</v>
      </c>
      <c r="F6" s="18">
        <f>2003440/8200</f>
        <v>244.32195121951219</v>
      </c>
      <c r="G6" s="16"/>
      <c r="H6" s="16"/>
      <c r="I6" s="16">
        <v>1</v>
      </c>
      <c r="J6" s="16">
        <v>7905</v>
      </c>
      <c r="K6" s="16">
        <v>2345</v>
      </c>
      <c r="L6" s="18">
        <f>2170710/10250</f>
        <v>211.77658536585366</v>
      </c>
      <c r="M6" s="16"/>
      <c r="N6" s="16"/>
      <c r="O6" s="16">
        <v>1</v>
      </c>
      <c r="P6" s="16">
        <v>6156</v>
      </c>
      <c r="Q6" s="16">
        <v>2044</v>
      </c>
      <c r="R6" s="18">
        <f>1740330/8200</f>
        <v>212.23536585365855</v>
      </c>
      <c r="S6" s="16"/>
      <c r="T6" s="16"/>
      <c r="U6" s="16">
        <v>1</v>
      </c>
      <c r="V6" s="16">
        <v>4703</v>
      </c>
      <c r="W6" s="16">
        <v>2472</v>
      </c>
      <c r="X6" s="18">
        <f>1521270/7175</f>
        <v>212.02369337979093</v>
      </c>
      <c r="Y6" s="16"/>
      <c r="Z6" s="16"/>
      <c r="AA6" s="16">
        <v>1</v>
      </c>
      <c r="AB6" s="16">
        <v>3663</v>
      </c>
      <c r="AC6" s="16">
        <v>2487</v>
      </c>
      <c r="AD6" s="18">
        <f>1158870/6150</f>
        <v>188.43414634146342</v>
      </c>
      <c r="AE6" s="17"/>
      <c r="AF6" s="2"/>
      <c r="AG6" s="2"/>
      <c r="AH6" s="2"/>
      <c r="AI6" s="2"/>
      <c r="AJ6" s="2"/>
      <c r="AK6" s="2"/>
    </row>
    <row r="7" spans="1:37" x14ac:dyDescent="0.25">
      <c r="A7" s="14"/>
      <c r="B7" s="16"/>
      <c r="C7" s="16">
        <v>2</v>
      </c>
      <c r="D7" s="16">
        <v>7282</v>
      </c>
      <c r="E7" s="16">
        <v>918</v>
      </c>
      <c r="F7" s="18">
        <f>2050900/8200</f>
        <v>250.10975609756099</v>
      </c>
      <c r="G7" s="16"/>
      <c r="H7" s="16"/>
      <c r="I7" s="16">
        <v>2</v>
      </c>
      <c r="J7" s="16">
        <v>7645</v>
      </c>
      <c r="K7" s="16">
        <v>2605</v>
      </c>
      <c r="L7" s="18">
        <f>2185530/10250</f>
        <v>213.22243902439024</v>
      </c>
      <c r="M7" s="16"/>
      <c r="N7" s="16"/>
      <c r="O7" s="16">
        <v>2</v>
      </c>
      <c r="P7" s="16">
        <v>6197</v>
      </c>
      <c r="Q7" s="16">
        <v>2003</v>
      </c>
      <c r="R7" s="18">
        <f>1749340/8200</f>
        <v>213.33414634146342</v>
      </c>
      <c r="S7" s="16"/>
      <c r="T7" s="16"/>
      <c r="U7" s="16">
        <v>2</v>
      </c>
      <c r="V7" s="16">
        <v>4876</v>
      </c>
      <c r="W7" s="16">
        <v>2299</v>
      </c>
      <c r="X7" s="18">
        <f>1561560/7175</f>
        <v>217.63902439024389</v>
      </c>
      <c r="Y7" s="16"/>
      <c r="Z7" s="16"/>
      <c r="AA7" s="16">
        <v>2</v>
      </c>
      <c r="AB7" s="16">
        <v>3859</v>
      </c>
      <c r="AC7" s="16">
        <v>2291</v>
      </c>
      <c r="AD7" s="18">
        <f>1201700/6150</f>
        <v>195.39837398373984</v>
      </c>
      <c r="AE7" s="17"/>
      <c r="AF7" s="2"/>
      <c r="AG7" s="2"/>
      <c r="AH7" s="2"/>
      <c r="AI7" s="2"/>
      <c r="AJ7" s="2"/>
      <c r="AK7" s="2"/>
    </row>
    <row r="8" spans="1:37" x14ac:dyDescent="0.25">
      <c r="A8" s="14"/>
      <c r="B8" s="16"/>
      <c r="C8" s="16">
        <v>3</v>
      </c>
      <c r="D8" s="16">
        <v>7282</v>
      </c>
      <c r="E8" s="16">
        <v>918</v>
      </c>
      <c r="F8" s="18">
        <f>2292830/8200</f>
        <v>279.61341463414635</v>
      </c>
      <c r="G8" s="16"/>
      <c r="H8" s="16"/>
      <c r="I8" s="16">
        <v>3</v>
      </c>
      <c r="J8" s="16">
        <v>7955</v>
      </c>
      <c r="K8" s="16">
        <v>2295</v>
      </c>
      <c r="L8" s="18">
        <f>2261090/10250</f>
        <v>220.59414634146341</v>
      </c>
      <c r="M8" s="16"/>
      <c r="N8" s="16"/>
      <c r="O8" s="16">
        <v>3</v>
      </c>
      <c r="P8" s="16">
        <v>6197</v>
      </c>
      <c r="Q8" s="16">
        <v>2003</v>
      </c>
      <c r="R8" s="18">
        <f>1952110/8200</f>
        <v>238.06219512195122</v>
      </c>
      <c r="S8" s="16"/>
      <c r="T8" s="16"/>
      <c r="U8" s="16">
        <v>3</v>
      </c>
      <c r="V8" s="16">
        <v>4873</v>
      </c>
      <c r="W8" s="16">
        <v>2302</v>
      </c>
      <c r="X8" s="18">
        <f>1569480/7175</f>
        <v>218.74285714285713</v>
      </c>
      <c r="Y8" s="16"/>
      <c r="Z8" s="16"/>
      <c r="AA8" s="16">
        <v>3</v>
      </c>
      <c r="AB8" s="16">
        <v>3859</v>
      </c>
      <c r="AC8" s="16">
        <v>2291</v>
      </c>
      <c r="AD8" s="18">
        <f>1235070/6150</f>
        <v>200.82439024390243</v>
      </c>
      <c r="AE8" s="17"/>
      <c r="AF8" s="2"/>
      <c r="AG8" s="2"/>
      <c r="AH8" s="2"/>
      <c r="AI8" s="2"/>
      <c r="AJ8" s="2"/>
      <c r="AK8" s="2"/>
    </row>
    <row r="9" spans="1:37" x14ac:dyDescent="0.25">
      <c r="A9" s="14"/>
      <c r="B9" s="16"/>
      <c r="C9" s="16">
        <v>4</v>
      </c>
      <c r="D9" s="16">
        <v>7157</v>
      </c>
      <c r="E9" s="16">
        <v>1043</v>
      </c>
      <c r="F9" s="18">
        <f>2060330/8200</f>
        <v>251.25975609756097</v>
      </c>
      <c r="G9" s="16"/>
      <c r="H9" s="16"/>
      <c r="I9" s="16">
        <v>4</v>
      </c>
      <c r="J9" s="16">
        <v>7968</v>
      </c>
      <c r="K9" s="16">
        <v>2282</v>
      </c>
      <c r="L9" s="18">
        <f>2242470/10250</f>
        <v>218.77756097560976</v>
      </c>
      <c r="M9" s="16"/>
      <c r="N9" s="16"/>
      <c r="O9" s="16">
        <v>4</v>
      </c>
      <c r="P9" s="16">
        <v>5966</v>
      </c>
      <c r="Q9" s="16">
        <v>2234</v>
      </c>
      <c r="R9" s="18">
        <f>1826380/8200</f>
        <v>222.72926829268292</v>
      </c>
      <c r="S9" s="16"/>
      <c r="T9" s="16"/>
      <c r="U9" s="16">
        <v>4</v>
      </c>
      <c r="V9" s="16">
        <v>4876</v>
      </c>
      <c r="W9" s="16">
        <v>2299</v>
      </c>
      <c r="X9" s="18">
        <f>1586610/7175</f>
        <v>221.13031358885019</v>
      </c>
      <c r="Y9" s="16"/>
      <c r="Z9" s="16"/>
      <c r="AA9" s="16">
        <v>4</v>
      </c>
      <c r="AB9" s="16">
        <v>3859</v>
      </c>
      <c r="AC9" s="16">
        <v>2291</v>
      </c>
      <c r="AD9" s="18">
        <f>1208210/6150</f>
        <v>196.4569105691057</v>
      </c>
      <c r="AE9" s="17"/>
      <c r="AF9" s="2"/>
      <c r="AG9" s="2"/>
      <c r="AH9" s="2"/>
      <c r="AI9" s="2"/>
      <c r="AJ9" s="2"/>
      <c r="AK9" s="2"/>
    </row>
    <row r="10" spans="1:37" x14ac:dyDescent="0.25">
      <c r="A10" s="14"/>
      <c r="B10" s="16"/>
      <c r="C10" s="16">
        <v>5</v>
      </c>
      <c r="D10" s="16">
        <v>6317</v>
      </c>
      <c r="E10" s="16">
        <v>1883</v>
      </c>
      <c r="F10" s="18">
        <f>1893290/8200</f>
        <v>230.88902439024389</v>
      </c>
      <c r="G10" s="16"/>
      <c r="H10" s="16"/>
      <c r="I10" s="16">
        <v>5</v>
      </c>
      <c r="J10" s="16">
        <v>7811</v>
      </c>
      <c r="K10" s="16">
        <v>2439</v>
      </c>
      <c r="L10" s="18">
        <f>2173700/10250</f>
        <v>212.06829268292682</v>
      </c>
      <c r="M10" s="16"/>
      <c r="N10" s="16"/>
      <c r="O10" s="16">
        <v>5</v>
      </c>
      <c r="P10" s="16">
        <v>5496</v>
      </c>
      <c r="Q10" s="16">
        <v>2704</v>
      </c>
      <c r="R10" s="18">
        <f>1757310/8200</f>
        <v>214.30609756097562</v>
      </c>
      <c r="S10" s="16"/>
      <c r="T10" s="16"/>
      <c r="U10" s="16">
        <v>5</v>
      </c>
      <c r="V10" s="16">
        <v>4385</v>
      </c>
      <c r="W10" s="16">
        <v>2790</v>
      </c>
      <c r="X10" s="18">
        <f>1501060/7175</f>
        <v>209.20696864111497</v>
      </c>
      <c r="Y10" s="16"/>
      <c r="Z10" s="16"/>
      <c r="AA10" s="16">
        <v>5</v>
      </c>
      <c r="AB10" s="19">
        <v>2936</v>
      </c>
      <c r="AC10" s="19">
        <v>3214</v>
      </c>
      <c r="AD10" s="20">
        <f>1088860/6150</f>
        <v>177.05040650406505</v>
      </c>
      <c r="AE10" s="21"/>
      <c r="AF10" s="4"/>
      <c r="AG10" s="2"/>
      <c r="AH10" s="2"/>
      <c r="AI10" s="2"/>
      <c r="AJ10" s="2"/>
      <c r="AK10" s="2"/>
    </row>
    <row r="11" spans="1:37" x14ac:dyDescent="0.25">
      <c r="A11" s="14"/>
      <c r="B11" s="16"/>
      <c r="C11" s="16">
        <v>6</v>
      </c>
      <c r="D11" s="16">
        <v>7281</v>
      </c>
      <c r="E11" s="16">
        <v>919</v>
      </c>
      <c r="F11" s="18">
        <f>2402920/8200</f>
        <v>293.03902439024392</v>
      </c>
      <c r="G11" s="16"/>
      <c r="H11" s="16"/>
      <c r="I11" s="16">
        <v>6</v>
      </c>
      <c r="J11" s="16">
        <v>8310</v>
      </c>
      <c r="K11" s="16">
        <v>1940</v>
      </c>
      <c r="L11" s="18">
        <f>2514690/10250</f>
        <v>245.33560975609757</v>
      </c>
      <c r="M11" s="16"/>
      <c r="N11" s="16"/>
      <c r="O11" s="16">
        <v>6</v>
      </c>
      <c r="P11" s="16">
        <v>6196</v>
      </c>
      <c r="Q11" s="16">
        <v>2004</v>
      </c>
      <c r="R11" s="18">
        <f>2099810/8200</f>
        <v>256.07439024390243</v>
      </c>
      <c r="S11" s="16"/>
      <c r="T11" s="16"/>
      <c r="U11" s="16">
        <v>6</v>
      </c>
      <c r="V11" s="16">
        <v>4876</v>
      </c>
      <c r="W11" s="16">
        <v>2299</v>
      </c>
      <c r="X11" s="18">
        <f>1701040/7175</f>
        <v>237.07874564459931</v>
      </c>
      <c r="Y11" s="16"/>
      <c r="Z11" s="16"/>
      <c r="AA11" s="16">
        <v>6</v>
      </c>
      <c r="AB11" s="19">
        <v>3859</v>
      </c>
      <c r="AC11" s="19">
        <v>2291</v>
      </c>
      <c r="AD11" s="20">
        <f>1317710/6150</f>
        <v>214.26178861788617</v>
      </c>
      <c r="AE11" s="21"/>
      <c r="AF11" s="4"/>
      <c r="AG11" s="2"/>
      <c r="AH11" s="2"/>
      <c r="AI11" s="2"/>
      <c r="AJ11" s="2"/>
      <c r="AK11" s="2"/>
    </row>
    <row r="12" spans="1:37" x14ac:dyDescent="0.25">
      <c r="A12" s="14"/>
      <c r="B12" s="16"/>
      <c r="C12" s="16"/>
      <c r="D12" s="16"/>
      <c r="E12" s="22" t="s">
        <v>21</v>
      </c>
      <c r="F12" s="15" t="s">
        <v>24</v>
      </c>
      <c r="G12" s="16"/>
      <c r="H12" s="16"/>
      <c r="I12" s="16"/>
      <c r="J12" s="16"/>
      <c r="K12" s="22" t="s">
        <v>21</v>
      </c>
      <c r="L12" s="15" t="s">
        <v>24</v>
      </c>
      <c r="M12" s="16"/>
      <c r="N12" s="16"/>
      <c r="O12" s="16"/>
      <c r="P12" s="16"/>
      <c r="Q12" s="22" t="s">
        <v>21</v>
      </c>
      <c r="R12" s="15" t="s">
        <v>24</v>
      </c>
      <c r="S12" s="16"/>
      <c r="T12" s="16"/>
      <c r="U12" s="16"/>
      <c r="V12" s="16"/>
      <c r="W12" s="22" t="s">
        <v>21</v>
      </c>
      <c r="X12" s="15" t="s">
        <v>24</v>
      </c>
      <c r="Y12" s="16"/>
      <c r="Z12" s="16"/>
      <c r="AA12" s="16"/>
      <c r="AB12" s="19"/>
      <c r="AC12" s="22" t="s">
        <v>21</v>
      </c>
      <c r="AD12" s="15" t="s">
        <v>24</v>
      </c>
      <c r="AE12" s="21"/>
      <c r="AF12" s="4"/>
      <c r="AG12" s="2"/>
      <c r="AH12" s="2"/>
      <c r="AI12" s="2"/>
      <c r="AJ12" s="2"/>
      <c r="AK12" s="2"/>
    </row>
    <row r="13" spans="1:37" x14ac:dyDescent="0.25">
      <c r="A13" s="23"/>
      <c r="B13" s="24"/>
      <c r="C13" s="24"/>
      <c r="D13" s="24"/>
      <c r="E13" s="25">
        <f>SUM(D5:D11)/SUM(D5:E11)*100</f>
        <v>86.898954703832757</v>
      </c>
      <c r="F13" s="25">
        <f>SUM(F5:F11)/7</f>
        <v>259.93832752613241</v>
      </c>
      <c r="G13" s="26"/>
      <c r="H13" s="26"/>
      <c r="I13" s="26"/>
      <c r="J13" s="26"/>
      <c r="K13" s="25">
        <f>SUM(J5:J11)/SUM(J5:K11)*100</f>
        <v>77.020209059233451</v>
      </c>
      <c r="L13" s="25">
        <f>SUM(L5:L11)/7</f>
        <v>218.50996515679441</v>
      </c>
      <c r="M13" s="26"/>
      <c r="N13" s="26"/>
      <c r="O13" s="26"/>
      <c r="P13" s="26"/>
      <c r="Q13" s="25">
        <f>SUM(P5:P11)/SUM(P5:Q11)*100</f>
        <v>73.87282229965156</v>
      </c>
      <c r="R13" s="25">
        <f>SUM(R5:R11)/7</f>
        <v>226.01114982578397</v>
      </c>
      <c r="S13" s="26"/>
      <c r="T13" s="26"/>
      <c r="U13" s="26"/>
      <c r="V13" s="26"/>
      <c r="W13" s="25">
        <f>SUM(V5:V11)/SUM(V5:W11)*100</f>
        <v>66.624191139870575</v>
      </c>
      <c r="X13" s="25">
        <f>SUM(X5:X11)/7</f>
        <v>217.2005973120956</v>
      </c>
      <c r="Y13" s="26"/>
      <c r="Z13" s="26"/>
      <c r="AA13" s="26"/>
      <c r="AB13" s="26"/>
      <c r="AC13" s="25">
        <f>SUM(AB5:AB11)/SUM(AB5:AC11)*100</f>
        <v>60.144018583042971</v>
      </c>
      <c r="AD13" s="25">
        <f>SUM(AD5:AD11)/7</f>
        <v>194.37468060394889</v>
      </c>
      <c r="AE13" s="27"/>
      <c r="AF13" s="4"/>
      <c r="AG13" s="2"/>
      <c r="AH13" s="2"/>
      <c r="AI13" s="2"/>
      <c r="AJ13" s="2"/>
      <c r="AK13" s="2"/>
    </row>
    <row r="14" spans="1:37" x14ac:dyDescent="0.25">
      <c r="A14" s="2"/>
      <c r="B14" s="2"/>
      <c r="C14" s="2"/>
      <c r="D14" s="2"/>
      <c r="E14" s="5"/>
      <c r="F14" s="5"/>
      <c r="G14" s="6"/>
      <c r="H14" s="6"/>
      <c r="I14" s="6"/>
      <c r="J14" s="6"/>
      <c r="K14" s="5"/>
      <c r="L14" s="5"/>
      <c r="M14" s="6"/>
      <c r="N14" s="6"/>
      <c r="O14" s="6"/>
      <c r="P14" s="6"/>
      <c r="Q14" s="5"/>
      <c r="R14" s="5"/>
      <c r="S14" s="6"/>
      <c r="T14" s="6"/>
      <c r="U14" s="6"/>
      <c r="V14" s="6"/>
      <c r="W14" s="5"/>
      <c r="X14" s="5"/>
      <c r="Y14" s="6"/>
      <c r="Z14" s="6"/>
      <c r="AA14" s="6"/>
      <c r="AB14" s="6"/>
      <c r="AC14" s="5"/>
      <c r="AD14" s="5"/>
      <c r="AE14" s="4"/>
      <c r="AF14" s="4"/>
      <c r="AG14" s="2"/>
      <c r="AH14" s="2"/>
      <c r="AI14" s="2"/>
      <c r="AJ14" s="2"/>
      <c r="AK14" s="2"/>
    </row>
    <row r="15" spans="1:3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25">
      <c r="A16" s="11" t="s">
        <v>1</v>
      </c>
      <c r="B16" s="12"/>
      <c r="C16" s="28"/>
      <c r="D16" s="12" t="s">
        <v>22</v>
      </c>
      <c r="E16" s="12" t="s">
        <v>22</v>
      </c>
      <c r="F16" s="12" t="s">
        <v>22</v>
      </c>
      <c r="G16" s="12"/>
      <c r="H16" s="12"/>
      <c r="I16" s="12"/>
      <c r="J16" s="12" t="s">
        <v>22</v>
      </c>
      <c r="K16" s="12" t="s">
        <v>22</v>
      </c>
      <c r="L16" s="12" t="s">
        <v>22</v>
      </c>
      <c r="M16" s="12"/>
      <c r="N16" s="12"/>
      <c r="O16" s="12"/>
      <c r="P16" s="12" t="s">
        <v>22</v>
      </c>
      <c r="Q16" s="12" t="s">
        <v>22</v>
      </c>
      <c r="R16" s="12" t="s">
        <v>22</v>
      </c>
      <c r="S16" s="12"/>
      <c r="T16" s="12"/>
      <c r="U16" s="12"/>
      <c r="V16" s="12" t="s">
        <v>22</v>
      </c>
      <c r="W16" s="12" t="s">
        <v>22</v>
      </c>
      <c r="X16" s="12" t="s">
        <v>22</v>
      </c>
      <c r="Y16" s="12"/>
      <c r="Z16" s="12"/>
      <c r="AA16" s="12"/>
      <c r="AB16" s="12" t="s">
        <v>22</v>
      </c>
      <c r="AC16" s="12" t="s">
        <v>22</v>
      </c>
      <c r="AD16" s="12" t="s">
        <v>22</v>
      </c>
      <c r="AE16" s="13"/>
      <c r="AF16" s="2"/>
      <c r="AG16" s="2"/>
      <c r="AH16" s="2"/>
      <c r="AI16" s="2"/>
      <c r="AJ16" s="2"/>
      <c r="AK16" s="2"/>
    </row>
    <row r="17" spans="1:37" x14ac:dyDescent="0.25">
      <c r="A17" s="14"/>
      <c r="B17" s="15" t="s">
        <v>12</v>
      </c>
      <c r="C17" s="16" t="s">
        <v>20</v>
      </c>
      <c r="D17" s="16" t="s">
        <v>19</v>
      </c>
      <c r="E17" s="16" t="s">
        <v>18</v>
      </c>
      <c r="F17" s="16" t="s">
        <v>23</v>
      </c>
      <c r="G17" s="16"/>
      <c r="H17" s="15" t="s">
        <v>11</v>
      </c>
      <c r="I17" s="16" t="s">
        <v>20</v>
      </c>
      <c r="J17" s="16" t="s">
        <v>19</v>
      </c>
      <c r="K17" s="16" t="s">
        <v>18</v>
      </c>
      <c r="L17" s="16" t="s">
        <v>23</v>
      </c>
      <c r="M17" s="16"/>
      <c r="N17" s="15" t="s">
        <v>10</v>
      </c>
      <c r="O17" s="16" t="s">
        <v>20</v>
      </c>
      <c r="P17" s="16" t="s">
        <v>19</v>
      </c>
      <c r="Q17" s="16" t="s">
        <v>18</v>
      </c>
      <c r="R17" s="16" t="s">
        <v>23</v>
      </c>
      <c r="S17" s="16"/>
      <c r="T17" s="15" t="s">
        <v>9</v>
      </c>
      <c r="U17" s="16" t="s">
        <v>20</v>
      </c>
      <c r="V17" s="16" t="s">
        <v>19</v>
      </c>
      <c r="W17" s="16" t="s">
        <v>18</v>
      </c>
      <c r="X17" s="16" t="s">
        <v>23</v>
      </c>
      <c r="Y17" s="16"/>
      <c r="Z17" s="15" t="s">
        <v>8</v>
      </c>
      <c r="AA17" s="16" t="s">
        <v>20</v>
      </c>
      <c r="AB17" s="16" t="s">
        <v>19</v>
      </c>
      <c r="AC17" s="16" t="s">
        <v>18</v>
      </c>
      <c r="AD17" s="16" t="s">
        <v>23</v>
      </c>
      <c r="AE17" s="17"/>
      <c r="AF17" s="2"/>
      <c r="AG17" s="2"/>
      <c r="AH17" s="2"/>
      <c r="AI17" s="2"/>
      <c r="AJ17" s="2"/>
      <c r="AK17" s="2"/>
    </row>
    <row r="18" spans="1:37" x14ac:dyDescent="0.25">
      <c r="A18" s="14"/>
      <c r="B18" s="15"/>
      <c r="C18" s="16"/>
      <c r="D18" s="16" t="s">
        <v>29</v>
      </c>
      <c r="E18" s="16" t="s">
        <v>29</v>
      </c>
      <c r="F18" s="16" t="s">
        <v>30</v>
      </c>
      <c r="G18" s="16"/>
      <c r="H18" s="15"/>
      <c r="I18" s="16"/>
      <c r="J18" s="16" t="s">
        <v>29</v>
      </c>
      <c r="K18" s="16" t="s">
        <v>29</v>
      </c>
      <c r="L18" s="16" t="s">
        <v>30</v>
      </c>
      <c r="M18" s="16"/>
      <c r="N18" s="15"/>
      <c r="O18" s="16"/>
      <c r="P18" s="16" t="s">
        <v>29</v>
      </c>
      <c r="Q18" s="16" t="s">
        <v>29</v>
      </c>
      <c r="R18" s="16" t="s">
        <v>30</v>
      </c>
      <c r="S18" s="16"/>
      <c r="T18" s="15"/>
      <c r="U18" s="16"/>
      <c r="V18" s="16" t="s">
        <v>29</v>
      </c>
      <c r="W18" s="16" t="s">
        <v>29</v>
      </c>
      <c r="X18" s="16" t="s">
        <v>30</v>
      </c>
      <c r="Y18" s="16"/>
      <c r="Z18" s="15"/>
      <c r="AA18" s="16"/>
      <c r="AB18" s="16" t="s">
        <v>29</v>
      </c>
      <c r="AC18" s="16" t="s">
        <v>29</v>
      </c>
      <c r="AD18" s="16" t="s">
        <v>30</v>
      </c>
      <c r="AE18" s="17"/>
      <c r="AF18" s="2"/>
      <c r="AG18" s="2"/>
      <c r="AH18" s="2"/>
      <c r="AI18" s="2"/>
      <c r="AJ18" s="2"/>
      <c r="AK18" s="2"/>
    </row>
    <row r="19" spans="1:37" x14ac:dyDescent="0.25">
      <c r="A19" s="14"/>
      <c r="B19" s="16"/>
      <c r="C19" s="19">
        <v>0</v>
      </c>
      <c r="D19" s="19">
        <v>6287</v>
      </c>
      <c r="E19" s="19">
        <v>1913</v>
      </c>
      <c r="F19" s="18">
        <f>1833490/8200</f>
        <v>223.59634146341463</v>
      </c>
      <c r="G19" s="16"/>
      <c r="H19" s="16"/>
      <c r="I19" s="16">
        <v>0</v>
      </c>
      <c r="J19" s="16">
        <v>5189</v>
      </c>
      <c r="K19" s="16">
        <v>959</v>
      </c>
      <c r="L19" s="18">
        <f>1499860/6148</f>
        <v>243.95901106050749</v>
      </c>
      <c r="M19" s="16"/>
      <c r="N19" s="16"/>
      <c r="O19" s="16">
        <v>0</v>
      </c>
      <c r="P19" s="16">
        <v>4096</v>
      </c>
      <c r="Q19" s="16">
        <v>6</v>
      </c>
      <c r="R19" s="18">
        <f>1277960/4102</f>
        <v>311.54558751828375</v>
      </c>
      <c r="S19" s="16"/>
      <c r="T19" s="16"/>
      <c r="U19" s="16">
        <v>0</v>
      </c>
      <c r="V19" s="16">
        <v>4096</v>
      </c>
      <c r="W19" s="16">
        <v>4</v>
      </c>
      <c r="X19" s="18">
        <f>1223630/4100</f>
        <v>298.44634146341463</v>
      </c>
      <c r="Y19" s="16"/>
      <c r="Z19" s="15"/>
      <c r="AA19" s="16">
        <v>0</v>
      </c>
      <c r="AB19" s="16">
        <v>6144</v>
      </c>
      <c r="AC19" s="16">
        <v>6</v>
      </c>
      <c r="AD19" s="18">
        <f>1829390/6150</f>
        <v>297.46178861788616</v>
      </c>
      <c r="AE19" s="17"/>
      <c r="AF19" s="2"/>
      <c r="AG19" s="2"/>
      <c r="AH19" s="2"/>
      <c r="AI19" s="2"/>
      <c r="AJ19" s="2"/>
      <c r="AK19" s="2"/>
    </row>
    <row r="20" spans="1:37" x14ac:dyDescent="0.25">
      <c r="A20" s="14"/>
      <c r="B20" s="16"/>
      <c r="C20" s="19">
        <v>1</v>
      </c>
      <c r="D20" s="19">
        <v>5835</v>
      </c>
      <c r="E20" s="19">
        <v>2365</v>
      </c>
      <c r="F20" s="18">
        <f>1485940/8200</f>
        <v>181.21219512195123</v>
      </c>
      <c r="G20" s="16"/>
      <c r="H20" s="16"/>
      <c r="I20" s="16">
        <v>1</v>
      </c>
      <c r="J20" s="16">
        <v>5277</v>
      </c>
      <c r="K20" s="16">
        <v>871</v>
      </c>
      <c r="L20" s="18">
        <f>1373770/6148</f>
        <v>223.44990240728691</v>
      </c>
      <c r="M20" s="16"/>
      <c r="N20" s="16"/>
      <c r="O20" s="16">
        <v>1</v>
      </c>
      <c r="P20" s="16">
        <v>4096</v>
      </c>
      <c r="Q20" s="16">
        <v>6</v>
      </c>
      <c r="R20" s="18">
        <f>1115900/4102</f>
        <v>272.0380302291565</v>
      </c>
      <c r="S20" s="16"/>
      <c r="T20" s="16"/>
      <c r="U20" s="16">
        <v>1</v>
      </c>
      <c r="V20" s="16">
        <v>4096</v>
      </c>
      <c r="W20" s="16">
        <v>4</v>
      </c>
      <c r="X20" s="18">
        <f>1087740/4100</f>
        <v>265.30243902439025</v>
      </c>
      <c r="Y20" s="16"/>
      <c r="Z20" s="16"/>
      <c r="AA20" s="16">
        <v>1</v>
      </c>
      <c r="AB20" s="16">
        <v>5651</v>
      </c>
      <c r="AC20" s="16">
        <v>499</v>
      </c>
      <c r="AD20" s="18">
        <f>1432070/6150</f>
        <v>232.85691056910568</v>
      </c>
      <c r="AE20" s="17"/>
      <c r="AF20" s="2"/>
      <c r="AG20" s="2"/>
      <c r="AH20" s="2"/>
      <c r="AI20" s="2"/>
      <c r="AJ20" s="2"/>
      <c r="AK20" s="2"/>
    </row>
    <row r="21" spans="1:37" x14ac:dyDescent="0.25">
      <c r="A21" s="14"/>
      <c r="B21" s="16"/>
      <c r="C21" s="19">
        <v>2</v>
      </c>
      <c r="D21" s="19">
        <v>5734</v>
      </c>
      <c r="E21" s="19">
        <v>2466</v>
      </c>
      <c r="F21" s="18">
        <f>1325750/8200</f>
        <v>161.67682926829269</v>
      </c>
      <c r="G21" s="16"/>
      <c r="H21" s="16"/>
      <c r="I21" s="16">
        <v>2</v>
      </c>
      <c r="J21" s="16">
        <v>5277</v>
      </c>
      <c r="K21" s="16">
        <v>871</v>
      </c>
      <c r="L21" s="18">
        <f>1404220/6148</f>
        <v>228.40273259596617</v>
      </c>
      <c r="M21" s="16"/>
      <c r="N21" s="16"/>
      <c r="O21" s="16">
        <v>2</v>
      </c>
      <c r="P21" s="16">
        <v>4096</v>
      </c>
      <c r="Q21" s="16">
        <v>6</v>
      </c>
      <c r="R21" s="18">
        <f>1129940/4102</f>
        <v>275.4607508532423</v>
      </c>
      <c r="S21" s="16"/>
      <c r="T21" s="16"/>
      <c r="U21" s="16">
        <v>2</v>
      </c>
      <c r="V21" s="16">
        <v>4096</v>
      </c>
      <c r="W21" s="16">
        <v>4</v>
      </c>
      <c r="X21" s="18">
        <f>1067650/4100</f>
        <v>260.40243902439022</v>
      </c>
      <c r="Y21" s="16"/>
      <c r="Z21" s="16"/>
      <c r="AA21" s="16">
        <v>2</v>
      </c>
      <c r="AB21" s="16">
        <v>5636</v>
      </c>
      <c r="AC21" s="16">
        <v>514</v>
      </c>
      <c r="AD21" s="18">
        <f>1319100/6150</f>
        <v>214.48780487804879</v>
      </c>
      <c r="AE21" s="17"/>
      <c r="AF21" s="2"/>
      <c r="AG21" s="2"/>
      <c r="AH21" s="2"/>
      <c r="AI21" s="2"/>
      <c r="AJ21" s="2"/>
      <c r="AK21" s="2"/>
    </row>
    <row r="22" spans="1:37" x14ac:dyDescent="0.25">
      <c r="A22" s="14"/>
      <c r="B22" s="16"/>
      <c r="C22" s="19">
        <v>3</v>
      </c>
      <c r="D22" s="19">
        <v>6285</v>
      </c>
      <c r="E22" s="19">
        <v>1915</v>
      </c>
      <c r="F22" s="18">
        <f>1888210/8200</f>
        <v>230.26951219512196</v>
      </c>
      <c r="G22" s="16"/>
      <c r="H22" s="16"/>
      <c r="I22" s="16">
        <v>3</v>
      </c>
      <c r="J22" s="16">
        <v>5244</v>
      </c>
      <c r="K22" s="16">
        <v>904</v>
      </c>
      <c r="L22" s="18">
        <f>1568120/6148</f>
        <v>255.06180871828238</v>
      </c>
      <c r="M22" s="16"/>
      <c r="N22" s="16"/>
      <c r="O22" s="16">
        <v>3</v>
      </c>
      <c r="P22" s="16">
        <v>4096</v>
      </c>
      <c r="Q22" s="16">
        <v>6</v>
      </c>
      <c r="R22" s="18">
        <f>1318370/4102</f>
        <v>321.396879570941</v>
      </c>
      <c r="S22" s="16"/>
      <c r="T22" s="16"/>
      <c r="U22" s="16">
        <v>3</v>
      </c>
      <c r="V22" s="16">
        <v>4096</v>
      </c>
      <c r="W22" s="16">
        <v>4</v>
      </c>
      <c r="X22" s="18">
        <f>1262940/4100</f>
        <v>308.03414634146344</v>
      </c>
      <c r="Y22" s="16"/>
      <c r="Z22" s="16"/>
      <c r="AA22" s="16">
        <v>3</v>
      </c>
      <c r="AB22" s="16">
        <v>6144</v>
      </c>
      <c r="AC22" s="16">
        <v>6</v>
      </c>
      <c r="AD22" s="18">
        <f>1875410/6150</f>
        <v>304.94471544715446</v>
      </c>
      <c r="AE22" s="17"/>
      <c r="AF22" s="2"/>
      <c r="AG22" s="2"/>
      <c r="AH22" s="2"/>
      <c r="AI22" s="2"/>
      <c r="AJ22" s="2"/>
      <c r="AK22" s="2"/>
    </row>
    <row r="23" spans="1:37" x14ac:dyDescent="0.25">
      <c r="A23" s="14"/>
      <c r="B23" s="16"/>
      <c r="C23" s="19">
        <v>4</v>
      </c>
      <c r="D23" s="19">
        <v>5446</v>
      </c>
      <c r="E23" s="19">
        <v>2754</v>
      </c>
      <c r="F23" s="18">
        <f>1518490/8200</f>
        <v>185.18170731707318</v>
      </c>
      <c r="G23" s="16"/>
      <c r="H23" s="16"/>
      <c r="I23" s="16">
        <v>4</v>
      </c>
      <c r="J23" s="16">
        <v>5034</v>
      </c>
      <c r="K23" s="16">
        <v>1114</v>
      </c>
      <c r="L23" s="18">
        <f>1457110/6148</f>
        <v>237.00553025374106</v>
      </c>
      <c r="M23" s="16"/>
      <c r="N23" s="16"/>
      <c r="O23" s="16">
        <v>4</v>
      </c>
      <c r="P23" s="16">
        <v>3862</v>
      </c>
      <c r="Q23" s="16">
        <v>240</v>
      </c>
      <c r="R23" s="18">
        <f>1127830/4102</f>
        <v>274.94636762554853</v>
      </c>
      <c r="S23" s="16"/>
      <c r="T23" s="16"/>
      <c r="U23" s="16">
        <v>4</v>
      </c>
      <c r="V23" s="16">
        <v>3872</v>
      </c>
      <c r="W23" s="16">
        <v>228</v>
      </c>
      <c r="X23" s="18">
        <f>1083510/4100</f>
        <v>264.27073170731705</v>
      </c>
      <c r="Y23" s="16"/>
      <c r="Z23" s="16"/>
      <c r="AA23" s="16">
        <v>4</v>
      </c>
      <c r="AB23" s="16">
        <v>5296</v>
      </c>
      <c r="AC23" s="16">
        <v>854</v>
      </c>
      <c r="AD23" s="18">
        <f>1470180/6150</f>
        <v>239.05365853658537</v>
      </c>
      <c r="AE23" s="17"/>
      <c r="AF23" s="2"/>
      <c r="AG23" s="2"/>
      <c r="AH23" s="2"/>
      <c r="AI23" s="2"/>
      <c r="AJ23" s="2"/>
      <c r="AK23" s="2"/>
    </row>
    <row r="24" spans="1:37" x14ac:dyDescent="0.25">
      <c r="A24" s="14"/>
      <c r="B24" s="16"/>
      <c r="C24" s="19">
        <v>5</v>
      </c>
      <c r="D24" s="19">
        <v>4112</v>
      </c>
      <c r="E24" s="19">
        <v>4088</v>
      </c>
      <c r="F24" s="18">
        <f>1349690/8200</f>
        <v>164.59634146341463</v>
      </c>
      <c r="G24" s="16"/>
      <c r="H24" s="16"/>
      <c r="I24" s="16">
        <v>5</v>
      </c>
      <c r="J24" s="16">
        <v>4187</v>
      </c>
      <c r="K24" s="16">
        <v>1961</v>
      </c>
      <c r="L24" s="18">
        <f>1331020/6148</f>
        <v>216.49642160052051</v>
      </c>
      <c r="M24" s="16"/>
      <c r="N24" s="16"/>
      <c r="O24" s="16">
        <v>5</v>
      </c>
      <c r="P24" s="16">
        <v>3136</v>
      </c>
      <c r="Q24" s="16">
        <v>966</v>
      </c>
      <c r="R24" s="18">
        <f>996880/4102</f>
        <v>243.02291565090201</v>
      </c>
      <c r="S24" s="16"/>
      <c r="T24" s="16"/>
      <c r="U24" s="16">
        <v>5</v>
      </c>
      <c r="V24" s="16">
        <v>2872</v>
      </c>
      <c r="W24" s="16">
        <v>1228</v>
      </c>
      <c r="X24" s="18">
        <f>941100/4100</f>
        <v>229.53658536585365</v>
      </c>
      <c r="Y24" s="16"/>
      <c r="Z24" s="16"/>
      <c r="AA24" s="16">
        <v>5</v>
      </c>
      <c r="AB24" s="16">
        <v>4334</v>
      </c>
      <c r="AC24" s="16">
        <v>1816</v>
      </c>
      <c r="AD24" s="18">
        <f>1308680/6150</f>
        <v>212.79349593495934</v>
      </c>
      <c r="AE24" s="17"/>
      <c r="AF24" s="2"/>
      <c r="AG24" s="2"/>
      <c r="AH24" s="2"/>
      <c r="AI24" s="2"/>
      <c r="AJ24" s="2"/>
      <c r="AK24" s="2"/>
    </row>
    <row r="25" spans="1:37" x14ac:dyDescent="0.25">
      <c r="A25" s="14"/>
      <c r="B25" s="16"/>
      <c r="C25" s="19">
        <v>6</v>
      </c>
      <c r="D25" s="19">
        <v>6300</v>
      </c>
      <c r="E25" s="19">
        <v>1900</v>
      </c>
      <c r="F25" s="18">
        <f>1977180/8200</f>
        <v>241.11951219512196</v>
      </c>
      <c r="G25" s="16"/>
      <c r="H25" s="16"/>
      <c r="I25" s="16">
        <v>6</v>
      </c>
      <c r="J25" s="16">
        <v>5277</v>
      </c>
      <c r="K25" s="16">
        <v>871</v>
      </c>
      <c r="L25" s="18">
        <f>1721390/6148</f>
        <v>279.9918672739102</v>
      </c>
      <c r="M25" s="16"/>
      <c r="N25" s="16"/>
      <c r="O25" s="16">
        <v>6</v>
      </c>
      <c r="P25" s="16">
        <v>4096</v>
      </c>
      <c r="Q25" s="16">
        <v>6</v>
      </c>
      <c r="R25" s="18">
        <f>1350420/4102</f>
        <v>329.21014139444173</v>
      </c>
      <c r="S25" s="16"/>
      <c r="T25" s="16"/>
      <c r="U25" s="16">
        <v>6</v>
      </c>
      <c r="V25" s="16">
        <v>4096</v>
      </c>
      <c r="W25" s="16">
        <v>4</v>
      </c>
      <c r="X25" s="18">
        <f>1287590/4100</f>
        <v>314.04634146341465</v>
      </c>
      <c r="Y25" s="16"/>
      <c r="Z25" s="16"/>
      <c r="AA25" s="16">
        <v>6</v>
      </c>
      <c r="AB25" s="16">
        <v>6144</v>
      </c>
      <c r="AC25" s="16">
        <v>6</v>
      </c>
      <c r="AD25" s="18">
        <f>1936640/6150</f>
        <v>314.90081300813006</v>
      </c>
      <c r="AE25" s="17"/>
      <c r="AH25" s="2"/>
      <c r="AI25" s="2"/>
      <c r="AJ25" s="2"/>
      <c r="AK25" s="2"/>
    </row>
    <row r="26" spans="1:37" x14ac:dyDescent="0.25">
      <c r="A26" s="14"/>
      <c r="B26" s="16"/>
      <c r="C26" s="19"/>
      <c r="D26" s="19"/>
      <c r="E26" s="22" t="s">
        <v>21</v>
      </c>
      <c r="F26" s="15" t="s">
        <v>24</v>
      </c>
      <c r="G26" s="16"/>
      <c r="H26" s="16"/>
      <c r="I26" s="16"/>
      <c r="J26" s="16"/>
      <c r="K26" s="22" t="s">
        <v>21</v>
      </c>
      <c r="L26" s="15" t="s">
        <v>24</v>
      </c>
      <c r="M26" s="16"/>
      <c r="N26" s="16"/>
      <c r="O26" s="16"/>
      <c r="P26" s="16"/>
      <c r="Q26" s="22" t="s">
        <v>21</v>
      </c>
      <c r="R26" s="15" t="s">
        <v>24</v>
      </c>
      <c r="S26" s="16"/>
      <c r="T26" s="16"/>
      <c r="U26" s="16"/>
      <c r="V26" s="16"/>
      <c r="W26" s="22" t="s">
        <v>21</v>
      </c>
      <c r="X26" s="15" t="s">
        <v>24</v>
      </c>
      <c r="Y26" s="16"/>
      <c r="Z26" s="16"/>
      <c r="AA26" s="16"/>
      <c r="AB26" s="19"/>
      <c r="AC26" s="22" t="s">
        <v>21</v>
      </c>
      <c r="AD26" s="15" t="s">
        <v>24</v>
      </c>
      <c r="AE26" s="21"/>
      <c r="AH26" s="2"/>
      <c r="AI26" s="2"/>
      <c r="AJ26" s="2"/>
      <c r="AK26" s="2"/>
    </row>
    <row r="27" spans="1:37" x14ac:dyDescent="0.25">
      <c r="A27" s="14"/>
      <c r="B27" s="16"/>
      <c r="C27" s="19"/>
      <c r="D27" s="16"/>
      <c r="E27" s="29">
        <f>SUM(D19:D25)/SUM(D19:E25)*100</f>
        <v>69.684668989547035</v>
      </c>
      <c r="F27" s="29">
        <f>SUM(F19:F25)/7</f>
        <v>198.23606271777004</v>
      </c>
      <c r="G27" s="30"/>
      <c r="H27" s="30"/>
      <c r="I27" s="30"/>
      <c r="J27" s="30"/>
      <c r="K27" s="29">
        <f>SUM(J19:J25)/SUM(J19:K25)*100</f>
        <v>82.454224370294639</v>
      </c>
      <c r="L27" s="29">
        <f>SUM(L19:L25)/7</f>
        <v>240.62389627288781</v>
      </c>
      <c r="M27" s="30"/>
      <c r="N27" s="30"/>
      <c r="O27" s="30"/>
      <c r="P27" s="30"/>
      <c r="Q27" s="31">
        <f>SUM(P19:P25)/SUM(P19:Q25)*100</f>
        <v>95.695479557010515</v>
      </c>
      <c r="R27" s="31">
        <f>SUM(R19:R25)/7</f>
        <v>289.66009612035941</v>
      </c>
      <c r="S27" s="32"/>
      <c r="T27" s="32"/>
      <c r="U27" s="32"/>
      <c r="V27" s="32"/>
      <c r="W27" s="31">
        <f>SUM(V19:V25)/SUM(V19:W25)*100</f>
        <v>94.857142857142861</v>
      </c>
      <c r="X27" s="31">
        <f>SUM(X19:X25)/7</f>
        <v>277.14843205574914</v>
      </c>
      <c r="Y27" s="32"/>
      <c r="Z27" s="32"/>
      <c r="AA27" s="32"/>
      <c r="AB27" s="32"/>
      <c r="AC27" s="31">
        <f>SUM(AB19:AB25)/SUM(AB19:AC25)*100</f>
        <v>91.40301974448316</v>
      </c>
      <c r="AD27" s="31">
        <f>SUM(AD19:AD25)/7</f>
        <v>259.49988385598141</v>
      </c>
      <c r="AE27" s="17"/>
      <c r="AH27" s="2"/>
      <c r="AI27" s="2"/>
      <c r="AJ27" s="2"/>
      <c r="AK27" s="2"/>
    </row>
    <row r="28" spans="1:37" x14ac:dyDescent="0.25">
      <c r="A28" s="14"/>
      <c r="B28" s="16"/>
      <c r="C28" s="19"/>
      <c r="D28" s="16"/>
      <c r="E28" s="33"/>
      <c r="F28" s="33"/>
      <c r="G28" s="30"/>
      <c r="H28" s="30"/>
      <c r="I28" s="30"/>
      <c r="J28" s="30"/>
      <c r="K28" s="29"/>
      <c r="L28" s="29"/>
      <c r="M28" s="30"/>
      <c r="N28" s="30"/>
      <c r="O28" s="30"/>
      <c r="P28" s="30"/>
      <c r="Q28" s="34"/>
      <c r="R28" s="34"/>
      <c r="S28" s="35"/>
      <c r="T28" s="35"/>
      <c r="U28" s="35"/>
      <c r="V28" s="35"/>
      <c r="W28" s="34"/>
      <c r="X28" s="34"/>
      <c r="Y28" s="35"/>
      <c r="Z28" s="35"/>
      <c r="AA28" s="35"/>
      <c r="AB28" s="35"/>
      <c r="AC28" s="34"/>
      <c r="AD28" s="34"/>
      <c r="AE28" s="17"/>
      <c r="AH28" s="2"/>
      <c r="AI28" s="2"/>
      <c r="AJ28" s="2"/>
      <c r="AK28" s="2"/>
    </row>
    <row r="29" spans="1:37" x14ac:dyDescent="0.25">
      <c r="A29" s="14"/>
      <c r="B29" s="16"/>
      <c r="C29" s="19"/>
      <c r="D29" s="16"/>
      <c r="E29" s="33"/>
      <c r="F29" s="33"/>
      <c r="G29" s="30"/>
      <c r="H29" s="30"/>
      <c r="I29" s="30"/>
      <c r="J29" s="30"/>
      <c r="K29" s="33"/>
      <c r="L29" s="33"/>
      <c r="M29" s="30"/>
      <c r="N29" s="30"/>
      <c r="O29" s="30"/>
      <c r="P29" s="30"/>
      <c r="Q29" s="34"/>
      <c r="R29" s="34"/>
      <c r="S29" s="35"/>
      <c r="T29" s="35"/>
      <c r="U29" s="35"/>
      <c r="V29" s="35"/>
      <c r="W29" s="34"/>
      <c r="X29" s="34"/>
      <c r="Y29" s="35"/>
      <c r="Z29" s="35"/>
      <c r="AA29" s="15" t="s">
        <v>26</v>
      </c>
      <c r="AB29" s="15"/>
      <c r="AC29" s="34"/>
      <c r="AD29" s="34"/>
      <c r="AE29" s="17"/>
      <c r="AF29" s="8"/>
      <c r="AG29" s="3"/>
      <c r="AH29" s="2"/>
      <c r="AI29" s="2"/>
      <c r="AJ29" s="2"/>
      <c r="AK29" s="2"/>
    </row>
    <row r="30" spans="1:37" x14ac:dyDescent="0.25">
      <c r="A30" s="14"/>
      <c r="B30" s="16"/>
      <c r="C30" s="19"/>
      <c r="D30" s="16"/>
      <c r="E30" s="33"/>
      <c r="F30" s="33"/>
      <c r="G30" s="30"/>
      <c r="H30" s="30"/>
      <c r="I30" s="30"/>
      <c r="J30" s="30"/>
      <c r="K30" s="33"/>
      <c r="L30" s="33"/>
      <c r="M30" s="30"/>
      <c r="N30" s="30"/>
      <c r="O30" s="30"/>
      <c r="P30" s="30"/>
      <c r="Q30" s="34"/>
      <c r="R30" s="34"/>
      <c r="S30" s="35"/>
      <c r="T30" s="35"/>
      <c r="U30" s="35"/>
      <c r="V30" s="35"/>
      <c r="W30" s="34"/>
      <c r="X30" s="34"/>
      <c r="Y30" s="35"/>
      <c r="Z30" s="35"/>
      <c r="AA30" s="22" t="s">
        <v>27</v>
      </c>
      <c r="AB30" s="36"/>
      <c r="AC30" s="15" t="s">
        <v>24</v>
      </c>
      <c r="AD30" s="34"/>
      <c r="AE30" s="17"/>
      <c r="AF30" s="8"/>
      <c r="AG30" s="3"/>
      <c r="AH30" s="2"/>
      <c r="AI30" s="2"/>
      <c r="AJ30" s="2"/>
      <c r="AK30" s="2"/>
    </row>
    <row r="31" spans="1:37" x14ac:dyDescent="0.25">
      <c r="A31" s="23"/>
      <c r="B31" s="24"/>
      <c r="C31" s="37"/>
      <c r="D31" s="37"/>
      <c r="E31" s="37"/>
      <c r="F31" s="37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38">
        <f>AVERAGE(Q27,W27,AC27)</f>
        <v>93.985214052878845</v>
      </c>
      <c r="AB31" s="39"/>
      <c r="AC31" s="46">
        <f>AVERAGE(R27,X27,AD27)</f>
        <v>275.43613734402999</v>
      </c>
      <c r="AD31" s="24"/>
      <c r="AE31" s="40"/>
      <c r="AF31" s="9"/>
      <c r="AG31" s="3"/>
      <c r="AH31" s="2"/>
      <c r="AI31" s="2"/>
      <c r="AJ31" s="2"/>
      <c r="AK31" s="2"/>
    </row>
    <row r="32" spans="1:37" x14ac:dyDescent="0.25">
      <c r="A32" s="2"/>
      <c r="B32" s="2"/>
      <c r="C32" s="4"/>
      <c r="D32" s="4"/>
      <c r="E32" s="4"/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9"/>
      <c r="AG32" s="3"/>
      <c r="AH32" s="2"/>
      <c r="AI32" s="2"/>
      <c r="AJ32" s="2"/>
      <c r="AK32" s="2"/>
    </row>
    <row r="33" spans="1:37" x14ac:dyDescent="0.25">
      <c r="A33" s="11" t="s">
        <v>2</v>
      </c>
      <c r="B33" s="12"/>
      <c r="C33" s="28"/>
      <c r="D33" s="12" t="s">
        <v>22</v>
      </c>
      <c r="E33" s="12" t="s">
        <v>22</v>
      </c>
      <c r="F33" s="12" t="s">
        <v>22</v>
      </c>
      <c r="G33" s="12"/>
      <c r="H33" s="12"/>
      <c r="I33" s="12"/>
      <c r="J33" s="12" t="s">
        <v>22</v>
      </c>
      <c r="K33" s="12" t="s">
        <v>22</v>
      </c>
      <c r="L33" s="12" t="s">
        <v>22</v>
      </c>
      <c r="M33" s="12"/>
      <c r="N33" s="12"/>
      <c r="O33" s="12"/>
      <c r="P33" s="12" t="s">
        <v>22</v>
      </c>
      <c r="Q33" s="12" t="s">
        <v>22</v>
      </c>
      <c r="R33" s="12" t="s">
        <v>22</v>
      </c>
      <c r="S33" s="12"/>
      <c r="T33" s="12"/>
      <c r="U33" s="12"/>
      <c r="V33" s="12" t="s">
        <v>22</v>
      </c>
      <c r="W33" s="12" t="s">
        <v>22</v>
      </c>
      <c r="X33" s="12" t="s">
        <v>22</v>
      </c>
      <c r="Y33" s="12"/>
      <c r="Z33" s="12"/>
      <c r="AA33" s="12"/>
      <c r="AB33" s="12" t="s">
        <v>22</v>
      </c>
      <c r="AC33" s="12" t="s">
        <v>22</v>
      </c>
      <c r="AD33" s="12" t="s">
        <v>22</v>
      </c>
      <c r="AE33" s="13"/>
      <c r="AF33" s="9"/>
      <c r="AG33" s="3"/>
      <c r="AH33" s="2"/>
      <c r="AI33" s="2"/>
      <c r="AJ33" s="2"/>
      <c r="AK33" s="2"/>
    </row>
    <row r="34" spans="1:37" x14ac:dyDescent="0.25">
      <c r="A34" s="14"/>
      <c r="B34" s="15" t="s">
        <v>13</v>
      </c>
      <c r="C34" s="16" t="s">
        <v>20</v>
      </c>
      <c r="D34" s="16" t="s">
        <v>19</v>
      </c>
      <c r="E34" s="16" t="s">
        <v>18</v>
      </c>
      <c r="F34" s="16" t="s">
        <v>23</v>
      </c>
      <c r="G34" s="16"/>
      <c r="H34" s="15" t="s">
        <v>14</v>
      </c>
      <c r="I34" s="16" t="s">
        <v>20</v>
      </c>
      <c r="J34" s="16" t="s">
        <v>19</v>
      </c>
      <c r="K34" s="16" t="s">
        <v>18</v>
      </c>
      <c r="L34" s="16" t="s">
        <v>23</v>
      </c>
      <c r="M34" s="16"/>
      <c r="N34" s="15" t="s">
        <v>15</v>
      </c>
      <c r="O34" s="16" t="s">
        <v>20</v>
      </c>
      <c r="P34" s="16" t="s">
        <v>19</v>
      </c>
      <c r="Q34" s="16" t="s">
        <v>18</v>
      </c>
      <c r="R34" s="16" t="s">
        <v>23</v>
      </c>
      <c r="S34" s="16"/>
      <c r="T34" s="15" t="s">
        <v>17</v>
      </c>
      <c r="U34" s="16" t="s">
        <v>20</v>
      </c>
      <c r="V34" s="16" t="s">
        <v>19</v>
      </c>
      <c r="W34" s="16" t="s">
        <v>18</v>
      </c>
      <c r="X34" s="16" t="s">
        <v>23</v>
      </c>
      <c r="Y34" s="16"/>
      <c r="Z34" s="15" t="s">
        <v>16</v>
      </c>
      <c r="AA34" s="16" t="s">
        <v>20</v>
      </c>
      <c r="AB34" s="16" t="s">
        <v>19</v>
      </c>
      <c r="AC34" s="16" t="s">
        <v>18</v>
      </c>
      <c r="AD34" s="16" t="s">
        <v>23</v>
      </c>
      <c r="AE34" s="17"/>
      <c r="AF34" s="9"/>
      <c r="AG34" s="3"/>
      <c r="AH34" s="2"/>
      <c r="AI34" s="2"/>
      <c r="AJ34" s="2"/>
      <c r="AK34" s="2"/>
    </row>
    <row r="35" spans="1:37" x14ac:dyDescent="0.25">
      <c r="A35" s="14"/>
      <c r="B35" s="15"/>
      <c r="C35" s="16"/>
      <c r="D35" s="16" t="s">
        <v>29</v>
      </c>
      <c r="E35" s="16" t="s">
        <v>29</v>
      </c>
      <c r="F35" s="16" t="s">
        <v>30</v>
      </c>
      <c r="G35" s="16"/>
      <c r="H35" s="15"/>
      <c r="I35" s="16"/>
      <c r="J35" s="16" t="s">
        <v>29</v>
      </c>
      <c r="K35" s="16" t="s">
        <v>29</v>
      </c>
      <c r="L35" s="16" t="s">
        <v>30</v>
      </c>
      <c r="M35" s="16"/>
      <c r="N35" s="15"/>
      <c r="O35" s="16"/>
      <c r="P35" s="16" t="s">
        <v>29</v>
      </c>
      <c r="Q35" s="16" t="s">
        <v>29</v>
      </c>
      <c r="R35" s="16" t="s">
        <v>30</v>
      </c>
      <c r="S35" s="16"/>
      <c r="T35" s="15"/>
      <c r="U35" s="16"/>
      <c r="V35" s="16" t="s">
        <v>29</v>
      </c>
      <c r="W35" s="16" t="s">
        <v>29</v>
      </c>
      <c r="X35" s="16" t="s">
        <v>30</v>
      </c>
      <c r="Y35" s="16"/>
      <c r="Z35" s="15"/>
      <c r="AA35" s="16"/>
      <c r="AB35" s="16" t="s">
        <v>29</v>
      </c>
      <c r="AC35" s="16" t="s">
        <v>29</v>
      </c>
      <c r="AD35" s="16" t="s">
        <v>30</v>
      </c>
      <c r="AE35" s="17"/>
      <c r="AF35" s="9"/>
      <c r="AG35" s="3"/>
      <c r="AH35" s="2"/>
      <c r="AI35" s="2"/>
      <c r="AJ35" s="2"/>
      <c r="AK35" s="2"/>
    </row>
    <row r="36" spans="1:37" x14ac:dyDescent="0.25">
      <c r="A36" s="14"/>
      <c r="B36" s="16"/>
      <c r="C36" s="19">
        <v>0</v>
      </c>
      <c r="D36" s="19">
        <v>4562</v>
      </c>
      <c r="E36" s="19">
        <v>3638</v>
      </c>
      <c r="F36" s="18">
        <f>1423840/8200</f>
        <v>173.63902439024389</v>
      </c>
      <c r="G36" s="16"/>
      <c r="H36" s="16"/>
      <c r="I36" s="16">
        <v>0</v>
      </c>
      <c r="J36" s="16">
        <v>6120</v>
      </c>
      <c r="K36" s="16">
        <v>31</v>
      </c>
      <c r="L36" s="18">
        <f>1788960/6151</f>
        <v>290.84051373760366</v>
      </c>
      <c r="M36" s="16"/>
      <c r="N36" s="16"/>
      <c r="O36" s="16">
        <v>0</v>
      </c>
      <c r="P36" s="16">
        <v>4944</v>
      </c>
      <c r="Q36" s="16">
        <v>182</v>
      </c>
      <c r="R36" s="18">
        <f>1698510/5126</f>
        <v>331.3519313304721</v>
      </c>
      <c r="S36" s="16"/>
      <c r="T36" s="16"/>
      <c r="U36" s="16">
        <v>0</v>
      </c>
      <c r="V36" s="16">
        <v>4270</v>
      </c>
      <c r="W36" s="16">
        <v>2907</v>
      </c>
      <c r="X36" s="18">
        <f>1325540/7177</f>
        <v>184.69276856625331</v>
      </c>
      <c r="Y36" s="16"/>
      <c r="Z36" s="16"/>
      <c r="AA36" s="16">
        <v>0</v>
      </c>
      <c r="AB36" s="16">
        <v>2048</v>
      </c>
      <c r="AC36" s="16">
        <v>3</v>
      </c>
      <c r="AD36" s="18">
        <f>817140/2051</f>
        <v>398.4105314480741</v>
      </c>
      <c r="AE36" s="17"/>
      <c r="AF36" s="9"/>
      <c r="AG36" s="3"/>
      <c r="AH36" s="2"/>
      <c r="AI36" s="2"/>
      <c r="AJ36" s="2"/>
      <c r="AK36" s="2"/>
    </row>
    <row r="37" spans="1:37" x14ac:dyDescent="0.25">
      <c r="A37" s="14"/>
      <c r="B37" s="16"/>
      <c r="C37" s="19">
        <v>1</v>
      </c>
      <c r="D37" s="19">
        <v>5160</v>
      </c>
      <c r="E37" s="19">
        <v>3040</v>
      </c>
      <c r="F37" s="18">
        <f>1397270/8200</f>
        <v>170.39878048780488</v>
      </c>
      <c r="G37" s="16"/>
      <c r="H37" s="16"/>
      <c r="I37" s="16">
        <v>1</v>
      </c>
      <c r="J37" s="16">
        <v>6056</v>
      </c>
      <c r="K37" s="16">
        <v>95</v>
      </c>
      <c r="L37" s="18">
        <f>1520630/6151</f>
        <v>247.21671272963746</v>
      </c>
      <c r="M37" s="16"/>
      <c r="N37" s="16"/>
      <c r="O37" s="16">
        <v>1</v>
      </c>
      <c r="P37" s="16">
        <v>4836</v>
      </c>
      <c r="Q37" s="16">
        <v>290</v>
      </c>
      <c r="R37" s="18">
        <f>1434980/5126</f>
        <v>279.94147483417868</v>
      </c>
      <c r="S37" s="16"/>
      <c r="T37" s="16"/>
      <c r="U37" s="16">
        <v>1</v>
      </c>
      <c r="V37" s="16">
        <v>4275</v>
      </c>
      <c r="W37" s="16">
        <v>2902</v>
      </c>
      <c r="X37" s="18">
        <f>1174270/7177</f>
        <v>163.61571687334541</v>
      </c>
      <c r="Y37" s="16"/>
      <c r="Z37" s="16"/>
      <c r="AA37" s="16">
        <v>1</v>
      </c>
      <c r="AB37" s="16">
        <v>2048</v>
      </c>
      <c r="AC37" s="16">
        <v>3</v>
      </c>
      <c r="AD37" s="18">
        <f>679260/2051</f>
        <v>331.1847879083374</v>
      </c>
      <c r="AE37" s="17"/>
      <c r="AF37" s="9"/>
      <c r="AG37" s="3"/>
      <c r="AH37" s="2"/>
      <c r="AI37" s="2"/>
      <c r="AJ37" s="2"/>
      <c r="AK37" s="2"/>
    </row>
    <row r="38" spans="1:37" x14ac:dyDescent="0.25">
      <c r="A38" s="14"/>
      <c r="B38" s="16"/>
      <c r="C38" s="19">
        <v>2</v>
      </c>
      <c r="D38" s="19">
        <v>5180</v>
      </c>
      <c r="E38" s="19">
        <v>3020</v>
      </c>
      <c r="F38" s="18">
        <f>1425560/8200</f>
        <v>173.84878048780487</v>
      </c>
      <c r="G38" s="16"/>
      <c r="H38" s="16"/>
      <c r="I38" s="16">
        <v>2</v>
      </c>
      <c r="J38" s="16">
        <v>5095</v>
      </c>
      <c r="K38" s="16">
        <v>33</v>
      </c>
      <c r="L38" s="18">
        <f>1338420/5128</f>
        <v>261.00234009360372</v>
      </c>
      <c r="M38" s="16"/>
      <c r="N38" s="16"/>
      <c r="O38" s="16">
        <v>2</v>
      </c>
      <c r="P38" s="16">
        <v>4945</v>
      </c>
      <c r="Q38" s="16">
        <v>181</v>
      </c>
      <c r="R38" s="18">
        <f>1456600/5126</f>
        <v>284.15918845103397</v>
      </c>
      <c r="S38" s="16"/>
      <c r="T38" s="16"/>
      <c r="U38" s="16">
        <v>2</v>
      </c>
      <c r="V38" s="16">
        <v>4278</v>
      </c>
      <c r="W38" s="16">
        <v>2899</v>
      </c>
      <c r="X38" s="18">
        <f>1192540/7177</f>
        <v>166.16134875296083</v>
      </c>
      <c r="Y38" s="16"/>
      <c r="Z38" s="16"/>
      <c r="AA38" s="16">
        <v>2</v>
      </c>
      <c r="AB38" s="16">
        <v>2048</v>
      </c>
      <c r="AC38" s="16">
        <v>3</v>
      </c>
      <c r="AD38" s="18">
        <f>678630/2051</f>
        <v>330.87762067284251</v>
      </c>
      <c r="AE38" s="17"/>
      <c r="AF38" s="9"/>
      <c r="AG38" s="3"/>
      <c r="AH38" s="2"/>
      <c r="AI38" s="2"/>
      <c r="AJ38" s="2"/>
      <c r="AK38" s="2"/>
    </row>
    <row r="39" spans="1:37" x14ac:dyDescent="0.25">
      <c r="A39" s="14"/>
      <c r="B39" s="16"/>
      <c r="C39" s="19">
        <v>3</v>
      </c>
      <c r="D39" s="19">
        <v>4656</v>
      </c>
      <c r="E39" s="19">
        <v>3544</v>
      </c>
      <c r="F39" s="18">
        <f>1500720/8200</f>
        <v>183.01463414634145</v>
      </c>
      <c r="G39" s="16"/>
      <c r="H39" s="16"/>
      <c r="I39" s="16">
        <v>3</v>
      </c>
      <c r="J39" s="16">
        <v>5975</v>
      </c>
      <c r="K39" s="16">
        <v>176</v>
      </c>
      <c r="L39" s="18">
        <f>1756650/6151</f>
        <v>285.58770931555847</v>
      </c>
      <c r="M39" s="16"/>
      <c r="N39" s="16"/>
      <c r="O39" s="16">
        <v>3</v>
      </c>
      <c r="P39" s="16">
        <v>4942</v>
      </c>
      <c r="Q39" s="16">
        <v>184</v>
      </c>
      <c r="R39" s="18">
        <f>1755250/5126</f>
        <v>342.42099102614122</v>
      </c>
      <c r="S39" s="16"/>
      <c r="T39" s="16"/>
      <c r="U39" s="16">
        <v>3</v>
      </c>
      <c r="V39" s="16">
        <v>4275</v>
      </c>
      <c r="W39" s="16">
        <v>2902</v>
      </c>
      <c r="X39" s="18">
        <f>1373850/7177</f>
        <v>191.42399331196879</v>
      </c>
      <c r="Y39" s="16"/>
      <c r="Z39" s="16"/>
      <c r="AA39" s="16">
        <v>3</v>
      </c>
      <c r="AB39" s="16">
        <v>2048</v>
      </c>
      <c r="AC39" s="16">
        <v>3</v>
      </c>
      <c r="AD39" s="18">
        <f>858270/2051</f>
        <v>418.46416382252562</v>
      </c>
      <c r="AE39" s="17"/>
      <c r="AF39" s="9"/>
      <c r="AG39" s="3"/>
      <c r="AH39" s="2"/>
      <c r="AI39" s="2"/>
      <c r="AJ39" s="2"/>
      <c r="AK39" s="2"/>
    </row>
    <row r="40" spans="1:37" x14ac:dyDescent="0.25">
      <c r="A40" s="14"/>
      <c r="B40" s="16"/>
      <c r="C40" s="19">
        <v>4</v>
      </c>
      <c r="D40" s="19">
        <v>4938</v>
      </c>
      <c r="E40" s="19">
        <v>3262</v>
      </c>
      <c r="F40" s="18">
        <f>1445940/8200</f>
        <v>176.33414634146342</v>
      </c>
      <c r="G40" s="16"/>
      <c r="H40" s="16"/>
      <c r="I40" s="16">
        <v>4</v>
      </c>
      <c r="J40" s="16">
        <v>5555</v>
      </c>
      <c r="K40" s="16">
        <v>596</v>
      </c>
      <c r="L40" s="18">
        <f>1512370/6151</f>
        <v>245.87384165176394</v>
      </c>
      <c r="M40" s="16"/>
      <c r="N40" s="16"/>
      <c r="O40" s="16">
        <v>4</v>
      </c>
      <c r="P40" s="16">
        <v>4837</v>
      </c>
      <c r="Q40" s="16">
        <v>289</v>
      </c>
      <c r="R40" s="18">
        <f>1522370/5126</f>
        <v>296.98985563792428</v>
      </c>
      <c r="S40" s="16"/>
      <c r="T40" s="16"/>
      <c r="U40" s="16">
        <v>4</v>
      </c>
      <c r="V40" s="16">
        <v>4006</v>
      </c>
      <c r="W40" s="16">
        <v>3171</v>
      </c>
      <c r="X40" s="18">
        <f>1192690/7177</f>
        <v>166.18224885049463</v>
      </c>
      <c r="Y40" s="16"/>
      <c r="Z40" s="16"/>
      <c r="AA40" s="16">
        <v>4</v>
      </c>
      <c r="AB40" s="16">
        <v>2048</v>
      </c>
      <c r="AC40" s="16">
        <v>3</v>
      </c>
      <c r="AD40" s="18">
        <f>752110/2051</f>
        <v>366.70404680643588</v>
      </c>
      <c r="AE40" s="17"/>
      <c r="AF40" s="9"/>
      <c r="AG40" s="3"/>
      <c r="AH40" s="2"/>
      <c r="AI40" s="2"/>
      <c r="AJ40" s="2"/>
      <c r="AK40" s="2"/>
    </row>
    <row r="41" spans="1:37" x14ac:dyDescent="0.25">
      <c r="A41" s="14"/>
      <c r="B41" s="16"/>
      <c r="C41" s="19">
        <v>5</v>
      </c>
      <c r="D41" s="19">
        <v>4128</v>
      </c>
      <c r="E41" s="19">
        <v>4072</v>
      </c>
      <c r="F41" s="18">
        <f>1308580/8200</f>
        <v>159.5829268292683</v>
      </c>
      <c r="G41" s="16"/>
      <c r="H41" s="16"/>
      <c r="I41" s="16">
        <v>5</v>
      </c>
      <c r="J41" s="16">
        <v>4891</v>
      </c>
      <c r="K41" s="16">
        <v>1260</v>
      </c>
      <c r="L41" s="18">
        <f>1337820/6151</f>
        <v>217.49634205820192</v>
      </c>
      <c r="M41" s="16"/>
      <c r="N41" s="16"/>
      <c r="O41" s="16">
        <v>5</v>
      </c>
      <c r="P41" s="16">
        <v>4022</v>
      </c>
      <c r="Q41" s="16">
        <v>1104</v>
      </c>
      <c r="R41" s="18">
        <f>1418620/5126</f>
        <v>276.74990245805697</v>
      </c>
      <c r="S41" s="16"/>
      <c r="T41" s="16"/>
      <c r="U41" s="16">
        <v>5</v>
      </c>
      <c r="V41" s="16">
        <v>3258</v>
      </c>
      <c r="W41" s="16">
        <v>3919</v>
      </c>
      <c r="X41" s="18">
        <f>1065070/7177</f>
        <v>148.4004458687474</v>
      </c>
      <c r="Y41" s="16"/>
      <c r="Z41" s="16"/>
      <c r="AA41" s="16">
        <v>5</v>
      </c>
      <c r="AB41" s="16">
        <v>2048</v>
      </c>
      <c r="AC41" s="16">
        <v>3</v>
      </c>
      <c r="AD41" s="18">
        <f>741810/2051</f>
        <v>361.68210628961481</v>
      </c>
      <c r="AE41" s="17"/>
      <c r="AF41" s="9"/>
      <c r="AG41" s="3"/>
      <c r="AH41" s="2"/>
      <c r="AI41" s="2"/>
      <c r="AJ41" s="2"/>
      <c r="AK41" s="2"/>
    </row>
    <row r="42" spans="1:37" x14ac:dyDescent="0.25">
      <c r="A42" s="14"/>
      <c r="B42" s="16"/>
      <c r="C42" s="19">
        <v>6</v>
      </c>
      <c r="D42" s="19">
        <v>5181</v>
      </c>
      <c r="E42" s="19">
        <v>3019</v>
      </c>
      <c r="F42" s="18">
        <f>1682750/8200</f>
        <v>205.21341463414635</v>
      </c>
      <c r="G42" s="16"/>
      <c r="H42" s="16"/>
      <c r="I42" s="16">
        <v>6</v>
      </c>
      <c r="J42" s="16">
        <v>6125</v>
      </c>
      <c r="K42" s="16">
        <v>26</v>
      </c>
      <c r="L42" s="18">
        <f>1881740/6151</f>
        <v>305.92423996098194</v>
      </c>
      <c r="M42" s="16"/>
      <c r="N42" s="16"/>
      <c r="O42" s="16">
        <v>6</v>
      </c>
      <c r="P42" s="16">
        <v>4945</v>
      </c>
      <c r="Q42" s="16">
        <v>181</v>
      </c>
      <c r="R42" s="18">
        <f>1834480/5126</f>
        <v>357.87748731954741</v>
      </c>
      <c r="S42" s="16"/>
      <c r="T42" s="16"/>
      <c r="U42" s="16">
        <v>6</v>
      </c>
      <c r="V42" s="16">
        <v>4277</v>
      </c>
      <c r="W42" s="16">
        <v>2900</v>
      </c>
      <c r="X42" s="18">
        <f>1434130/7177</f>
        <v>199.82304584088058</v>
      </c>
      <c r="Y42" s="16"/>
      <c r="Z42" s="16"/>
      <c r="AA42" s="16">
        <v>6</v>
      </c>
      <c r="AB42" s="16">
        <v>2048</v>
      </c>
      <c r="AC42" s="16">
        <v>3</v>
      </c>
      <c r="AD42" s="18">
        <f>912620/2051</f>
        <v>444.96343247196489</v>
      </c>
      <c r="AE42" s="17"/>
      <c r="AK42" s="2"/>
    </row>
    <row r="43" spans="1:37" x14ac:dyDescent="0.25">
      <c r="A43" s="14"/>
      <c r="B43" s="16"/>
      <c r="C43" s="19"/>
      <c r="D43" s="19"/>
      <c r="E43" s="22" t="s">
        <v>21</v>
      </c>
      <c r="F43" s="15" t="s">
        <v>24</v>
      </c>
      <c r="G43" s="16"/>
      <c r="H43" s="16"/>
      <c r="I43" s="16"/>
      <c r="J43" s="16"/>
      <c r="K43" s="22" t="s">
        <v>21</v>
      </c>
      <c r="L43" s="15" t="s">
        <v>24</v>
      </c>
      <c r="M43" s="16"/>
      <c r="N43" s="16"/>
      <c r="O43" s="16"/>
      <c r="P43" s="16"/>
      <c r="Q43" s="22" t="s">
        <v>21</v>
      </c>
      <c r="R43" s="15" t="s">
        <v>24</v>
      </c>
      <c r="S43" s="16"/>
      <c r="T43" s="16"/>
      <c r="U43" s="16"/>
      <c r="V43" s="16"/>
      <c r="W43" s="22" t="s">
        <v>21</v>
      </c>
      <c r="X43" s="15" t="s">
        <v>24</v>
      </c>
      <c r="Y43" s="16"/>
      <c r="Z43" s="16"/>
      <c r="AA43" s="16"/>
      <c r="AB43" s="19"/>
      <c r="AC43" s="22" t="s">
        <v>21</v>
      </c>
      <c r="AD43" s="15" t="s">
        <v>24</v>
      </c>
      <c r="AE43" s="21"/>
      <c r="AK43" s="2"/>
    </row>
    <row r="44" spans="1:37" x14ac:dyDescent="0.25">
      <c r="A44" s="14"/>
      <c r="B44" s="16"/>
      <c r="C44" s="19"/>
      <c r="D44" s="16"/>
      <c r="E44" s="29">
        <f>SUM(D36:D42)/SUM(D36:E42)*100</f>
        <v>58.893728222996508</v>
      </c>
      <c r="F44" s="29">
        <f>SUM(F36:F42)/7</f>
        <v>177.43310104529616</v>
      </c>
      <c r="G44" s="30"/>
      <c r="H44" s="30"/>
      <c r="I44" s="30"/>
      <c r="J44" s="30"/>
      <c r="K44" s="31">
        <f>SUM(J36:J42)/SUM(J36:K42)*100</f>
        <v>94.725698244278448</v>
      </c>
      <c r="L44" s="31">
        <f>SUM(L36:L42)/7</f>
        <v>264.84881422105019</v>
      </c>
      <c r="M44" s="41"/>
      <c r="N44" s="41"/>
      <c r="O44" s="41"/>
      <c r="P44" s="41"/>
      <c r="Q44" s="31">
        <f>SUM(P36:P42)/SUM(P36:Q42)*100</f>
        <v>93.280753581182765</v>
      </c>
      <c r="R44" s="31">
        <f>SUM(R36:R42)/7</f>
        <v>309.92726157962215</v>
      </c>
      <c r="S44" s="32"/>
      <c r="T44" s="32"/>
      <c r="U44" s="32"/>
      <c r="V44" s="32"/>
      <c r="W44" s="29">
        <f>SUM(V36:V42)/SUM(V36:W42)*100</f>
        <v>57.005513644777963</v>
      </c>
      <c r="X44" s="29">
        <f>SUM(X36:X42)/7</f>
        <v>174.32850972352156</v>
      </c>
      <c r="Y44" s="32"/>
      <c r="Z44" s="32"/>
      <c r="AA44" s="32"/>
      <c r="AB44" s="32"/>
      <c r="AC44" s="31">
        <f>SUM(AB36:AB42)/SUM(AB36:AC42)*100</f>
        <v>99.853729887859572</v>
      </c>
      <c r="AD44" s="31">
        <f>SUM(AD36:AD42)/7</f>
        <v>378.89809848854219</v>
      </c>
      <c r="AE44" s="17"/>
      <c r="AK44" s="2"/>
    </row>
    <row r="45" spans="1:37" x14ac:dyDescent="0.25">
      <c r="A45" s="14"/>
      <c r="B45" s="16"/>
      <c r="C45" s="19"/>
      <c r="D45" s="16"/>
      <c r="E45" s="33"/>
      <c r="F45" s="33"/>
      <c r="G45" s="30"/>
      <c r="H45" s="30"/>
      <c r="I45" s="30"/>
      <c r="J45" s="30"/>
      <c r="K45" s="34"/>
      <c r="L45" s="34"/>
      <c r="M45" s="30"/>
      <c r="N45" s="30"/>
      <c r="O45" s="30"/>
      <c r="P45" s="30"/>
      <c r="Q45" s="34"/>
      <c r="R45" s="34"/>
      <c r="S45" s="35"/>
      <c r="T45" s="35"/>
      <c r="U45" s="35"/>
      <c r="V45" s="35"/>
      <c r="W45" s="33"/>
      <c r="X45" s="33"/>
      <c r="Y45" s="35"/>
      <c r="Z45" s="35"/>
      <c r="AA45" s="35"/>
      <c r="AB45" s="35"/>
      <c r="AC45" s="34"/>
      <c r="AD45" s="34"/>
      <c r="AE45" s="17"/>
      <c r="AF45" s="10"/>
      <c r="AG45" s="7"/>
      <c r="AH45" s="2"/>
      <c r="AI45" s="2"/>
      <c r="AJ45" s="7"/>
      <c r="AK45" s="2"/>
    </row>
    <row r="46" spans="1:37" x14ac:dyDescent="0.25">
      <c r="A46" s="14"/>
      <c r="B46" s="16"/>
      <c r="C46" s="19"/>
      <c r="D46" s="16"/>
      <c r="E46" s="33"/>
      <c r="F46" s="33"/>
      <c r="G46" s="30"/>
      <c r="H46" s="30"/>
      <c r="I46" s="30"/>
      <c r="J46" s="30"/>
      <c r="K46" s="34"/>
      <c r="L46" s="34"/>
      <c r="M46" s="30"/>
      <c r="N46" s="30"/>
      <c r="O46" s="30"/>
      <c r="P46" s="30"/>
      <c r="Q46" s="34"/>
      <c r="R46" s="34"/>
      <c r="S46" s="35"/>
      <c r="T46" s="35"/>
      <c r="U46" s="35"/>
      <c r="V46" s="35"/>
      <c r="W46" s="33"/>
      <c r="X46" s="33"/>
      <c r="Y46" s="35"/>
      <c r="Z46" s="35"/>
      <c r="AA46" s="42" t="s">
        <v>26</v>
      </c>
      <c r="AB46" s="15"/>
      <c r="AC46" s="16"/>
      <c r="AD46" s="16"/>
      <c r="AE46" s="17"/>
      <c r="AF46" s="10"/>
      <c r="AG46" s="7"/>
      <c r="AH46" s="2"/>
      <c r="AI46" s="2"/>
      <c r="AJ46" s="7"/>
      <c r="AK46" s="2"/>
    </row>
    <row r="47" spans="1:37" x14ac:dyDescent="0.25">
      <c r="A47" s="14"/>
      <c r="B47" s="16"/>
      <c r="C47" s="36"/>
      <c r="D47" s="19"/>
      <c r="E47" s="19"/>
      <c r="F47" s="19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43" t="s">
        <v>27</v>
      </c>
      <c r="AB47" s="36"/>
      <c r="AC47" s="15" t="s">
        <v>24</v>
      </c>
      <c r="AD47" s="16"/>
      <c r="AE47" s="17"/>
      <c r="AF47" s="2"/>
      <c r="AG47" s="2"/>
      <c r="AH47" s="2"/>
      <c r="AI47" s="2"/>
      <c r="AJ47" s="2"/>
      <c r="AK47" s="2"/>
    </row>
    <row r="48" spans="1:37" x14ac:dyDescent="0.25">
      <c r="A48" s="23"/>
      <c r="B48" s="24"/>
      <c r="C48" s="39"/>
      <c r="D48" s="37"/>
      <c r="E48" s="37"/>
      <c r="F48" s="37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44">
        <f>AVERAGE(Q44,K44,AC44)</f>
        <v>95.953393904440262</v>
      </c>
      <c r="AB48" s="39"/>
      <c r="AC48" s="47">
        <f>AVERAGE(L44,R44,AD44)</f>
        <v>317.89139142973818</v>
      </c>
      <c r="AD48" s="24"/>
      <c r="AE48" s="45" t="s">
        <v>31</v>
      </c>
      <c r="AF48" s="2"/>
      <c r="AG48" s="2"/>
      <c r="AH48" s="2"/>
      <c r="AI48" s="2"/>
      <c r="AJ48" s="2"/>
      <c r="AK48" s="2"/>
    </row>
    <row r="49" spans="1:37" x14ac:dyDescent="0.25">
      <c r="A49" s="2"/>
      <c r="B49" s="2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37" x14ac:dyDescent="0.25">
      <c r="A50" s="2"/>
      <c r="B50" s="2"/>
      <c r="C50" s="5" t="s">
        <v>25</v>
      </c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 x14ac:dyDescent="0.25">
      <c r="C51" s="7" t="s">
        <v>28</v>
      </c>
      <c r="D51" s="1"/>
      <c r="E51" s="1"/>
      <c r="F51" s="1"/>
    </row>
  </sheetData>
  <pageMargins left="0.25" right="0.25" top="0.75" bottom="0.75" header="0.3" footer="0.3"/>
  <pageSetup paperSize="9"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 Hang Cheung</dc:creator>
  <cp:lastModifiedBy>Lok Hang Cheung</cp:lastModifiedBy>
  <cp:lastPrinted>2020-05-01T10:58:48Z</cp:lastPrinted>
  <dcterms:created xsi:type="dcterms:W3CDTF">2020-05-01T06:57:38Z</dcterms:created>
  <dcterms:modified xsi:type="dcterms:W3CDTF">2020-05-01T10:59:47Z</dcterms:modified>
</cp:coreProperties>
</file>