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<sst xmlns="http://schemas.openxmlformats.org/spreadsheetml/2006/main" count="408" uniqueCount="303">
  <si>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</si>
  <si>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</si>
  <si>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</si>
  <si>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</si>
  <si>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</si>
  <si>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</si>
  <si>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</si>
  <si>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</si>
  <si>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</si>
  <si>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</si>
  <si>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</si>
  <si>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</si>
  <si>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</si>
  <si>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</si>
  <si>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</si>
  <si>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</si>
  <si>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</si>
  <si>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</si>
  <si>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</si>
  <si>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</si>
  <si>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Caldris</t>
  </si>
  <si>
    <t>Starting Item</t>
  </si>
  <si>
    <t>Frozen Emberling</t>
  </si>
  <si>
    <t>Speed</t>
  </si>
  <si>
    <t>Subclass Name</t>
  </si>
  <si>
    <t>Thermomancer</t>
  </si>
  <si>
    <t>Card 1</t>
  </si>
  <si>
    <t>Frostbolt</t>
  </si>
  <si>
    <t>HP</t>
  </si>
  <si>
    <t>Primary Class</t>
  </si>
  <si>
    <t>Mage</t>
  </si>
  <si>
    <t>Card 2</t>
  </si>
  <si>
    <t>Flare</t>
  </si>
  <si>
    <t>HP gained per level</t>
  </si>
  <si>
    <t>[0,5,5,5,5]</t>
  </si>
  <si>
    <t>Secondary Class</t>
  </si>
  <si>
    <t>None</t>
  </si>
  <si>
    <t>Card 3</t>
  </si>
  <si>
    <t>Frostfire Bolt</t>
  </si>
  <si>
    <t>Slashing Resistance</t>
  </si>
  <si>
    <t>Female</t>
  </si>
  <si>
    <t>Card 4</t>
  </si>
  <si>
    <t>Elemental Ward</t>
  </si>
  <si>
    <t>Piercing Resistance</t>
  </si>
  <si>
    <t>Description</t>
  </si>
  <si>
    <t>Once an apprentice torn between two feuding archmages — one of flame, one of frost — Caldris refused to choose a side.\nInstead, she mastered both elements, discovering that rapid shifts in temperature could wreak havoc on body and mind.\n\nHer mastery of fire and ice allows her to scorch foes while freezing them in place, creating deadly openings for her allies.\nOn the battlefield, the air around her crackles with heat and frost, leaving enemies battered by flames and chilled to the bone.</t>
  </si>
  <si>
    <t>Card 5</t>
  </si>
  <si>
    <t>Scroll of Intellect</t>
  </si>
  <si>
    <t>Blunt Resistance</t>
  </si>
  <si>
    <t>Strengths</t>
  </si>
  <si>
    <t>Hybrid mage who manipulates both fire and ice, specializing in combining Burn and Chill for devastating bursts.</t>
  </si>
  <si>
    <t>Card 6</t>
  </si>
  <si>
    <t>Cold Snap</t>
  </si>
  <si>
    <t>Fire Resistance</t>
  </si>
  <si>
    <t>HitSound</t>
  </si>
  <si>
    <t>Card 7</t>
  </si>
  <si>
    <t>Thermal Pulse</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</si>
  <si>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</si>
  <si>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</si>
  <si>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</si>
  <si>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</si>
  <si>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</si>
  <si>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</si>
  <si>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</si>
  <si>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</si>
  <si>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</si>
  <si>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</si>
  <si>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</si>
  <si>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</si>
  <si>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</si>
  <si>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</si>
  <si>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</si>
  <si>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</si>
  <si>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</si>
  <si>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Thermal Equilibrium</t>
  </si>
  <si>
    <t>At the start of your turn, if an enemy has Burn, apply Chill 2 to them. If an enemy has Chill, apply Burn 2 to them.</t>
  </si>
  <si>
    <t>BeginTurnAboutToDealCards</t>
  </si>
  <si>
    <t>trait0</t>
  </si>
  <si>
    <t>Level 2a Trait (Left Hand Side)</t>
  </si>
  <si>
    <t>Searing Frost</t>
  </si>
  <si>
    <t>trait1a</t>
  </si>
  <si>
    <t>Level 2b Trait (Right Hand Side)</t>
  </si>
  <si>
    <t>Frostkindle</t>
  </si>
  <si>
    <t>trait1b</t>
  </si>
  <si>
    <t>Level 3a Trait (Left Hand Side)</t>
  </si>
  <si>
    <t>Blistering Cold</t>
  </si>
  <si>
    <t>Whenever you apply Chill, deal 2 Fire damage to the target.</t>
  </si>
  <si>
    <t>AuraCurseSet</t>
  </si>
  <si>
    <t>trait2a</t>
  </si>
  <si>
    <t>Level 3b Trait (Right Hand Side)</t>
  </si>
  <si>
    <t>Scorchfreeze</t>
  </si>
  <si>
    <t>Whenever you apply Burn, deal 2 Cold damage to the target.</t>
  </si>
  <si>
    <t>trait2b</t>
  </si>
  <si>
    <t>Level 4a Trait (Left Hand Side)</t>
  </si>
  <si>
    <t>Thermal Shock</t>
  </si>
  <si>
    <t>trait3a</t>
  </si>
  <si>
    <t>Level 4b Trait (Right Hand Side)</t>
  </si>
  <si>
    <t>Glacial Pyre</t>
  </si>
  <si>
    <t>trait3b</t>
  </si>
  <si>
    <t>Level 5a Trait (Left Hand Side)</t>
  </si>
  <si>
    <t>Thermal Expansion</t>
  </si>
  <si>
    <t>Burn +3, Chill +3</t>
  </si>
  <si>
    <t>trait4a</t>
  </si>
  <si>
    <t>Level 5b Trait (Right Hand Side)</t>
  </si>
  <si>
    <t>Frozen Inferno</t>
  </si>
  <si>
    <t>Fire Damage done +40%, Cold Damage done +40%. Speed -2.</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</si>
  <si>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</si>
  <si>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</si>
  <si>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</si>
  <si>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</si>
  <si>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</si>
  <si>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</si>
  <si>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</si>
  <si>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</si>
  <si>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</si>
  <si>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</si>
  <si>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</si>
  <si>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sectarianfemale</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</si>
  <si>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</si>
  <si>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</si>
  <si>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</si>
  <si>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</si>
  <si>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</si>
  <si>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</si>
  <si>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</si>
  <si>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</si>
  <si>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</si>
  <si>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</si>
  <si>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</si>
  <si>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</si>
  <si>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</si>
  <si>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</si>
  <si>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</si>
  <si>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</si>
  <si>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</si>
  <si>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</si>
  <si>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</si>
  <si>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</si>
  <si>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</si>
  <si>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</si>
  <si>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</si>
  <si>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</si>
  <si>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</si>
  <si>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</si>
  <si>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</si>
  <si>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</si>
  <si>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</si>
  <si>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</si>
  <si>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</si>
  <si>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</si>
  <si>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</si>
  <si>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</si>
  <si>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</si>
  <si>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</si>
  <si>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</si>
  <si>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</si>
  <si>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</si>
  <si>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</si>
  <si>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</si>
  <si>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</si>
  <si>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</si>
  <si>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</si>
  <si>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</si>
  <si>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inferno</t>
  </si>
  <si>
    <t>axman</t>
  </si>
  <si>
    <t>bowman</t>
  </si>
  <si>
    <t>cryomancer</t>
  </si>
  <si>
    <t>devotee</t>
  </si>
  <si>
    <t>Card1</t>
  </si>
  <si>
    <t>ChallengePack1</t>
  </si>
  <si>
    <t>glacier</t>
  </si>
  <si>
    <t>brawler</t>
  </si>
  <si>
    <t>fencer</t>
  </si>
  <si>
    <t>enchanter</t>
  </si>
  <si>
    <t>friar</t>
  </si>
  <si>
    <t>Card2</t>
  </si>
  <si>
    <t>ChallengePack2</t>
  </si>
  <si>
    <t>commander</t>
  </si>
  <si>
    <t>gunner</t>
  </si>
  <si>
    <t>healer</t>
  </si>
  <si>
    <t>Card3</t>
  </si>
  <si>
    <t>ChallengePack3</t>
  </si>
  <si>
    <t>sorcerer</t>
  </si>
  <si>
    <t>defender</t>
  </si>
  <si>
    <t>hunter</t>
  </si>
  <si>
    <t>heretic</t>
  </si>
  <si>
    <t>Card4</t>
  </si>
  <si>
    <t>ChallengePack4</t>
  </si>
  <si>
    <t>tempest</t>
  </si>
  <si>
    <t>destroyer</t>
  </si>
  <si>
    <t>ninja</t>
  </si>
  <si>
    <t>scribe</t>
  </si>
  <si>
    <t>justicar</t>
  </si>
  <si>
    <t>ChallengePack5</t>
  </si>
  <si>
    <t>wizard</t>
  </si>
  <si>
    <t>fallen</t>
  </si>
  <si>
    <t>plague</t>
  </si>
  <si>
    <t>shadowmancer</t>
  </si>
  <si>
    <t>mentalist</t>
  </si>
  <si>
    <t>ChallengePack6</t>
  </si>
  <si>
    <t>gladiator</t>
  </si>
  <si>
    <t>poisoner</t>
  </si>
  <si>
    <t>paladin</t>
  </si>
  <si>
    <t>guardian</t>
  </si>
  <si>
    <t>reaver</t>
  </si>
  <si>
    <t>protector</t>
  </si>
  <si>
    <t>marauder</t>
  </si>
  <si>
    <t>rogue</t>
  </si>
  <si>
    <t>witch</t>
  </si>
  <si>
    <t>saint</t>
  </si>
  <si>
    <t>swordman</t>
  </si>
  <si>
    <t>scoundrel</t>
  </si>
  <si>
    <t>seer</t>
  </si>
  <si>
    <t>warlord</t>
  </si>
  <si>
    <t>skald</t>
  </si>
  <si>
    <t>shaman</t>
  </si>
  <si>
    <t>zealot</t>
  </si>
  <si>
    <t>Card Strings</t>
  </si>
  <si>
    <t>Card Id</t>
  </si>
  <si>
    <t>"</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</si>
  <si>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</si>
  <si>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</si>
  <si>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</si>
  <si>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</si>
  <si>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</si>
  <si>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</si>
  <si>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</si>
  <si>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</si>
  <si>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</si>
  <si>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</si>
  <si>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</si>
  <si>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</si>
  <si>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</si>
  <si>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</si>
  <si>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</si>
  <si>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</si>
  <si>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</si>
  <si>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</si>
  <si>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</si>
  <si>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</si>
  <si>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</si>
  <si>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</si>
  <si>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</si>
  <si>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</si>
  <si>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</si>
  <si>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</si>
  <si>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</si>
  <si>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</si>
  <si>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</si>
  <si>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</si>
  <si>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</si>
  <si>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</si>
  <si>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</si>
  <si>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</si>
  <si>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</si>
  <si>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</si>
  <si>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</si>
  <si>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</si>
  <si>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</si>
  <si>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</si>
  <si>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</si>
  <si>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</si>
  <si>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</si>
  <si>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</si>
  <si>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</si>
  <si>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</si>
  <si>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</si>
  <si>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</si>
  <si>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</si>
  <si>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</si>
  <si>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</si>
  <si>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</si>
  <si>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</si>
  <si>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</si>
  <si>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</si>
  <si>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</si>
  <si>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</si>
  <si>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</si>
  <si>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</si>
  <si>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</si>
  <si>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</si>
  <si>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</si>
  <si>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</si>
  <si>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</si>
  <si>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</si>
  <si>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</si>
  <si>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</si>
  <si>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</si>
  <si>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</si>
  <si>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</si>
  <si>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</si>
  <si>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thermomancertrait1a</t>
  </si>
  <si>
    <t>thermomancersearingfrost</t>
  </si>
  <si>
    <t>thermomancertrait1b</t>
  </si>
  <si>
    <t>thermomancerfrostkindle</t>
  </si>
  <si>
    <t>thermomancertrait2a</t>
  </si>
  <si>
    <t>thermomancertrait2b</t>
  </si>
  <si>
    <t>thermomancertrait3a</t>
  </si>
  <si>
    <t>thermomancerthermalshock</t>
  </si>
  <si>
    <t>thermomancertrait3b</t>
  </si>
  <si>
    <t>thermomancerglacialpyre</t>
  </si>
  <si>
    <t>thermomancertrait4a</t>
  </si>
  <si>
    <t>thermomancertrait4b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</si>
</sst>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0">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2" fontId="3" numFmtId="0" xfId="0" applyAlignment="1" applyBorder="1" applyFont="1">
      <alignment shrinkToFit="0" vertical="center" wrapText="0"/>
    </xf>
    <xf borderId="14" fillId="5" fontId="5" numFmtId="0" xfId="0" applyAlignment="1" applyBorder="1" applyFont="1">
      <alignment shrinkToFit="0" vertical="center" wrapText="0"/>
    </xf>
    <xf borderId="15" fillId="0" fontId="3" numFmtId="0" xfId="0" applyAlignment="1" applyBorder="1" applyFont="1">
      <alignment shrinkToFit="0" vertical="center" wrapText="0"/>
    </xf>
    <xf borderId="16"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7" fillId="2" fontId="5" numFmtId="0" xfId="0" applyAlignment="1" applyBorder="1" applyFont="1">
      <alignment readingOrder="0" shrinkToFit="0" vertical="center" wrapText="0"/>
    </xf>
    <xf borderId="18"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19" fillId="0" fontId="5" numFmtId="0" xfId="0" applyAlignment="1" applyBorder="1" applyFont="1">
      <alignment shrinkToFit="0" vertical="center" wrapText="0"/>
    </xf>
    <xf borderId="20" fillId="0" fontId="3" numFmtId="0" xfId="0" applyAlignment="1" applyBorder="1" applyFont="1">
      <alignment shrinkToFit="0" vertical="center" wrapText="0"/>
    </xf>
    <xf borderId="21" fillId="0" fontId="5" numFmtId="0" xfId="0" applyAlignment="1" applyBorder="1" applyFont="1">
      <alignment shrinkToFit="0" vertical="center" wrapText="0"/>
    </xf>
    <xf borderId="22" fillId="0" fontId="13" numFmtId="0" xfId="0" applyAlignment="1" applyBorder="1" applyFont="1">
      <alignment readingOrder="0" shrinkToFit="0" vertical="center" wrapText="1"/>
    </xf>
    <xf borderId="22"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2" fillId="0" fontId="3" numFmtId="0" xfId="0" applyAlignment="1" applyBorder="1" applyFont="1">
      <alignment shrinkToFit="0" vertical="center" wrapText="0"/>
    </xf>
    <xf borderId="24"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8" fillId="6" fontId="3" numFmtId="0" xfId="0" applyAlignment="1" applyBorder="1" applyFont="1">
      <alignment readingOrder="0" shrinkToFit="0" vertical="center" wrapText="0"/>
    </xf>
    <xf borderId="25"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8"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26" fillId="3" fontId="5" numFmtId="0" xfId="0" applyAlignment="1" applyBorder="1" applyFont="1">
      <alignment readingOrder="0" shrinkToFit="0" vertical="center" wrapText="0"/>
    </xf>
    <xf borderId="14" fillId="5" fontId="3" numFmtId="0" xfId="0" applyAlignment="1" applyBorder="1" applyFont="1">
      <alignment readingOrder="0" shrinkToFit="0" vertical="center" wrapText="0"/>
    </xf>
    <xf borderId="25" fillId="2" fontId="3" numFmtId="0" xfId="0" applyAlignment="1" applyBorder="1" applyFont="1">
      <alignment shrinkToFit="0" vertical="center" wrapText="0"/>
    </xf>
    <xf borderId="27"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7"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8" fillId="5" fontId="3" numFmtId="0" xfId="0" applyAlignment="1" applyBorder="1" applyFont="1">
      <alignment readingOrder="0" shrinkToFit="0" vertical="center" wrapText="0"/>
    </xf>
    <xf borderId="29"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thermomancerfrozenemberling</v>
      </c>
      <c r="H3" s="28"/>
      <c r="I3" s="14"/>
      <c r="J3" s="24" t="s">
        <v>23</v>
      </c>
      <c r="K3" s="23">
        <v>11.0</v>
      </c>
    </row>
    <row r="4">
      <c r="A4" s="22" t="s">
        <v>24</v>
      </c>
      <c r="B4" s="23" t="s">
        <v>25</v>
      </c>
      <c r="D4" s="24" t="s">
        <v>26</v>
      </c>
      <c r="E4" s="25" t="s">
        <v>27</v>
      </c>
      <c r="F4" s="25">
        <v>3.0</v>
      </c>
      <c r="G4" s="27" t="str">
        <f t="shared" ref="G4:G9" si="1">lower(Substitute(SUBSTITUTE(E4," ",""),"'",""))</f>
        <v>frostbolt</v>
      </c>
      <c r="H4" s="29" t="str">
        <f t="shared" ref="H4:H10" si="2">CONCATENATE($H$13,F4,$H$14,G4,$H$15)</f>
        <v>"{\n    \"UnitsInDeck\": 3,\n    \"Card\": \"frostbolt\"\n}"</v>
      </c>
      <c r="I4" s="14"/>
      <c r="J4" s="24" t="s">
        <v>28</v>
      </c>
      <c r="K4" s="23">
        <v>60.0</v>
      </c>
    </row>
    <row r="5">
      <c r="A5" s="22" t="s">
        <v>29</v>
      </c>
      <c r="B5" s="30" t="s">
        <v>30</v>
      </c>
      <c r="D5" s="24" t="s">
        <v>31</v>
      </c>
      <c r="E5" s="25" t="s">
        <v>32</v>
      </c>
      <c r="F5" s="25">
        <v>3.0</v>
      </c>
      <c r="G5" s="27" t="str">
        <f t="shared" si="1"/>
        <v>flare</v>
      </c>
      <c r="H5" s="29" t="str">
        <f t="shared" si="2"/>
        <v>"{\n    \"UnitsInDeck\": 3,\n    \"Card\": \"flare\"\n}"</v>
      </c>
      <c r="I5" s="14"/>
      <c r="J5" s="24" t="s">
        <v>33</v>
      </c>
      <c r="K5" s="23" t="s">
        <v>34</v>
      </c>
    </row>
    <row r="6">
      <c r="A6" s="22" t="s">
        <v>35</v>
      </c>
      <c r="B6" s="31" t="s">
        <v>36</v>
      </c>
      <c r="D6" s="24" t="s">
        <v>37</v>
      </c>
      <c r="E6" s="25" t="s">
        <v>38</v>
      </c>
      <c r="F6" s="25">
        <v>3.0</v>
      </c>
      <c r="G6" s="27" t="str">
        <f t="shared" si="1"/>
        <v>frostfirebolt</v>
      </c>
      <c r="H6" s="29" t="str">
        <f t="shared" si="2"/>
        <v>"{\n    \"UnitsInDeck\": 3,\n    \"Card\": \"frostfirebolt\"\n}"</v>
      </c>
      <c r="I6" s="14"/>
      <c r="J6" s="24" t="s">
        <v>39</v>
      </c>
      <c r="K6" s="23">
        <v>0.0</v>
      </c>
      <c r="M6" s="32" t="str">
        <f>HpLevel</f>
        <v>[0,5,5,5,5]</v>
      </c>
      <c r="N6" s="32" t="str">
        <f>if(left(M6,1)="[",M6,CONCATENATE("[",M6))</f>
        <v>[0,5,5,5,5]</v>
      </c>
      <c r="O6" s="32" t="str">
        <f>if(right(N6,1)="]",N6,CONCATENATE(N6,"]"))</f>
        <v>[0,5,5,5,5]</v>
      </c>
    </row>
    <row r="7">
      <c r="A7" s="22" t="s">
        <v>40</v>
      </c>
      <c r="B7" s="30" t="b">
        <v>1</v>
      </c>
      <c r="D7" s="24" t="s">
        <v>41</v>
      </c>
      <c r="E7" s="25" t="s">
        <v>42</v>
      </c>
      <c r="F7" s="25">
        <v>2.0</v>
      </c>
      <c r="G7" s="27" t="str">
        <f t="shared" si="1"/>
        <v>elementalward</v>
      </c>
      <c r="H7" s="29" t="str">
        <f t="shared" si="2"/>
        <v>"{\n    \"UnitsInDeck\": 2,\n    \"Card\": \"elementalward\"\n}"</v>
      </c>
      <c r="I7" s="14"/>
      <c r="J7" s="24" t="s">
        <v>43</v>
      </c>
      <c r="K7" s="23">
        <v>0.0</v>
      </c>
    </row>
    <row r="8">
      <c r="A8" s="22" t="s">
        <v>44</v>
      </c>
      <c r="B8" s="23" t="s">
        <v>45</v>
      </c>
      <c r="D8" s="24" t="s">
        <v>46</v>
      </c>
      <c r="E8" s="25" t="s">
        <v>47</v>
      </c>
      <c r="F8" s="25">
        <v>2.0</v>
      </c>
      <c r="G8" s="27" t="str">
        <f t="shared" si="1"/>
        <v>scrollofintellect</v>
      </c>
      <c r="H8" s="29" t="str">
        <f t="shared" si="2"/>
        <v>"{\n    \"UnitsInDeck\": 2,\n    \"Card\": \"scrollofintellect\"\n}"</v>
      </c>
      <c r="I8" s="14"/>
      <c r="J8" s="24" t="s">
        <v>48</v>
      </c>
      <c r="K8" s="23">
        <v>0.0</v>
      </c>
    </row>
    <row r="9">
      <c r="A9" s="22" t="s">
        <v>49</v>
      </c>
      <c r="B9" s="23" t="s">
        <v>50</v>
      </c>
      <c r="D9" s="24" t="s">
        <v>51</v>
      </c>
      <c r="E9" s="25" t="s">
        <v>52</v>
      </c>
      <c r="F9" s="25">
        <v>1.0</v>
      </c>
      <c r="G9" s="27" t="str">
        <f t="shared" si="1"/>
        <v>coldsnap</v>
      </c>
      <c r="H9" s="29" t="str">
        <f t="shared" si="2"/>
        <v>"{\n    \"UnitsInDeck\": 1,\n    \"Card\": \"coldsnap\"\n}"</v>
      </c>
      <c r="I9" s="14"/>
      <c r="J9" s="24" t="s">
        <v>53</v>
      </c>
      <c r="K9" s="23">
        <v>25.0</v>
      </c>
    </row>
    <row r="10">
      <c r="A10" s="33" t="s">
        <v>54</v>
      </c>
      <c r="B10" s="34"/>
      <c r="D10" s="24" t="s">
        <v>55</v>
      </c>
      <c r="E10" s="25" t="s">
        <v>56</v>
      </c>
      <c r="F10" s="25">
        <v>1.0</v>
      </c>
      <c r="G10" s="27" t="str">
        <f>concat(SubclassID,lower(Substitute(SUBSTITUTE(E10," ",""),"'","")))</f>
        <v>thermomancerthermalpulse</v>
      </c>
      <c r="H10" s="29" t="str">
        <f t="shared" si="2"/>
        <v>"{\n    \"UnitsInDeck\": 1,\n    \"Card\": \"thermomancerthermalpulse\"\n}"</v>
      </c>
      <c r="I10" s="14"/>
      <c r="J10" s="24" t="s">
        <v>57</v>
      </c>
      <c r="K10" s="23">
        <v>25.0</v>
      </c>
    </row>
    <row r="11">
      <c r="A11" s="13"/>
      <c r="B11" s="13"/>
      <c r="D11" s="33" t="s">
        <v>58</v>
      </c>
      <c r="E11" s="35"/>
      <c r="F11" s="36">
        <f>sum(F4:F10)</f>
        <v>15</v>
      </c>
      <c r="G11" s="37"/>
      <c r="H11" s="38"/>
      <c r="I11" s="14"/>
      <c r="J11" s="24" t="s">
        <v>59</v>
      </c>
      <c r="K11" s="23">
        <v>0.0</v>
      </c>
    </row>
    <row r="12">
      <c r="A12" s="13"/>
      <c r="B12" s="39" t="str">
        <f>lower(SUBSTITUTE(B4," ",""))</f>
        <v>thermomancer</v>
      </c>
      <c r="D12" s="3" t="s">
        <v>60</v>
      </c>
      <c r="H12" s="13"/>
      <c r="I12" s="14"/>
      <c r="J12" s="24" t="s">
        <v>61</v>
      </c>
      <c r="K12" s="23">
        <v>0.0</v>
      </c>
    </row>
    <row r="13">
      <c r="H13" s="40" t="s">
        <v>62</v>
      </c>
      <c r="I13" s="14"/>
      <c r="J13" s="24" t="s">
        <v>63</v>
      </c>
      <c r="K13" s="23">
        <v>0.0</v>
      </c>
    </row>
    <row r="14">
      <c r="H14" s="40" t="s">
        <v>64</v>
      </c>
      <c r="I14" s="14"/>
      <c r="J14" s="24" t="s">
        <v>65</v>
      </c>
      <c r="K14" s="23">
        <v>0.0</v>
      </c>
    </row>
    <row r="15">
      <c r="H15" s="40" t="s">
        <v>66</v>
      </c>
      <c r="I15" s="14"/>
      <c r="J15" s="41" t="s">
        <v>67</v>
      </c>
      <c r="K15" s="42">
        <v>1.0</v>
      </c>
    </row>
    <row r="16">
      <c r="G16" s="43"/>
      <c r="H16" s="13"/>
      <c r="I16" s="14"/>
      <c r="J16" s="44" t="s">
        <v>68</v>
      </c>
      <c r="K16" s="34">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6"/>
      <c r="B1" s="7"/>
      <c r="C1" s="7"/>
      <c r="F1" s="7"/>
      <c r="G1" s="13"/>
    </row>
    <row r="2">
      <c r="A2" s="47" t="s">
        <v>13</v>
      </c>
      <c r="B2" s="48" t="s">
        <v>69</v>
      </c>
      <c r="C2" s="48" t="s">
        <v>44</v>
      </c>
      <c r="D2" s="49" t="s">
        <v>70</v>
      </c>
      <c r="E2" s="50" t="s">
        <v>71</v>
      </c>
      <c r="F2" s="51" t="s">
        <v>72</v>
      </c>
      <c r="G2" s="13"/>
      <c r="I2" s="13"/>
    </row>
    <row r="3">
      <c r="A3" s="24" t="s">
        <v>73</v>
      </c>
      <c r="B3" s="25" t="s">
        <v>74</v>
      </c>
      <c r="C3" s="25" t="s">
        <v>75</v>
      </c>
      <c r="D3" s="52" t="s">
        <v>76</v>
      </c>
      <c r="E3" s="25">
        <v>0.0</v>
      </c>
      <c r="F3" s="53"/>
      <c r="G3" s="13" t="s">
        <v>77</v>
      </c>
      <c r="I3" s="13"/>
    </row>
    <row r="4">
      <c r="A4" s="24" t="s">
        <v>78</v>
      </c>
      <c r="B4" s="25" t="s">
        <v>79</v>
      </c>
      <c r="C4" s="54"/>
      <c r="D4" s="55" t="s">
        <v>36</v>
      </c>
      <c r="E4" s="54">
        <f t="shared" ref="E4:E5" si="1">if(EQ(D4,"None"),0,"&lt;0&gt;")</f>
        <v>0</v>
      </c>
      <c r="F4" s="53" t="str">
        <f>concatenate(SubclassID,lower(SUBSTITUTE(B4," ","")))</f>
        <v>thermomancersearingfrost</v>
      </c>
      <c r="G4" s="13" t="s">
        <v>80</v>
      </c>
      <c r="I4" s="13"/>
    </row>
    <row r="5">
      <c r="A5" s="24" t="s">
        <v>81</v>
      </c>
      <c r="B5" s="25" t="s">
        <v>82</v>
      </c>
      <c r="C5" s="54"/>
      <c r="D5" s="55" t="s">
        <v>36</v>
      </c>
      <c r="E5" s="54">
        <f t="shared" si="1"/>
        <v>0</v>
      </c>
      <c r="F5" s="53" t="str">
        <f>concatenate(SubclassID,lower(SUBSTITUTE(B5," ","")))</f>
        <v>thermomancerfrostkindle</v>
      </c>
      <c r="G5" s="13" t="s">
        <v>83</v>
      </c>
      <c r="I5" s="13"/>
    </row>
    <row r="6">
      <c r="A6" s="24" t="s">
        <v>84</v>
      </c>
      <c r="B6" s="25" t="s">
        <v>85</v>
      </c>
      <c r="C6" s="25" t="s">
        <v>86</v>
      </c>
      <c r="D6" s="52" t="s">
        <v>87</v>
      </c>
      <c r="E6" s="25">
        <v>0.0</v>
      </c>
      <c r="F6" s="53"/>
      <c r="G6" s="13" t="s">
        <v>88</v>
      </c>
      <c r="I6" s="13"/>
    </row>
    <row r="7">
      <c r="A7" s="24" t="s">
        <v>89</v>
      </c>
      <c r="B7" s="25" t="s">
        <v>90</v>
      </c>
      <c r="C7" s="25" t="s">
        <v>91</v>
      </c>
      <c r="D7" s="52" t="s">
        <v>87</v>
      </c>
      <c r="E7" s="25">
        <v>0.0</v>
      </c>
      <c r="F7" s="53"/>
      <c r="G7" s="13" t="s">
        <v>92</v>
      </c>
      <c r="I7" s="13"/>
    </row>
    <row r="8">
      <c r="A8" s="24" t="s">
        <v>93</v>
      </c>
      <c r="B8" s="25" t="s">
        <v>94</v>
      </c>
      <c r="C8" s="56"/>
      <c r="D8" s="55" t="s">
        <v>36</v>
      </c>
      <c r="E8" s="54">
        <f t="shared" ref="E8:E9" si="2">if(EQ(D8,"None"),0,"&lt;0&gt;")</f>
        <v>0</v>
      </c>
      <c r="F8" s="53" t="str">
        <f>concatenate(SubclassID,lower(SUBSTITUTE(B8," ","")))</f>
        <v>thermomancerthermalshock</v>
      </c>
      <c r="G8" s="13" t="s">
        <v>95</v>
      </c>
      <c r="I8" s="13"/>
    </row>
    <row r="9">
      <c r="A9" s="24" t="s">
        <v>96</v>
      </c>
      <c r="B9" s="25" t="s">
        <v>97</v>
      </c>
      <c r="C9" s="56"/>
      <c r="D9" s="55" t="s">
        <v>36</v>
      </c>
      <c r="E9" s="54">
        <f t="shared" si="2"/>
        <v>0</v>
      </c>
      <c r="F9" s="53" t="str">
        <f>concatenate(SubclassID,lower(SUBSTITUTE(B9," ","")))</f>
        <v>thermomancerglacialpyre</v>
      </c>
      <c r="G9" s="13" t="s">
        <v>98</v>
      </c>
      <c r="I9" s="13"/>
    </row>
    <row r="10">
      <c r="A10" s="24" t="s">
        <v>99</v>
      </c>
      <c r="B10" s="25" t="s">
        <v>100</v>
      </c>
      <c r="C10" s="25" t="s">
        <v>101</v>
      </c>
      <c r="D10" s="52" t="s">
        <v>36</v>
      </c>
      <c r="E10" s="25">
        <v>0.0</v>
      </c>
      <c r="F10" s="53"/>
      <c r="G10" s="13" t="s">
        <v>102</v>
      </c>
      <c r="I10" s="13"/>
    </row>
    <row r="11">
      <c r="A11" s="24" t="s">
        <v>103</v>
      </c>
      <c r="B11" s="25" t="s">
        <v>104</v>
      </c>
      <c r="C11" s="25" t="s">
        <v>105</v>
      </c>
      <c r="D11" s="52" t="s">
        <v>36</v>
      </c>
      <c r="E11" s="25">
        <v>0.0</v>
      </c>
      <c r="F11" s="53"/>
      <c r="G11" s="13" t="s">
        <v>106</v>
      </c>
      <c r="I11" s="13"/>
    </row>
    <row r="12">
      <c r="A12" s="57"/>
      <c r="D12" s="58"/>
      <c r="E12" s="58"/>
      <c r="G12" s="13"/>
      <c r="I12" s="13"/>
    </row>
    <row r="13">
      <c r="A13" s="59"/>
      <c r="C13" s="60"/>
      <c r="D13" s="61"/>
      <c r="E13" s="61"/>
      <c r="F13" s="62"/>
      <c r="G13" s="13"/>
      <c r="I13" s="13"/>
    </row>
    <row r="14">
      <c r="A14" s="41" t="s">
        <v>107</v>
      </c>
      <c r="B14" s="56" t="str">
        <f>concat(lower(substitute(Subclass," ","")),G3)</f>
        <v>thermomancertrait0</v>
      </c>
      <c r="D14" s="58"/>
      <c r="E14" s="58"/>
      <c r="G14" s="13"/>
      <c r="I14" s="13"/>
    </row>
    <row r="15">
      <c r="A15" s="41" t="s">
        <v>108</v>
      </c>
      <c r="B15" s="56" t="str">
        <f>concat(lower(substitute(Subclass," ","")),G4)</f>
        <v>thermomancertrait1a</v>
      </c>
      <c r="D15" s="63"/>
      <c r="E15" s="63"/>
      <c r="G15" s="13"/>
      <c r="I15" s="13"/>
    </row>
    <row r="16">
      <c r="A16" s="41" t="s">
        <v>109</v>
      </c>
      <c r="B16" s="56" t="str">
        <f>concat(lower(substitute(Subclass," ","")),G5)</f>
        <v>thermomancertrait1b</v>
      </c>
      <c r="D16" s="58"/>
      <c r="E16" s="58"/>
      <c r="G16" s="13"/>
      <c r="I16" s="13"/>
    </row>
    <row r="17">
      <c r="A17" s="41" t="s">
        <v>110</v>
      </c>
      <c r="B17" s="56" t="str">
        <f>concat(lower(substitute(Subclass," ","")),G6)</f>
        <v>thermomancertrait2a</v>
      </c>
      <c r="D17" s="63"/>
      <c r="E17" s="63"/>
      <c r="G17" s="13"/>
      <c r="I17" s="13"/>
    </row>
    <row r="18">
      <c r="A18" s="41" t="s">
        <v>111</v>
      </c>
      <c r="B18" s="56" t="str">
        <f>concat(lower(substitute(Subclass," ","")),G7)</f>
        <v>thermomancertrait2b</v>
      </c>
      <c r="D18" s="58"/>
      <c r="E18" s="58"/>
      <c r="G18" s="13"/>
      <c r="I18" s="13"/>
    </row>
    <row r="19">
      <c r="A19" s="41" t="s">
        <v>112</v>
      </c>
      <c r="B19" s="56" t="str">
        <f>concat(lower(substitute(Subclass," ","")),G8)</f>
        <v>thermomancertrait3a</v>
      </c>
      <c r="D19" s="63"/>
      <c r="E19" s="63"/>
      <c r="G19" s="13"/>
      <c r="I19" s="13"/>
    </row>
    <row r="20">
      <c r="A20" s="41" t="s">
        <v>113</v>
      </c>
      <c r="B20" s="56" t="str">
        <f>concat(lower(substitute(Subclass," ","")),G9)</f>
        <v>thermomancertrait3b</v>
      </c>
      <c r="D20" s="58"/>
      <c r="E20" s="58"/>
      <c r="G20" s="13"/>
      <c r="I20" s="13"/>
    </row>
    <row r="21">
      <c r="A21" s="41" t="s">
        <v>114</v>
      </c>
      <c r="B21" s="56" t="str">
        <f>concat(lower(substitute(Subclass," ","")),G10)</f>
        <v>thermomancertrait4a</v>
      </c>
      <c r="D21" s="63"/>
      <c r="E21" s="63"/>
      <c r="G21" s="13"/>
      <c r="I21" s="13"/>
    </row>
    <row r="22">
      <c r="A22" s="44" t="s">
        <v>115</v>
      </c>
      <c r="B22" s="35" t="str">
        <f>concat(lower(substitute(Subclass," ","")),G11)</f>
        <v>thermomancertrait4b</v>
      </c>
      <c r="D22" s="64"/>
      <c r="E22" s="64"/>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116</v>
      </c>
      <c r="B3" s="23" t="s">
        <v>117</v>
      </c>
      <c r="D3" s="41" t="s">
        <v>118</v>
      </c>
      <c r="E3" s="65" t="str">
        <f>concat(lower(substitute(Character," ","")),"Portrait")</f>
        <v>caldrisPortrait</v>
      </c>
      <c r="G3" s="41" t="s">
        <v>119</v>
      </c>
      <c r="H3" s="42">
        <v>0.0</v>
      </c>
    </row>
    <row r="4">
      <c r="A4" s="41" t="s">
        <v>120</v>
      </c>
      <c r="B4" s="66" t="str">
        <f>concat("skin",lower(Character))</f>
        <v>skincaldris</v>
      </c>
      <c r="D4" s="41" t="s">
        <v>121</v>
      </c>
      <c r="E4" s="65" t="str">
        <f>concat(lower(substitute(Character," ","")),"PortraitGrande")</f>
        <v>caldrisPortraitGrande</v>
      </c>
      <c r="G4" s="41" t="s">
        <v>122</v>
      </c>
      <c r="H4" s="67" t="b">
        <v>1</v>
      </c>
    </row>
    <row r="5">
      <c r="A5" s="41" t="s">
        <v>123</v>
      </c>
      <c r="B5" s="42">
        <v>1.0</v>
      </c>
      <c r="D5" s="41" t="s">
        <v>124</v>
      </c>
      <c r="E5" s="65" t="str">
        <f>concat(lower(substitute(Character," ","")),"Silueta")</f>
        <v>caldrisSilueta</v>
      </c>
      <c r="G5" s="41" t="s">
        <v>125</v>
      </c>
      <c r="H5" s="66" t="str">
        <f>concat("cardback",lower(substitute(Subclass," ","")))</f>
        <v>cardbackthermomancer</v>
      </c>
    </row>
    <row r="6">
      <c r="A6" s="41" t="s">
        <v>126</v>
      </c>
      <c r="B6" s="42" t="b">
        <v>1</v>
      </c>
      <c r="D6" s="44" t="s">
        <v>127</v>
      </c>
      <c r="E6" s="68" t="str">
        <f>concat(lower(substitute(Character," ","")),"SiluetaGrande")</f>
        <v>caldrisSiluetaGrande</v>
      </c>
      <c r="G6" s="41" t="s">
        <v>128</v>
      </c>
      <c r="H6" s="42" t="s">
        <v>129</v>
      </c>
    </row>
    <row r="7">
      <c r="A7" s="44" t="s">
        <v>130</v>
      </c>
      <c r="B7" s="69"/>
      <c r="G7" s="41" t="s">
        <v>131</v>
      </c>
      <c r="H7" s="42">
        <v>1000.0</v>
      </c>
      <c r="I7" s="45"/>
    </row>
    <row r="8">
      <c r="D8" s="70" t="s">
        <v>132</v>
      </c>
      <c r="G8" s="41" t="s">
        <v>133</v>
      </c>
      <c r="H8" s="65" t="str">
        <f>concat("cardback",lower(substitute(Subclass," ","")))</f>
        <v>cardbackthermomancer</v>
      </c>
      <c r="I8" s="71" t="s">
        <v>134</v>
      </c>
    </row>
    <row r="9">
      <c r="D9" s="72" t="s">
        <v>135</v>
      </c>
      <c r="G9" s="41" t="s">
        <v>136</v>
      </c>
      <c r="H9" s="66" t="str">
        <f>SubclassID</f>
        <v>thermomancer</v>
      </c>
    </row>
    <row r="10">
      <c r="A10" s="73" t="s">
        <v>137</v>
      </c>
      <c r="B10" s="73" t="s">
        <v>138</v>
      </c>
      <c r="G10" s="41" t="s">
        <v>139</v>
      </c>
      <c r="H10" s="67" t="b">
        <v>0</v>
      </c>
    </row>
    <row r="11">
      <c r="A11" s="74" t="s">
        <v>140</v>
      </c>
      <c r="B11" s="75" t="s">
        <v>141</v>
      </c>
      <c r="D11" s="45"/>
      <c r="G11" s="41" t="s">
        <v>142</v>
      </c>
      <c r="H11" s="42">
        <v>0.0</v>
      </c>
    </row>
    <row r="12">
      <c r="A12" s="74" t="s">
        <v>143</v>
      </c>
      <c r="B12" s="75" t="s">
        <v>144</v>
      </c>
      <c r="G12" s="41" t="s">
        <v>145</v>
      </c>
      <c r="H12" s="42">
        <v>0.0</v>
      </c>
    </row>
    <row r="13">
      <c r="A13" s="74" t="s">
        <v>146</v>
      </c>
      <c r="B13" s="75" t="s">
        <v>147</v>
      </c>
      <c r="G13" s="41" t="s">
        <v>148</v>
      </c>
      <c r="H13" s="67" t="b">
        <v>0</v>
      </c>
    </row>
    <row r="14">
      <c r="A14" s="74" t="s">
        <v>149</v>
      </c>
      <c r="B14" s="75" t="s">
        <v>150</v>
      </c>
      <c r="G14" s="41" t="s">
        <v>151</v>
      </c>
      <c r="H14" s="76"/>
    </row>
    <row r="15">
      <c r="A15" s="74" t="s">
        <v>152</v>
      </c>
      <c r="B15" s="77" t="s">
        <v>153</v>
      </c>
      <c r="G15" s="44" t="s">
        <v>154</v>
      </c>
      <c r="H15" s="69"/>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155</v>
      </c>
    </row>
    <row r="2">
      <c r="A2" s="78" t="s">
        <v>13</v>
      </c>
      <c r="B2" s="48" t="s">
        <v>15</v>
      </c>
      <c r="C2" s="79" t="s">
        <v>17</v>
      </c>
      <c r="E2" s="17" t="s">
        <v>156</v>
      </c>
      <c r="F2" s="21" t="s">
        <v>14</v>
      </c>
      <c r="H2" s="80" t="s">
        <v>157</v>
      </c>
      <c r="I2" s="81" t="s">
        <v>158</v>
      </c>
      <c r="J2" s="82" t="s">
        <v>159</v>
      </c>
      <c r="K2" s="83" t="s">
        <v>160</v>
      </c>
    </row>
    <row r="3">
      <c r="A3" s="41" t="s">
        <v>161</v>
      </c>
      <c r="B3" s="54" t="str">
        <f>General!E10</f>
        <v>Thermal Pulse</v>
      </c>
      <c r="C3" s="66" t="str">
        <f t="array" ref="C3">index(Starter_Cards[Card ID],8)</f>
        <v>thermomancerthermalpulse</v>
      </c>
      <c r="E3" s="24" t="s">
        <v>162</v>
      </c>
      <c r="F3" s="23" t="s">
        <v>163</v>
      </c>
      <c r="H3" s="80" t="s">
        <v>164</v>
      </c>
      <c r="I3" s="81" t="s">
        <v>165</v>
      </c>
      <c r="J3" s="82" t="s">
        <v>166</v>
      </c>
      <c r="K3" s="83" t="s">
        <v>167</v>
      </c>
    </row>
    <row r="4">
      <c r="A4" s="24" t="s">
        <v>168</v>
      </c>
      <c r="B4" s="25" t="s">
        <v>27</v>
      </c>
      <c r="C4" s="66" t="str">
        <f t="shared" ref="C4:C7" si="1">lower(SUBSTITUTE(B4," ",""))</f>
        <v>frostbolt</v>
      </c>
      <c r="E4" s="24" t="s">
        <v>169</v>
      </c>
      <c r="F4" s="23" t="s">
        <v>170</v>
      </c>
      <c r="H4" s="80" t="s">
        <v>171</v>
      </c>
      <c r="I4" s="81" t="s">
        <v>172</v>
      </c>
      <c r="J4" s="82" t="s">
        <v>173</v>
      </c>
      <c r="K4" s="83" t="s">
        <v>174</v>
      </c>
    </row>
    <row r="5">
      <c r="A5" s="24" t="s">
        <v>175</v>
      </c>
      <c r="B5" s="25" t="s">
        <v>32</v>
      </c>
      <c r="C5" s="66" t="str">
        <f t="shared" si="1"/>
        <v>flare</v>
      </c>
      <c r="E5" s="24" t="s">
        <v>176</v>
      </c>
      <c r="F5" s="23" t="s">
        <v>166</v>
      </c>
      <c r="H5" s="80" t="s">
        <v>177</v>
      </c>
      <c r="I5" s="81" t="s">
        <v>178</v>
      </c>
      <c r="J5" s="82" t="s">
        <v>170</v>
      </c>
      <c r="K5" s="83" t="s">
        <v>179</v>
      </c>
    </row>
    <row r="6">
      <c r="A6" s="24" t="s">
        <v>180</v>
      </c>
      <c r="B6" s="25" t="s">
        <v>38</v>
      </c>
      <c r="C6" s="66" t="str">
        <f t="shared" si="1"/>
        <v>frostfirebolt</v>
      </c>
      <c r="E6" s="24" t="s">
        <v>181</v>
      </c>
      <c r="F6" s="23" t="s">
        <v>182</v>
      </c>
      <c r="H6" s="80" t="s">
        <v>183</v>
      </c>
      <c r="I6" s="81" t="s">
        <v>184</v>
      </c>
      <c r="J6" s="82" t="s">
        <v>163</v>
      </c>
      <c r="K6" s="83" t="s">
        <v>185</v>
      </c>
    </row>
    <row r="7">
      <c r="A7" s="84" t="s">
        <v>186</v>
      </c>
      <c r="B7" s="85" t="s">
        <v>47</v>
      </c>
      <c r="C7" s="86" t="str">
        <f t="shared" si="1"/>
        <v>scrollofintellect</v>
      </c>
      <c r="E7" s="24" t="s">
        <v>187</v>
      </c>
      <c r="F7" s="23" t="s">
        <v>188</v>
      </c>
      <c r="H7" s="80" t="s">
        <v>189</v>
      </c>
      <c r="I7" s="81" t="s">
        <v>190</v>
      </c>
      <c r="J7" s="82" t="s">
        <v>191</v>
      </c>
      <c r="K7" s="83" t="s">
        <v>192</v>
      </c>
    </row>
    <row r="8">
      <c r="C8" s="14"/>
      <c r="E8" s="24" t="s">
        <v>193</v>
      </c>
      <c r="F8" s="23" t="s">
        <v>194</v>
      </c>
      <c r="H8" s="80" t="s">
        <v>195</v>
      </c>
      <c r="I8" s="81" t="s">
        <v>196</v>
      </c>
      <c r="J8" s="82" t="s">
        <v>197</v>
      </c>
      <c r="K8" s="83" t="s">
        <v>198</v>
      </c>
    </row>
    <row r="9">
      <c r="C9" s="14"/>
      <c r="E9" s="84" t="s">
        <v>199</v>
      </c>
      <c r="F9" s="87" t="s">
        <v>173</v>
      </c>
      <c r="H9" s="80" t="s">
        <v>200</v>
      </c>
      <c r="I9" s="81" t="s">
        <v>201</v>
      </c>
      <c r="J9" s="82" t="s">
        <v>182</v>
      </c>
      <c r="K9" s="83" t="s">
        <v>202</v>
      </c>
    </row>
    <row r="10">
      <c r="H10" s="80" t="s">
        <v>203</v>
      </c>
      <c r="I10" s="81" t="s">
        <v>204</v>
      </c>
      <c r="J10" s="82" t="s">
        <v>188</v>
      </c>
      <c r="K10" s="83" t="s">
        <v>205</v>
      </c>
    </row>
    <row r="11">
      <c r="H11" s="80" t="s">
        <v>206</v>
      </c>
      <c r="I11" s="81" t="s">
        <v>207</v>
      </c>
      <c r="J11" s="82" t="s">
        <v>208</v>
      </c>
      <c r="K11" s="83" t="s">
        <v>209</v>
      </c>
    </row>
    <row r="12">
      <c r="H12" s="80" t="s">
        <v>210</v>
      </c>
      <c r="I12" s="81" t="s">
        <v>211</v>
      </c>
      <c r="J12" s="82" t="s">
        <v>194</v>
      </c>
      <c r="K12" s="83" t="s">
        <v>212</v>
      </c>
    </row>
    <row r="13">
      <c r="H13" s="80" t="s">
        <v>213</v>
      </c>
      <c r="I13" s="81" t="s">
        <v>214</v>
      </c>
      <c r="K13" s="83" t="s">
        <v>215</v>
      </c>
    </row>
    <row r="14">
      <c r="K14" s="88" t="s">
        <v>216</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89" t="s">
        <v>15</v>
      </c>
      <c r="B1" s="90" t="s">
        <v>217</v>
      </c>
      <c r="C1" s="91" t="s">
        <v>218</v>
      </c>
    </row>
    <row r="2">
      <c r="A2" s="92" t="str">
        <f t="array" ref="A2">index(Starter_Cards[Card Name],8)</f>
        <v>Thermal Pulse</v>
      </c>
      <c r="B2" s="56" t="str">
        <f t="shared" ref="B2:B16" si="1">CONCATENATE($F$2,C2,$F$2)</f>
        <v>"thermomancerthermalpulse"</v>
      </c>
      <c r="C2" s="93" t="str">
        <f t="array" ref="C2">index(Starter_Cards[Card ID],8)</f>
        <v>thermomancerthermalpulse</v>
      </c>
      <c r="F2" s="94" t="s">
        <v>219</v>
      </c>
    </row>
    <row r="3">
      <c r="A3" s="95" t="s">
        <v>27</v>
      </c>
      <c r="B3" s="56" t="str">
        <f t="shared" si="1"/>
        <v>"frostbolt"</v>
      </c>
      <c r="C3" s="27" t="str">
        <f t="shared" ref="C3:C16" si="2">lower(Substitute(SUBSTITUTE(A3," ",""),"'",""))</f>
        <v>frostbolt</v>
      </c>
    </row>
    <row r="4">
      <c r="A4" s="95" t="s">
        <v>27</v>
      </c>
      <c r="B4" s="56" t="str">
        <f t="shared" si="1"/>
        <v>"frostbolt"</v>
      </c>
      <c r="C4" s="27" t="str">
        <f t="shared" si="2"/>
        <v>frostbolt</v>
      </c>
    </row>
    <row r="5">
      <c r="A5" s="95" t="s">
        <v>27</v>
      </c>
      <c r="B5" s="56" t="str">
        <f t="shared" si="1"/>
        <v>"frostbolt"</v>
      </c>
      <c r="C5" s="27" t="str">
        <f t="shared" si="2"/>
        <v>frostbolt</v>
      </c>
    </row>
    <row r="6">
      <c r="A6" s="95" t="s">
        <v>32</v>
      </c>
      <c r="B6" s="56" t="str">
        <f t="shared" si="1"/>
        <v>"flare"</v>
      </c>
      <c r="C6" s="27" t="str">
        <f t="shared" si="2"/>
        <v>flare</v>
      </c>
    </row>
    <row r="7">
      <c r="A7" s="95" t="s">
        <v>32</v>
      </c>
      <c r="B7" s="56" t="str">
        <f t="shared" si="1"/>
        <v>"flare"</v>
      </c>
      <c r="C7" s="27" t="str">
        <f t="shared" si="2"/>
        <v>flare</v>
      </c>
    </row>
    <row r="8">
      <c r="A8" s="95" t="s">
        <v>32</v>
      </c>
      <c r="B8" s="56" t="str">
        <f t="shared" si="1"/>
        <v>"flare"</v>
      </c>
      <c r="C8" s="27" t="str">
        <f t="shared" si="2"/>
        <v>flare</v>
      </c>
    </row>
    <row r="9">
      <c r="A9" s="95" t="s">
        <v>38</v>
      </c>
      <c r="B9" s="56" t="str">
        <f t="shared" si="1"/>
        <v>"frostfirebolt"</v>
      </c>
      <c r="C9" s="27" t="str">
        <f t="shared" si="2"/>
        <v>frostfirebolt</v>
      </c>
    </row>
    <row r="10">
      <c r="A10" s="95" t="s">
        <v>38</v>
      </c>
      <c r="B10" s="56" t="str">
        <f t="shared" si="1"/>
        <v>"frostfirebolt"</v>
      </c>
      <c r="C10" s="27" t="str">
        <f t="shared" si="2"/>
        <v>frostfirebolt</v>
      </c>
    </row>
    <row r="11">
      <c r="A11" s="95" t="s">
        <v>38</v>
      </c>
      <c r="B11" s="56" t="str">
        <f t="shared" si="1"/>
        <v>"frostfirebolt"</v>
      </c>
      <c r="C11" s="27" t="str">
        <f t="shared" si="2"/>
        <v>frostfirebolt</v>
      </c>
    </row>
    <row r="12">
      <c r="A12" s="95" t="s">
        <v>42</v>
      </c>
      <c r="B12" s="56" t="str">
        <f t="shared" si="1"/>
        <v>"elementalward"</v>
      </c>
      <c r="C12" s="27" t="str">
        <f t="shared" si="2"/>
        <v>elementalward</v>
      </c>
    </row>
    <row r="13">
      <c r="A13" s="95" t="s">
        <v>42</v>
      </c>
      <c r="B13" s="56" t="str">
        <f t="shared" si="1"/>
        <v>"elementalward"</v>
      </c>
      <c r="C13" s="27" t="str">
        <f t="shared" si="2"/>
        <v>elementalward</v>
      </c>
    </row>
    <row r="14">
      <c r="A14" s="95" t="s">
        <v>47</v>
      </c>
      <c r="B14" s="56" t="str">
        <f t="shared" si="1"/>
        <v>"scrollofintellect"</v>
      </c>
      <c r="C14" s="27" t="str">
        <f t="shared" si="2"/>
        <v>scrollofintellect</v>
      </c>
    </row>
    <row r="15">
      <c r="A15" s="95" t="s">
        <v>47</v>
      </c>
      <c r="B15" s="56" t="str">
        <f t="shared" si="1"/>
        <v>"scrollofintellect"</v>
      </c>
      <c r="C15" s="27" t="str">
        <f t="shared" si="2"/>
        <v>scrollofintellect</v>
      </c>
    </row>
    <row r="16">
      <c r="A16" s="96" t="s">
        <v>52</v>
      </c>
      <c r="B16" s="35" t="str">
        <f t="shared" si="1"/>
        <v>"coldsnap"</v>
      </c>
      <c r="C16" s="86" t="str">
        <f t="shared" si="2"/>
        <v>coldsnap</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220</v>
      </c>
      <c r="B1" s="5" t="s">
        <v>221</v>
      </c>
      <c r="C1" s="97" t="s">
        <v>222</v>
      </c>
      <c r="D1" s="5" t="s">
        <v>162</v>
      </c>
      <c r="E1" s="5" t="s">
        <v>169</v>
      </c>
      <c r="F1" s="5" t="s">
        <v>176</v>
      </c>
      <c r="G1" s="5" t="s">
        <v>181</v>
      </c>
      <c r="H1" s="5" t="s">
        <v>187</v>
      </c>
      <c r="I1" s="5" t="s">
        <v>193</v>
      </c>
      <c r="J1" s="5" t="s">
        <v>199</v>
      </c>
      <c r="K1" s="5" t="s">
        <v>223</v>
      </c>
      <c r="L1" s="5" t="s">
        <v>224</v>
      </c>
      <c r="M1" s="5" t="s">
        <v>225</v>
      </c>
      <c r="N1" s="5" t="s">
        <v>67</v>
      </c>
      <c r="O1" s="5" t="s">
        <v>226</v>
      </c>
      <c r="P1" s="5" t="s">
        <v>40</v>
      </c>
      <c r="Q1" s="5" t="s">
        <v>227</v>
      </c>
      <c r="R1" s="5" t="s">
        <v>228</v>
      </c>
      <c r="S1" s="5" t="s">
        <v>229</v>
      </c>
      <c r="T1" s="5" t="s">
        <v>230</v>
      </c>
      <c r="U1" s="5" t="s">
        <v>54</v>
      </c>
      <c r="V1" s="5" t="s">
        <v>28</v>
      </c>
      <c r="W1" s="5" t="s">
        <v>231</v>
      </c>
      <c r="X1" s="5" t="s">
        <v>232</v>
      </c>
      <c r="Y1" s="5" t="s">
        <v>233</v>
      </c>
      <c r="Z1" s="5" t="s">
        <v>234</v>
      </c>
      <c r="AA1" s="5" t="s">
        <v>235</v>
      </c>
      <c r="AB1" s="5" t="s">
        <v>236</v>
      </c>
      <c r="AC1" s="5" t="s">
        <v>237</v>
      </c>
      <c r="AD1" s="5" t="s">
        <v>238</v>
      </c>
      <c r="AE1" s="5" t="s">
        <v>239</v>
      </c>
      <c r="AF1" s="5" t="s">
        <v>240</v>
      </c>
      <c r="AG1" s="5" t="s">
        <v>241</v>
      </c>
      <c r="AH1" s="5" t="s">
        <v>242</v>
      </c>
      <c r="AI1" s="5" t="s">
        <v>243</v>
      </c>
      <c r="AJ1" s="5" t="s">
        <v>23</v>
      </c>
      <c r="AK1" s="5" t="s">
        <v>244</v>
      </c>
      <c r="AL1" s="5" t="s">
        <v>245</v>
      </c>
      <c r="AM1" s="5" t="s">
        <v>246</v>
      </c>
      <c r="AN1" s="5" t="s">
        <v>247</v>
      </c>
      <c r="AO1" s="5" t="s">
        <v>248</v>
      </c>
      <c r="AP1" s="5" t="s">
        <v>249</v>
      </c>
      <c r="AQ1" s="5" t="s">
        <v>250</v>
      </c>
      <c r="AR1" s="5" t="s">
        <v>251</v>
      </c>
      <c r="AS1" s="5" t="s">
        <v>252</v>
      </c>
      <c r="AT1" s="5" t="s">
        <v>253</v>
      </c>
      <c r="AU1" s="5" t="s">
        <v>254</v>
      </c>
      <c r="AV1" s="5" t="s">
        <v>255</v>
      </c>
      <c r="AW1" s="5" t="s">
        <v>256</v>
      </c>
      <c r="AX1" s="5" t="s">
        <v>257</v>
      </c>
      <c r="AY1" s="5" t="s">
        <v>258</v>
      </c>
      <c r="AZ1" s="5" t="s">
        <v>259</v>
      </c>
      <c r="BA1" s="98" t="s">
        <v>260</v>
      </c>
      <c r="BB1" s="97" t="s">
        <v>261</v>
      </c>
    </row>
    <row r="2">
      <c r="A2" s="98"/>
      <c r="B2" s="98" t="b">
        <v>1</v>
      </c>
      <c r="C2" s="5" t="str">
        <f>concatenate("[",textjoin(", ",TRUE,Starter_Cards[Json]),"]")</f>
        <v>["{\n    \"UnitsInDeck\": 3,\n    \"Card\": \"frostbolt\"\n}", "{\n    \"UnitsInDeck\": 3,\n    \"Card\": \"flare\"\n}", "{\n    \"UnitsInDeck\": 3,\n    \"Card\": \"frostfirebolt\"\n}", "{\n    \"UnitsInDeck\": 2,\n    \"Card\": \"elementalward\"\n}", "{\n    \"UnitsInDeck\": 2,\n    \"Card\": \"scrollofintellect\"\n}", "{\n    \"UnitsInDeck\": 1,\n    \"Card\": \"coldsnap\"\n}", "{\n    \"UnitsInDeck\": 1,\n    \"Card\": \"thermomancerthermalpulse\"\n}"]</v>
      </c>
      <c r="D2" s="5" t="str">
        <f t="array" ref="D2">index(OC_Pack_Names[Value],1,1)</f>
        <v>inferno</v>
      </c>
      <c r="E2" s="5" t="str">
        <f t="array" ref="E2">index(OC_Pack_Names[Value],2,1)</f>
        <v>glacier</v>
      </c>
      <c r="F2" s="5" t="str">
        <f t="array" ref="F2">index(OC_Pack_Names[Value],3,1)</f>
        <v>cryomancer</v>
      </c>
      <c r="G2" s="5" t="str">
        <f t="array" ref="G2">index(OC_Pack_Names[Value],4,1)</f>
        <v>sorcerer</v>
      </c>
      <c r="H2" s="5" t="str">
        <f t="array" ref="H2">index(OC_Pack_Names[Value],5,1)</f>
        <v>tempest</v>
      </c>
      <c r="I2" s="5" t="str">
        <f t="array" ref="I2">index(OC_Pack_Names[Value],6,1)</f>
        <v>wizard</v>
      </c>
      <c r="J2" s="5" t="str">
        <f t="array" ref="J2">index(OC_Pack_Names[Value],7,1)</f>
        <v>enchanter</v>
      </c>
      <c r="K2" s="5" t="str">
        <f>Description</f>
        <v>Once an apprentice torn between two feuding archmages — one of flame, one of frost — Caldris refused to choose a side.\nInstead, she mastered both elements, discovering that rapid shifts in temperature could wreak havoc on body and mind.\n\nHer mastery of fire and ice allows her to scorch foes while freezing them in place, creating deadly openings for her allies.\nOn the battlefield, the air around her crackles with heat and frost, leaving enemies battered by flames and chilled to the bone.</v>
      </c>
      <c r="L2" s="5" t="str">
        <f>Strengths</f>
        <v>Hybrid mage who manipulates both fire and ice, specializing in combining Burn and Chill for devastating bursts.</v>
      </c>
      <c r="M2" s="5" t="str">
        <f>Character</f>
        <v>Caldris</v>
      </c>
      <c r="N2" s="5">
        <f>Energy</f>
        <v>1</v>
      </c>
      <c r="O2" s="5">
        <f>EnergyTurn</f>
        <v>3</v>
      </c>
      <c r="P2" s="5" t="b">
        <f>Female</f>
        <v>1</v>
      </c>
      <c r="Q2" s="98">
        <v>0.0</v>
      </c>
      <c r="R2" s="98">
        <v>3.40000009536743</v>
      </c>
      <c r="S2" s="5" t="str">
        <f>lower(substitute(Class," ",""))</f>
        <v>mage</v>
      </c>
      <c r="T2" s="5" t="str">
        <f>lower(SecondaryClass)</f>
        <v>none</v>
      </c>
      <c r="U2" s="5" t="str">
        <f>HitSound</f>
        <v/>
      </c>
      <c r="V2" s="5">
        <f>Hp</f>
        <v>60</v>
      </c>
      <c r="W2" s="5" t="str">
        <f>lower(substitute(Subclass," ",""))</f>
        <v>thermomancer</v>
      </c>
      <c r="X2" s="5" t="str">
        <f t="array" ref="X2">index(Starter_Cards[Card ID],1,1)</f>
        <v>thermomancerfrozenemberling</v>
      </c>
      <c r="Y2" s="5" t="str">
        <f>HPLevelList</f>
        <v>[0,5,5,5,5]</v>
      </c>
      <c r="Z2" s="98">
        <v>5.0</v>
      </c>
      <c r="AA2" s="5">
        <f>Slash</f>
        <v>0</v>
      </c>
      <c r="AB2" s="5">
        <f>Blunt</f>
        <v>0</v>
      </c>
      <c r="AC2" s="5">
        <f>Pierce</f>
        <v>0</v>
      </c>
      <c r="AD2" s="5">
        <f>Fire</f>
        <v>25</v>
      </c>
      <c r="AE2" s="5">
        <f>Cold</f>
        <v>25</v>
      </c>
      <c r="AF2" s="5">
        <f>Lightning</f>
        <v>0</v>
      </c>
      <c r="AG2" s="5">
        <f>Holy</f>
        <v>0</v>
      </c>
      <c r="AH2" s="5">
        <f>Shadow</f>
        <v>0</v>
      </c>
      <c r="AI2" s="5">
        <f>Mind</f>
        <v>0</v>
      </c>
      <c r="AJ2" s="5">
        <f>Speed</f>
        <v>11</v>
      </c>
      <c r="AK2" s="5" t="str">
        <f>Silueta</f>
        <v>caldrisSilueta</v>
      </c>
      <c r="AL2" s="98"/>
      <c r="AM2" s="98"/>
      <c r="AN2" s="98"/>
      <c r="AO2" s="98"/>
      <c r="AP2" s="98"/>
      <c r="AQ2" s="98">
        <v>0.100000001490116</v>
      </c>
      <c r="AR2" s="5" t="str">
        <f>Subclass</f>
        <v>Thermomancer</v>
      </c>
      <c r="AS2" s="5" t="str">
        <f t="array" ref="AS2">index(TraitFilenames,1,1)</f>
        <v>thermomancertrait0</v>
      </c>
      <c r="AT2" s="5" t="str">
        <f t="array" ref="AT2">index(TraitFilenames,2,1)</f>
        <v>thermomancertrait1a</v>
      </c>
      <c r="AU2" s="5" t="str">
        <f t="array" ref="AU2">index(TraitFilenames,3,1)</f>
        <v>thermomancertrait1b</v>
      </c>
      <c r="AV2" s="5" t="str">
        <f t="array" ref="AV2">index(TraitFilenames,4,1)</f>
        <v>thermomancertrait2a</v>
      </c>
      <c r="AW2" s="5" t="str">
        <f t="array" ref="AW2">index(TraitFilenames,5,1)</f>
        <v>thermomancertrait2b</v>
      </c>
      <c r="AX2" s="5" t="str">
        <f t="array" ref="AX2">index(TraitFilenames,6,1)</f>
        <v>thermomancertrait3a</v>
      </c>
      <c r="AY2" s="5" t="str">
        <f t="array" ref="AY2">index(TraitFilenames,7,1)</f>
        <v>thermomancertrait3b</v>
      </c>
      <c r="AZ2" s="5" t="str">
        <f t="array" ref="AZ2">index(TraitFilenames,8,1)</f>
        <v>thermomancertrait4a</v>
      </c>
      <c r="BA2" s="5" t="str">
        <f t="array" ref="BA2">index(TraitFilenames,9,1)</f>
        <v>thermomancertrait4b</v>
      </c>
      <c r="BB2" s="5" t="str">
        <f>concatenate("[",textjoin(", ",TRUE,SingularityDeck[Card Strings]),"]")</f>
        <v>["thermomancerthermalpulse", "frostbolt", "frostbolt", "frostbolt", "flare", "flare", "flare", "frostfirebolt", "frostfirebolt", "frostfirebolt", "elementalward", "elementalward", "scrollofintellect", "scrollofintellect", "coldsnap"]</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161</v>
      </c>
      <c r="B1" s="97" t="s">
        <v>168</v>
      </c>
      <c r="C1" s="97" t="s">
        <v>175</v>
      </c>
      <c r="D1" s="97" t="s">
        <v>180</v>
      </c>
      <c r="E1" s="97" t="s">
        <v>186</v>
      </c>
      <c r="F1" s="97" t="s">
        <v>262</v>
      </c>
      <c r="G1" s="97" t="s">
        <v>263</v>
      </c>
      <c r="H1" s="97" t="s">
        <v>264</v>
      </c>
      <c r="I1" s="97" t="s">
        <v>265</v>
      </c>
      <c r="J1" s="97" t="s">
        <v>266</v>
      </c>
      <c r="K1" s="97" t="s">
        <v>267</v>
      </c>
      <c r="L1" s="97" t="s">
        <v>268</v>
      </c>
      <c r="M1" s="97" t="s">
        <v>269</v>
      </c>
    </row>
    <row r="2">
      <c r="A2" s="5" t="str">
        <f t="array" ref="A2">index(Obelisk_Challenge_Starter_Pack[Card ID],1,1)</f>
        <v>thermomancerthermalpulse</v>
      </c>
      <c r="B2" s="5" t="str">
        <f t="array" ref="B2">index(Obelisk_Challenge_Starter_Pack[Card ID],2,1)</f>
        <v>frostbolt</v>
      </c>
      <c r="C2" s="5" t="str">
        <f t="array" ref="C2">index(Obelisk_Challenge_Starter_Pack[Card ID],3,1)</f>
        <v>flare</v>
      </c>
      <c r="D2" s="5" t="str">
        <f t="array" ref="D2">index(Obelisk_Challenge_Starter_Pack[Card ID],4,1)</f>
        <v>frostfirebolt</v>
      </c>
      <c r="E2" s="5" t="str">
        <f t="array" ref="E2">index(Obelisk_Challenge_Starter_Pack[Card ID],5,1)</f>
        <v>scrollofintellect</v>
      </c>
      <c r="F2" s="5"/>
      <c r="G2" s="5"/>
      <c r="H2" s="5"/>
      <c r="I2" s="5" t="str">
        <f>lower(Class)</f>
        <v>mage</v>
      </c>
      <c r="J2" s="5" t="str">
        <f>lower(substitute(Character," ",""))</f>
        <v>caldris</v>
      </c>
      <c r="K2" s="5" t="str">
        <f>Character</f>
        <v>Caldris</v>
      </c>
      <c r="L2" s="97" t="s">
        <v>270</v>
      </c>
      <c r="M2" s="5" t="str">
        <f>lower(substitute(Subclass," ",""))</f>
        <v>thermomancer</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120</v>
      </c>
      <c r="B1" s="97" t="s">
        <v>116</v>
      </c>
      <c r="C1" s="97" t="s">
        <v>271</v>
      </c>
      <c r="D1" s="97" t="s">
        <v>272</v>
      </c>
      <c r="E1" s="97" t="s">
        <v>273</v>
      </c>
      <c r="F1" s="97" t="s">
        <v>274</v>
      </c>
    </row>
    <row r="2">
      <c r="A2" s="5" t="str">
        <f>NewGameObject</f>
        <v>skincaldris</v>
      </c>
      <c r="B2" s="5" t="str">
        <f t="array" ref="B2">index(GameObject_Info[Value],1,1)</f>
        <v>sectarianfemale</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275</v>
      </c>
      <c r="B1" s="97" t="s">
        <v>276</v>
      </c>
      <c r="C1" s="97" t="s">
        <v>277</v>
      </c>
      <c r="D1" s="97" t="s">
        <v>278</v>
      </c>
      <c r="E1" s="97" t="s">
        <v>279</v>
      </c>
      <c r="F1" s="97" t="s">
        <v>280</v>
      </c>
      <c r="G1" s="97" t="s">
        <v>281</v>
      </c>
      <c r="H1" s="97" t="s">
        <v>151</v>
      </c>
      <c r="I1" s="97" t="s">
        <v>282</v>
      </c>
      <c r="J1" s="97" t="s">
        <v>283</v>
      </c>
      <c r="K1" s="97" t="s">
        <v>284</v>
      </c>
      <c r="L1" s="97" t="s">
        <v>285</v>
      </c>
      <c r="M1" s="97" t="s">
        <v>154</v>
      </c>
    </row>
    <row r="2">
      <c r="A2" s="97" t="b">
        <v>1</v>
      </c>
      <c r="B2" s="97">
        <v>0.0</v>
      </c>
      <c r="C2" s="5" t="str">
        <f>NewGameObject</f>
        <v>skincaldris</v>
      </c>
      <c r="D2" s="5" t="str">
        <f>concat(lower(substitute(Subclass," ","")),"base")</f>
        <v>thermomancerbase</v>
      </c>
      <c r="E2" s="97" t="s">
        <v>129</v>
      </c>
      <c r="F2" s="97">
        <v>0.0</v>
      </c>
      <c r="G2" s="5" t="str">
        <f>SubclassID</f>
        <v>thermomancer</v>
      </c>
      <c r="H2" s="5"/>
      <c r="I2" s="5" t="str">
        <f>Portrait</f>
        <v>caldrisPortrait</v>
      </c>
      <c r="J2" s="5" t="str">
        <f>PortraitGrande</f>
        <v>caldrisPortraitGrande</v>
      </c>
      <c r="K2" s="5" t="str">
        <f>Visuals!E5</f>
        <v>caldrisSilueta</v>
      </c>
      <c r="L2" s="5" t="str">
        <f>SiluetaGrande</f>
        <v>caldrisSiluetaGrande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286</v>
      </c>
      <c r="B1" s="97" t="s">
        <v>122</v>
      </c>
      <c r="C1" s="97" t="s">
        <v>125</v>
      </c>
      <c r="D1" s="97" t="s">
        <v>128</v>
      </c>
      <c r="E1" s="97" t="s">
        <v>131</v>
      </c>
      <c r="F1" s="97" t="s">
        <v>133</v>
      </c>
      <c r="G1" s="97" t="s">
        <v>136</v>
      </c>
      <c r="H1" s="97" t="s">
        <v>139</v>
      </c>
      <c r="I1" s="97" t="s">
        <v>142</v>
      </c>
      <c r="J1" s="97" t="s">
        <v>145</v>
      </c>
      <c r="K1" s="97" t="s">
        <v>148</v>
      </c>
      <c r="L1" s="97" t="s">
        <v>151</v>
      </c>
      <c r="M1" s="97" t="s">
        <v>154</v>
      </c>
    </row>
    <row r="2">
      <c r="A2" s="5">
        <f t="array" ref="A2">index(Cardback_Info[Value],1,1)</f>
        <v>0</v>
      </c>
      <c r="B2" s="5" t="b">
        <f t="array" ref="B2">index(Cardback_Info[Value],2,1)</f>
        <v>1</v>
      </c>
      <c r="C2" s="5" t="str">
        <f t="array" ref="C2">index(Cardback_Info[Value],3,1)</f>
        <v>cardbackthermomancer</v>
      </c>
      <c r="D2" s="5" t="str">
        <f t="array" ref="D2">index(Cardback_Info[Value],4,1)</f>
        <v>Default</v>
      </c>
      <c r="E2" s="5">
        <f t="array" ref="E2">index(Cardback_Info[Value],5,1)</f>
        <v>1000</v>
      </c>
      <c r="F2" s="5" t="str">
        <f t="array" ref="F2">index(Cardback_Info[Value],6,1)</f>
        <v>cardbackthermomancer</v>
      </c>
      <c r="G2" s="5" t="str">
        <f t="array" ref="G2">index(Cardback_Info[Value],7,1)</f>
        <v>thermomancer</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287</v>
      </c>
      <c r="B1" s="97" t="s">
        <v>44</v>
      </c>
      <c r="C1" s="97" t="s">
        <v>231</v>
      </c>
      <c r="D1" s="97" t="s">
        <v>288</v>
      </c>
      <c r="E1" s="97" t="s">
        <v>289</v>
      </c>
      <c r="F1" s="97" t="s">
        <v>290</v>
      </c>
    </row>
    <row r="2">
      <c r="A2" s="5" t="str">
        <f t="array" ref="A2:B10">TraitJson</f>
        <v>Thermal Equilibrium</v>
      </c>
      <c r="B2" s="5" t="s">
        <v>75</v>
      </c>
      <c r="C2" s="5" t="str">
        <f t="array" ref="C2:C10">TraitFilenames</f>
        <v>thermomancertrait0</v>
      </c>
      <c r="D2" s="5" t="str">
        <f t="array" ref="D2:D21">Trait_Info[Trait Activation]</f>
        <v>BeginTurnAboutToDealCards</v>
      </c>
      <c r="E2" s="5" t="str">
        <f t="array" ref="E2:E21">Trait_Info[Enchantment ID]</f>
        <v/>
      </c>
      <c r="F2" s="5">
        <f t="array" ref="F2:F21">Trait_Info[Number of Activations]</f>
        <v>0</v>
      </c>
    </row>
    <row r="3">
      <c r="A3" s="5" t="s">
        <v>79</v>
      </c>
      <c r="B3" s="5"/>
      <c r="C3" s="5" t="s">
        <v>291</v>
      </c>
      <c r="D3" s="5" t="s">
        <v>36</v>
      </c>
      <c r="E3" s="5" t="s">
        <v>292</v>
      </c>
      <c r="F3" s="5">
        <v>0.0</v>
      </c>
    </row>
    <row r="4">
      <c r="A4" s="5" t="s">
        <v>82</v>
      </c>
      <c r="B4" s="5"/>
      <c r="C4" s="5" t="s">
        <v>293</v>
      </c>
      <c r="D4" s="5" t="s">
        <v>36</v>
      </c>
      <c r="E4" s="5" t="s">
        <v>294</v>
      </c>
      <c r="F4" s="5">
        <v>0.0</v>
      </c>
    </row>
    <row r="5">
      <c r="A5" s="5" t="s">
        <v>85</v>
      </c>
      <c r="B5" s="5" t="s">
        <v>86</v>
      </c>
      <c r="C5" s="5" t="s">
        <v>295</v>
      </c>
      <c r="D5" s="5" t="s">
        <v>87</v>
      </c>
      <c r="E5" s="5"/>
      <c r="F5" s="5">
        <v>0.0</v>
      </c>
    </row>
    <row r="6">
      <c r="A6" s="5" t="s">
        <v>90</v>
      </c>
      <c r="B6" s="5" t="s">
        <v>91</v>
      </c>
      <c r="C6" s="5" t="s">
        <v>296</v>
      </c>
      <c r="D6" s="5" t="s">
        <v>87</v>
      </c>
      <c r="E6" s="5"/>
      <c r="F6" s="5">
        <v>0.0</v>
      </c>
    </row>
    <row r="7">
      <c r="A7" s="5" t="s">
        <v>94</v>
      </c>
      <c r="B7" s="5"/>
      <c r="C7" s="5" t="s">
        <v>297</v>
      </c>
      <c r="D7" s="5" t="s">
        <v>36</v>
      </c>
      <c r="E7" s="5" t="s">
        <v>298</v>
      </c>
      <c r="F7" s="5">
        <v>0.0</v>
      </c>
    </row>
    <row r="8">
      <c r="A8" s="5" t="s">
        <v>97</v>
      </c>
      <c r="B8" s="5"/>
      <c r="C8" s="5" t="s">
        <v>299</v>
      </c>
      <c r="D8" s="5" t="s">
        <v>36</v>
      </c>
      <c r="E8" s="5" t="s">
        <v>300</v>
      </c>
      <c r="F8" s="5">
        <v>0.0</v>
      </c>
    </row>
    <row r="9">
      <c r="A9" s="5" t="s">
        <v>100</v>
      </c>
      <c r="B9" s="5" t="s">
        <v>101</v>
      </c>
      <c r="C9" s="5" t="s">
        <v>301</v>
      </c>
      <c r="D9" s="5" t="s">
        <v>36</v>
      </c>
      <c r="E9" s="5"/>
      <c r="F9" s="5">
        <v>0.0</v>
      </c>
    </row>
    <row r="10">
      <c r="A10" s="5" t="s">
        <v>104</v>
      </c>
      <c r="B10" s="5" t="s">
        <v>105</v>
      </c>
      <c r="C10" s="5" t="s">
        <v>302</v>
      </c>
      <c r="D10" s="5" t="s">
        <v>36</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