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<sst xmlns="http://schemas.openxmlformats.org/spreadsheetml/2006/main" count="410" uniqueCount="313">
  <si>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</si>
  <si>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</si>
  <si>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</si>
  <si>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</si>
  <si>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</si>
  <si>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</si>
  <si>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</si>
  <si>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</si>
  <si>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</si>
  <si>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</si>
  <si>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</si>
  <si>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</si>
  <si>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</si>
  <si>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</si>
  <si>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</si>
  <si>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</si>
  <si>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</si>
  <si>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</si>
  <si>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</si>
  <si>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</si>
  <si>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Tellann</t>
  </si>
  <si>
    <t>Starting Item</t>
  </si>
  <si>
    <t>Exalted Staff</t>
  </si>
  <si>
    <t>Speed</t>
  </si>
  <si>
    <t>Subclass Name</t>
  </si>
  <si>
    <t>Exalted</t>
  </si>
  <si>
    <t>Card 1</t>
  </si>
  <si>
    <t>Inner Fire</t>
  </si>
  <si>
    <t>HP</t>
  </si>
  <si>
    <t>Primary Class</t>
  </si>
  <si>
    <t>Mage</t>
  </si>
  <si>
    <t>Card 2</t>
  </si>
  <si>
    <t>Inner Combustion</t>
  </si>
  <si>
    <t>HP gained per level</t>
  </si>
  <si>
    <t>[0,6,6,6,6]</t>
  </si>
  <si>
    <t>Secondary Class</t>
  </si>
  <si>
    <t>Healer</t>
  </si>
  <si>
    <t>Card 3</t>
  </si>
  <si>
    <t>shadow bolt</t>
  </si>
  <si>
    <t>Slashing Resistance</t>
  </si>
  <si>
    <t>Female</t>
  </si>
  <si>
    <t>Card 4</t>
  </si>
  <si>
    <t>ignite</t>
  </si>
  <si>
    <t>Piercing Resistance</t>
  </si>
  <si>
    <t>Description</t>
  </si>
  <si>
    <t xml:space="preserve">There are many cults scatterd throughout the world. Many know of Erekhel aand the fiery cult present in Velkarath. Fewer know of that headed by Tellann. His cult lingers in the darkness and worships a sinister light. </t>
  </si>
  <si>
    <t>Card 5</t>
  </si>
  <si>
    <t>bbbdarkbrand</t>
  </si>
  <si>
    <t>Blunt Resistance</t>
  </si>
  <si>
    <t>Strengths</t>
  </si>
  <si>
    <t>This character excels at Zeal, Fire, and Dark</t>
  </si>
  <si>
    <t>Card 6</t>
  </si>
  <si>
    <t>shadowflame</t>
  </si>
  <si>
    <t>Fire Resistance</t>
  </si>
  <si>
    <t>HitSound</t>
  </si>
  <si>
    <t>Card 7</t>
  </si>
  <si>
    <t>martyr</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</si>
  <si>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</si>
  <si>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</si>
  <si>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</si>
  <si>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</si>
  <si>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</si>
  <si>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</si>
  <si>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</si>
  <si>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</si>
  <si>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</si>
  <si>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</si>
  <si>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</si>
  <si>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</si>
  <si>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</si>
  <si>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</si>
  <si>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</si>
  <si>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</si>
  <si>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</si>
  <si>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Guiding Flame</t>
  </si>
  <si>
    <t>Zeal on heroes increases healing received by 20% per charge. Whenever a hero gains Zeal, they gain 1 Vitality.</t>
  </si>
  <si>
    <t>AuraCurseSet</t>
  </si>
  <si>
    <t>trait0</t>
  </si>
  <si>
    <t>Level 2a Trait (Left Hand Side)</t>
  </si>
  <si>
    <t>Unholy Touch</t>
  </si>
  <si>
    <t>None</t>
  </si>
  <si>
    <t>trait1a</t>
  </si>
  <si>
    <t>Level 2b Trait (Right Hand Side)</t>
  </si>
  <si>
    <t>Nether Imbuement</t>
  </si>
  <si>
    <t>trait1b</t>
  </si>
  <si>
    <t>Level 3a Trait (Left Hand Side)</t>
  </si>
  <si>
    <t>Cult of Righteousness</t>
  </si>
  <si>
    <t>Zeal +1. When you play a Healing Spell that costs energy, refund one and give the lowest hp hero 1 Zeal and 5 Burn. (3 times/turn)</t>
  </si>
  <si>
    <t>CastCard</t>
  </si>
  <si>
    <t>trait2a</t>
  </si>
  <si>
    <t>Level 3b Trait (Right Hand Side)</t>
  </si>
  <si>
    <t>Fanatical Worship</t>
  </si>
  <si>
    <t>Burn +1, Dark +1. Burn on you increases Shadow Resistance by 0.5% per charge. Dark on you enemies increases Fire Damage received by 1 per charge.</t>
  </si>
  <si>
    <t>trait2b</t>
  </si>
  <si>
    <t>Level 4a Trait (Left Hand Side)</t>
  </si>
  <si>
    <t>Martyr's Branding</t>
  </si>
  <si>
    <t>exaltedmartyrsbranding</t>
  </si>
  <si>
    <t>trait3a</t>
  </si>
  <si>
    <t>Level 4b Trait (Right Hand Side)</t>
  </si>
  <si>
    <t>Faith's Branding</t>
  </si>
  <si>
    <t>exaltedfaithsbranding</t>
  </si>
  <si>
    <t>trait3b</t>
  </si>
  <si>
    <t>Level 5a Trait (Left Hand Side)</t>
  </si>
  <si>
    <t>Exalted Presence</t>
  </si>
  <si>
    <t>Burn +2, Dark +2. When Dark explodes, Heal all heroes for 20% of the Dark stacks, and apply 1 Zeal and 5 Burn to all heroes. These effects do not benefit from modifiers.</t>
  </si>
  <si>
    <t>trait4a</t>
  </si>
  <si>
    <t>Level 5b Trait (Right Hand Side)</t>
  </si>
  <si>
    <t>Burning Faith</t>
  </si>
  <si>
    <t>Burn on allies no longer reduces resistances. At the start of your turn, for every 30 Burn on you, reduce the cost of your highest cost card by 1 until discarded .</t>
  </si>
  <si>
    <t>BeginTurnCardsDealt</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</si>
  <si>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</si>
  <si>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</si>
  <si>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</si>
  <si>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</si>
  <si>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</si>
  <si>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</si>
  <si>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</si>
  <si>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</si>
  <si>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</si>
  <si>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</si>
  <si>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</si>
  <si>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erekhal</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</si>
  <si>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</si>
  <si>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</si>
  <si>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</si>
  <si>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</si>
  <si>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</si>
  <si>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</si>
  <si>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</si>
  <si>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</si>
  <si>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</si>
  <si>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</si>
  <si>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</si>
  <si>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</si>
  <si>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</si>
  <si>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</si>
  <si>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</si>
  <si>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</si>
  <si>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</si>
  <si>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</si>
  <si>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</si>
  <si>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</si>
  <si>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</si>
  <si>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</si>
  <si>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</si>
  <si>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</si>
  <si>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</si>
  <si>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</si>
  <si>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</si>
  <si>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</si>
  <si>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</si>
  <si>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</si>
  <si>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</si>
  <si>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</si>
  <si>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</si>
  <si>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</si>
  <si>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</si>
  <si>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</si>
  <si>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</si>
  <si>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</si>
  <si>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</si>
  <si>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</si>
  <si>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</si>
  <si>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</si>
  <si>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</si>
  <si>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</si>
  <si>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</si>
  <si>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inferno</t>
  </si>
  <si>
    <t>axman</t>
  </si>
  <si>
    <t>bowman</t>
  </si>
  <si>
    <t>cryomancer</t>
  </si>
  <si>
    <t>devotee</t>
  </si>
  <si>
    <t>Card1</t>
  </si>
  <si>
    <t>ChallengePack1</t>
  </si>
  <si>
    <t>shadowmancer</t>
  </si>
  <si>
    <t>brawler</t>
  </si>
  <si>
    <t>fencer</t>
  </si>
  <si>
    <t>enchanter</t>
  </si>
  <si>
    <t>friar</t>
  </si>
  <si>
    <t>Card2</t>
  </si>
  <si>
    <t>ChallengePack2</t>
  </si>
  <si>
    <t>zealot</t>
  </si>
  <si>
    <t>commander</t>
  </si>
  <si>
    <t>gunner</t>
  </si>
  <si>
    <t>glacier</t>
  </si>
  <si>
    <t>healer</t>
  </si>
  <si>
    <t>Card3</t>
  </si>
  <si>
    <t>ChallengePack3</t>
  </si>
  <si>
    <t>wizard</t>
  </si>
  <si>
    <t>defender</t>
  </si>
  <si>
    <t>hunter</t>
  </si>
  <si>
    <t>heretic</t>
  </si>
  <si>
    <t>Card4</t>
  </si>
  <si>
    <t>ChallengePack4</t>
  </si>
  <si>
    <t>destroyer</t>
  </si>
  <si>
    <t>ninja</t>
  </si>
  <si>
    <t>scribe</t>
  </si>
  <si>
    <t>justicar</t>
  </si>
  <si>
    <t>ChallengePack5</t>
  </si>
  <si>
    <t>sorcerer</t>
  </si>
  <si>
    <t>fallen</t>
  </si>
  <si>
    <t>plague</t>
  </si>
  <si>
    <t>mentalist</t>
  </si>
  <si>
    <t>ChallengePack6</t>
  </si>
  <si>
    <t>gladiator</t>
  </si>
  <si>
    <t>poisoner</t>
  </si>
  <si>
    <t>paladin</t>
  </si>
  <si>
    <t>guardian</t>
  </si>
  <si>
    <t>reaver</t>
  </si>
  <si>
    <t>tempest</t>
  </si>
  <si>
    <t>protector</t>
  </si>
  <si>
    <t>marauder</t>
  </si>
  <si>
    <t>rogue</t>
  </si>
  <si>
    <t>witch</t>
  </si>
  <si>
    <t>saint</t>
  </si>
  <si>
    <t>swordman</t>
  </si>
  <si>
    <t>scoundrel</t>
  </si>
  <si>
    <t>seer</t>
  </si>
  <si>
    <t>warlord</t>
  </si>
  <si>
    <t>skald</t>
  </si>
  <si>
    <t>shaman</t>
  </si>
  <si>
    <t>Card Strings</t>
  </si>
  <si>
    <t>Card Id</t>
  </si>
  <si>
    <t>"</t>
  </si>
  <si>
    <t>preservation</t>
  </si>
  <si>
    <t>curseofdecay</t>
  </si>
  <si>
    <t>searingnova</t>
  </si>
  <si>
    <t>searingtouch</t>
  </si>
  <si>
    <t>fireblast</t>
  </si>
  <si>
    <t>curseoffragility</t>
  </si>
  <si>
    <t>curseofexhaustion</t>
  </si>
  <si>
    <t>pestilence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</si>
  <si>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</si>
  <si>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</si>
  <si>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</si>
  <si>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</si>
  <si>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</si>
  <si>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</si>
  <si>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</si>
  <si>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</si>
  <si>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</si>
  <si>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</si>
  <si>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</si>
  <si>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</si>
  <si>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</si>
  <si>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</si>
  <si>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</si>
  <si>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</si>
  <si>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</si>
  <si>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</si>
  <si>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</si>
  <si>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</si>
  <si>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</si>
  <si>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</si>
  <si>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</si>
  <si>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</si>
  <si>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</si>
  <si>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</si>
  <si>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</si>
  <si>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</si>
  <si>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</si>
  <si>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</si>
  <si>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</si>
  <si>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</si>
  <si>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</si>
  <si>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</si>
  <si>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</si>
  <si>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</si>
  <si>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</si>
  <si>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</si>
  <si>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</si>
  <si>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</si>
  <si>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</si>
  <si>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</si>
  <si>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</si>
  <si>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</si>
  <si>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</si>
  <si>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</si>
  <si>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</si>
  <si>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</si>
  <si>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</si>
  <si>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</si>
  <si>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</si>
  <si>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</si>
  <si>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</si>
  <si>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</si>
  <si>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</si>
  <si>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</si>
  <si>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</si>
  <si>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</si>
  <si>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</si>
  <si>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</si>
  <si>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</si>
  <si>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</si>
  <si>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</si>
  <si>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</si>
  <si>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</si>
  <si>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</si>
  <si>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</si>
  <si>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</si>
  <si>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</si>
  <si>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</si>
  <si>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</si>
  <si>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exaltedtrait1a</t>
  </si>
  <si>
    <t>exaltedunholytouch</t>
  </si>
  <si>
    <t>exaltedtrait1b</t>
  </si>
  <si>
    <t>exaltednetherimbuement</t>
  </si>
  <si>
    <t>exaltedtrait2a</t>
  </si>
  <si>
    <t>exaltedtrait2b</t>
  </si>
  <si>
    <t>exaltedtrait3a</t>
  </si>
  <si>
    <t>exaltedtrait3b</t>
  </si>
  <si>
    <t>exaltedtrait4a</t>
  </si>
  <si>
    <t>exaltedtrait4b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</si>
</sst>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6"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exaltedexaltedstaff</v>
      </c>
      <c r="H3" s="28"/>
      <c r="I3" s="14"/>
      <c r="J3" s="24" t="s">
        <v>23</v>
      </c>
      <c r="K3" s="23">
        <v>9.0</v>
      </c>
    </row>
    <row r="4">
      <c r="A4" s="22" t="s">
        <v>24</v>
      </c>
      <c r="B4" s="23" t="s">
        <v>25</v>
      </c>
      <c r="D4" s="24" t="s">
        <v>26</v>
      </c>
      <c r="E4" s="25" t="s">
        <v>27</v>
      </c>
      <c r="F4" s="25">
        <v>3.0</v>
      </c>
      <c r="G4" s="27" t="str">
        <f t="shared" ref="G4:G9" si="1">lower(Substitute(SUBSTITUTE(E4," ",""),"'",""))</f>
        <v>innerfire</v>
      </c>
      <c r="H4" s="29" t="str">
        <f t="shared" ref="H4:H10" si="2">CONCATENATE($H$13,F4,$H$14,G4,$H$15)</f>
        <v>"{\n    \"UnitsInDeck\": 3,\n    \"Card\": \"innerfire\"\n}"</v>
      </c>
      <c r="I4" s="14"/>
      <c r="J4" s="24" t="s">
        <v>28</v>
      </c>
      <c r="K4" s="23">
        <v>70.0</v>
      </c>
    </row>
    <row r="5">
      <c r="A5" s="22" t="s">
        <v>29</v>
      </c>
      <c r="B5" s="30" t="s">
        <v>30</v>
      </c>
      <c r="D5" s="24" t="s">
        <v>31</v>
      </c>
      <c r="E5" s="25" t="s">
        <v>32</v>
      </c>
      <c r="F5" s="25">
        <v>3.0</v>
      </c>
      <c r="G5" s="27" t="str">
        <f t="shared" si="1"/>
        <v>innercombustion</v>
      </c>
      <c r="H5" s="29" t="str">
        <f t="shared" si="2"/>
        <v>"{\n    \"UnitsInDeck\": 3,\n    \"Card\": \"innercombustion\"\n}"</v>
      </c>
      <c r="I5" s="14"/>
      <c r="J5" s="24" t="s">
        <v>33</v>
      </c>
      <c r="K5" s="23" t="s">
        <v>34</v>
      </c>
    </row>
    <row r="6">
      <c r="A6" s="22" t="s">
        <v>35</v>
      </c>
      <c r="B6" s="30" t="s">
        <v>36</v>
      </c>
      <c r="D6" s="24" t="s">
        <v>37</v>
      </c>
      <c r="E6" s="25" t="s">
        <v>38</v>
      </c>
      <c r="F6" s="25">
        <v>2.0</v>
      </c>
      <c r="G6" s="27" t="str">
        <f t="shared" si="1"/>
        <v>shadowbolt</v>
      </c>
      <c r="H6" s="29" t="str">
        <f t="shared" si="2"/>
        <v>"{\n    \"UnitsInDeck\": 2,\n    \"Card\": \"shadowbolt\"\n}"</v>
      </c>
      <c r="I6" s="14"/>
      <c r="J6" s="24" t="s">
        <v>39</v>
      </c>
      <c r="K6" s="23">
        <v>5.0</v>
      </c>
      <c r="M6" s="31" t="str">
        <f>HpLevel</f>
        <v>[0,6,6,6,6]</v>
      </c>
      <c r="N6" s="31" t="str">
        <f>if(left(M6,1)="[",M6,CONCATENATE("[",M6))</f>
        <v>[0,6,6,6,6]</v>
      </c>
      <c r="O6" s="31" t="str">
        <f>if(right(N6,1)="]",N6,CONCATENATE(N6,"]"))</f>
        <v>[0,6,6,6,6]</v>
      </c>
    </row>
    <row r="7">
      <c r="A7" s="22" t="s">
        <v>40</v>
      </c>
      <c r="B7" s="30" t="b">
        <v>0</v>
      </c>
      <c r="D7" s="24" t="s">
        <v>41</v>
      </c>
      <c r="E7" s="25" t="s">
        <v>42</v>
      </c>
      <c r="F7" s="25">
        <v>2.0</v>
      </c>
      <c r="G7" s="27" t="str">
        <f t="shared" si="1"/>
        <v>ignite</v>
      </c>
      <c r="H7" s="29" t="str">
        <f t="shared" si="2"/>
        <v>"{\n    \"UnitsInDeck\": 2,\n    \"Card\": \"ignite\"\n}"</v>
      </c>
      <c r="I7" s="14"/>
      <c r="J7" s="24" t="s">
        <v>43</v>
      </c>
      <c r="K7" s="23">
        <v>0.0</v>
      </c>
    </row>
    <row r="8">
      <c r="A8" s="22" t="s">
        <v>44</v>
      </c>
      <c r="B8" s="23" t="s">
        <v>45</v>
      </c>
      <c r="D8" s="24" t="s">
        <v>46</v>
      </c>
      <c r="E8" s="25" t="s">
        <v>47</v>
      </c>
      <c r="F8" s="25">
        <v>2.0</v>
      </c>
      <c r="G8" s="27" t="str">
        <f t="shared" si="1"/>
        <v>bbbdarkbrand</v>
      </c>
      <c r="H8" s="29" t="str">
        <f t="shared" si="2"/>
        <v>"{\n    \"UnitsInDeck\": 2,\n    \"Card\": \"bbbdarkbrand\"\n}"</v>
      </c>
      <c r="I8" s="14"/>
      <c r="J8" s="24" t="s">
        <v>48</v>
      </c>
      <c r="K8" s="23">
        <v>0.0</v>
      </c>
    </row>
    <row r="9">
      <c r="A9" s="22" t="s">
        <v>49</v>
      </c>
      <c r="B9" s="23" t="s">
        <v>50</v>
      </c>
      <c r="D9" s="24" t="s">
        <v>51</v>
      </c>
      <c r="E9" s="25" t="s">
        <v>52</v>
      </c>
      <c r="F9" s="25">
        <v>2.0</v>
      </c>
      <c r="G9" s="27" t="str">
        <f t="shared" si="1"/>
        <v>shadowflame</v>
      </c>
      <c r="H9" s="29" t="str">
        <f t="shared" si="2"/>
        <v>"{\n    \"UnitsInDeck\": 2,\n    \"Card\": \"shadowflame\"\n}"</v>
      </c>
      <c r="I9" s="14"/>
      <c r="J9" s="24" t="s">
        <v>53</v>
      </c>
      <c r="K9" s="23">
        <v>20.0</v>
      </c>
    </row>
    <row r="10">
      <c r="A10" s="32" t="s">
        <v>54</v>
      </c>
      <c r="B10" s="33"/>
      <c r="D10" s="24" t="s">
        <v>55</v>
      </c>
      <c r="E10" s="25" t="s">
        <v>56</v>
      </c>
      <c r="F10" s="25">
        <v>1.0</v>
      </c>
      <c r="G10" s="27" t="str">
        <f>concat(SubclassID,lower(Substitute(SUBSTITUTE(E10," ",""),"'","")))</f>
        <v>exaltedmartyr</v>
      </c>
      <c r="H10" s="29" t="str">
        <f t="shared" si="2"/>
        <v>"{\n    \"UnitsInDeck\": 1,\n    \"Card\": \"exaltedmartyr\"\n}"</v>
      </c>
      <c r="I10" s="14"/>
      <c r="J10" s="24" t="s">
        <v>57</v>
      </c>
      <c r="K10" s="23">
        <v>0.0</v>
      </c>
    </row>
    <row r="11">
      <c r="A11" s="13"/>
      <c r="B11" s="13"/>
      <c r="D11" s="32" t="s">
        <v>58</v>
      </c>
      <c r="E11" s="34"/>
      <c r="F11" s="35">
        <f>sum(F4:F10)</f>
        <v>15</v>
      </c>
      <c r="G11" s="36"/>
      <c r="H11" s="37"/>
      <c r="I11" s="14"/>
      <c r="J11" s="24" t="s">
        <v>59</v>
      </c>
      <c r="K11" s="23">
        <v>0.0</v>
      </c>
    </row>
    <row r="12">
      <c r="A12" s="13"/>
      <c r="B12" s="38" t="str">
        <f>lower(SUBSTITUTE(B4," ",""))</f>
        <v>exalted</v>
      </c>
      <c r="D12" s="3" t="s">
        <v>60</v>
      </c>
      <c r="H12" s="13"/>
      <c r="I12" s="14"/>
      <c r="J12" s="24" t="s">
        <v>61</v>
      </c>
      <c r="K12" s="23">
        <v>15.0</v>
      </c>
    </row>
    <row r="13">
      <c r="H13" s="39" t="s">
        <v>62</v>
      </c>
      <c r="I13" s="14"/>
      <c r="J13" s="24" t="s">
        <v>63</v>
      </c>
      <c r="K13" s="23">
        <v>20.0</v>
      </c>
    </row>
    <row r="14">
      <c r="H14" s="39" t="s">
        <v>64</v>
      </c>
      <c r="I14" s="14"/>
      <c r="J14" s="24" t="s">
        <v>65</v>
      </c>
      <c r="K14" s="23">
        <v>0.0</v>
      </c>
    </row>
    <row r="15">
      <c r="H15" s="39" t="s">
        <v>66</v>
      </c>
      <c r="I15" s="14"/>
      <c r="J15" s="40" t="s">
        <v>67</v>
      </c>
      <c r="K15" s="41">
        <v>1.0</v>
      </c>
    </row>
    <row r="16">
      <c r="G16" s="42"/>
      <c r="H16" s="13"/>
      <c r="I16" s="14"/>
      <c r="J16" s="43" t="s">
        <v>68</v>
      </c>
      <c r="K16" s="33">
        <v>3.0</v>
      </c>
    </row>
    <row r="17">
      <c r="H17" s="13"/>
      <c r="I17" s="14"/>
    </row>
    <row r="18">
      <c r="H18" s="13"/>
      <c r="I18" s="14"/>
    </row>
    <row r="19">
      <c r="H19" s="13"/>
      <c r="I19" s="14"/>
    </row>
    <row r="20">
      <c r="H20" s="13"/>
      <c r="I20" s="14"/>
    </row>
    <row r="21">
      <c r="H21" s="13"/>
      <c r="I21" s="14"/>
    </row>
    <row r="22">
      <c r="H22" s="13"/>
      <c r="I22" s="14"/>
    </row>
    <row r="23">
      <c r="A23" s="44"/>
      <c r="B23" s="44"/>
      <c r="H23" s="13"/>
      <c r="I23" s="14"/>
    </row>
    <row r="24">
      <c r="A24" s="44"/>
      <c r="B24" s="44"/>
      <c r="H24" s="13"/>
      <c r="I24" s="14"/>
    </row>
    <row r="25">
      <c r="A25" s="44"/>
      <c r="B25" s="44"/>
      <c r="H25" s="13"/>
      <c r="I25" s="14"/>
    </row>
    <row r="26">
      <c r="A26" s="44"/>
      <c r="B26" s="44"/>
      <c r="H26" s="13"/>
      <c r="I26" s="14"/>
    </row>
    <row r="27">
      <c r="A27" s="44"/>
      <c r="B27" s="44"/>
      <c r="H27" s="13"/>
      <c r="I27" s="14"/>
    </row>
    <row r="28">
      <c r="A28" s="44"/>
      <c r="B28" s="44"/>
      <c r="H28" s="13"/>
      <c r="I28" s="14"/>
    </row>
    <row r="29">
      <c r="A29" s="44"/>
      <c r="B29" s="44"/>
      <c r="H29" s="13"/>
      <c r="I29" s="14"/>
    </row>
    <row r="30">
      <c r="A30" s="44"/>
      <c r="B30" s="44"/>
      <c r="H30" s="13"/>
      <c r="I30" s="14"/>
    </row>
    <row r="31">
      <c r="A31" s="44"/>
      <c r="B31" s="44"/>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5"/>
      <c r="B1" s="7"/>
      <c r="C1" s="7"/>
      <c r="F1" s="7"/>
      <c r="G1" s="13"/>
    </row>
    <row r="2">
      <c r="A2" s="46" t="s">
        <v>13</v>
      </c>
      <c r="B2" s="47" t="s">
        <v>69</v>
      </c>
      <c r="C2" s="47" t="s">
        <v>44</v>
      </c>
      <c r="D2" s="48" t="s">
        <v>70</v>
      </c>
      <c r="E2" s="49" t="s">
        <v>71</v>
      </c>
      <c r="F2" s="50" t="s">
        <v>72</v>
      </c>
      <c r="G2" s="13"/>
      <c r="I2" s="13"/>
    </row>
    <row r="3">
      <c r="A3" s="24" t="s">
        <v>73</v>
      </c>
      <c r="B3" s="25" t="s">
        <v>74</v>
      </c>
      <c r="C3" s="25" t="s">
        <v>75</v>
      </c>
      <c r="D3" s="51" t="s">
        <v>76</v>
      </c>
      <c r="E3" s="25">
        <v>0.0</v>
      </c>
      <c r="F3" s="52"/>
      <c r="G3" s="13" t="s">
        <v>77</v>
      </c>
      <c r="I3" s="13"/>
    </row>
    <row r="4">
      <c r="A4" s="24" t="s">
        <v>78</v>
      </c>
      <c r="B4" s="25" t="s">
        <v>79</v>
      </c>
      <c r="C4" s="53"/>
      <c r="D4" s="54" t="s">
        <v>80</v>
      </c>
      <c r="E4" s="55">
        <f t="shared" ref="E4:E5" si="1">if(EQ(D4,"None"),0,"&lt;0&gt;")</f>
        <v>0</v>
      </c>
      <c r="F4" s="52" t="str">
        <f>concatenate(SubclassID,lower(SUBSTITUTE(B4," ","")))</f>
        <v>exaltedunholytouch</v>
      </c>
      <c r="G4" s="13" t="s">
        <v>81</v>
      </c>
      <c r="I4" s="13"/>
    </row>
    <row r="5">
      <c r="A5" s="24" t="s">
        <v>82</v>
      </c>
      <c r="B5" s="25" t="s">
        <v>83</v>
      </c>
      <c r="C5" s="53"/>
      <c r="D5" s="54" t="s">
        <v>80</v>
      </c>
      <c r="E5" s="55">
        <f t="shared" si="1"/>
        <v>0</v>
      </c>
      <c r="F5" s="52" t="str">
        <f>concatenate(SubclassID,lower(SUBSTITUTE(B5," ","")))</f>
        <v>exaltednetherimbuement</v>
      </c>
      <c r="G5" s="13" t="s">
        <v>84</v>
      </c>
      <c r="I5" s="13"/>
    </row>
    <row r="6">
      <c r="A6" s="24" t="s">
        <v>85</v>
      </c>
      <c r="B6" s="25" t="s">
        <v>86</v>
      </c>
      <c r="C6" s="25" t="s">
        <v>87</v>
      </c>
      <c r="D6" s="51" t="s">
        <v>88</v>
      </c>
      <c r="E6" s="25">
        <v>3.0</v>
      </c>
      <c r="F6" s="52"/>
      <c r="G6" s="13" t="s">
        <v>89</v>
      </c>
      <c r="I6" s="13"/>
    </row>
    <row r="7">
      <c r="A7" s="24" t="s">
        <v>90</v>
      </c>
      <c r="B7" s="25" t="s">
        <v>91</v>
      </c>
      <c r="C7" s="25" t="s">
        <v>92</v>
      </c>
      <c r="D7" s="51" t="s">
        <v>80</v>
      </c>
      <c r="E7" s="25">
        <v>0.0</v>
      </c>
      <c r="F7" s="52"/>
      <c r="G7" s="13" t="s">
        <v>93</v>
      </c>
      <c r="I7" s="13"/>
    </row>
    <row r="8">
      <c r="A8" s="24" t="s">
        <v>94</v>
      </c>
      <c r="B8" s="25" t="s">
        <v>95</v>
      </c>
      <c r="C8" s="53"/>
      <c r="D8" s="54" t="s">
        <v>80</v>
      </c>
      <c r="E8" s="55">
        <f t="shared" ref="E8:E9" si="2">if(EQ(D8,"None"),0,"&lt;0&gt;")</f>
        <v>0</v>
      </c>
      <c r="F8" s="52" t="s">
        <v>96</v>
      </c>
      <c r="G8" s="13" t="s">
        <v>97</v>
      </c>
      <c r="I8" s="13"/>
    </row>
    <row r="9">
      <c r="A9" s="24" t="s">
        <v>98</v>
      </c>
      <c r="B9" s="25" t="s">
        <v>99</v>
      </c>
      <c r="C9" s="53"/>
      <c r="D9" s="54" t="s">
        <v>80</v>
      </c>
      <c r="E9" s="55">
        <f t="shared" si="2"/>
        <v>0</v>
      </c>
      <c r="F9" s="52" t="s">
        <v>100</v>
      </c>
      <c r="G9" s="13" t="s">
        <v>101</v>
      </c>
      <c r="I9" s="13"/>
    </row>
    <row r="10">
      <c r="A10" s="24" t="s">
        <v>102</v>
      </c>
      <c r="B10" s="25" t="s">
        <v>103</v>
      </c>
      <c r="C10" s="25" t="s">
        <v>104</v>
      </c>
      <c r="D10" s="51" t="s">
        <v>80</v>
      </c>
      <c r="E10" s="25">
        <v>0.0</v>
      </c>
      <c r="F10" s="52"/>
      <c r="G10" s="13" t="s">
        <v>105</v>
      </c>
      <c r="I10" s="13"/>
    </row>
    <row r="11">
      <c r="A11" s="24" t="s">
        <v>106</v>
      </c>
      <c r="B11" s="25" t="s">
        <v>107</v>
      </c>
      <c r="C11" s="25" t="s">
        <v>108</v>
      </c>
      <c r="D11" s="51" t="s">
        <v>109</v>
      </c>
      <c r="E11" s="25">
        <v>0.0</v>
      </c>
      <c r="F11" s="52"/>
      <c r="G11" s="13" t="s">
        <v>110</v>
      </c>
      <c r="I11" s="13"/>
    </row>
    <row r="12">
      <c r="A12" s="56"/>
      <c r="D12" s="57"/>
      <c r="E12" s="57"/>
      <c r="G12" s="13"/>
      <c r="I12" s="13"/>
    </row>
    <row r="13">
      <c r="A13" s="58"/>
      <c r="C13" s="59"/>
      <c r="D13" s="60"/>
      <c r="E13" s="60"/>
      <c r="F13" s="61"/>
      <c r="G13" s="13"/>
      <c r="I13" s="13"/>
    </row>
    <row r="14">
      <c r="A14" s="40" t="s">
        <v>111</v>
      </c>
      <c r="B14" s="53" t="str">
        <f>concat(lower(substitute(Subclass," ","")),G3)</f>
        <v>exaltedtrait0</v>
      </c>
      <c r="D14" s="57"/>
      <c r="E14" s="57"/>
      <c r="G14" s="13"/>
      <c r="I14" s="13"/>
    </row>
    <row r="15">
      <c r="A15" s="40" t="s">
        <v>112</v>
      </c>
      <c r="B15" s="53" t="str">
        <f>concat(lower(substitute(Subclass," ","")),G4)</f>
        <v>exaltedtrait1a</v>
      </c>
      <c r="D15" s="62"/>
      <c r="E15" s="62"/>
      <c r="G15" s="13"/>
      <c r="I15" s="13"/>
    </row>
    <row r="16">
      <c r="A16" s="40" t="s">
        <v>113</v>
      </c>
      <c r="B16" s="53" t="str">
        <f>concat(lower(substitute(Subclass," ","")),G5)</f>
        <v>exaltedtrait1b</v>
      </c>
      <c r="D16" s="57"/>
      <c r="E16" s="57"/>
      <c r="G16" s="13"/>
      <c r="I16" s="13"/>
    </row>
    <row r="17">
      <c r="A17" s="40" t="s">
        <v>114</v>
      </c>
      <c r="B17" s="53" t="str">
        <f>concat(lower(substitute(Subclass," ","")),G6)</f>
        <v>exaltedtrait2a</v>
      </c>
      <c r="D17" s="62"/>
      <c r="E17" s="62"/>
      <c r="G17" s="13"/>
      <c r="I17" s="13"/>
    </row>
    <row r="18">
      <c r="A18" s="40" t="s">
        <v>115</v>
      </c>
      <c r="B18" s="53" t="str">
        <f>concat(lower(substitute(Subclass," ","")),G7)</f>
        <v>exaltedtrait2b</v>
      </c>
      <c r="D18" s="57"/>
      <c r="E18" s="57"/>
      <c r="G18" s="13"/>
      <c r="I18" s="13"/>
    </row>
    <row r="19">
      <c r="A19" s="40" t="s">
        <v>116</v>
      </c>
      <c r="B19" s="53" t="str">
        <f>concat(lower(substitute(Subclass," ","")),G8)</f>
        <v>exaltedtrait3a</v>
      </c>
      <c r="D19" s="62"/>
      <c r="E19" s="62"/>
      <c r="G19" s="13"/>
      <c r="I19" s="13"/>
    </row>
    <row r="20">
      <c r="A20" s="40" t="s">
        <v>117</v>
      </c>
      <c r="B20" s="53" t="str">
        <f>concat(lower(substitute(Subclass," ","")),G9)</f>
        <v>exaltedtrait3b</v>
      </c>
      <c r="D20" s="57"/>
      <c r="E20" s="57"/>
      <c r="G20" s="13"/>
      <c r="I20" s="13"/>
    </row>
    <row r="21">
      <c r="A21" s="40" t="s">
        <v>118</v>
      </c>
      <c r="B21" s="53" t="str">
        <f>concat(lower(substitute(Subclass," ","")),G10)</f>
        <v>exaltedtrait4a</v>
      </c>
      <c r="D21" s="62"/>
      <c r="E21" s="62"/>
      <c r="G21" s="13"/>
      <c r="I21" s="13"/>
    </row>
    <row r="22">
      <c r="A22" s="43" t="s">
        <v>119</v>
      </c>
      <c r="B22" s="34" t="str">
        <f>concat(lower(substitute(Subclass," ","")),G11)</f>
        <v>exaltedtrait4b</v>
      </c>
      <c r="D22" s="63"/>
      <c r="E22" s="63"/>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120</v>
      </c>
      <c r="B3" s="23" t="s">
        <v>121</v>
      </c>
      <c r="D3" s="40" t="s">
        <v>122</v>
      </c>
      <c r="E3" s="64" t="str">
        <f>concat(lower(substitute(Character," ","")),"Portrait")</f>
        <v>tellannPortrait</v>
      </c>
      <c r="G3" s="40" t="s">
        <v>123</v>
      </c>
      <c r="H3" s="41">
        <v>0.0</v>
      </c>
    </row>
    <row r="4">
      <c r="A4" s="40" t="s">
        <v>124</v>
      </c>
      <c r="B4" s="65" t="str">
        <f>concat("skin",lower(Character))</f>
        <v>skintellann</v>
      </c>
      <c r="D4" s="40" t="s">
        <v>125</v>
      </c>
      <c r="E4" s="64" t="str">
        <f>concat(lower(substitute(Character," ","")),"PortraitGrande")</f>
        <v>tellannPortraitGrande</v>
      </c>
      <c r="G4" s="40" t="s">
        <v>126</v>
      </c>
      <c r="H4" s="66" t="b">
        <v>1</v>
      </c>
    </row>
    <row r="5">
      <c r="A5" s="40" t="s">
        <v>127</v>
      </c>
      <c r="B5" s="41">
        <v>1.0</v>
      </c>
      <c r="D5" s="40" t="s">
        <v>128</v>
      </c>
      <c r="E5" s="64" t="str">
        <f>concat(lower(substitute(Character," ","")),"Silueta")</f>
        <v>tellannSilueta</v>
      </c>
      <c r="G5" s="40" t="s">
        <v>129</v>
      </c>
      <c r="H5" s="65" t="str">
        <f>concat("cardback",lower(substitute(Subclass," ","")))</f>
        <v>cardbackexalted</v>
      </c>
    </row>
    <row r="6">
      <c r="A6" s="40" t="s">
        <v>130</v>
      </c>
      <c r="B6" s="41" t="b">
        <v>1</v>
      </c>
      <c r="D6" s="43" t="s">
        <v>131</v>
      </c>
      <c r="E6" s="67" t="str">
        <f>concat(lower(substitute(Character," ","")),"SiluetaGrande")</f>
        <v>tellannSiluetaGrande</v>
      </c>
      <c r="G6" s="40" t="s">
        <v>132</v>
      </c>
      <c r="H6" s="41" t="s">
        <v>133</v>
      </c>
    </row>
    <row r="7">
      <c r="A7" s="43" t="s">
        <v>134</v>
      </c>
      <c r="B7" s="68"/>
      <c r="G7" s="40" t="s">
        <v>135</v>
      </c>
      <c r="H7" s="41">
        <v>1000.0</v>
      </c>
      <c r="I7" s="44"/>
    </row>
    <row r="8">
      <c r="D8" s="69" t="s">
        <v>136</v>
      </c>
      <c r="G8" s="40" t="s">
        <v>137</v>
      </c>
      <c r="H8" s="64" t="str">
        <f>concat("cardback",lower(substitute(Subclass," ","")))</f>
        <v>cardbackexalted</v>
      </c>
      <c r="I8" s="70" t="s">
        <v>138</v>
      </c>
    </row>
    <row r="9">
      <c r="D9" s="71" t="s">
        <v>139</v>
      </c>
      <c r="G9" s="40" t="s">
        <v>140</v>
      </c>
      <c r="H9" s="65" t="str">
        <f>SubclassID</f>
        <v>exalted</v>
      </c>
    </row>
    <row r="10">
      <c r="A10" s="72" t="s">
        <v>141</v>
      </c>
      <c r="B10" s="72" t="s">
        <v>142</v>
      </c>
      <c r="G10" s="40" t="s">
        <v>143</v>
      </c>
      <c r="H10" s="66" t="b">
        <v>0</v>
      </c>
    </row>
    <row r="11">
      <c r="A11" s="73" t="s">
        <v>144</v>
      </c>
      <c r="B11" s="74" t="s">
        <v>145</v>
      </c>
      <c r="D11" s="44"/>
      <c r="G11" s="40" t="s">
        <v>146</v>
      </c>
      <c r="H11" s="41">
        <v>0.0</v>
      </c>
    </row>
    <row r="12">
      <c r="A12" s="73" t="s">
        <v>147</v>
      </c>
      <c r="B12" s="74" t="s">
        <v>148</v>
      </c>
      <c r="G12" s="40" t="s">
        <v>149</v>
      </c>
      <c r="H12" s="41">
        <v>0.0</v>
      </c>
    </row>
    <row r="13">
      <c r="A13" s="73" t="s">
        <v>150</v>
      </c>
      <c r="B13" s="74" t="s">
        <v>151</v>
      </c>
      <c r="G13" s="40" t="s">
        <v>152</v>
      </c>
      <c r="H13" s="66" t="b">
        <v>0</v>
      </c>
    </row>
    <row r="14">
      <c r="A14" s="73" t="s">
        <v>153</v>
      </c>
      <c r="B14" s="74" t="s">
        <v>154</v>
      </c>
      <c r="G14" s="40" t="s">
        <v>155</v>
      </c>
      <c r="H14" s="75"/>
    </row>
    <row r="15">
      <c r="A15" s="73" t="s">
        <v>156</v>
      </c>
      <c r="B15" s="76" t="s">
        <v>157</v>
      </c>
      <c r="G15" s="43" t="s">
        <v>158</v>
      </c>
      <c r="H15" s="68"/>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5"/>
      <c r="B1" s="7"/>
      <c r="C1" s="7"/>
      <c r="H1" s="7" t="s">
        <v>159</v>
      </c>
    </row>
    <row r="2">
      <c r="A2" s="77" t="s">
        <v>13</v>
      </c>
      <c r="B2" s="47" t="s">
        <v>15</v>
      </c>
      <c r="C2" s="78" t="s">
        <v>17</v>
      </c>
      <c r="E2" s="17" t="s">
        <v>160</v>
      </c>
      <c r="F2" s="21" t="s">
        <v>14</v>
      </c>
      <c r="H2" s="79" t="s">
        <v>161</v>
      </c>
      <c r="I2" s="80" t="s">
        <v>162</v>
      </c>
      <c r="J2" s="81" t="s">
        <v>163</v>
      </c>
      <c r="K2" s="82" t="s">
        <v>164</v>
      </c>
    </row>
    <row r="3">
      <c r="A3" s="40" t="s">
        <v>165</v>
      </c>
      <c r="B3" s="55" t="str">
        <f>General!E10</f>
        <v>martyr</v>
      </c>
      <c r="C3" s="65" t="str">
        <f t="array" ref="C3">index(Starter_Cards[Card ID],8)</f>
        <v>exaltedmartyr</v>
      </c>
      <c r="E3" s="24" t="s">
        <v>166</v>
      </c>
      <c r="F3" s="83" t="s">
        <v>167</v>
      </c>
      <c r="H3" s="79" t="s">
        <v>168</v>
      </c>
      <c r="I3" s="80" t="s">
        <v>169</v>
      </c>
      <c r="J3" s="81" t="s">
        <v>170</v>
      </c>
      <c r="K3" s="82" t="s">
        <v>171</v>
      </c>
    </row>
    <row r="4">
      <c r="A4" s="24" t="s">
        <v>172</v>
      </c>
      <c r="B4" s="84" t="s">
        <v>27</v>
      </c>
      <c r="C4" s="65" t="str">
        <f t="shared" ref="C4:C7" si="1">lower(SUBSTITUTE(B4," ",""))</f>
        <v>innerfire</v>
      </c>
      <c r="E4" s="24" t="s">
        <v>173</v>
      </c>
      <c r="F4" s="83" t="s">
        <v>174</v>
      </c>
      <c r="H4" s="79" t="s">
        <v>175</v>
      </c>
      <c r="I4" s="80" t="s">
        <v>176</v>
      </c>
      <c r="J4" s="81" t="s">
        <v>177</v>
      </c>
      <c r="K4" s="82" t="s">
        <v>178</v>
      </c>
    </row>
    <row r="5">
      <c r="A5" s="24" t="s">
        <v>179</v>
      </c>
      <c r="B5" s="84" t="s">
        <v>32</v>
      </c>
      <c r="C5" s="65" t="str">
        <f t="shared" si="1"/>
        <v>innercombustion</v>
      </c>
      <c r="E5" s="24" t="s">
        <v>180</v>
      </c>
      <c r="F5" s="85" t="s">
        <v>181</v>
      </c>
      <c r="H5" s="79" t="s">
        <v>182</v>
      </c>
      <c r="I5" s="80" t="s">
        <v>183</v>
      </c>
      <c r="J5" s="81" t="s">
        <v>184</v>
      </c>
      <c r="K5" s="82" t="s">
        <v>185</v>
      </c>
    </row>
    <row r="6">
      <c r="A6" s="24" t="s">
        <v>186</v>
      </c>
      <c r="B6" s="84" t="s">
        <v>47</v>
      </c>
      <c r="C6" s="65" t="str">
        <f t="shared" si="1"/>
        <v>bbbdarkbrand</v>
      </c>
      <c r="E6" s="24" t="s">
        <v>187</v>
      </c>
      <c r="F6" s="83" t="s">
        <v>188</v>
      </c>
      <c r="H6" s="79" t="s">
        <v>189</v>
      </c>
      <c r="I6" s="80" t="s">
        <v>190</v>
      </c>
      <c r="J6" s="81" t="s">
        <v>167</v>
      </c>
      <c r="K6" s="82" t="s">
        <v>191</v>
      </c>
    </row>
    <row r="7">
      <c r="A7" s="86" t="s">
        <v>192</v>
      </c>
      <c r="B7" s="87" t="s">
        <v>52</v>
      </c>
      <c r="C7" s="88" t="str">
        <f t="shared" si="1"/>
        <v>shadowflame</v>
      </c>
      <c r="E7" s="24" t="s">
        <v>193</v>
      </c>
      <c r="F7" s="83" t="s">
        <v>191</v>
      </c>
      <c r="H7" s="79" t="s">
        <v>194</v>
      </c>
      <c r="I7" s="80" t="s">
        <v>195</v>
      </c>
      <c r="J7" s="81" t="s">
        <v>196</v>
      </c>
      <c r="K7" s="82" t="s">
        <v>197</v>
      </c>
    </row>
    <row r="8">
      <c r="C8" s="14"/>
      <c r="E8" s="24" t="s">
        <v>198</v>
      </c>
      <c r="F8" s="83" t="s">
        <v>199</v>
      </c>
      <c r="H8" s="79" t="s">
        <v>200</v>
      </c>
      <c r="I8" s="80" t="s">
        <v>201</v>
      </c>
      <c r="J8" s="81" t="s">
        <v>174</v>
      </c>
      <c r="K8" s="82" t="s">
        <v>202</v>
      </c>
    </row>
    <row r="9">
      <c r="C9" s="14"/>
      <c r="E9" s="86" t="s">
        <v>203</v>
      </c>
      <c r="F9" s="89" t="s">
        <v>197</v>
      </c>
      <c r="H9" s="79" t="s">
        <v>204</v>
      </c>
      <c r="I9" s="80" t="s">
        <v>205</v>
      </c>
      <c r="J9" s="81" t="s">
        <v>199</v>
      </c>
      <c r="K9" s="82" t="s">
        <v>206</v>
      </c>
    </row>
    <row r="10">
      <c r="H10" s="79" t="s">
        <v>207</v>
      </c>
      <c r="I10" s="80" t="s">
        <v>208</v>
      </c>
      <c r="J10" s="81" t="s">
        <v>209</v>
      </c>
      <c r="K10" s="82" t="s">
        <v>210</v>
      </c>
    </row>
    <row r="11">
      <c r="H11" s="79" t="s">
        <v>211</v>
      </c>
      <c r="I11" s="80" t="s">
        <v>212</v>
      </c>
      <c r="J11" s="81" t="s">
        <v>213</v>
      </c>
      <c r="K11" s="82" t="s">
        <v>214</v>
      </c>
    </row>
    <row r="12">
      <c r="H12" s="79" t="s">
        <v>215</v>
      </c>
      <c r="I12" s="80" t="s">
        <v>216</v>
      </c>
      <c r="J12" s="81" t="s">
        <v>188</v>
      </c>
      <c r="K12" s="82" t="s">
        <v>217</v>
      </c>
    </row>
    <row r="13">
      <c r="H13" s="79" t="s">
        <v>218</v>
      </c>
      <c r="I13" s="80" t="s">
        <v>219</v>
      </c>
      <c r="K13" s="82" t="s">
        <v>220</v>
      </c>
    </row>
    <row r="14">
      <c r="K14" s="90" t="s">
        <v>181</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221</v>
      </c>
      <c r="C1" s="93" t="s">
        <v>222</v>
      </c>
    </row>
    <row r="2">
      <c r="A2" s="94" t="str">
        <f t="array" ref="A2">index(Starter_Cards[Card Name],8)</f>
        <v>martyr</v>
      </c>
      <c r="B2" s="53" t="str">
        <f t="shared" ref="B2:B16" si="1">CONCATENATE($F$2,C2,$F$2)</f>
        <v>"exaltedmartyr"</v>
      </c>
      <c r="C2" s="95" t="str">
        <f t="array" ref="C2">index(Starter_Cards[Card ID],8)</f>
        <v>exaltedmartyr</v>
      </c>
      <c r="F2" s="96" t="s">
        <v>223</v>
      </c>
    </row>
    <row r="3">
      <c r="A3" s="97" t="s">
        <v>27</v>
      </c>
      <c r="B3" s="53" t="str">
        <f t="shared" si="1"/>
        <v>"innerfire"</v>
      </c>
      <c r="C3" s="27" t="str">
        <f t="shared" ref="C3:C16" si="2">lower(Substitute(SUBSTITUTE(A3," ",""),"'",""))</f>
        <v>innerfire</v>
      </c>
    </row>
    <row r="4">
      <c r="A4" s="97" t="s">
        <v>32</v>
      </c>
      <c r="B4" s="53" t="str">
        <f t="shared" si="1"/>
        <v>"innercombustion"</v>
      </c>
      <c r="C4" s="27" t="str">
        <f t="shared" si="2"/>
        <v>innercombustion</v>
      </c>
    </row>
    <row r="5">
      <c r="A5" s="97" t="s">
        <v>38</v>
      </c>
      <c r="B5" s="53" t="str">
        <f t="shared" si="1"/>
        <v>"shadowbolt"</v>
      </c>
      <c r="C5" s="27" t="str">
        <f t="shared" si="2"/>
        <v>shadowbolt</v>
      </c>
    </row>
    <row r="6">
      <c r="A6" s="97" t="s">
        <v>42</v>
      </c>
      <c r="B6" s="53" t="str">
        <f t="shared" si="1"/>
        <v>"ignite"</v>
      </c>
      <c r="C6" s="27" t="str">
        <f t="shared" si="2"/>
        <v>ignite</v>
      </c>
    </row>
    <row r="7">
      <c r="A7" s="97" t="s">
        <v>47</v>
      </c>
      <c r="B7" s="53" t="str">
        <f t="shared" si="1"/>
        <v>"bbbdarkbrand"</v>
      </c>
      <c r="C7" s="27" t="str">
        <f t="shared" si="2"/>
        <v>bbbdarkbrand</v>
      </c>
    </row>
    <row r="8">
      <c r="A8" s="97" t="s">
        <v>52</v>
      </c>
      <c r="B8" s="53" t="str">
        <f t="shared" si="1"/>
        <v>"shadowflame"</v>
      </c>
      <c r="C8" s="27" t="str">
        <f t="shared" si="2"/>
        <v>shadowflame</v>
      </c>
    </row>
    <row r="9">
      <c r="A9" s="97" t="s">
        <v>224</v>
      </c>
      <c r="B9" s="53" t="str">
        <f t="shared" si="1"/>
        <v>"preservation"</v>
      </c>
      <c r="C9" s="27" t="str">
        <f t="shared" si="2"/>
        <v>preservation</v>
      </c>
    </row>
    <row r="10">
      <c r="A10" s="97" t="s">
        <v>225</v>
      </c>
      <c r="B10" s="53" t="str">
        <f t="shared" si="1"/>
        <v>"curseofdecay"</v>
      </c>
      <c r="C10" s="27" t="str">
        <f t="shared" si="2"/>
        <v>curseofdecay</v>
      </c>
    </row>
    <row r="11">
      <c r="A11" s="97" t="s">
        <v>226</v>
      </c>
      <c r="B11" s="53" t="str">
        <f t="shared" si="1"/>
        <v>"searingnova"</v>
      </c>
      <c r="C11" s="27" t="str">
        <f t="shared" si="2"/>
        <v>searingnova</v>
      </c>
    </row>
    <row r="12">
      <c r="A12" s="97" t="s">
        <v>227</v>
      </c>
      <c r="B12" s="53" t="str">
        <f t="shared" si="1"/>
        <v>"searingtouch"</v>
      </c>
      <c r="C12" s="27" t="str">
        <f t="shared" si="2"/>
        <v>searingtouch</v>
      </c>
    </row>
    <row r="13">
      <c r="A13" s="97" t="s">
        <v>228</v>
      </c>
      <c r="B13" s="53" t="str">
        <f t="shared" si="1"/>
        <v>"fireblast"</v>
      </c>
      <c r="C13" s="27" t="str">
        <f t="shared" si="2"/>
        <v>fireblast</v>
      </c>
    </row>
    <row r="14">
      <c r="A14" s="97" t="s">
        <v>229</v>
      </c>
      <c r="B14" s="53" t="str">
        <f t="shared" si="1"/>
        <v>"curseoffragility"</v>
      </c>
      <c r="C14" s="27" t="str">
        <f t="shared" si="2"/>
        <v>curseoffragility</v>
      </c>
    </row>
    <row r="15">
      <c r="A15" s="97" t="s">
        <v>230</v>
      </c>
      <c r="B15" s="53" t="str">
        <f t="shared" si="1"/>
        <v>"curseofexhaustion"</v>
      </c>
      <c r="C15" s="27" t="str">
        <f t="shared" si="2"/>
        <v>curseofexhaustion</v>
      </c>
    </row>
    <row r="16">
      <c r="A16" s="98" t="s">
        <v>231</v>
      </c>
      <c r="B16" s="34" t="str">
        <f t="shared" si="1"/>
        <v>"pestilence"</v>
      </c>
      <c r="C16" s="88" t="str">
        <f t="shared" si="2"/>
        <v>pestilence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232</v>
      </c>
      <c r="B1" s="5" t="s">
        <v>233</v>
      </c>
      <c r="C1" s="99" t="s">
        <v>234</v>
      </c>
      <c r="D1" s="5" t="s">
        <v>166</v>
      </c>
      <c r="E1" s="5" t="s">
        <v>173</v>
      </c>
      <c r="F1" s="5" t="s">
        <v>180</v>
      </c>
      <c r="G1" s="5" t="s">
        <v>187</v>
      </c>
      <c r="H1" s="5" t="s">
        <v>193</v>
      </c>
      <c r="I1" s="5" t="s">
        <v>198</v>
      </c>
      <c r="J1" s="5" t="s">
        <v>203</v>
      </c>
      <c r="K1" s="5" t="s">
        <v>235</v>
      </c>
      <c r="L1" s="5" t="s">
        <v>236</v>
      </c>
      <c r="M1" s="5" t="s">
        <v>237</v>
      </c>
      <c r="N1" s="5" t="s">
        <v>67</v>
      </c>
      <c r="O1" s="5" t="s">
        <v>238</v>
      </c>
      <c r="P1" s="5" t="s">
        <v>40</v>
      </c>
      <c r="Q1" s="5" t="s">
        <v>239</v>
      </c>
      <c r="R1" s="5" t="s">
        <v>240</v>
      </c>
      <c r="S1" s="5" t="s">
        <v>241</v>
      </c>
      <c r="T1" s="5" t="s">
        <v>242</v>
      </c>
      <c r="U1" s="5" t="s">
        <v>54</v>
      </c>
      <c r="V1" s="5" t="s">
        <v>28</v>
      </c>
      <c r="W1" s="5" t="s">
        <v>243</v>
      </c>
      <c r="X1" s="5" t="s">
        <v>244</v>
      </c>
      <c r="Y1" s="5" t="s">
        <v>245</v>
      </c>
      <c r="Z1" s="5" t="s">
        <v>246</v>
      </c>
      <c r="AA1" s="5" t="s">
        <v>247</v>
      </c>
      <c r="AB1" s="5" t="s">
        <v>248</v>
      </c>
      <c r="AC1" s="5" t="s">
        <v>249</v>
      </c>
      <c r="AD1" s="5" t="s">
        <v>250</v>
      </c>
      <c r="AE1" s="5" t="s">
        <v>251</v>
      </c>
      <c r="AF1" s="5" t="s">
        <v>252</v>
      </c>
      <c r="AG1" s="5" t="s">
        <v>253</v>
      </c>
      <c r="AH1" s="5" t="s">
        <v>254</v>
      </c>
      <c r="AI1" s="5" t="s">
        <v>255</v>
      </c>
      <c r="AJ1" s="5" t="s">
        <v>23</v>
      </c>
      <c r="AK1" s="5" t="s">
        <v>256</v>
      </c>
      <c r="AL1" s="5" t="s">
        <v>257</v>
      </c>
      <c r="AM1" s="5" t="s">
        <v>258</v>
      </c>
      <c r="AN1" s="5" t="s">
        <v>259</v>
      </c>
      <c r="AO1" s="5" t="s">
        <v>260</v>
      </c>
      <c r="AP1" s="5" t="s">
        <v>261</v>
      </c>
      <c r="AQ1" s="5" t="s">
        <v>262</v>
      </c>
      <c r="AR1" s="5" t="s">
        <v>263</v>
      </c>
      <c r="AS1" s="5" t="s">
        <v>264</v>
      </c>
      <c r="AT1" s="5" t="s">
        <v>265</v>
      </c>
      <c r="AU1" s="5" t="s">
        <v>266</v>
      </c>
      <c r="AV1" s="5" t="s">
        <v>267</v>
      </c>
      <c r="AW1" s="5" t="s">
        <v>268</v>
      </c>
      <c r="AX1" s="5" t="s">
        <v>269</v>
      </c>
      <c r="AY1" s="5" t="s">
        <v>270</v>
      </c>
      <c r="AZ1" s="5" t="s">
        <v>271</v>
      </c>
      <c r="BA1" s="100" t="s">
        <v>272</v>
      </c>
      <c r="BB1" s="99" t="s">
        <v>273</v>
      </c>
    </row>
    <row r="2">
      <c r="A2" s="100"/>
      <c r="B2" s="100" t="b">
        <v>1</v>
      </c>
      <c r="C2" s="5" t="str">
        <f>concatenate("[",textjoin(", ",TRUE,Starter_Cards[Json]),"]")</f>
        <v>["{\n    \"UnitsInDeck\": 3,\n    \"Card\": \"innerfire\"\n}", "{\n    \"UnitsInDeck\": 3,\n    \"Card\": \"innercombustion\"\n}", "{\n    \"UnitsInDeck\": 2,\n    \"Card\": \"shadowbolt\"\n}", "{\n    \"UnitsInDeck\": 2,\n    \"Card\": \"ignite\"\n}", "{\n    \"UnitsInDeck\": 2,\n    \"Card\": \"bbbdarkbrand\"\n}", "{\n    \"UnitsInDeck\": 2,\n    \"Card\": \"shadowflame\"\n}", "{\n    \"UnitsInDeck\": 1,\n    \"Card\": \"exaltedmartyr\"\n}"]</v>
      </c>
      <c r="D2" s="5" t="str">
        <f t="array" ref="D2">index(OC_Pack_Names[Value],1,1)</f>
        <v>inferno</v>
      </c>
      <c r="E2" s="5" t="str">
        <f t="array" ref="E2">index(OC_Pack_Names[Value],2,1)</f>
        <v>shadowmancer</v>
      </c>
      <c r="F2" s="5" t="str">
        <f t="array" ref="F2">index(OC_Pack_Names[Value],3,1)</f>
        <v>zealot</v>
      </c>
      <c r="G2" s="5" t="str">
        <f t="array" ref="G2">index(OC_Pack_Names[Value],4,1)</f>
        <v>wizard</v>
      </c>
      <c r="H2" s="5" t="str">
        <f t="array" ref="H2">index(OC_Pack_Names[Value],5,1)</f>
        <v>heretic</v>
      </c>
      <c r="I2" s="5" t="str">
        <f t="array" ref="I2">index(OC_Pack_Names[Value],6,1)</f>
        <v>sorcerer</v>
      </c>
      <c r="J2" s="5" t="str">
        <f t="array" ref="J2">index(OC_Pack_Names[Value],7,1)</f>
        <v>justicar</v>
      </c>
      <c r="K2" s="5" t="str">
        <f>Description</f>
        <v>There are many cults scatterd throughout the world. Many know of Erekhel aand the fiery cult present in Velkarath. Fewer know of that headed by Tellann. His cult lingers in the darkness and worships a sinister light. </v>
      </c>
      <c r="L2" s="5" t="str">
        <f>Strengths</f>
        <v>This character excels at Zeal, Fire, and Dark</v>
      </c>
      <c r="M2" s="5" t="str">
        <f>Character</f>
        <v>Tellann</v>
      </c>
      <c r="N2" s="5">
        <f>Energy</f>
        <v>1</v>
      </c>
      <c r="O2" s="5">
        <f>EnergyTurn</f>
        <v>3</v>
      </c>
      <c r="P2" s="5" t="b">
        <f>Female</f>
        <v>0</v>
      </c>
      <c r="Q2" s="100">
        <v>0.0</v>
      </c>
      <c r="R2" s="100">
        <v>3.40000009536743</v>
      </c>
      <c r="S2" s="5" t="str">
        <f>lower(substitute(Class," ",""))</f>
        <v>mage</v>
      </c>
      <c r="T2" s="5" t="str">
        <f>lower(SecondaryClass)</f>
        <v>healer</v>
      </c>
      <c r="U2" s="5" t="str">
        <f>HitSound</f>
        <v/>
      </c>
      <c r="V2" s="5">
        <f>Hp</f>
        <v>70</v>
      </c>
      <c r="W2" s="5" t="str">
        <f>lower(substitute(Subclass," ",""))</f>
        <v>exalted</v>
      </c>
      <c r="X2" s="5" t="str">
        <f t="array" ref="X2">index(Starter_Cards[Card ID],1,1)</f>
        <v>exaltedexaltedstaff</v>
      </c>
      <c r="Y2" s="5" t="str">
        <f>HPLevelList</f>
        <v>[0,6,6,6,6]</v>
      </c>
      <c r="Z2" s="100">
        <v>5.0</v>
      </c>
      <c r="AA2" s="5">
        <f>Slash</f>
        <v>5</v>
      </c>
      <c r="AB2" s="5">
        <f>Blunt</f>
        <v>0</v>
      </c>
      <c r="AC2" s="5">
        <f>Pierce</f>
        <v>0</v>
      </c>
      <c r="AD2" s="5">
        <f>Fire</f>
        <v>20</v>
      </c>
      <c r="AE2" s="5">
        <f>Cold</f>
        <v>0</v>
      </c>
      <c r="AF2" s="5">
        <f>Lightning</f>
        <v>0</v>
      </c>
      <c r="AG2" s="5">
        <f>Holy</f>
        <v>15</v>
      </c>
      <c r="AH2" s="5">
        <f>Shadow</f>
        <v>20</v>
      </c>
      <c r="AI2" s="5">
        <f>Mind</f>
        <v>0</v>
      </c>
      <c r="AJ2" s="5">
        <f>Speed</f>
        <v>9</v>
      </c>
      <c r="AK2" s="5" t="str">
        <f>Silueta</f>
        <v>tellannSilueta</v>
      </c>
      <c r="AL2" s="100"/>
      <c r="AM2" s="100"/>
      <c r="AN2" s="100"/>
      <c r="AO2" s="100"/>
      <c r="AP2" s="100"/>
      <c r="AQ2" s="100">
        <v>0.100000001490116</v>
      </c>
      <c r="AR2" s="5" t="str">
        <f>Subclass</f>
        <v>Exalted</v>
      </c>
      <c r="AS2" s="5" t="str">
        <f t="array" ref="AS2">index(TraitFilenames,1,1)</f>
        <v>exaltedtrait0</v>
      </c>
      <c r="AT2" s="5" t="str">
        <f t="array" ref="AT2">index(TraitFilenames,2,1)</f>
        <v>exaltedtrait1a</v>
      </c>
      <c r="AU2" s="5" t="str">
        <f t="array" ref="AU2">index(TraitFilenames,3,1)</f>
        <v>exaltedtrait1b</v>
      </c>
      <c r="AV2" s="5" t="str">
        <f t="array" ref="AV2">index(TraitFilenames,4,1)</f>
        <v>exaltedtrait2a</v>
      </c>
      <c r="AW2" s="5" t="str">
        <f t="array" ref="AW2">index(TraitFilenames,5,1)</f>
        <v>exaltedtrait2b</v>
      </c>
      <c r="AX2" s="5" t="str">
        <f t="array" ref="AX2">index(TraitFilenames,6,1)</f>
        <v>exaltedtrait3a</v>
      </c>
      <c r="AY2" s="5" t="str">
        <f t="array" ref="AY2">index(TraitFilenames,7,1)</f>
        <v>exaltedtrait3b</v>
      </c>
      <c r="AZ2" s="5" t="str">
        <f t="array" ref="AZ2">index(TraitFilenames,8,1)</f>
        <v>exaltedtrait4a</v>
      </c>
      <c r="BA2" s="5" t="str">
        <f t="array" ref="BA2">index(TraitFilenames,9,1)</f>
        <v>exaltedtrait4b</v>
      </c>
      <c r="BB2" s="5" t="str">
        <f>concatenate("[",textjoin(", ",TRUE,SingularityDeck[Card Strings]),"]")</f>
        <v>["exaltedmartyr", "innerfire", "innercombustion", "shadowbolt", "ignite", "bbbdarkbrand", "shadowflame", "preservation", "curseofdecay", "searingnova", "searingtouch", "fireblast", "curseoffragility", "curseofexhaustion", "pestilence"]</v>
      </c>
    </row>
    <row r="3">
      <c r="A3" s="44"/>
      <c r="B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row>
    <row r="4">
      <c r="A4" s="44"/>
    </row>
    <row r="5">
      <c r="A5" s="44"/>
      <c r="L5" s="44"/>
    </row>
    <row r="6">
      <c r="A6" s="44"/>
      <c r="L6" s="44"/>
    </row>
    <row r="7">
      <c r="A7" s="44"/>
      <c r="L7" s="44"/>
    </row>
    <row r="8">
      <c r="A8" s="44"/>
      <c r="L8" s="44"/>
    </row>
    <row r="9">
      <c r="A9" s="44"/>
      <c r="L9" s="44"/>
    </row>
    <row r="10">
      <c r="A10" s="44"/>
      <c r="L10" s="44"/>
    </row>
    <row r="11">
      <c r="A11" s="44"/>
      <c r="L11" s="44"/>
    </row>
    <row r="12">
      <c r="A12" s="44"/>
      <c r="L12" s="44"/>
    </row>
    <row r="13">
      <c r="A13" s="44"/>
      <c r="L13" s="44"/>
    </row>
    <row r="14">
      <c r="A14" s="44"/>
      <c r="L14" s="44"/>
    </row>
    <row r="15">
      <c r="A15" s="44"/>
      <c r="L15" s="44"/>
    </row>
    <row r="16">
      <c r="A16" s="44"/>
      <c r="L16" s="44"/>
    </row>
    <row r="17">
      <c r="A17" s="44"/>
      <c r="L17" s="44"/>
    </row>
    <row r="18">
      <c r="A18" s="44"/>
      <c r="L18" s="44"/>
    </row>
    <row r="19">
      <c r="A19" s="44"/>
      <c r="L19" s="44"/>
    </row>
    <row r="20">
      <c r="A20" s="44"/>
      <c r="L20" s="44"/>
    </row>
    <row r="21">
      <c r="A21" s="44"/>
      <c r="L21" s="44"/>
    </row>
    <row r="22">
      <c r="A22" s="44"/>
      <c r="L22" s="44"/>
    </row>
    <row r="23">
      <c r="A23" s="44"/>
      <c r="L23" s="44"/>
    </row>
    <row r="24">
      <c r="A24" s="44"/>
      <c r="L24" s="44"/>
    </row>
    <row r="25">
      <c r="A25" s="44"/>
      <c r="L25" s="44"/>
    </row>
    <row r="26">
      <c r="A26" s="44"/>
      <c r="L26" s="44"/>
    </row>
    <row r="27">
      <c r="A27" s="44"/>
      <c r="L27" s="44"/>
    </row>
    <row r="28">
      <c r="A28" s="44"/>
      <c r="L28" s="44"/>
    </row>
    <row r="29">
      <c r="A29" s="44"/>
      <c r="L29" s="44"/>
    </row>
    <row r="30">
      <c r="A30" s="44"/>
      <c r="L30" s="44"/>
    </row>
    <row r="31">
      <c r="A31" s="44"/>
      <c r="L31" s="44"/>
    </row>
    <row r="32">
      <c r="A32" s="44"/>
      <c r="L32" s="44"/>
    </row>
    <row r="33">
      <c r="A33" s="44"/>
      <c r="L33" s="44"/>
    </row>
    <row r="34">
      <c r="A34" s="44"/>
      <c r="L34" s="44"/>
    </row>
    <row r="35">
      <c r="A35" s="44"/>
      <c r="L35" s="44"/>
    </row>
    <row r="36">
      <c r="A36" s="44"/>
      <c r="L36" s="44"/>
    </row>
    <row r="37">
      <c r="A37" s="44"/>
      <c r="L37" s="44"/>
    </row>
    <row r="38">
      <c r="A38" s="44"/>
      <c r="L38" s="44"/>
    </row>
    <row r="39">
      <c r="A39" s="44"/>
      <c r="L39" s="44"/>
    </row>
    <row r="40">
      <c r="A40" s="44"/>
      <c r="L40" s="44"/>
    </row>
    <row r="41">
      <c r="A41" s="44"/>
      <c r="L41" s="44"/>
    </row>
    <row r="42">
      <c r="A42" s="44"/>
      <c r="L42" s="44"/>
    </row>
    <row r="43">
      <c r="A43" s="44"/>
      <c r="L43" s="44"/>
    </row>
    <row r="44">
      <c r="A44" s="44"/>
      <c r="L44" s="44"/>
    </row>
    <row r="45">
      <c r="A45" s="44"/>
      <c r="L45" s="44"/>
    </row>
    <row r="46">
      <c r="A46" s="44"/>
      <c r="L46" s="44"/>
    </row>
    <row r="47">
      <c r="A47" s="44"/>
      <c r="L47" s="44"/>
    </row>
    <row r="48">
      <c r="A48" s="44"/>
      <c r="L48" s="44"/>
    </row>
    <row r="49">
      <c r="A49" s="44"/>
      <c r="L49" s="44"/>
    </row>
    <row r="50">
      <c r="A50" s="44"/>
      <c r="L50" s="44"/>
    </row>
    <row r="51">
      <c r="A51" s="44"/>
      <c r="L51" s="44"/>
    </row>
    <row r="52">
      <c r="A52" s="44"/>
      <c r="L52" s="44"/>
    </row>
    <row r="53">
      <c r="A53" s="44"/>
      <c r="L53" s="44"/>
    </row>
    <row r="54">
      <c r="A54" s="44"/>
      <c r="L54" s="44"/>
    </row>
    <row r="55">
      <c r="A55" s="44"/>
      <c r="L55" s="44"/>
    </row>
    <row r="56">
      <c r="A56" s="44"/>
      <c r="L56" s="44"/>
    </row>
    <row r="57">
      <c r="A57" s="44"/>
      <c r="L57" s="44"/>
    </row>
    <row r="58">
      <c r="A58" s="44"/>
      <c r="L58" s="44"/>
    </row>
    <row r="59">
      <c r="A59" s="44"/>
      <c r="L59" s="44"/>
    </row>
    <row r="60">
      <c r="A60" s="44"/>
      <c r="L60" s="44"/>
    </row>
    <row r="61">
      <c r="A61" s="44"/>
      <c r="L61" s="44"/>
    </row>
    <row r="62">
      <c r="A62" s="44"/>
      <c r="L62" s="44"/>
    </row>
    <row r="63">
      <c r="A63" s="44"/>
      <c r="L63" s="44"/>
    </row>
    <row r="64">
      <c r="A64" s="44"/>
      <c r="L64" s="44"/>
    </row>
    <row r="65">
      <c r="A65" s="44"/>
      <c r="L65" s="44"/>
    </row>
    <row r="66">
      <c r="A66" s="44"/>
      <c r="L66" s="44"/>
    </row>
    <row r="67">
      <c r="A67" s="44"/>
      <c r="L67" s="44"/>
    </row>
    <row r="68">
      <c r="A68" s="44"/>
      <c r="L68" s="44"/>
    </row>
    <row r="69">
      <c r="A69" s="44"/>
      <c r="L69" s="44"/>
    </row>
    <row r="70">
      <c r="A70" s="44"/>
      <c r="L70" s="44"/>
    </row>
    <row r="71">
      <c r="A71" s="44"/>
      <c r="L71" s="44"/>
    </row>
    <row r="72">
      <c r="L72" s="44"/>
    </row>
    <row r="73">
      <c r="L7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165</v>
      </c>
      <c r="B1" s="99" t="s">
        <v>172</v>
      </c>
      <c r="C1" s="99" t="s">
        <v>179</v>
      </c>
      <c r="D1" s="99" t="s">
        <v>186</v>
      </c>
      <c r="E1" s="99" t="s">
        <v>192</v>
      </c>
      <c r="F1" s="99" t="s">
        <v>274</v>
      </c>
      <c r="G1" s="99" t="s">
        <v>275</v>
      </c>
      <c r="H1" s="99" t="s">
        <v>276</v>
      </c>
      <c r="I1" s="99" t="s">
        <v>277</v>
      </c>
      <c r="J1" s="99" t="s">
        <v>278</v>
      </c>
      <c r="K1" s="99" t="s">
        <v>279</v>
      </c>
      <c r="L1" s="99" t="s">
        <v>280</v>
      </c>
      <c r="M1" s="99" t="s">
        <v>281</v>
      </c>
    </row>
    <row r="2">
      <c r="A2" s="5" t="str">
        <f t="array" ref="A2">index(Obelisk_Challenge_Starter_Pack[Card ID],1,1)</f>
        <v>exaltedmartyr</v>
      </c>
      <c r="B2" s="5" t="str">
        <f t="array" ref="B2">index(Obelisk_Challenge_Starter_Pack[Card ID],2,1)</f>
        <v>innerfire</v>
      </c>
      <c r="C2" s="5" t="str">
        <f t="array" ref="C2">index(Obelisk_Challenge_Starter_Pack[Card ID],3,1)</f>
        <v>innercombustion</v>
      </c>
      <c r="D2" s="5" t="str">
        <f t="array" ref="D2">index(Obelisk_Challenge_Starter_Pack[Card ID],4,1)</f>
        <v>bbbdarkbrand</v>
      </c>
      <c r="E2" s="5" t="str">
        <f t="array" ref="E2">index(Obelisk_Challenge_Starter_Pack[Card ID],5,1)</f>
        <v>shadowflame</v>
      </c>
      <c r="F2" s="5"/>
      <c r="G2" s="5"/>
      <c r="H2" s="5"/>
      <c r="I2" s="5" t="str">
        <f>lower(Class)</f>
        <v>mage</v>
      </c>
      <c r="J2" s="5" t="str">
        <f>lower(substitute(Character," ",""))</f>
        <v>tellann</v>
      </c>
      <c r="K2" s="5" t="str">
        <f>Character</f>
        <v>Tellann</v>
      </c>
      <c r="L2" s="99" t="s">
        <v>282</v>
      </c>
      <c r="M2" s="5" t="str">
        <f>lower(substitute(Subclass," ",""))</f>
        <v>exalted</v>
      </c>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row r="16">
      <c r="A16" s="44"/>
    </row>
    <row r="17">
      <c r="A17"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124</v>
      </c>
      <c r="B1" s="99" t="s">
        <v>120</v>
      </c>
      <c r="C1" s="99" t="s">
        <v>283</v>
      </c>
      <c r="D1" s="99" t="s">
        <v>284</v>
      </c>
      <c r="E1" s="99" t="s">
        <v>285</v>
      </c>
      <c r="F1" s="99" t="s">
        <v>286</v>
      </c>
    </row>
    <row r="2">
      <c r="A2" s="5" t="str">
        <f>NewGameObject</f>
        <v>skintellann</v>
      </c>
      <c r="B2" s="5" t="str">
        <f t="array" ref="B2">index(GameObject_Info[Value],1,1)</f>
        <v>erekhal</v>
      </c>
      <c r="C2" s="5" t="str">
        <f>CustomSprite</f>
        <v/>
      </c>
      <c r="D2" s="5">
        <f>ScaleFactor</f>
        <v>1</v>
      </c>
      <c r="E2" s="5">
        <f>ScaleFactor</f>
        <v>1</v>
      </c>
      <c r="F2" s="5" t="b">
        <f>Flip</f>
        <v>1</v>
      </c>
    </row>
    <row r="3">
      <c r="A3" s="44"/>
    </row>
    <row r="4">
      <c r="A4" s="44"/>
    </row>
    <row r="5">
      <c r="A5" s="44"/>
    </row>
    <row r="6">
      <c r="A6" s="44"/>
    </row>
    <row r="7">
      <c r="A7" s="44"/>
    </row>
    <row r="8">
      <c r="A8" s="44"/>
    </row>
    <row r="9">
      <c r="A9" s="44"/>
    </row>
    <row r="10">
      <c r="A10" s="4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287</v>
      </c>
      <c r="B1" s="99" t="s">
        <v>288</v>
      </c>
      <c r="C1" s="99" t="s">
        <v>289</v>
      </c>
      <c r="D1" s="99" t="s">
        <v>290</v>
      </c>
      <c r="E1" s="99" t="s">
        <v>291</v>
      </c>
      <c r="F1" s="99" t="s">
        <v>292</v>
      </c>
      <c r="G1" s="99" t="s">
        <v>293</v>
      </c>
      <c r="H1" s="99" t="s">
        <v>155</v>
      </c>
      <c r="I1" s="99" t="s">
        <v>294</v>
      </c>
      <c r="J1" s="99" t="s">
        <v>295</v>
      </c>
      <c r="K1" s="99" t="s">
        <v>296</v>
      </c>
      <c r="L1" s="99" t="s">
        <v>297</v>
      </c>
      <c r="M1" s="99" t="s">
        <v>158</v>
      </c>
    </row>
    <row r="2">
      <c r="A2" s="99" t="b">
        <v>1</v>
      </c>
      <c r="B2" s="99">
        <v>0.0</v>
      </c>
      <c r="C2" s="5" t="str">
        <f>NewGameObject</f>
        <v>skintellann</v>
      </c>
      <c r="D2" s="5" t="str">
        <f>concat(lower(substitute(Subclass," ","")),"base")</f>
        <v>exaltedbase</v>
      </c>
      <c r="E2" s="99" t="s">
        <v>133</v>
      </c>
      <c r="F2" s="99">
        <v>0.0</v>
      </c>
      <c r="G2" s="5" t="str">
        <f>SubclassID</f>
        <v>exalted</v>
      </c>
      <c r="H2" s="5"/>
      <c r="I2" s="5" t="str">
        <f>Portrait</f>
        <v>tellannPortrait</v>
      </c>
      <c r="J2" s="5" t="str">
        <f>PortraitGrande</f>
        <v>tellannPortraitGrande</v>
      </c>
      <c r="K2" s="5" t="str">
        <f>Visuals!E5</f>
        <v>tellannSilueta</v>
      </c>
      <c r="L2" s="5" t="str">
        <f>SiluetaGrande</f>
        <v>tellannSiluetaGrande</v>
      </c>
      <c r="M2" s="5"/>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298</v>
      </c>
      <c r="B1" s="99" t="s">
        <v>126</v>
      </c>
      <c r="C1" s="99" t="s">
        <v>129</v>
      </c>
      <c r="D1" s="99" t="s">
        <v>132</v>
      </c>
      <c r="E1" s="99" t="s">
        <v>135</v>
      </c>
      <c r="F1" s="99" t="s">
        <v>137</v>
      </c>
      <c r="G1" s="99" t="s">
        <v>140</v>
      </c>
      <c r="H1" s="99" t="s">
        <v>143</v>
      </c>
      <c r="I1" s="99" t="s">
        <v>146</v>
      </c>
      <c r="J1" s="99" t="s">
        <v>149</v>
      </c>
      <c r="K1" s="99" t="s">
        <v>152</v>
      </c>
      <c r="L1" s="99" t="s">
        <v>155</v>
      </c>
      <c r="M1" s="99" t="s">
        <v>158</v>
      </c>
    </row>
    <row r="2">
      <c r="A2" s="5">
        <f t="array" ref="A2">index(Cardback_Info[Value],1,1)</f>
        <v>0</v>
      </c>
      <c r="B2" s="5" t="b">
        <f t="array" ref="B2">index(Cardback_Info[Value],2,1)</f>
        <v>1</v>
      </c>
      <c r="C2" s="5" t="str">
        <f t="array" ref="C2">index(Cardback_Info[Value],3,1)</f>
        <v>cardbackexalted</v>
      </c>
      <c r="D2" s="5" t="str">
        <f t="array" ref="D2">index(Cardback_Info[Value],4,1)</f>
        <v>Default</v>
      </c>
      <c r="E2" s="5">
        <f t="array" ref="E2">index(Cardback_Info[Value],5,1)</f>
        <v>1000</v>
      </c>
      <c r="F2" s="5" t="str">
        <f t="array" ref="F2">index(Cardback_Info[Value],6,1)</f>
        <v>cardbackexalted</v>
      </c>
      <c r="G2" s="5" t="str">
        <f t="array" ref="G2">index(Cardback_Info[Value],7,1)</f>
        <v>exalted</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299</v>
      </c>
      <c r="B1" s="99" t="s">
        <v>44</v>
      </c>
      <c r="C1" s="99" t="s">
        <v>243</v>
      </c>
      <c r="D1" s="99" t="s">
        <v>300</v>
      </c>
      <c r="E1" s="99" t="s">
        <v>301</v>
      </c>
      <c r="F1" s="99" t="s">
        <v>302</v>
      </c>
    </row>
    <row r="2">
      <c r="A2" s="5" t="str">
        <f t="array" ref="A2:B10">TraitJson</f>
        <v>Guiding Flame</v>
      </c>
      <c r="B2" s="5" t="s">
        <v>75</v>
      </c>
      <c r="C2" s="5" t="str">
        <f t="array" ref="C2:C10">TraitFilenames</f>
        <v>exaltedtrait0</v>
      </c>
      <c r="D2" s="5" t="str">
        <f t="array" ref="D2:D21">Trait_Info[Trait Activation]</f>
        <v>AuraCurseSet</v>
      </c>
      <c r="E2" s="5" t="str">
        <f t="array" ref="E2:E21">Trait_Info[Enchantment ID]</f>
        <v/>
      </c>
      <c r="F2" s="5">
        <f t="array" ref="F2:F21">Trait_Info[Number of Activations]</f>
        <v>0</v>
      </c>
    </row>
    <row r="3">
      <c r="A3" s="5" t="s">
        <v>79</v>
      </c>
      <c r="B3" s="5"/>
      <c r="C3" s="5" t="s">
        <v>303</v>
      </c>
      <c r="D3" s="5" t="s">
        <v>80</v>
      </c>
      <c r="E3" s="5" t="s">
        <v>304</v>
      </c>
      <c r="F3" s="5">
        <v>0.0</v>
      </c>
    </row>
    <row r="4">
      <c r="A4" s="5" t="s">
        <v>83</v>
      </c>
      <c r="B4" s="5"/>
      <c r="C4" s="5" t="s">
        <v>305</v>
      </c>
      <c r="D4" s="5" t="s">
        <v>80</v>
      </c>
      <c r="E4" s="5" t="s">
        <v>306</v>
      </c>
      <c r="F4" s="5">
        <v>0.0</v>
      </c>
    </row>
    <row r="5">
      <c r="A5" s="5" t="s">
        <v>86</v>
      </c>
      <c r="B5" s="5" t="s">
        <v>87</v>
      </c>
      <c r="C5" s="5" t="s">
        <v>307</v>
      </c>
      <c r="D5" s="5" t="s">
        <v>88</v>
      </c>
      <c r="E5" s="5"/>
      <c r="F5" s="5">
        <v>3.0</v>
      </c>
    </row>
    <row r="6">
      <c r="A6" s="5" t="s">
        <v>91</v>
      </c>
      <c r="B6" s="5" t="s">
        <v>92</v>
      </c>
      <c r="C6" s="5" t="s">
        <v>308</v>
      </c>
      <c r="D6" s="5" t="s">
        <v>80</v>
      </c>
      <c r="E6" s="5"/>
      <c r="F6" s="5">
        <v>0.0</v>
      </c>
    </row>
    <row r="7">
      <c r="A7" s="5" t="s">
        <v>95</v>
      </c>
      <c r="B7" s="5"/>
      <c r="C7" s="5" t="s">
        <v>309</v>
      </c>
      <c r="D7" s="5" t="s">
        <v>80</v>
      </c>
      <c r="E7" s="5" t="s">
        <v>96</v>
      </c>
      <c r="F7" s="5">
        <v>0.0</v>
      </c>
    </row>
    <row r="8">
      <c r="A8" s="5" t="s">
        <v>99</v>
      </c>
      <c r="B8" s="5"/>
      <c r="C8" s="5" t="s">
        <v>310</v>
      </c>
      <c r="D8" s="5" t="s">
        <v>80</v>
      </c>
      <c r="E8" s="5" t="s">
        <v>100</v>
      </c>
      <c r="F8" s="5">
        <v>0.0</v>
      </c>
    </row>
    <row r="9">
      <c r="A9" s="5" t="s">
        <v>103</v>
      </c>
      <c r="B9" s="5" t="s">
        <v>104</v>
      </c>
      <c r="C9" s="5" t="s">
        <v>311</v>
      </c>
      <c r="D9" s="5" t="s">
        <v>80</v>
      </c>
      <c r="E9" s="5"/>
      <c r="F9" s="5">
        <v>0.0</v>
      </c>
    </row>
    <row r="10">
      <c r="A10" s="5" t="s">
        <v>107</v>
      </c>
      <c r="B10" s="5" t="s">
        <v>108</v>
      </c>
      <c r="C10" s="5" t="s">
        <v>312</v>
      </c>
      <c r="D10" s="5" t="s">
        <v>109</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